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lackhillscorp.sharepoint.com/sites/RegulatoryHub-BHPTrueUpFilings/2025 BHP TrueUp Empty/Final Filing Package/"/>
    </mc:Choice>
  </mc:AlternateContent>
  <xr:revisionPtr revIDLastSave="15" documentId="13_ncr:1_{1F0B3B88-94DB-4D24-BC5B-5E67F9979156}" xr6:coauthVersionLast="47" xr6:coauthVersionMax="47" xr10:uidLastSave="{05487FEC-D85C-4A8A-828B-F5DE3638CD85}"/>
  <bookViews>
    <workbookView xWindow="-120" yWindow="-120" windowWidth="29040" windowHeight="15720" tabRatio="845" xr2:uid="{00000000-000D-0000-FFFF-FFFF00000000}"/>
  </bookViews>
  <sheets>
    <sheet name="Under-Over Recovery" sheetId="22" r:id="rId1"/>
    <sheet name="Rate - Summary" sheetId="17" r:id="rId2"/>
    <sheet name="Sch. 2 - BHP (old rate)" sheetId="14" r:id="rId3"/>
    <sheet name="Sch. 2 - Gillette(old rate)" sheetId="13" r:id="rId4"/>
    <sheet name="Sch. 2 - CLFP(old rate)" sheetId="16" r:id="rId5"/>
    <sheet name="Sch. 2 - BHW(old rate)" sheetId="15" r:id="rId6"/>
    <sheet name="Sch. 2 - Basin(old rate)" sheetId="20" r:id="rId7"/>
    <sheet name="Sch. 2 - WMPA(old rate)" sheetId="21" r:id="rId8"/>
    <sheet name="Sch. 2 - Total (old rate)" sheetId="2" r:id="rId9"/>
    <sheet name="CUS AC LOADS (for old rate)" sheetId="5" r:id="rId10"/>
    <sheet name="Sch. 2 - BHP" sheetId="24" r:id="rId11"/>
    <sheet name="Sch. 2 - Gillette" sheetId="25" r:id="rId12"/>
    <sheet name="Sch. 2 - CLFP" sheetId="26" r:id="rId13"/>
    <sheet name="Sch. 2 - BHW" sheetId="27" r:id="rId14"/>
    <sheet name="Sch. 2 - Basin" sheetId="28" r:id="rId15"/>
    <sheet name="Sch. 2 - Total" sheetId="29" r:id="rId16"/>
    <sheet name="CUS AC LOADS" sheetId="30" r:id="rId17"/>
  </sheets>
  <definedNames>
    <definedName name="_xlnm.Print_Area" localSheetId="16">'CUS AC LOADS'!$A$1:$I$26</definedName>
    <definedName name="_xlnm.Print_Area" localSheetId="9">'CUS AC LOADS (for old rate)'!$A$1:$I$69</definedName>
    <definedName name="_xlnm.Print_Area" localSheetId="1">'Rate - Summary'!$A$1:$J$54</definedName>
    <definedName name="_xlnm.Print_Area" localSheetId="14">'Sch. 2 - Basin'!$A$1:$K$30</definedName>
    <definedName name="_xlnm.Print_Area" localSheetId="6">'Sch. 2 - Basin(old rate)'!$A$1:$K$31</definedName>
    <definedName name="_xlnm.Print_Area" localSheetId="10">'Sch. 2 - BHP'!$A$1:$K$30</definedName>
    <definedName name="_xlnm.Print_Area" localSheetId="2">'Sch. 2 - BHP (old rate)'!$A$1:$K$31</definedName>
    <definedName name="_xlnm.Print_Area" localSheetId="13">'Sch. 2 - BHW'!$A$1:$K$30</definedName>
    <definedName name="_xlnm.Print_Area" localSheetId="5">'Sch. 2 - BHW(old rate)'!$A$1:$K$31</definedName>
    <definedName name="_xlnm.Print_Area" localSheetId="12">'Sch. 2 - CLFP'!$A$1:$K$30</definedName>
    <definedName name="_xlnm.Print_Area" localSheetId="4">'Sch. 2 - CLFP(old rate)'!$A$1:$K$31</definedName>
    <definedName name="_xlnm.Print_Area" localSheetId="11">'Sch. 2 - Gillette'!$A$1:$K$30</definedName>
    <definedName name="_xlnm.Print_Area" localSheetId="3">'Sch. 2 - Gillette(old rate)'!$A$1:$K$31</definedName>
    <definedName name="_xlnm.Print_Area" localSheetId="15">'Sch. 2 - Total'!$A$1:$K$30</definedName>
    <definedName name="_xlnm.Print_Area" localSheetId="8">'Sch. 2 - Total (old rate)'!$A$1:$K$31</definedName>
    <definedName name="_xlnm.Print_Area" localSheetId="7">'Sch. 2 - WMPA(old rate)'!$A$1:$K$31</definedName>
    <definedName name="_xlnm.Print_Area" localSheetId="0">'Under-Over Recovery'!$A$1:$J$70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22" l="1"/>
  <c r="J29" i="22" l="1"/>
  <c r="H23" i="15"/>
  <c r="H21" i="14" l="1"/>
  <c r="B19" i="22" l="1"/>
  <c r="B26" i="22"/>
  <c r="B33" i="22"/>
  <c r="N49" i="22"/>
  <c r="N48" i="22"/>
  <c r="N50" i="22" s="1"/>
  <c r="J43" i="22"/>
  <c r="J36" i="22"/>
  <c r="J22" i="22"/>
  <c r="J15" i="22"/>
  <c r="L43" i="22"/>
  <c r="M43" i="22"/>
  <c r="N43" i="22"/>
  <c r="O43" i="22"/>
  <c r="K43" i="22"/>
  <c r="Q36" i="22"/>
  <c r="R36" i="22"/>
  <c r="S36" i="22"/>
  <c r="T36" i="22"/>
  <c r="U36" i="22"/>
  <c r="V36" i="22"/>
  <c r="P36" i="22"/>
  <c r="L36" i="22"/>
  <c r="M36" i="22"/>
  <c r="N36" i="22"/>
  <c r="O36" i="22"/>
  <c r="K36" i="22"/>
  <c r="Q29" i="22"/>
  <c r="R29" i="22"/>
  <c r="S29" i="22"/>
  <c r="T29" i="22"/>
  <c r="U29" i="22"/>
  <c r="V29" i="22"/>
  <c r="P29" i="22"/>
  <c r="L29" i="22"/>
  <c r="M29" i="22"/>
  <c r="N29" i="22"/>
  <c r="O29" i="22"/>
  <c r="K29" i="22"/>
  <c r="Q22" i="22"/>
  <c r="R22" i="22"/>
  <c r="S22" i="22"/>
  <c r="T22" i="22"/>
  <c r="U22" i="22"/>
  <c r="V22" i="22"/>
  <c r="P22" i="22"/>
  <c r="L22" i="22"/>
  <c r="M22" i="22"/>
  <c r="N22" i="22"/>
  <c r="O22" i="22"/>
  <c r="K22" i="22"/>
  <c r="Q15" i="22"/>
  <c r="R15" i="22"/>
  <c r="S15" i="22"/>
  <c r="T15" i="22"/>
  <c r="U15" i="22"/>
  <c r="V15" i="22"/>
  <c r="P15" i="22"/>
  <c r="L15" i="22"/>
  <c r="M15" i="22"/>
  <c r="N15" i="22"/>
  <c r="O15" i="22"/>
  <c r="K15" i="22"/>
  <c r="Q8" i="22"/>
  <c r="R8" i="22"/>
  <c r="S8" i="22"/>
  <c r="T8" i="22"/>
  <c r="U8" i="22"/>
  <c r="V8" i="22"/>
  <c r="P8" i="22"/>
  <c r="L8" i="22"/>
  <c r="M8" i="22"/>
  <c r="N8" i="22"/>
  <c r="O8" i="22"/>
  <c r="K8" i="22"/>
  <c r="H17" i="13"/>
  <c r="H18" i="29"/>
  <c r="H18" i="28"/>
  <c r="H18" i="27"/>
  <c r="H18" i="26"/>
  <c r="H18" i="25"/>
  <c r="H18" i="24"/>
  <c r="H45" i="30"/>
  <c r="G45" i="30"/>
  <c r="F45" i="30"/>
  <c r="E45" i="30"/>
  <c r="D45" i="30"/>
  <c r="C45" i="30"/>
  <c r="I43" i="30"/>
  <c r="I42" i="30"/>
  <c r="I41" i="30"/>
  <c r="I40" i="30"/>
  <c r="I39" i="30"/>
  <c r="I38" i="30"/>
  <c r="I37" i="30"/>
  <c r="I36" i="30"/>
  <c r="I35" i="30"/>
  <c r="I34" i="30"/>
  <c r="I33" i="30"/>
  <c r="I32" i="30"/>
  <c r="H24" i="30"/>
  <c r="G24" i="30"/>
  <c r="F24" i="30"/>
  <c r="E24" i="30"/>
  <c r="D24" i="30"/>
  <c r="C24" i="30"/>
  <c r="I22" i="30"/>
  <c r="I21" i="30"/>
  <c r="I20" i="30"/>
  <c r="I19" i="30"/>
  <c r="I18" i="30"/>
  <c r="I17" i="30"/>
  <c r="I16" i="30"/>
  <c r="I15" i="30"/>
  <c r="I14" i="30"/>
  <c r="I13" i="30"/>
  <c r="I12" i="30"/>
  <c r="I11" i="30"/>
  <c r="A10" i="30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9" i="30"/>
  <c r="H16" i="29"/>
  <c r="B18" i="29"/>
  <c r="H10" i="28"/>
  <c r="H11" i="28"/>
  <c r="H12" i="28"/>
  <c r="H13" i="28"/>
  <c r="H14" i="28"/>
  <c r="H16" i="28"/>
  <c r="B18" i="28"/>
  <c r="H10" i="27"/>
  <c r="H11" i="27"/>
  <c r="H12" i="27"/>
  <c r="H13" i="27"/>
  <c r="H16" i="27" s="1"/>
  <c r="H14" i="27"/>
  <c r="B18" i="27"/>
  <c r="H10" i="26"/>
  <c r="H11" i="26"/>
  <c r="H12" i="26"/>
  <c r="H13" i="26"/>
  <c r="H14" i="26"/>
  <c r="H16" i="26"/>
  <c r="B18" i="26"/>
  <c r="H10" i="25"/>
  <c r="H11" i="25"/>
  <c r="H12" i="25"/>
  <c r="H13" i="25"/>
  <c r="H14" i="25"/>
  <c r="H16" i="25"/>
  <c r="B18" i="25"/>
  <c r="H10" i="24"/>
  <c r="H16" i="24" s="1"/>
  <c r="A11" i="24"/>
  <c r="H11" i="24"/>
  <c r="A12" i="24"/>
  <c r="H12" i="24"/>
  <c r="A13" i="24"/>
  <c r="H13" i="24"/>
  <c r="H14" i="24"/>
  <c r="I45" i="30" l="1"/>
  <c r="I24" i="30"/>
  <c r="H20" i="29"/>
  <c r="H20" i="25"/>
  <c r="H20" i="28"/>
  <c r="H30" i="28" s="1"/>
  <c r="H20" i="24"/>
  <c r="H20" i="26"/>
  <c r="H20" i="27"/>
  <c r="H29" i="27" s="1"/>
  <c r="H29" i="28"/>
  <c r="H19" i="20"/>
  <c r="H17" i="20"/>
  <c r="H22" i="25" l="1"/>
  <c r="H24" i="25"/>
  <c r="H26" i="28"/>
  <c r="H27" i="28"/>
  <c r="H24" i="26"/>
  <c r="H29" i="26"/>
  <c r="H26" i="26"/>
  <c r="H27" i="26"/>
  <c r="H30" i="26"/>
  <c r="H22" i="26"/>
  <c r="H27" i="24"/>
  <c r="H24" i="24"/>
  <c r="H29" i="24"/>
  <c r="H30" i="24"/>
  <c r="H26" i="24"/>
  <c r="H22" i="24"/>
  <c r="H30" i="25"/>
  <c r="H27" i="25"/>
  <c r="H27" i="27"/>
  <c r="H26" i="25"/>
  <c r="H26" i="27"/>
  <c r="H24" i="27"/>
  <c r="H29" i="25"/>
  <c r="H22" i="28"/>
  <c r="H22" i="27"/>
  <c r="H30" i="27"/>
  <c r="H24" i="28"/>
  <c r="H27" i="29"/>
  <c r="H22" i="29"/>
  <c r="H26" i="29"/>
  <c r="H24" i="29"/>
  <c r="H29" i="29"/>
  <c r="H30" i="29"/>
  <c r="F55" i="22" l="1"/>
  <c r="F56" i="22"/>
  <c r="F57" i="22"/>
  <c r="F58" i="22"/>
  <c r="F59" i="22"/>
  <c r="F60" i="22" s="1"/>
  <c r="F61" i="22" s="1"/>
  <c r="F62" i="22" s="1"/>
  <c r="F63" i="22" s="1"/>
  <c r="F64" i="22" s="1"/>
  <c r="F65" i="22" s="1"/>
  <c r="D51" i="17" l="1"/>
  <c r="E51" i="17"/>
  <c r="F51" i="17"/>
  <c r="G51" i="17"/>
  <c r="H51" i="17"/>
  <c r="I51" i="17"/>
  <c r="C51" i="17"/>
  <c r="F66" i="22"/>
  <c r="F67" i="22" s="1"/>
  <c r="F68" i="22" s="1"/>
  <c r="F69" i="22" s="1"/>
  <c r="H45" i="5"/>
  <c r="G45" i="5"/>
  <c r="F45" i="5"/>
  <c r="E45" i="5"/>
  <c r="D45" i="5"/>
  <c r="C45" i="5"/>
  <c r="I33" i="5"/>
  <c r="I34" i="5"/>
  <c r="I35" i="5"/>
  <c r="I36" i="5"/>
  <c r="I37" i="5"/>
  <c r="I38" i="5"/>
  <c r="I39" i="5"/>
  <c r="I40" i="5"/>
  <c r="I41" i="5"/>
  <c r="I42" i="5"/>
  <c r="I43" i="5"/>
  <c r="I32" i="5"/>
  <c r="I12" i="5"/>
  <c r="I54" i="5" s="1"/>
  <c r="I13" i="5"/>
  <c r="I55" i="5" s="1"/>
  <c r="I14" i="5"/>
  <c r="I56" i="5" s="1"/>
  <c r="I15" i="5"/>
  <c r="I57" i="5" s="1"/>
  <c r="I16" i="5"/>
  <c r="I17" i="5"/>
  <c r="I18" i="5"/>
  <c r="I19" i="5"/>
  <c r="I61" i="5" s="1"/>
  <c r="I20" i="5"/>
  <c r="I21" i="5"/>
  <c r="I63" i="5" s="1"/>
  <c r="I22" i="5"/>
  <c r="I64" i="5" s="1"/>
  <c r="I11" i="5"/>
  <c r="B16" i="22"/>
  <c r="B23" i="22" s="1"/>
  <c r="B30" i="22" s="1"/>
  <c r="B37" i="22" s="1"/>
  <c r="B44" i="22" s="1"/>
  <c r="D24" i="5"/>
  <c r="E24" i="5"/>
  <c r="F24" i="5"/>
  <c r="G24" i="5"/>
  <c r="H24" i="5"/>
  <c r="C24" i="5"/>
  <c r="H15" i="2"/>
  <c r="H14" i="2"/>
  <c r="H14" i="15"/>
  <c r="H13" i="2"/>
  <c r="J31" i="22"/>
  <c r="H12" i="2"/>
  <c r="J24" i="22"/>
  <c r="H11" i="2"/>
  <c r="H11" i="21"/>
  <c r="H10" i="2"/>
  <c r="H10" i="15"/>
  <c r="H62" i="5"/>
  <c r="H63" i="5"/>
  <c r="H64" i="5"/>
  <c r="G62" i="5"/>
  <c r="G63" i="5"/>
  <c r="G64" i="5"/>
  <c r="F62" i="5"/>
  <c r="F63" i="5"/>
  <c r="F64" i="5"/>
  <c r="E62" i="5"/>
  <c r="E63" i="5"/>
  <c r="E64" i="5"/>
  <c r="D62" i="5"/>
  <c r="D63" i="5"/>
  <c r="D64" i="5"/>
  <c r="C62" i="5"/>
  <c r="C63" i="5"/>
  <c r="C64" i="5"/>
  <c r="I2" i="5"/>
  <c r="I1" i="5"/>
  <c r="K3" i="2"/>
  <c r="K2" i="2"/>
  <c r="K3" i="21"/>
  <c r="K2" i="21"/>
  <c r="K3" i="20"/>
  <c r="K2" i="20"/>
  <c r="K3" i="15"/>
  <c r="K2" i="15"/>
  <c r="K3" i="16"/>
  <c r="K2" i="16"/>
  <c r="K3" i="13"/>
  <c r="K2" i="13"/>
  <c r="K3" i="14"/>
  <c r="K2" i="14"/>
  <c r="J3" i="17"/>
  <c r="J2" i="17"/>
  <c r="I70" i="22"/>
  <c r="J46" i="22" s="1"/>
  <c r="H13" i="15"/>
  <c r="H17" i="15"/>
  <c r="H12" i="20"/>
  <c r="H11" i="16"/>
  <c r="B47" i="22"/>
  <c r="B40" i="22"/>
  <c r="I31" i="2"/>
  <c r="I30" i="2"/>
  <c r="I28" i="2"/>
  <c r="I27" i="2"/>
  <c r="I25" i="2"/>
  <c r="I23" i="2"/>
  <c r="I21" i="2"/>
  <c r="I31" i="21"/>
  <c r="I30" i="21"/>
  <c r="I28" i="21"/>
  <c r="I27" i="21"/>
  <c r="I25" i="21"/>
  <c r="I23" i="21"/>
  <c r="I21" i="21"/>
  <c r="I31" i="20"/>
  <c r="I30" i="20"/>
  <c r="I28" i="20"/>
  <c r="I27" i="20"/>
  <c r="I25" i="20"/>
  <c r="I23" i="20"/>
  <c r="I21" i="20"/>
  <c r="I31" i="15"/>
  <c r="I30" i="15"/>
  <c r="I28" i="15"/>
  <c r="I27" i="15"/>
  <c r="I25" i="15"/>
  <c r="I23" i="15"/>
  <c r="I21" i="15"/>
  <c r="I31" i="16"/>
  <c r="I30" i="16"/>
  <c r="I28" i="16"/>
  <c r="I27" i="16"/>
  <c r="I25" i="16"/>
  <c r="I23" i="16"/>
  <c r="I21" i="16"/>
  <c r="I31" i="13"/>
  <c r="I30" i="13"/>
  <c r="I28" i="13"/>
  <c r="I27" i="13"/>
  <c r="I25" i="13"/>
  <c r="I23" i="13"/>
  <c r="I21" i="13"/>
  <c r="H10" i="21"/>
  <c r="H12" i="16"/>
  <c r="H17" i="16"/>
  <c r="H12" i="13"/>
  <c r="H14" i="14"/>
  <c r="A31" i="17"/>
  <c r="A32" i="17"/>
  <c r="A33" i="17"/>
  <c r="A34" i="17"/>
  <c r="A35" i="17"/>
  <c r="A36" i="17"/>
  <c r="A37" i="17"/>
  <c r="A38" i="17"/>
  <c r="A39" i="17"/>
  <c r="A40" i="17"/>
  <c r="A43" i="17"/>
  <c r="A44" i="17"/>
  <c r="A45" i="17"/>
  <c r="A46" i="17"/>
  <c r="A47" i="17"/>
  <c r="A48" i="17"/>
  <c r="A49" i="17"/>
  <c r="A50" i="17"/>
  <c r="A51" i="17"/>
  <c r="A52" i="17"/>
  <c r="A22" i="17"/>
  <c r="A23" i="17"/>
  <c r="A24" i="17"/>
  <c r="A25" i="17"/>
  <c r="A26" i="17"/>
  <c r="A27" i="17"/>
  <c r="A28" i="17"/>
  <c r="A54" i="22"/>
  <c r="A55" i="22"/>
  <c r="A56" i="22"/>
  <c r="A57" i="22"/>
  <c r="A58" i="22"/>
  <c r="A59" i="22"/>
  <c r="A60" i="22"/>
  <c r="A61" i="22"/>
  <c r="A62" i="22"/>
  <c r="A63" i="22"/>
  <c r="A64" i="22"/>
  <c r="A65" i="22"/>
  <c r="A66" i="22"/>
  <c r="A67" i="22"/>
  <c r="A68" i="22"/>
  <c r="A69" i="22"/>
  <c r="A70" i="22"/>
  <c r="B19" i="2"/>
  <c r="B19" i="21"/>
  <c r="B19" i="20"/>
  <c r="B19" i="15"/>
  <c r="B19" i="16"/>
  <c r="B19" i="13"/>
  <c r="A17" i="13"/>
  <c r="A19" i="13"/>
  <c r="A21" i="13"/>
  <c r="A23" i="13"/>
  <c r="A25" i="13"/>
  <c r="A27" i="13"/>
  <c r="A28" i="13"/>
  <c r="A30" i="13"/>
  <c r="A31" i="13"/>
  <c r="A11" i="14"/>
  <c r="A12" i="14"/>
  <c r="A13" i="14"/>
  <c r="A19" i="14"/>
  <c r="A21" i="14"/>
  <c r="A23" i="14"/>
  <c r="A25" i="14"/>
  <c r="A27" i="14"/>
  <c r="A28" i="14"/>
  <c r="A30" i="14"/>
  <c r="A31" i="14"/>
  <c r="H61" i="5"/>
  <c r="H60" i="5"/>
  <c r="H59" i="5"/>
  <c r="H58" i="5"/>
  <c r="H57" i="5"/>
  <c r="H56" i="5"/>
  <c r="H55" i="5"/>
  <c r="H54" i="5"/>
  <c r="H53" i="5"/>
  <c r="G61" i="5"/>
  <c r="G60" i="5"/>
  <c r="G59" i="5"/>
  <c r="G58" i="5"/>
  <c r="G57" i="5"/>
  <c r="G56" i="5"/>
  <c r="G55" i="5"/>
  <c r="G54" i="5"/>
  <c r="G53" i="5"/>
  <c r="F61" i="5"/>
  <c r="F60" i="5"/>
  <c r="F59" i="5"/>
  <c r="F58" i="5"/>
  <c r="F57" i="5"/>
  <c r="F56" i="5"/>
  <c r="F55" i="5"/>
  <c r="F54" i="5"/>
  <c r="F53" i="5"/>
  <c r="E61" i="5"/>
  <c r="E60" i="5"/>
  <c r="E59" i="5"/>
  <c r="E58" i="5"/>
  <c r="E57" i="5"/>
  <c r="E56" i="5"/>
  <c r="E55" i="5"/>
  <c r="E54" i="5"/>
  <c r="E53" i="5"/>
  <c r="D61" i="5"/>
  <c r="D60" i="5"/>
  <c r="D59" i="5"/>
  <c r="D58" i="5"/>
  <c r="D57" i="5"/>
  <c r="D56" i="5"/>
  <c r="D55" i="5"/>
  <c r="D54" i="5"/>
  <c r="D53" i="5"/>
  <c r="C55" i="5"/>
  <c r="C56" i="5"/>
  <c r="C57" i="5"/>
  <c r="C58" i="5"/>
  <c r="C59" i="5"/>
  <c r="C60" i="5"/>
  <c r="C61" i="5"/>
  <c r="C54" i="5"/>
  <c r="C53" i="5"/>
  <c r="A9" i="5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H13" i="14"/>
  <c r="H13" i="13"/>
  <c r="H13" i="16"/>
  <c r="H13" i="20"/>
  <c r="H13" i="21"/>
  <c r="H10" i="14"/>
  <c r="H17" i="14"/>
  <c r="H15" i="20"/>
  <c r="H15" i="16"/>
  <c r="H12" i="14"/>
  <c r="H12" i="21"/>
  <c r="H17" i="2"/>
  <c r="H10" i="13"/>
  <c r="J17" i="22"/>
  <c r="J45" i="22"/>
  <c r="H10" i="20"/>
  <c r="H15" i="14"/>
  <c r="H14" i="20"/>
  <c r="J10" i="22"/>
  <c r="H11" i="20"/>
  <c r="H11" i="13"/>
  <c r="H11" i="14"/>
  <c r="J38" i="22"/>
  <c r="H15" i="15"/>
  <c r="H14" i="13"/>
  <c r="H12" i="15"/>
  <c r="H15" i="13"/>
  <c r="H11" i="15"/>
  <c r="H10" i="16"/>
  <c r="H14" i="21"/>
  <c r="H15" i="21"/>
  <c r="H17" i="21"/>
  <c r="H14" i="16"/>
  <c r="I62" i="5" l="1"/>
  <c r="I59" i="5"/>
  <c r="J47" i="22"/>
  <c r="J18" i="22"/>
  <c r="J19" i="22" s="1"/>
  <c r="J32" i="22"/>
  <c r="J33" i="22" s="1"/>
  <c r="J25" i="22"/>
  <c r="J26" i="22" s="1"/>
  <c r="J39" i="22"/>
  <c r="J40" i="22" s="1"/>
  <c r="J11" i="22"/>
  <c r="J12" i="22" s="1"/>
  <c r="D66" i="5"/>
  <c r="H66" i="5"/>
  <c r="I45" i="5"/>
  <c r="D52" i="17" s="1"/>
  <c r="I24" i="5"/>
  <c r="H19" i="21" s="1"/>
  <c r="H21" i="21" s="1"/>
  <c r="I58" i="5"/>
  <c r="G66" i="5"/>
  <c r="C66" i="5"/>
  <c r="I60" i="5"/>
  <c r="F66" i="5"/>
  <c r="E66" i="5"/>
  <c r="I53" i="5"/>
  <c r="H19" i="15" l="1"/>
  <c r="H21" i="15" s="1"/>
  <c r="H21" i="20"/>
  <c r="H31" i="20" s="1"/>
  <c r="C37" i="17" s="1"/>
  <c r="H19" i="16"/>
  <c r="H21" i="16" s="1"/>
  <c r="H19" i="13"/>
  <c r="H21" i="13" s="1"/>
  <c r="H19" i="14"/>
  <c r="H27" i="14" s="1"/>
  <c r="F33" i="17" s="1"/>
  <c r="D40" i="17"/>
  <c r="H19" i="2"/>
  <c r="H21" i="2" s="1"/>
  <c r="H28" i="2" s="1"/>
  <c r="I66" i="5"/>
  <c r="H23" i="2"/>
  <c r="H30" i="2"/>
  <c r="H31" i="2"/>
  <c r="H25" i="2"/>
  <c r="I33" i="17"/>
  <c r="H25" i="14"/>
  <c r="G33" i="17" s="1"/>
  <c r="H30" i="14"/>
  <c r="D33" i="17" s="1"/>
  <c r="H23" i="14"/>
  <c r="H33" i="17" s="1"/>
  <c r="H31" i="14"/>
  <c r="C33" i="17" s="1"/>
  <c r="H25" i="16"/>
  <c r="G35" i="17" s="1"/>
  <c r="H23" i="16"/>
  <c r="H35" i="17" s="1"/>
  <c r="I35" i="17"/>
  <c r="H28" i="16"/>
  <c r="E35" i="17" s="1"/>
  <c r="H30" i="16"/>
  <c r="D35" i="17" s="1"/>
  <c r="H31" i="16"/>
  <c r="C35" i="17" s="1"/>
  <c r="H27" i="16"/>
  <c r="F35" i="17" s="1"/>
  <c r="H27" i="15"/>
  <c r="F36" i="17" s="1"/>
  <c r="H31" i="15"/>
  <c r="C36" i="17" s="1"/>
  <c r="I36" i="17"/>
  <c r="H28" i="15"/>
  <c r="E36" i="17" s="1"/>
  <c r="H30" i="15"/>
  <c r="D36" i="17" s="1"/>
  <c r="H36" i="17"/>
  <c r="H25" i="15"/>
  <c r="G36" i="17" s="1"/>
  <c r="H27" i="21"/>
  <c r="F38" i="17" s="1"/>
  <c r="H23" i="21"/>
  <c r="H38" i="17" s="1"/>
  <c r="I38" i="17"/>
  <c r="H25" i="21"/>
  <c r="G38" i="17" s="1"/>
  <c r="H30" i="21"/>
  <c r="D38" i="17" s="1"/>
  <c r="H28" i="21"/>
  <c r="E38" i="17" s="1"/>
  <c r="H31" i="21"/>
  <c r="C38" i="17" s="1"/>
  <c r="H27" i="13"/>
  <c r="F34" i="17" s="1"/>
  <c r="H30" i="13"/>
  <c r="D34" i="17" s="1"/>
  <c r="H25" i="13"/>
  <c r="G34" i="17" s="1"/>
  <c r="H31" i="13"/>
  <c r="C34" i="17" s="1"/>
  <c r="H28" i="13"/>
  <c r="E34" i="17" s="1"/>
  <c r="I34" i="17"/>
  <c r="H23" i="13"/>
  <c r="H34" i="17" s="1"/>
  <c r="H25" i="20" l="1"/>
  <c r="G37" i="17" s="1"/>
  <c r="H27" i="20"/>
  <c r="F37" i="17" s="1"/>
  <c r="H23" i="20"/>
  <c r="H37" i="17" s="1"/>
  <c r="H30" i="20"/>
  <c r="D37" i="17" s="1"/>
  <c r="I37" i="17"/>
  <c r="H28" i="20"/>
  <c r="E37" i="17" s="1"/>
  <c r="H27" i="2"/>
  <c r="H28" i="14"/>
  <c r="E33" i="17" s="1"/>
  <c r="F39" i="17"/>
  <c r="C39" i="17"/>
  <c r="H39" i="17"/>
  <c r="E39" i="17"/>
  <c r="G39" i="17"/>
  <c r="D39" i="17"/>
  <c r="I39" i="17"/>
</calcChain>
</file>

<file path=xl/sharedStrings.xml><?xml version="1.0" encoding="utf-8"?>
<sst xmlns="http://schemas.openxmlformats.org/spreadsheetml/2006/main" count="670" uniqueCount="147">
  <si>
    <t xml:space="preserve">Ancillary Services, Schedule No. 2 - </t>
  </si>
  <si>
    <t>REACTIVE SUPPLY AND VOLTAGE CONTROL FROM</t>
  </si>
  <si>
    <t>GENERATION SOURCE SERVICES</t>
  </si>
  <si>
    <t>Total Revenue Requirement for Reactive Power</t>
  </si>
  <si>
    <t>TOTAL</t>
  </si>
  <si>
    <t>Annual Reactive Power Charges</t>
  </si>
  <si>
    <t>BHP</t>
  </si>
  <si>
    <t>Common Use AC Facilities</t>
  </si>
  <si>
    <t>BASIN</t>
  </si>
  <si>
    <t>SD</t>
  </si>
  <si>
    <t xml:space="preserve">CITY OF </t>
  </si>
  <si>
    <t>WEST</t>
  </si>
  <si>
    <t>GILLETTE</t>
  </si>
  <si>
    <t>LOAD</t>
  </si>
  <si>
    <t>COMMON USE</t>
  </si>
  <si>
    <t>AC LOAD</t>
  </si>
  <si>
    <t>ANNUAL AVERAGE MW</t>
  </si>
  <si>
    <t>FIRM</t>
  </si>
  <si>
    <t>POINT TO POINT</t>
  </si>
  <si>
    <t>August</t>
  </si>
  <si>
    <t>October</t>
  </si>
  <si>
    <t>November</t>
  </si>
  <si>
    <t>January</t>
  </si>
  <si>
    <t>February</t>
  </si>
  <si>
    <t>March</t>
  </si>
  <si>
    <t>July</t>
  </si>
  <si>
    <t>September</t>
  </si>
  <si>
    <t>December</t>
  </si>
  <si>
    <t>April</t>
  </si>
  <si>
    <t>May</t>
  </si>
  <si>
    <t>June</t>
  </si>
  <si>
    <t>Line</t>
  </si>
  <si>
    <t>No.</t>
  </si>
  <si>
    <t>Joint Tariff Rates</t>
  </si>
  <si>
    <t>Common Use System AC Facilities</t>
  </si>
  <si>
    <t>6 days * 16 hours * 52 weeks</t>
  </si>
  <si>
    <t xml:space="preserve">365 days </t>
  </si>
  <si>
    <t>CHEYENNE</t>
  </si>
  <si>
    <t>LIGHT CUS</t>
  </si>
  <si>
    <t>Service</t>
  </si>
  <si>
    <t>Hourly ($/kW Hour)</t>
  </si>
  <si>
    <t>Daily ($/kW Day)</t>
  </si>
  <si>
    <t>Weekly ($/kW Week)</t>
  </si>
  <si>
    <t>Monthly ($/kW Month)</t>
  </si>
  <si>
    <t>On-Peak</t>
  </si>
  <si>
    <t>Off-Peak</t>
  </si>
  <si>
    <t>BHP Charge</t>
  </si>
  <si>
    <t>Gillette Charge</t>
  </si>
  <si>
    <t>CLFP Charge</t>
  </si>
  <si>
    <t>Total Charge</t>
  </si>
  <si>
    <t>Gillette Revenue Requirement</t>
  </si>
  <si>
    <t>Settlement agreement January 14, 2011, paragraph 8</t>
  </si>
  <si>
    <t>Black Hills Wyoming Revenue Requirement</t>
  </si>
  <si>
    <t>Cheyenne Light Revenue Requirement</t>
  </si>
  <si>
    <t>BHW FERC application dated August 25, 2009 (see Page 3)</t>
  </si>
  <si>
    <t>CLFP FERC application dated May 22, 2009 (see Page 2)</t>
  </si>
  <si>
    <t>Gillette</t>
  </si>
  <si>
    <t>Black Hills Power</t>
  </si>
  <si>
    <t>Cheyenne Light</t>
  </si>
  <si>
    <t>Black Hills Wyoming</t>
  </si>
  <si>
    <t>Black Hills Power Revenue Requirement</t>
  </si>
  <si>
    <t>BHP Schedule 2 Tariff:</t>
  </si>
  <si>
    <t>Basin Revenue Requirement</t>
  </si>
  <si>
    <t>WMPA Revenue Requirement</t>
  </si>
  <si>
    <t>Common Use System AC Facilities Ln.17</t>
  </si>
  <si>
    <t>Basin</t>
  </si>
  <si>
    <t>WMPA</t>
  </si>
  <si>
    <t>Basin Charge</t>
  </si>
  <si>
    <t>WMPA Charge</t>
  </si>
  <si>
    <t>BHW Charge</t>
  </si>
  <si>
    <t>Schedule 2 - Interest on Under/(Over) Recovery:</t>
  </si>
  <si>
    <t>Black Hills Power (BHP):</t>
  </si>
  <si>
    <t>True-up Amount - Under/(Over) Recovery</t>
  </si>
  <si>
    <t>Future Value Factor (1+i)^18</t>
  </si>
  <si>
    <t>Gillette:</t>
  </si>
  <si>
    <t>Cheyenne Light:</t>
  </si>
  <si>
    <t>Black Hills Wyoming:</t>
  </si>
  <si>
    <t>Basin:</t>
  </si>
  <si>
    <t>WMPA:</t>
  </si>
  <si>
    <t>authorized</t>
  </si>
  <si>
    <t>total collected</t>
  </si>
  <si>
    <t>Where:</t>
  </si>
  <si>
    <t>i = average interest rate as calculated below</t>
  </si>
  <si>
    <t>Interest on Amount of Refunds or Surcharges Interest 35.19a for Current Year</t>
  </si>
  <si>
    <t>Interest 35.19a</t>
  </si>
  <si>
    <t>Month</t>
  </si>
  <si>
    <t>Year</t>
  </si>
  <si>
    <t>for Month</t>
  </si>
  <si>
    <t>Average Interest Rate</t>
  </si>
  <si>
    <t xml:space="preserve">actual Summed Reactive billing Loads on the Transmission System during each month of the preceding calendar </t>
  </si>
  <si>
    <t>year and the difference between that actual amount and the previously projected amount for the same calendar year.</t>
  </si>
  <si>
    <t xml:space="preserve">If the Aggregate annual Reactive Revenue Requirement has changed during that calendar year pursuant to a Section </t>
  </si>
  <si>
    <t xml:space="preserve">205 or 206 rate change accepted by FERC, the actual and differential load information will be broken out by the </t>
  </si>
  <si>
    <t xml:space="preserve">period(s) before and after the effective date(s) of such change.  From such calculations, the Transmission Provider </t>
  </si>
  <si>
    <t xml:space="preserve">will calculate a true-up adjustment designed to reverse any under-collection or over-collection of the revenue </t>
  </si>
  <si>
    <t xml:space="preserve">requirements identified in Section 2 and 3.  The true-up adjustment and related calculations shall be posted to the </t>
  </si>
  <si>
    <t>Transmission Provider's OASIS no later than June 1."</t>
  </si>
  <si>
    <t xml:space="preserve">" Interest on any over-recovery of the revenue requirements shall be determined based on FERC's regulations </t>
  </si>
  <si>
    <t xml:space="preserve">at 18 C.F.R. 35.19a.  Interest on any under-recovery of the net revenue requirement shall be determined using </t>
  </si>
  <si>
    <t xml:space="preserve">the interest rate equal to Black Hills Power's actual short-term debt costs capped at the applicable FERC refund </t>
  </si>
  <si>
    <t xml:space="preserve">interest rate.  In either case, the interest payable shall be calculated as follows.  The interest rate will be </t>
  </si>
  <si>
    <t xml:space="preserve">determined using the applicable rate averaged across the sixteen (16) months, January of the year prior through </t>
  </si>
  <si>
    <t>the April of the year in which the true-up occurs.  That interest rate will be applied, with quarterly compounding, to the</t>
  </si>
  <si>
    <t xml:space="preserve">principal amount (i.e., the over or under recovery in the net revenue requirement) for the eighteen (18) months during </t>
  </si>
  <si>
    <t>which that over or under recovery exists."</t>
  </si>
  <si>
    <t>Application accepted by FERC July 29, 2013</t>
  </si>
  <si>
    <t>Yearly ($/kW Year)</t>
  </si>
  <si>
    <t xml:space="preserve">True-up " Not later than June 1 of each year, Transmission Provider will calculate and post to its OASIS the </t>
  </si>
  <si>
    <t>$ per kW - Year   (Ln 7/ Ln 8)</t>
  </si>
  <si>
    <t>$ per kW - Month (Ln 9 / 12)</t>
  </si>
  <si>
    <t>$ per kW - Week (Ln 9 / 52)</t>
  </si>
  <si>
    <t>$ per kW - day off peak (Ln 9 / 365)</t>
  </si>
  <si>
    <t>$ per kW - day on peak (Ln 9 / 312)</t>
  </si>
  <si>
    <t>$ per kW - hour off peak (Ln 9 / 8760)</t>
  </si>
  <si>
    <t>$ per kW - hour on peak (Ln 9 / 4992)</t>
  </si>
  <si>
    <t>Application accepted by FERC September 3, 2015</t>
  </si>
  <si>
    <t>1 - Transmission actual load from OATI</t>
  </si>
  <si>
    <t>2 - Transmission projected load from Transmission Planning</t>
  </si>
  <si>
    <t>Black Hills Power, Inc.</t>
  </si>
  <si>
    <t>6 days * 52 weeks</t>
  </si>
  <si>
    <t xml:space="preserve">Total </t>
  </si>
  <si>
    <t>over collected</t>
  </si>
  <si>
    <t>Authorized Revenue Requirement</t>
  </si>
  <si>
    <t>May 31, 2026</t>
  </si>
  <si>
    <r>
      <t>2025 Actual Load Data</t>
    </r>
    <r>
      <rPr>
        <b/>
        <vertAlign val="superscript"/>
        <sz val="11"/>
        <rFont val="Arial"/>
        <family val="2"/>
      </rPr>
      <t>1</t>
    </r>
  </si>
  <si>
    <r>
      <t>2025 Projected Load Data</t>
    </r>
    <r>
      <rPr>
        <b/>
        <vertAlign val="superscript"/>
        <sz val="11"/>
        <rFont val="Arial"/>
        <family val="2"/>
      </rPr>
      <t>2</t>
    </r>
  </si>
  <si>
    <t>2025 Actual vs Projected Load Data Difference</t>
  </si>
  <si>
    <t>2025 Schedule 2 Rates - OASIS</t>
  </si>
  <si>
    <t>2025 Actual Load:</t>
  </si>
  <si>
    <t>2025 Projected Load:</t>
  </si>
  <si>
    <t>2025 Collected Revenue</t>
  </si>
  <si>
    <t>2025 Schedule 2 True-up Rates - June 1, 2026</t>
  </si>
  <si>
    <t>Common Use AC Facility Transmission Load (2025 Actual Load)</t>
  </si>
  <si>
    <t>6 days x 16 hours x 52 weeks</t>
  </si>
  <si>
    <t>$ per kW - hour on peak (Ln 9 ÷ 4992)</t>
  </si>
  <si>
    <t>$ per kW - hour off peak (Ln 9 ÷ 8760)</t>
  </si>
  <si>
    <t>6 days x 52 weeks</t>
  </si>
  <si>
    <t>$ per kW - day on peak (Ln 9 ÷ 312)</t>
  </si>
  <si>
    <t>$ per kW - day off peak (Ln 9 ÷ 365)</t>
  </si>
  <si>
    <t>$ per kW - Week (Ln 9 ÷ 52)</t>
  </si>
  <si>
    <t>$ per kW - Month (Ln 9 ÷ 12)</t>
  </si>
  <si>
    <t>$ per kW - Year   (Ln 7 ÷ Ln 8)</t>
  </si>
  <si>
    <t>Docket ER25-01798-001 Effective June 1, 2025 (Order date November 6, 2025)</t>
  </si>
  <si>
    <t>GENERATION OR OTHER SOURCES SERVICE</t>
  </si>
  <si>
    <t xml:space="preserve">Ancillary Services, Schedule 2 </t>
  </si>
  <si>
    <t>Total</t>
  </si>
  <si>
    <t>True-up Amount to be (Refunded)/Paid based on 2025 Actual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</si>
</sst>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  <numFmt numFmtId="167" formatCode="0.0000"/>
    <numFmt numFmtId="168" formatCode="&quot;$&quot;#,##0.00000"/>
    <numFmt numFmtId="169" formatCode="&quot;$&quot;#,##0.0000"/>
    <numFmt numFmtId="170" formatCode="0.00000"/>
    <numFmt numFmtId="171" formatCode="0.000"/>
    <numFmt numFmtId="172" formatCode="_(&quot;$&quot;* #,##0_);_(&quot;$&quot;* \(#,##0\);_(&quot;$&quot;* &quot;-&quot;??_);_(@_)"/>
    <numFmt numFmtId="173" formatCode="0.0000%"/>
    <numFmt numFmtId="174" formatCode="_(&quot;$&quot;* #,##0.0000_);_(&quot;$&quot;* \(#,##0.0000\);_(&quot;$&quot;* &quot;-&quot;??_);_(@_)"/>
    <numFmt numFmtId="175" formatCode="mmm\-yyyy"/>
    <numFmt numFmtId="176" formatCode="&quot;$&quot;#,##0.0;[Red]\-&quot;$&quot;#,##0.0"/>
    <numFmt numFmtId="177" formatCode="00000"/>
    <numFmt numFmtId="178" formatCode="#,##0\ ;\(#,##0\);\-\ \ \ \ \ "/>
    <numFmt numFmtId="179" formatCode="#,##0\ ;\(#,##0\);\–\ \ \ \ \ "/>
    <numFmt numFmtId="180" formatCode="#,##0;\(#,##0\)"/>
    <numFmt numFmtId="181" formatCode="yyyymmdd"/>
    <numFmt numFmtId="182" formatCode="_([$€-2]* #,##0.00_);_([$€-2]* \(#,##0.00\);_([$€-2]* &quot;-&quot;??_)"/>
    <numFmt numFmtId="183" formatCode="_-* #,##0.0_-;\-* #,##0.0_-;_-* &quot;-&quot;??_-;_-@_-"/>
    <numFmt numFmtId="184" formatCode="#,##0.00&quot; $&quot;;\-#,##0.00&quot; $&quot;"/>
    <numFmt numFmtId="185" formatCode="000000000"/>
    <numFmt numFmtId="186" formatCode="#,##0.0_);\(#,##0.0\)"/>
    <numFmt numFmtId="187" formatCode="_-&quot;£&quot;* #,##0_-;\-&quot;£&quot;* #,##0_-;_-&quot;£&quot;* &quot;-&quot;_-;_-@_-"/>
    <numFmt numFmtId="188" formatCode="_-&quot;£&quot;* #,##0.00_-;\-&quot;£&quot;* #,##0.00_-;_-&quot;£&quot;* &quot;-&quot;??_-;_-@_-"/>
    <numFmt numFmtId="189" formatCode="0.00_)"/>
    <numFmt numFmtId="190" formatCode="00"/>
    <numFmt numFmtId="191" formatCode="0_);\(0\)"/>
    <numFmt numFmtId="192" formatCode="000\-00\-0000"/>
  </numFmts>
  <fonts count="90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2"/>
      <name val="Arial MT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2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sz val="8"/>
      <name val="Helv"/>
    </font>
    <font>
      <sz val="9"/>
      <name val="AGaramond"/>
    </font>
    <font>
      <sz val="12"/>
      <name val="Tms Rmn"/>
    </font>
    <font>
      <sz val="11"/>
      <name val="Times New Roman"/>
      <family val="1"/>
    </font>
    <font>
      <b/>
      <i/>
      <sz val="14"/>
      <name val="Arial"/>
      <family val="2"/>
    </font>
    <font>
      <b/>
      <sz val="14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sz val="8"/>
      <color indexed="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i/>
      <sz val="9"/>
      <color indexed="18"/>
      <name val="Arial"/>
      <family val="2"/>
    </font>
    <font>
      <sz val="9"/>
      <color indexed="18"/>
      <name val="Arial"/>
      <family val="2"/>
    </font>
    <font>
      <sz val="10"/>
      <color indexed="8"/>
      <name val="Arial"/>
      <family val="2"/>
    </font>
    <font>
      <sz val="8"/>
      <name val="Tahoma"/>
      <family val="2"/>
    </font>
    <font>
      <sz val="12"/>
      <name val="Helv"/>
    </font>
    <font>
      <sz val="10"/>
      <name val="Helv"/>
    </font>
    <font>
      <sz val="9"/>
      <name val="GillSans"/>
    </font>
    <font>
      <sz val="9"/>
      <name val="GillSans Light"/>
    </font>
    <font>
      <b/>
      <u/>
      <sz val="11"/>
      <color indexed="37"/>
      <name val="Arial"/>
      <family val="2"/>
    </font>
    <font>
      <b/>
      <sz val="15"/>
      <name val="Times New Roman"/>
      <family val="1"/>
    </font>
    <font>
      <sz val="12"/>
      <color indexed="14"/>
      <name val="Arial"/>
      <family val="2"/>
    </font>
    <font>
      <u/>
      <sz val="8"/>
      <name val="Helv"/>
    </font>
    <font>
      <sz val="8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b/>
      <i/>
      <sz val="16"/>
      <name val="Arial"/>
      <family val="2"/>
    </font>
    <font>
      <i/>
      <sz val="11"/>
      <name val="Arial"/>
      <family val="2"/>
    </font>
    <font>
      <u val="singleAccounting"/>
      <sz val="10"/>
      <name val="MGaramond"/>
      <family val="1"/>
    </font>
    <font>
      <b/>
      <sz val="16"/>
      <color indexed="16"/>
      <name val="Arial"/>
      <family val="2"/>
    </font>
    <font>
      <b/>
      <sz val="10"/>
      <color indexed="16"/>
      <name val="Arial"/>
      <family val="2"/>
    </font>
    <font>
      <b/>
      <sz val="12"/>
      <color indexed="16"/>
      <name val="Arial"/>
      <family val="2"/>
    </font>
    <font>
      <sz val="7"/>
      <color indexed="16"/>
      <name val="Arial"/>
      <family val="2"/>
    </font>
    <font>
      <sz val="12"/>
      <color indexed="12"/>
      <name val="Arial MT"/>
    </font>
    <font>
      <b/>
      <sz val="11"/>
      <name val="Times New Roman"/>
      <family val="1"/>
    </font>
    <font>
      <sz val="8"/>
      <color indexed="12"/>
      <name val="Arial"/>
      <family val="2"/>
    </font>
    <font>
      <sz val="11"/>
      <name val="Arial"/>
      <family val="2"/>
    </font>
    <font>
      <b/>
      <sz val="11"/>
      <color indexed="10"/>
      <name val="Calibri"/>
      <family val="2"/>
    </font>
    <font>
      <sz val="8"/>
      <name val="Helvetic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theme="6" tint="-0.249977111117893"/>
      <name val="Arial"/>
      <family val="2"/>
    </font>
    <font>
      <sz val="10"/>
      <color theme="3" tint="0.39997558519241921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sz val="11"/>
      <name val="Arial MT"/>
    </font>
    <font>
      <sz val="11"/>
      <color indexed="10"/>
      <name val="Arial"/>
      <family val="2"/>
    </font>
    <font>
      <sz val="8"/>
      <name val="Arial"/>
      <family val="2"/>
    </font>
    <font>
      <sz val="11"/>
      <color indexed="10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gray06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</fills>
  <borders count="38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91">
    <xf numFmtId="0" fontId="0" fillId="0" borderId="0"/>
    <xf numFmtId="0" fontId="6" fillId="0" borderId="0"/>
    <xf numFmtId="37" fontId="24" fillId="0" borderId="0" applyFont="0" applyFill="0" applyBorder="0" applyAlignment="0" applyProtection="0"/>
    <xf numFmtId="37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7" fontId="24" fillId="0" borderId="0" applyFont="0" applyFill="0" applyBorder="0" applyAlignment="0" applyProtection="0"/>
    <xf numFmtId="37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7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37" fontId="24" fillId="0" borderId="0" applyFont="0" applyFill="0" applyBorder="0" applyAlignment="0" applyProtection="0"/>
    <xf numFmtId="0" fontId="6" fillId="0" borderId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7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15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4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0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5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15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21" borderId="0" applyNumberFormat="0" applyBorder="0" applyAlignment="0" applyProtection="0"/>
    <xf numFmtId="38" fontId="32" fillId="0" borderId="0" applyBorder="0" applyAlignment="0"/>
    <xf numFmtId="176" fontId="31" fillId="24" borderId="1">
      <alignment horizontal="center" vertical="center"/>
    </xf>
    <xf numFmtId="177" fontId="6" fillId="0" borderId="2">
      <alignment horizontal="left"/>
    </xf>
    <xf numFmtId="177" fontId="6" fillId="0" borderId="2">
      <alignment horizontal="left"/>
    </xf>
    <xf numFmtId="0" fontId="33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8" borderId="0" applyNumberFormat="0" applyBorder="0" applyAlignment="0" applyProtection="0"/>
    <xf numFmtId="0" fontId="34" fillId="0" borderId="0" applyNumberFormat="0" applyFill="0" applyBorder="0" applyAlignment="0" applyProtection="0"/>
    <xf numFmtId="178" fontId="35" fillId="0" borderId="3" applyNumberFormat="0" applyFill="0" applyAlignment="0" applyProtection="0">
      <alignment horizontal="center"/>
    </xf>
    <xf numFmtId="179" fontId="35" fillId="0" borderId="4" applyFill="0" applyAlignment="0" applyProtection="0">
      <alignment horizontal="center"/>
    </xf>
    <xf numFmtId="38" fontId="6" fillId="0" borderId="0">
      <alignment horizontal="right"/>
    </xf>
    <xf numFmtId="37" fontId="2" fillId="0" borderId="0" applyFill="0">
      <alignment horizontal="right"/>
    </xf>
    <xf numFmtId="37" fontId="2" fillId="0" borderId="0" applyFill="0">
      <alignment horizontal="right"/>
    </xf>
    <xf numFmtId="37" fontId="2" fillId="0" borderId="0">
      <alignment horizontal="right"/>
    </xf>
    <xf numFmtId="37" fontId="2" fillId="0" borderId="0">
      <alignment horizontal="right"/>
    </xf>
    <xf numFmtId="0" fontId="2" fillId="0" borderId="0" applyFill="0">
      <alignment horizontal="center"/>
    </xf>
    <xf numFmtId="0" fontId="2" fillId="0" borderId="0" applyFill="0">
      <alignment horizontal="center"/>
    </xf>
    <xf numFmtId="37" fontId="2" fillId="0" borderId="5" applyFill="0">
      <alignment horizontal="right"/>
    </xf>
    <xf numFmtId="37" fontId="2" fillId="0" borderId="5" applyFill="0">
      <alignment horizontal="right"/>
    </xf>
    <xf numFmtId="37" fontId="2" fillId="0" borderId="0">
      <alignment horizontal="right"/>
    </xf>
    <xf numFmtId="37" fontId="2" fillId="0" borderId="0">
      <alignment horizontal="right"/>
    </xf>
    <xf numFmtId="0" fontId="36" fillId="0" borderId="0" applyFill="0">
      <alignment vertical="top"/>
    </xf>
    <xf numFmtId="0" fontId="37" fillId="0" borderId="0" applyFill="0">
      <alignment horizontal="left" vertical="top"/>
    </xf>
    <xf numFmtId="37" fontId="2" fillId="0" borderId="6" applyFill="0">
      <alignment horizontal="right"/>
    </xf>
    <xf numFmtId="37" fontId="2" fillId="0" borderId="6" applyFill="0">
      <alignment horizontal="right"/>
    </xf>
    <xf numFmtId="0" fontId="6" fillId="0" borderId="0" applyNumberFormat="0" applyFont="0" applyAlignment="0"/>
    <xf numFmtId="0" fontId="36" fillId="0" borderId="0" applyFill="0">
      <alignment wrapText="1"/>
    </xf>
    <xf numFmtId="0" fontId="37" fillId="0" borderId="0" applyFill="0">
      <alignment horizontal="left" vertical="top" wrapText="1"/>
    </xf>
    <xf numFmtId="37" fontId="2" fillId="0" borderId="0" applyFill="0">
      <alignment horizontal="right"/>
    </xf>
    <xf numFmtId="37" fontId="2" fillId="0" borderId="0" applyFill="0">
      <alignment horizontal="right"/>
    </xf>
    <xf numFmtId="0" fontId="38" fillId="0" borderId="0" applyNumberFormat="0" applyFont="0" applyAlignment="0">
      <alignment horizontal="center"/>
    </xf>
    <xf numFmtId="0" fontId="39" fillId="0" borderId="0" applyFill="0">
      <alignment vertical="top" wrapText="1"/>
    </xf>
    <xf numFmtId="0" fontId="9" fillId="0" borderId="0" applyFill="0">
      <alignment horizontal="left" vertical="top" wrapText="1"/>
    </xf>
    <xf numFmtId="37" fontId="2" fillId="0" borderId="0" applyFill="0">
      <alignment horizontal="right"/>
    </xf>
    <xf numFmtId="37" fontId="2" fillId="0" borderId="0" applyFill="0">
      <alignment horizontal="right"/>
    </xf>
    <xf numFmtId="0" fontId="38" fillId="0" borderId="0" applyNumberFormat="0" applyFont="0" applyAlignment="0">
      <alignment horizontal="center"/>
    </xf>
    <xf numFmtId="0" fontId="40" fillId="0" borderId="0" applyFill="0">
      <alignment vertical="center" wrapText="1"/>
    </xf>
    <xf numFmtId="0" fontId="8" fillId="0" borderId="0">
      <alignment horizontal="left" vertical="center" wrapText="1"/>
    </xf>
    <xf numFmtId="37" fontId="2" fillId="0" borderId="0" applyFill="0">
      <alignment horizontal="right"/>
    </xf>
    <xf numFmtId="37" fontId="2" fillId="0" borderId="0" applyFill="0">
      <alignment horizontal="right"/>
    </xf>
    <xf numFmtId="0" fontId="38" fillId="0" borderId="0" applyNumberFormat="0" applyFont="0" applyAlignment="0">
      <alignment horizontal="center"/>
    </xf>
    <xf numFmtId="0" fontId="41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0" fontId="6" fillId="0" borderId="0" applyFill="0">
      <alignment horizontal="center" vertical="center" wrapText="1"/>
    </xf>
    <xf numFmtId="37" fontId="42" fillId="0" borderId="0" applyFill="0">
      <alignment horizontal="right"/>
    </xf>
    <xf numFmtId="0" fontId="38" fillId="0" borderId="0" applyNumberFormat="0" applyFont="0" applyAlignment="0">
      <alignment horizontal="center"/>
    </xf>
    <xf numFmtId="0" fontId="43" fillId="0" borderId="0" applyFill="0">
      <alignment horizontal="center" vertical="center" wrapText="1"/>
    </xf>
    <xf numFmtId="0" fontId="44" fillId="0" borderId="0" applyFill="0">
      <alignment horizontal="center" vertical="center" wrapText="1"/>
    </xf>
    <xf numFmtId="37" fontId="42" fillId="0" borderId="0" applyFill="0">
      <alignment horizontal="right"/>
    </xf>
    <xf numFmtId="0" fontId="38" fillId="0" borderId="0" applyNumberFormat="0" applyFont="0" applyAlignment="0">
      <alignment horizontal="center"/>
    </xf>
    <xf numFmtId="0" fontId="45" fillId="0" borderId="0">
      <alignment horizontal="center" wrapText="1"/>
    </xf>
    <xf numFmtId="0" fontId="46" fillId="0" borderId="0" applyFill="0">
      <alignment horizontal="center" wrapText="1"/>
    </xf>
    <xf numFmtId="0" fontId="13" fillId="25" borderId="7" applyNumberFormat="0" applyAlignment="0" applyProtection="0"/>
    <xf numFmtId="0" fontId="13" fillId="25" borderId="7" applyNumberFormat="0" applyAlignment="0" applyProtection="0"/>
    <xf numFmtId="0" fontId="71" fillId="26" borderId="7" applyNumberFormat="0" applyAlignment="0" applyProtection="0"/>
    <xf numFmtId="0" fontId="14" fillId="27" borderId="8" applyNumberFormat="0" applyAlignment="0" applyProtection="0"/>
    <xf numFmtId="0" fontId="14" fillId="27" borderId="8" applyNumberFormat="0" applyAlignment="0" applyProtection="0"/>
    <xf numFmtId="43" fontId="1" fillId="0" borderId="0" applyFont="0" applyFill="0" applyBorder="0" applyAlignment="0" applyProtection="0"/>
    <xf numFmtId="180" fontId="2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0" fontId="49" fillId="0" borderId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78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9" fillId="0" borderId="0" applyFont="0" applyFill="0" applyBorder="0" applyAlignment="0" applyProtection="0"/>
    <xf numFmtId="44" fontId="79" fillId="0" borderId="0" applyFont="0" applyFill="0" applyBorder="0" applyAlignment="0" applyProtection="0"/>
    <xf numFmtId="181" fontId="6" fillId="0" borderId="2">
      <alignment horizontal="center"/>
    </xf>
    <xf numFmtId="182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83" fontId="6" fillId="0" borderId="0">
      <protection locked="0"/>
    </xf>
    <xf numFmtId="0" fontId="50" fillId="0" borderId="0"/>
    <xf numFmtId="0" fontId="51" fillId="0" borderId="0"/>
    <xf numFmtId="0" fontId="52" fillId="0" borderId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10" borderId="0" applyNumberFormat="0" applyBorder="0" applyAlignment="0" applyProtection="0"/>
    <xf numFmtId="38" fontId="2" fillId="28" borderId="0" applyNumberFormat="0" applyBorder="0" applyAlignment="0" applyProtection="0"/>
    <xf numFmtId="38" fontId="2" fillId="28" borderId="0" applyNumberFormat="0" applyBorder="0" applyAlignment="0" applyProtection="0"/>
    <xf numFmtId="0" fontId="53" fillId="0" borderId="0" applyNumberFormat="0" applyFill="0" applyBorder="0" applyAlignment="0" applyProtection="0"/>
    <xf numFmtId="0" fontId="9" fillId="0" borderId="9" applyNumberFormat="0" applyAlignment="0" applyProtection="0">
      <alignment horizontal="left" vertical="center"/>
    </xf>
    <xf numFmtId="0" fontId="9" fillId="0" borderId="10">
      <alignment horizontal="left" vertical="center"/>
    </xf>
    <xf numFmtId="0" fontId="54" fillId="0" borderId="0">
      <alignment horizontal="center"/>
    </xf>
    <xf numFmtId="0" fontId="17" fillId="0" borderId="11" applyNumberFormat="0" applyFill="0" applyAlignment="0" applyProtection="0"/>
    <xf numFmtId="0" fontId="17" fillId="0" borderId="11" applyNumberFormat="0" applyFill="0" applyAlignment="0" applyProtection="0"/>
    <xf numFmtId="0" fontId="73" fillId="0" borderId="12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74" fillId="0" borderId="14" applyNumberFormat="0" applyFill="0" applyAlignment="0" applyProtection="0"/>
    <xf numFmtId="0" fontId="19" fillId="0" borderId="15" applyNumberFormat="0" applyFill="0" applyAlignment="0" applyProtection="0"/>
    <xf numFmtId="0" fontId="19" fillId="0" borderId="15" applyNumberFormat="0" applyFill="0" applyAlignment="0" applyProtection="0"/>
    <xf numFmtId="0" fontId="75" fillId="0" borderId="16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184" fontId="6" fillId="0" borderId="0">
      <protection locked="0"/>
    </xf>
    <xf numFmtId="184" fontId="6" fillId="0" borderId="0">
      <protection locked="0"/>
    </xf>
    <xf numFmtId="0" fontId="29" fillId="0" borderId="17" applyNumberFormat="0" applyFill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0" fillId="9" borderId="7" applyNumberFormat="0" applyAlignment="0" applyProtection="0"/>
    <xf numFmtId="10" fontId="2" fillId="29" borderId="2" applyNumberFormat="0" applyBorder="0" applyAlignment="0" applyProtection="0"/>
    <xf numFmtId="10" fontId="2" fillId="29" borderId="2" applyNumberFormat="0" applyBorder="0" applyAlignment="0" applyProtection="0"/>
    <xf numFmtId="0" fontId="20" fillId="9" borderId="7" applyNumberFormat="0" applyAlignment="0" applyProtection="0"/>
    <xf numFmtId="0" fontId="20" fillId="9" borderId="7" applyNumberFormat="0" applyAlignment="0" applyProtection="0"/>
    <xf numFmtId="0" fontId="20" fillId="9" borderId="7" applyNumberFormat="0" applyAlignment="0" applyProtection="0"/>
    <xf numFmtId="0" fontId="20" fillId="9" borderId="7" applyNumberFormat="0" applyAlignment="0" applyProtection="0"/>
    <xf numFmtId="0" fontId="20" fillId="12" borderId="7" applyNumberFormat="0" applyAlignment="0" applyProtection="0"/>
    <xf numFmtId="0" fontId="20" fillId="9" borderId="7" applyNumberFormat="0" applyAlignment="0" applyProtection="0"/>
    <xf numFmtId="0" fontId="20" fillId="9" borderId="7" applyNumberFormat="0" applyAlignment="0" applyProtection="0"/>
    <xf numFmtId="0" fontId="20" fillId="9" borderId="7" applyNumberFormat="0" applyAlignment="0" applyProtection="0"/>
    <xf numFmtId="0" fontId="20" fillId="9" borderId="7" applyNumberFormat="0" applyAlignment="0" applyProtection="0"/>
    <xf numFmtId="0" fontId="20" fillId="9" borderId="7" applyNumberFormat="0" applyAlignment="0" applyProtection="0"/>
    <xf numFmtId="0" fontId="20" fillId="9" borderId="7" applyNumberFormat="0" applyAlignment="0" applyProtection="0"/>
    <xf numFmtId="0" fontId="20" fillId="9" borderId="7" applyNumberFormat="0" applyAlignment="0" applyProtection="0"/>
    <xf numFmtId="0" fontId="20" fillId="9" borderId="7" applyNumberFormat="0" applyAlignment="0" applyProtection="0"/>
    <xf numFmtId="0" fontId="2" fillId="28" borderId="0"/>
    <xf numFmtId="0" fontId="2" fillId="28" borderId="0"/>
    <xf numFmtId="0" fontId="21" fillId="0" borderId="18" applyNumberFormat="0" applyFill="0" applyAlignment="0" applyProtection="0"/>
    <xf numFmtId="0" fontId="21" fillId="0" borderId="18" applyNumberFormat="0" applyFill="0" applyAlignment="0" applyProtection="0"/>
    <xf numFmtId="0" fontId="28" fillId="0" borderId="19" applyNumberFormat="0" applyFill="0" applyAlignment="0" applyProtection="0"/>
    <xf numFmtId="185" fontId="6" fillId="0" borderId="2">
      <alignment horizontal="center"/>
    </xf>
    <xf numFmtId="185" fontId="6" fillId="0" borderId="2">
      <alignment horizontal="center"/>
    </xf>
    <xf numFmtId="186" fontId="55" fillId="0" borderId="0"/>
    <xf numFmtId="17" fontId="56" fillId="0" borderId="0">
      <alignment horizontal="center"/>
    </xf>
    <xf numFmtId="187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76" fillId="12" borderId="0" applyNumberFormat="0" applyBorder="0" applyAlignment="0" applyProtection="0"/>
    <xf numFmtId="43" fontId="57" fillId="0" borderId="0" applyNumberFormat="0" applyFill="0" applyBorder="0" applyAlignment="0" applyProtection="0"/>
    <xf numFmtId="0" fontId="35" fillId="0" borderId="0" applyNumberFormat="0" applyFill="0" applyAlignment="0" applyProtection="0"/>
    <xf numFmtId="37" fontId="58" fillId="0" borderId="0"/>
    <xf numFmtId="189" fontId="59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30" fillId="0" borderId="0"/>
    <xf numFmtId="0" fontId="72" fillId="0" borderId="0"/>
    <xf numFmtId="0" fontId="72" fillId="0" borderId="0"/>
    <xf numFmtId="0" fontId="70" fillId="0" borderId="0"/>
    <xf numFmtId="0" fontId="30" fillId="0" borderId="0"/>
    <xf numFmtId="165" fontId="5" fillId="0" borderId="0" applyProtection="0"/>
    <xf numFmtId="0" fontId="6" fillId="0" borderId="0"/>
    <xf numFmtId="165" fontId="5" fillId="0" borderId="0" applyProtection="0"/>
    <xf numFmtId="0" fontId="6" fillId="0" borderId="0"/>
    <xf numFmtId="165" fontId="5" fillId="0" borderId="0" applyProtection="0"/>
    <xf numFmtId="0" fontId="48" fillId="0" borderId="0"/>
    <xf numFmtId="0" fontId="81" fillId="0" borderId="0"/>
    <xf numFmtId="0" fontId="72" fillId="0" borderId="0"/>
    <xf numFmtId="0" fontId="48" fillId="0" borderId="0"/>
    <xf numFmtId="0" fontId="30" fillId="0" borderId="0"/>
    <xf numFmtId="165" fontId="5" fillId="0" borderId="0" applyProtection="0"/>
    <xf numFmtId="0" fontId="30" fillId="0" borderId="0"/>
    <xf numFmtId="165" fontId="5" fillId="0" borderId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6" fillId="0" borderId="2">
      <alignment horizontal="center" wrapText="1"/>
    </xf>
    <xf numFmtId="0" fontId="6" fillId="0" borderId="2">
      <alignment horizontal="center" wrapText="1"/>
    </xf>
    <xf numFmtId="2" fontId="6" fillId="0" borderId="2">
      <alignment horizontal="center"/>
    </xf>
    <xf numFmtId="2" fontId="6" fillId="0" borderId="2">
      <alignment horizontal="center"/>
    </xf>
    <xf numFmtId="190" fontId="3" fillId="0" borderId="2" applyFont="0">
      <alignment horizontal="center"/>
    </xf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165" fontId="5" fillId="0" borderId="0" applyProtection="0"/>
    <xf numFmtId="165" fontId="5" fillId="0" borderId="0" applyProtection="0"/>
    <xf numFmtId="0" fontId="1" fillId="0" borderId="0"/>
    <xf numFmtId="0" fontId="78" fillId="0" borderId="0"/>
    <xf numFmtId="0" fontId="7" fillId="7" borderId="20" applyNumberFormat="0" applyFont="0" applyAlignment="0" applyProtection="0"/>
    <xf numFmtId="0" fontId="6" fillId="7" borderId="20" applyNumberFormat="0" applyFont="0" applyAlignment="0" applyProtection="0"/>
    <xf numFmtId="0" fontId="10" fillId="7" borderId="20" applyNumberFormat="0" applyFont="0" applyAlignment="0" applyProtection="0"/>
    <xf numFmtId="0" fontId="72" fillId="7" borderId="20" applyNumberFormat="0" applyFont="0" applyAlignment="0" applyProtection="0"/>
    <xf numFmtId="1" fontId="6" fillId="0" borderId="2">
      <alignment horizontal="center"/>
    </xf>
    <xf numFmtId="0" fontId="23" fillId="25" borderId="21" applyNumberFormat="0" applyAlignment="0" applyProtection="0"/>
    <xf numFmtId="0" fontId="23" fillId="25" borderId="21" applyNumberFormat="0" applyAlignment="0" applyProtection="0"/>
    <xf numFmtId="0" fontId="23" fillId="26" borderId="21" applyNumberFormat="0" applyAlignment="0" applyProtection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24" fillId="0" borderId="0" applyNumberFormat="0" applyFont="0" applyFill="0" applyBorder="0" applyAlignment="0" applyProtection="0">
      <alignment horizontal="left"/>
    </xf>
    <xf numFmtId="15" fontId="24" fillId="0" borderId="0" applyFont="0" applyFill="0" applyBorder="0" applyAlignment="0" applyProtection="0"/>
    <xf numFmtId="4" fontId="24" fillId="0" borderId="0" applyFont="0" applyFill="0" applyBorder="0" applyAlignment="0" applyProtection="0"/>
    <xf numFmtId="0" fontId="25" fillId="0" borderId="3">
      <alignment horizontal="center"/>
    </xf>
    <xf numFmtId="3" fontId="24" fillId="0" borderId="0" applyFont="0" applyFill="0" applyBorder="0" applyAlignment="0" applyProtection="0"/>
    <xf numFmtId="0" fontId="24" fillId="30" borderId="0" applyNumberFormat="0" applyFont="0" applyBorder="0" applyAlignment="0" applyProtection="0"/>
    <xf numFmtId="37" fontId="2" fillId="28" borderId="0" applyFill="0">
      <alignment horizontal="right"/>
    </xf>
    <xf numFmtId="37" fontId="2" fillId="28" borderId="0" applyFill="0">
      <alignment horizontal="right"/>
    </xf>
    <xf numFmtId="0" fontId="42" fillId="0" borderId="0">
      <alignment horizontal="left"/>
    </xf>
    <xf numFmtId="0" fontId="2" fillId="0" borderId="0" applyFill="0">
      <alignment horizontal="left"/>
    </xf>
    <xf numFmtId="0" fontId="2" fillId="0" borderId="0" applyFill="0">
      <alignment horizontal="left"/>
    </xf>
    <xf numFmtId="37" fontId="2" fillId="0" borderId="4" applyFill="0">
      <alignment horizontal="right"/>
    </xf>
    <xf numFmtId="37" fontId="2" fillId="0" borderId="4" applyFill="0">
      <alignment horizontal="right"/>
    </xf>
    <xf numFmtId="0" fontId="3" fillId="0" borderId="2" applyNumberFormat="0" applyFont="0" applyBorder="0">
      <alignment horizontal="right"/>
    </xf>
    <xf numFmtId="0" fontId="60" fillId="0" borderId="0" applyFill="0"/>
    <xf numFmtId="0" fontId="2" fillId="0" borderId="0" applyFill="0">
      <alignment horizontal="left"/>
    </xf>
    <xf numFmtId="0" fontId="2" fillId="0" borderId="0" applyFill="0">
      <alignment horizontal="left"/>
    </xf>
    <xf numFmtId="191" fontId="2" fillId="0" borderId="4" applyFill="0">
      <alignment horizontal="right"/>
    </xf>
    <xf numFmtId="191" fontId="2" fillId="0" borderId="4" applyFill="0">
      <alignment horizontal="right"/>
    </xf>
    <xf numFmtId="0" fontId="6" fillId="0" borderId="0" applyNumberFormat="0" applyFont="0" applyBorder="0" applyAlignment="0"/>
    <xf numFmtId="0" fontId="39" fillId="0" borderId="0" applyFill="0">
      <alignment horizontal="left" indent="1"/>
    </xf>
    <xf numFmtId="0" fontId="42" fillId="0" borderId="0" applyFill="0">
      <alignment horizontal="left"/>
    </xf>
    <xf numFmtId="37" fontId="2" fillId="0" borderId="0" applyFill="0">
      <alignment horizontal="right"/>
    </xf>
    <xf numFmtId="37" fontId="2" fillId="0" borderId="0" applyFill="0">
      <alignment horizontal="right"/>
    </xf>
    <xf numFmtId="0" fontId="6" fillId="0" borderId="0" applyNumberFormat="0" applyFont="0" applyFill="0" applyBorder="0" applyAlignment="0"/>
    <xf numFmtId="0" fontId="39" fillId="0" borderId="0" applyFill="0">
      <alignment horizontal="left" indent="2"/>
    </xf>
    <xf numFmtId="0" fontId="2" fillId="0" borderId="0" applyFill="0">
      <alignment horizontal="left"/>
    </xf>
    <xf numFmtId="0" fontId="2" fillId="0" borderId="0" applyFill="0">
      <alignment horizontal="left"/>
    </xf>
    <xf numFmtId="37" fontId="2" fillId="0" borderId="0" applyFill="0">
      <alignment horizontal="right"/>
    </xf>
    <xf numFmtId="37" fontId="2" fillId="0" borderId="0" applyFill="0">
      <alignment horizontal="right"/>
    </xf>
    <xf numFmtId="0" fontId="6" fillId="0" borderId="0" applyNumberFormat="0" applyFont="0" applyBorder="0" applyAlignment="0"/>
    <xf numFmtId="0" fontId="61" fillId="0" borderId="0">
      <alignment horizontal="left" indent="3"/>
    </xf>
    <xf numFmtId="0" fontId="2" fillId="0" borderId="0" applyFill="0">
      <alignment horizontal="left"/>
    </xf>
    <xf numFmtId="0" fontId="2" fillId="0" borderId="0" applyFill="0">
      <alignment horizontal="left"/>
    </xf>
    <xf numFmtId="37" fontId="2" fillId="0" borderId="0" applyFill="0">
      <alignment horizontal="right"/>
    </xf>
    <xf numFmtId="37" fontId="2" fillId="0" borderId="0" applyFill="0">
      <alignment horizontal="right"/>
    </xf>
    <xf numFmtId="0" fontId="6" fillId="0" borderId="0" applyNumberFormat="0" applyFont="0" applyBorder="0" applyAlignment="0"/>
    <xf numFmtId="0" fontId="41" fillId="0" borderId="0">
      <alignment horizontal="left" indent="4"/>
    </xf>
    <xf numFmtId="0" fontId="2" fillId="0" borderId="0" applyFill="0">
      <alignment horizontal="left"/>
    </xf>
    <xf numFmtId="0" fontId="2" fillId="0" borderId="0" applyFill="0">
      <alignment horizontal="left"/>
    </xf>
    <xf numFmtId="37" fontId="42" fillId="0" borderId="0" applyFill="0">
      <alignment horizontal="right"/>
    </xf>
    <xf numFmtId="0" fontId="6" fillId="0" borderId="0" applyNumberFormat="0" applyFont="0" applyBorder="0" applyAlignment="0"/>
    <xf numFmtId="0" fontId="43" fillId="0" borderId="0">
      <alignment horizontal="left" indent="5"/>
    </xf>
    <xf numFmtId="0" fontId="42" fillId="0" borderId="0" applyFill="0">
      <alignment horizontal="left"/>
    </xf>
    <xf numFmtId="37" fontId="42" fillId="0" borderId="0" applyFill="0">
      <alignment horizontal="right"/>
    </xf>
    <xf numFmtId="0" fontId="6" fillId="0" borderId="0" applyNumberFormat="0" applyFont="0" applyFill="0" applyBorder="0" applyAlignment="0"/>
    <xf numFmtId="0" fontId="45" fillId="0" borderId="0" applyFill="0">
      <alignment horizontal="left" indent="6"/>
    </xf>
    <xf numFmtId="0" fontId="42" fillId="0" borderId="0" applyFill="0">
      <alignment horizontal="left"/>
    </xf>
    <xf numFmtId="38" fontId="30" fillId="31" borderId="4">
      <alignment horizontal="right"/>
    </xf>
    <xf numFmtId="38" fontId="6" fillId="32" borderId="0" applyNumberFormat="0" applyFont="0" applyBorder="0" applyAlignment="0" applyProtection="0"/>
    <xf numFmtId="0" fontId="62" fillId="0" borderId="0" applyNumberFormat="0" applyAlignment="0">
      <alignment horizontal="centerContinuous"/>
    </xf>
    <xf numFmtId="0" fontId="35" fillId="0" borderId="4" applyNumberFormat="0" applyFill="0" applyAlignment="0" applyProtection="0"/>
    <xf numFmtId="37" fontId="63" fillId="0" borderId="0" applyNumberFormat="0">
      <alignment horizontal="left"/>
    </xf>
    <xf numFmtId="192" fontId="6" fillId="0" borderId="2">
      <alignment horizontal="center" wrapText="1"/>
    </xf>
    <xf numFmtId="192" fontId="6" fillId="0" borderId="2">
      <alignment horizontal="center" wrapText="1"/>
    </xf>
    <xf numFmtId="38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0" fontId="6" fillId="0" borderId="0" applyNumberFormat="0" applyFill="0" applyBorder="0" applyProtection="0">
      <alignment horizontal="right" wrapText="1"/>
    </xf>
    <xf numFmtId="175" fontId="6" fillId="0" borderId="0" applyFill="0" applyBorder="0" applyAlignment="0" applyProtection="0">
      <alignment wrapText="1"/>
    </xf>
    <xf numFmtId="37" fontId="64" fillId="0" borderId="0" applyNumberFormat="0">
      <alignment horizontal="left"/>
    </xf>
    <xf numFmtId="37" fontId="65" fillId="0" borderId="0" applyNumberFormat="0">
      <alignment horizontal="left"/>
    </xf>
    <xf numFmtId="37" fontId="66" fillId="0" borderId="0" applyNumberFormat="0">
      <alignment horizontal="left"/>
    </xf>
    <xf numFmtId="186" fontId="67" fillId="0" borderId="0"/>
    <xf numFmtId="40" fontId="68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27" fillId="0" borderId="22" applyNumberFormat="0" applyFill="0" applyAlignment="0" applyProtection="0"/>
    <xf numFmtId="0" fontId="27" fillId="0" borderId="22" applyNumberFormat="0" applyFill="0" applyAlignment="0" applyProtection="0"/>
    <xf numFmtId="0" fontId="27" fillId="0" borderId="23" applyNumberFormat="0" applyFill="0" applyAlignment="0" applyProtection="0"/>
    <xf numFmtId="37" fontId="2" fillId="31" borderId="0" applyNumberFormat="0" applyBorder="0" applyAlignment="0" applyProtection="0"/>
    <xf numFmtId="37" fontId="2" fillId="0" borderId="0"/>
    <xf numFmtId="3" fontId="69" fillId="0" borderId="17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02">
    <xf numFmtId="0" fontId="0" fillId="0" borderId="0" xfId="0"/>
    <xf numFmtId="166" fontId="3" fillId="0" borderId="0" xfId="270" applyNumberFormat="1" applyFont="1" applyAlignment="1">
      <alignment horizontal="right"/>
    </xf>
    <xf numFmtId="0" fontId="6" fillId="0" borderId="0" xfId="0" applyFont="1"/>
    <xf numFmtId="164" fontId="0" fillId="0" borderId="0" xfId="139" applyNumberFormat="1" applyFont="1"/>
    <xf numFmtId="0" fontId="6" fillId="33" borderId="2" xfId="0" applyFont="1" applyFill="1" applyBorder="1"/>
    <xf numFmtId="0" fontId="0" fillId="33" borderId="2" xfId="0" applyFill="1" applyBorder="1"/>
    <xf numFmtId="0" fontId="6" fillId="33" borderId="2" xfId="0" applyFont="1" applyFill="1" applyBorder="1" applyAlignment="1">
      <alignment horizontal="center"/>
    </xf>
    <xf numFmtId="0" fontId="6" fillId="0" borderId="2" xfId="0" applyFont="1" applyBorder="1"/>
    <xf numFmtId="0" fontId="6" fillId="33" borderId="2" xfId="0" applyFont="1" applyFill="1" applyBorder="1" applyAlignment="1">
      <alignment horizontal="center" wrapText="1"/>
    </xf>
    <xf numFmtId="0" fontId="6" fillId="0" borderId="4" xfId="0" applyFont="1" applyBorder="1"/>
    <xf numFmtId="0" fontId="3" fillId="0" borderId="0" xfId="0" applyFont="1"/>
    <xf numFmtId="0" fontId="6" fillId="34" borderId="2" xfId="0" applyFont="1" applyFill="1" applyBorder="1"/>
    <xf numFmtId="172" fontId="82" fillId="0" borderId="0" xfId="158" applyNumberFormat="1" applyFont="1" applyFill="1"/>
    <xf numFmtId="172" fontId="0" fillId="0" borderId="0" xfId="0" applyNumberFormat="1"/>
    <xf numFmtId="172" fontId="0" fillId="0" borderId="0" xfId="158" applyNumberFormat="1" applyFont="1" applyFill="1"/>
    <xf numFmtId="4" fontId="0" fillId="0" borderId="0" xfId="0" applyNumberFormat="1"/>
    <xf numFmtId="174" fontId="0" fillId="0" borderId="0" xfId="158" applyNumberFormat="1" applyFont="1" applyFill="1"/>
    <xf numFmtId="170" fontId="0" fillId="0" borderId="0" xfId="0" applyNumberFormat="1"/>
    <xf numFmtId="170" fontId="0" fillId="0" borderId="2" xfId="0" applyNumberFormat="1" applyBorder="1"/>
    <xf numFmtId="167" fontId="0" fillId="0" borderId="2" xfId="0" applyNumberFormat="1" applyBorder="1"/>
    <xf numFmtId="166" fontId="3" fillId="0" borderId="0" xfId="271" applyNumberFormat="1" applyFont="1" applyAlignment="1">
      <alignment horizontal="right"/>
    </xf>
    <xf numFmtId="0" fontId="3" fillId="0" borderId="0" xfId="0" quotePrefix="1" applyFont="1" applyAlignment="1">
      <alignment horizontal="right"/>
    </xf>
    <xf numFmtId="172" fontId="83" fillId="0" borderId="4" xfId="159" applyNumberFormat="1" applyFont="1" applyFill="1" applyBorder="1"/>
    <xf numFmtId="8" fontId="80" fillId="0" borderId="0" xfId="0" applyNumberFormat="1" applyFont="1" applyAlignment="1">
      <alignment vertical="center"/>
    </xf>
    <xf numFmtId="3" fontId="0" fillId="0" borderId="0" xfId="0" applyNumberFormat="1"/>
    <xf numFmtId="3" fontId="82" fillId="0" borderId="0" xfId="0" applyNumberFormat="1" applyFont="1"/>
    <xf numFmtId="4" fontId="82" fillId="0" borderId="0" xfId="0" applyNumberFormat="1" applyFont="1"/>
    <xf numFmtId="3" fontId="83" fillId="0" borderId="4" xfId="0" applyNumberFormat="1" applyFont="1" applyBorder="1"/>
    <xf numFmtId="4" fontId="83" fillId="0" borderId="0" xfId="0" applyNumberFormat="1" applyFont="1"/>
    <xf numFmtId="164" fontId="6" fillId="0" borderId="0" xfId="149" applyNumberFormat="1" applyFont="1" applyFill="1"/>
    <xf numFmtId="4" fontId="6" fillId="0" borderId="0" xfId="0" applyNumberFormat="1" applyFont="1"/>
    <xf numFmtId="0" fontId="0" fillId="0" borderId="0" xfId="0" applyAlignment="1">
      <alignment horizontal="center"/>
    </xf>
    <xf numFmtId="0" fontId="84" fillId="0" borderId="0" xfId="263" applyFont="1"/>
    <xf numFmtId="0" fontId="30" fillId="0" borderId="0" xfId="263" applyFont="1"/>
    <xf numFmtId="0" fontId="30" fillId="0" borderId="0" xfId="0" applyFont="1"/>
    <xf numFmtId="0" fontId="84" fillId="0" borderId="0" xfId="263" applyFont="1" applyAlignment="1">
      <alignment horizontal="right"/>
    </xf>
    <xf numFmtId="0" fontId="84" fillId="0" borderId="0" xfId="266" applyFont="1" applyAlignment="1">
      <alignment horizontal="right"/>
    </xf>
    <xf numFmtId="0" fontId="30" fillId="0" borderId="0" xfId="266" applyFont="1" applyAlignment="1">
      <alignment horizontal="center"/>
    </xf>
    <xf numFmtId="0" fontId="30" fillId="0" borderId="0" xfId="266" applyFont="1"/>
    <xf numFmtId="0" fontId="84" fillId="0" borderId="0" xfId="266" applyFont="1" applyAlignment="1">
      <alignment horizontal="center"/>
    </xf>
    <xf numFmtId="165" fontId="30" fillId="0" borderId="0" xfId="268" applyFont="1" applyAlignment="1">
      <alignment horizontal="center"/>
    </xf>
    <xf numFmtId="0" fontId="30" fillId="0" borderId="0" xfId="267" applyFont="1" applyAlignment="1">
      <alignment horizontal="center"/>
    </xf>
    <xf numFmtId="0" fontId="30" fillId="0" borderId="0" xfId="267" applyFont="1"/>
    <xf numFmtId="0" fontId="30" fillId="0" borderId="0" xfId="265" applyFont="1"/>
    <xf numFmtId="165" fontId="86" fillId="0" borderId="0" xfId="268" applyFont="1"/>
    <xf numFmtId="165" fontId="30" fillId="0" borderId="4" xfId="268" applyFont="1" applyBorder="1" applyAlignment="1">
      <alignment horizontal="center"/>
    </xf>
    <xf numFmtId="0" fontId="30" fillId="0" borderId="0" xfId="268" applyNumberFormat="1" applyFont="1" applyAlignment="1">
      <alignment horizontal="center"/>
    </xf>
    <xf numFmtId="0" fontId="30" fillId="0" borderId="24" xfId="265" applyFont="1" applyBorder="1" applyAlignment="1">
      <alignment horizontal="center"/>
    </xf>
    <xf numFmtId="0" fontId="30" fillId="0" borderId="25" xfId="265" applyFont="1" applyBorder="1" applyAlignment="1">
      <alignment horizontal="center"/>
    </xf>
    <xf numFmtId="0" fontId="30" fillId="0" borderId="26" xfId="265" applyFont="1" applyBorder="1" applyAlignment="1">
      <alignment horizontal="center"/>
    </xf>
    <xf numFmtId="0" fontId="30" fillId="0" borderId="27" xfId="265" applyFont="1" applyBorder="1" applyAlignment="1">
      <alignment horizontal="center"/>
    </xf>
    <xf numFmtId="0" fontId="30" fillId="0" borderId="0" xfId="265" applyFont="1" applyAlignment="1">
      <alignment horizontal="center"/>
    </xf>
    <xf numFmtId="0" fontId="30" fillId="0" borderId="28" xfId="265" applyFont="1" applyBorder="1" applyAlignment="1">
      <alignment horizontal="center"/>
    </xf>
    <xf numFmtId="0" fontId="30" fillId="0" borderId="0" xfId="265" applyFont="1" applyAlignment="1">
      <alignment horizontal="left"/>
    </xf>
    <xf numFmtId="0" fontId="30" fillId="0" borderId="29" xfId="265" applyFont="1" applyBorder="1" applyAlignment="1">
      <alignment horizontal="center"/>
    </xf>
    <xf numFmtId="0" fontId="30" fillId="0" borderId="3" xfId="265" applyFont="1" applyBorder="1" applyAlignment="1">
      <alignment horizontal="center"/>
    </xf>
    <xf numFmtId="0" fontId="30" fillId="0" borderId="30" xfId="265" applyFont="1" applyBorder="1" applyAlignment="1">
      <alignment horizontal="center"/>
    </xf>
    <xf numFmtId="0" fontId="30" fillId="0" borderId="24" xfId="265" quotePrefix="1" applyFont="1" applyBorder="1" applyAlignment="1">
      <alignment horizontal="left"/>
    </xf>
    <xf numFmtId="1" fontId="30" fillId="0" borderId="26" xfId="264" applyNumberFormat="1" applyFont="1" applyBorder="1" applyAlignment="1">
      <alignment horizontal="center"/>
    </xf>
    <xf numFmtId="1" fontId="30" fillId="0" borderId="0" xfId="0" applyNumberFormat="1" applyFont="1"/>
    <xf numFmtId="0" fontId="30" fillId="0" borderId="27" xfId="265" quotePrefix="1" applyFont="1" applyBorder="1" applyAlignment="1">
      <alignment horizontal="left"/>
    </xf>
    <xf numFmtId="1" fontId="30" fillId="0" borderId="28" xfId="264" applyNumberFormat="1" applyFont="1" applyBorder="1" applyAlignment="1">
      <alignment horizontal="center"/>
    </xf>
    <xf numFmtId="1" fontId="30" fillId="0" borderId="30" xfId="264" applyNumberFormat="1" applyFont="1" applyBorder="1" applyAlignment="1">
      <alignment horizontal="center"/>
    </xf>
    <xf numFmtId="0" fontId="30" fillId="0" borderId="29" xfId="265" applyFont="1" applyBorder="1"/>
    <xf numFmtId="1" fontId="30" fillId="0" borderId="28" xfId="265" applyNumberFormat="1" applyFont="1" applyBorder="1"/>
    <xf numFmtId="1" fontId="30" fillId="0" borderId="28" xfId="265" applyNumberFormat="1" applyFont="1" applyBorder="1" applyAlignment="1">
      <alignment horizontal="center"/>
    </xf>
    <xf numFmtId="1" fontId="30" fillId="0" borderId="0" xfId="265" applyNumberFormat="1" applyFont="1" applyAlignment="1">
      <alignment horizontal="center"/>
    </xf>
    <xf numFmtId="1" fontId="30" fillId="0" borderId="30" xfId="265" applyNumberFormat="1" applyFont="1" applyBorder="1" applyAlignment="1">
      <alignment horizontal="center"/>
    </xf>
    <xf numFmtId="1" fontId="30" fillId="0" borderId="32" xfId="265" applyNumberFormat="1" applyFont="1" applyBorder="1" applyAlignment="1">
      <alignment horizontal="center"/>
    </xf>
    <xf numFmtId="0" fontId="30" fillId="0" borderId="31" xfId="265" applyFont="1" applyBorder="1"/>
    <xf numFmtId="0" fontId="30" fillId="0" borderId="27" xfId="265" applyFont="1" applyBorder="1"/>
    <xf numFmtId="0" fontId="30" fillId="0" borderId="0" xfId="264" applyFont="1" applyAlignment="1">
      <alignment horizontal="left"/>
    </xf>
    <xf numFmtId="37" fontId="30" fillId="0" borderId="26" xfId="264" applyNumberFormat="1" applyFont="1" applyBorder="1" applyAlignment="1">
      <alignment horizontal="center"/>
    </xf>
    <xf numFmtId="37" fontId="30" fillId="0" borderId="28" xfId="264" applyNumberFormat="1" applyFont="1" applyBorder="1" applyAlignment="1">
      <alignment horizontal="center"/>
    </xf>
    <xf numFmtId="37" fontId="30" fillId="0" borderId="28" xfId="265" applyNumberFormat="1" applyFont="1" applyBorder="1"/>
    <xf numFmtId="37" fontId="30" fillId="0" borderId="28" xfId="265" applyNumberFormat="1" applyFont="1" applyBorder="1" applyAlignment="1">
      <alignment horizontal="center"/>
    </xf>
    <xf numFmtId="37" fontId="30" fillId="0" borderId="0" xfId="265" applyNumberFormat="1" applyFont="1" applyAlignment="1">
      <alignment horizontal="center"/>
    </xf>
    <xf numFmtId="37" fontId="30" fillId="0" borderId="30" xfId="265" applyNumberFormat="1" applyFont="1" applyBorder="1" applyAlignment="1">
      <alignment horizontal="center"/>
    </xf>
    <xf numFmtId="37" fontId="30" fillId="0" borderId="32" xfId="265" applyNumberFormat="1" applyFont="1" applyBorder="1" applyAlignment="1">
      <alignment horizontal="center"/>
    </xf>
    <xf numFmtId="0" fontId="1" fillId="0" borderId="0" xfId="0" applyFont="1"/>
    <xf numFmtId="170" fontId="3" fillId="33" borderId="2" xfId="0" applyNumberFormat="1" applyFont="1" applyFill="1" applyBorder="1"/>
    <xf numFmtId="167" fontId="3" fillId="33" borderId="2" xfId="0" applyNumberFormat="1" applyFont="1" applyFill="1" applyBorder="1"/>
    <xf numFmtId="0" fontId="3" fillId="33" borderId="2" xfId="0" applyFont="1" applyFill="1" applyBorder="1"/>
    <xf numFmtId="0" fontId="84" fillId="0" borderId="0" xfId="270" applyFont="1" applyAlignment="1">
      <alignment horizontal="left"/>
    </xf>
    <xf numFmtId="0" fontId="30" fillId="0" borderId="0" xfId="270" applyFont="1"/>
    <xf numFmtId="166" fontId="30" fillId="0" borderId="0" xfId="270" applyNumberFormat="1" applyFont="1"/>
    <xf numFmtId="0" fontId="30" fillId="0" borderId="0" xfId="270" applyFont="1" applyAlignment="1">
      <alignment horizontal="left"/>
    </xf>
    <xf numFmtId="0" fontId="30" fillId="0" borderId="0" xfId="0" applyFont="1" applyAlignment="1">
      <alignment horizontal="left"/>
    </xf>
    <xf numFmtId="166" fontId="84" fillId="0" borderId="0" xfId="270" applyNumberFormat="1" applyFont="1" applyAlignment="1">
      <alignment horizontal="right"/>
    </xf>
    <xf numFmtId="165" fontId="30" fillId="0" borderId="0" xfId="269" applyFont="1"/>
    <xf numFmtId="165" fontId="30" fillId="0" borderId="0" xfId="269" applyFont="1" applyAlignment="1">
      <alignment horizontal="left"/>
    </xf>
    <xf numFmtId="165" fontId="30" fillId="0" borderId="0" xfId="269" applyFont="1" applyAlignment="1">
      <alignment horizontal="center"/>
    </xf>
    <xf numFmtId="0" fontId="30" fillId="0" borderId="4" xfId="270" applyFont="1" applyBorder="1" applyAlignment="1">
      <alignment horizontal="center"/>
    </xf>
    <xf numFmtId="0" fontId="30" fillId="0" borderId="0" xfId="270" quotePrefix="1" applyFont="1" applyAlignment="1">
      <alignment horizontal="left"/>
    </xf>
    <xf numFmtId="171" fontId="30" fillId="0" borderId="0" xfId="270" applyNumberFormat="1" applyFont="1" applyAlignment="1">
      <alignment horizontal="center"/>
    </xf>
    <xf numFmtId="0" fontId="30" fillId="0" borderId="0" xfId="270" applyFont="1" applyAlignment="1">
      <alignment horizontal="center"/>
    </xf>
    <xf numFmtId="0" fontId="30" fillId="0" borderId="3" xfId="270" applyFont="1" applyBorder="1"/>
    <xf numFmtId="166" fontId="30" fillId="0" borderId="3" xfId="270" applyNumberFormat="1" applyFont="1" applyBorder="1"/>
    <xf numFmtId="3" fontId="30" fillId="0" borderId="0" xfId="270" applyNumberFormat="1" applyFont="1"/>
    <xf numFmtId="165" fontId="30" fillId="0" borderId="0" xfId="269" applyFont="1" applyAlignment="1">
      <alignment horizontal="right"/>
    </xf>
    <xf numFmtId="169" fontId="30" fillId="0" borderId="0" xfId="270" applyNumberFormat="1" applyFont="1"/>
    <xf numFmtId="168" fontId="30" fillId="0" borderId="0" xfId="270" applyNumberFormat="1" applyFont="1"/>
    <xf numFmtId="169" fontId="30" fillId="0" borderId="0" xfId="269" applyNumberFormat="1" applyFont="1"/>
    <xf numFmtId="168" fontId="30" fillId="0" borderId="0" xfId="269" applyNumberFormat="1" applyFont="1"/>
    <xf numFmtId="10" fontId="30" fillId="0" borderId="0" xfId="280" applyNumberFormat="1" applyFont="1"/>
    <xf numFmtId="165" fontId="30" fillId="0" borderId="0" xfId="270" applyNumberFormat="1" applyFont="1"/>
    <xf numFmtId="0" fontId="1" fillId="0" borderId="0" xfId="0" quotePrefix="1" applyFont="1" applyAlignment="1">
      <alignment horizontal="left" indent="1"/>
    </xf>
    <xf numFmtId="0" fontId="6" fillId="0" borderId="0" xfId="0" quotePrefix="1" applyFont="1" applyAlignment="1">
      <alignment horizontal="left" indent="1"/>
    </xf>
    <xf numFmtId="165" fontId="86" fillId="0" borderId="0" xfId="269" applyFont="1"/>
    <xf numFmtId="165" fontId="86" fillId="0" borderId="0" xfId="269" applyFont="1" applyAlignment="1">
      <alignment horizontal="left"/>
    </xf>
    <xf numFmtId="165" fontId="86" fillId="0" borderId="0" xfId="269" applyFont="1" applyAlignment="1">
      <alignment horizontal="center"/>
    </xf>
    <xf numFmtId="3" fontId="87" fillId="0" borderId="0" xfId="270" applyNumberFormat="1" applyFont="1"/>
    <xf numFmtId="165" fontId="86" fillId="0" borderId="0" xfId="269" applyFont="1" applyAlignment="1">
      <alignment horizontal="right"/>
    </xf>
    <xf numFmtId="169" fontId="86" fillId="0" borderId="0" xfId="269" applyNumberFormat="1" applyFont="1"/>
    <xf numFmtId="168" fontId="86" fillId="0" borderId="0" xfId="269" applyNumberFormat="1" applyFont="1"/>
    <xf numFmtId="44" fontId="30" fillId="0" borderId="0" xfId="154" applyFont="1"/>
    <xf numFmtId="2" fontId="30" fillId="0" borderId="0" xfId="0" applyNumberFormat="1" applyFont="1"/>
    <xf numFmtId="167" fontId="30" fillId="0" borderId="0" xfId="0" applyNumberFormat="1" applyFont="1"/>
    <xf numFmtId="0" fontId="0" fillId="0" borderId="4" xfId="0" applyBorder="1"/>
    <xf numFmtId="0" fontId="6" fillId="0" borderId="0" xfId="0" quotePrefix="1" applyFont="1"/>
    <xf numFmtId="170" fontId="0" fillId="35" borderId="2" xfId="0" applyNumberFormat="1" applyFill="1" applyBorder="1"/>
    <xf numFmtId="167" fontId="0" fillId="35" borderId="2" xfId="0" applyNumberFormat="1" applyFill="1" applyBorder="1"/>
    <xf numFmtId="16" fontId="0" fillId="0" borderId="0" xfId="0" applyNumberFormat="1"/>
    <xf numFmtId="0" fontId="35" fillId="0" borderId="0" xfId="0" applyFont="1"/>
    <xf numFmtId="0" fontId="35" fillId="0" borderId="0" xfId="0" applyFont="1" applyAlignment="1">
      <alignment horizontal="left"/>
    </xf>
    <xf numFmtId="165" fontId="35" fillId="0" borderId="0" xfId="269" applyFont="1"/>
    <xf numFmtId="165" fontId="35" fillId="0" borderId="0" xfId="269" applyFont="1" applyAlignment="1">
      <alignment horizontal="left"/>
    </xf>
    <xf numFmtId="168" fontId="35" fillId="0" borderId="0" xfId="270" applyNumberFormat="1" applyFont="1"/>
    <xf numFmtId="0" fontId="35" fillId="0" borderId="0" xfId="270" applyFont="1" applyAlignment="1">
      <alignment horizontal="left"/>
    </xf>
    <xf numFmtId="0" fontId="35" fillId="0" borderId="0" xfId="270" applyFont="1"/>
    <xf numFmtId="0" fontId="35" fillId="0" borderId="0" xfId="270" applyFont="1" applyAlignment="1">
      <alignment horizontal="center"/>
    </xf>
    <xf numFmtId="169" fontId="35" fillId="0" borderId="0" xfId="270" applyNumberFormat="1" applyFont="1"/>
    <xf numFmtId="165" fontId="35" fillId="0" borderId="0" xfId="270" applyNumberFormat="1" applyFont="1"/>
    <xf numFmtId="169" fontId="35" fillId="0" borderId="0" xfId="269" applyNumberFormat="1" applyFont="1"/>
    <xf numFmtId="10" fontId="35" fillId="0" borderId="0" xfId="280" applyNumberFormat="1" applyFont="1"/>
    <xf numFmtId="168" fontId="35" fillId="0" borderId="0" xfId="269" applyNumberFormat="1" applyFont="1"/>
    <xf numFmtId="3" fontId="89" fillId="0" borderId="0" xfId="270" applyNumberFormat="1" applyFont="1"/>
    <xf numFmtId="3" fontId="35" fillId="0" borderId="0" xfId="270" applyNumberFormat="1" applyFont="1"/>
    <xf numFmtId="166" fontId="35" fillId="0" borderId="0" xfId="270" applyNumberFormat="1" applyFont="1"/>
    <xf numFmtId="166" fontId="35" fillId="0" borderId="3" xfId="270" applyNumberFormat="1" applyFont="1" applyBorder="1"/>
    <xf numFmtId="0" fontId="35" fillId="0" borderId="3" xfId="270" applyFont="1" applyBorder="1"/>
    <xf numFmtId="171" fontId="35" fillId="0" borderId="0" xfId="270" applyNumberFormat="1" applyFont="1" applyAlignment="1">
      <alignment horizontal="center"/>
    </xf>
    <xf numFmtId="0" fontId="35" fillId="0" borderId="0" xfId="270" quotePrefix="1" applyFont="1" applyAlignment="1">
      <alignment horizontal="left"/>
    </xf>
    <xf numFmtId="0" fontId="35" fillId="0" borderId="4" xfId="270" applyFont="1" applyBorder="1" applyAlignment="1">
      <alignment horizontal="center"/>
    </xf>
    <xf numFmtId="165" fontId="35" fillId="0" borderId="0" xfId="269" applyFont="1" applyAlignment="1">
      <alignment horizontal="center"/>
    </xf>
    <xf numFmtId="0" fontId="68" fillId="0" borderId="0" xfId="270" applyFont="1" applyAlignment="1">
      <alignment horizontal="left"/>
    </xf>
    <xf numFmtId="166" fontId="68" fillId="0" borderId="0" xfId="270" applyNumberFormat="1" applyFont="1" applyAlignment="1">
      <alignment horizontal="right"/>
    </xf>
    <xf numFmtId="15" fontId="35" fillId="0" borderId="0" xfId="270" applyNumberFormat="1" applyFont="1" applyAlignment="1">
      <alignment horizontal="left" indent="2"/>
    </xf>
    <xf numFmtId="44" fontId="35" fillId="0" borderId="0" xfId="154" applyFont="1"/>
    <xf numFmtId="167" fontId="35" fillId="0" borderId="0" xfId="0" applyNumberFormat="1" applyFont="1"/>
    <xf numFmtId="2" fontId="35" fillId="0" borderId="0" xfId="0" applyNumberFormat="1" applyFont="1"/>
    <xf numFmtId="15" fontId="35" fillId="0" borderId="0" xfId="270" quotePrefix="1" applyNumberFormat="1" applyFont="1" applyAlignment="1">
      <alignment horizontal="left" indent="2"/>
    </xf>
    <xf numFmtId="1" fontId="0" fillId="0" borderId="0" xfId="0" applyNumberFormat="1"/>
    <xf numFmtId="165" fontId="5" fillId="0" borderId="0" xfId="268"/>
    <xf numFmtId="0" fontId="1" fillId="0" borderId="0" xfId="388"/>
    <xf numFmtId="0" fontId="1" fillId="0" borderId="0" xfId="389"/>
    <xf numFmtId="0" fontId="3" fillId="0" borderId="0" xfId="388" applyFont="1" applyAlignment="1">
      <alignment horizontal="center"/>
    </xf>
    <xf numFmtId="0" fontId="1" fillId="0" borderId="0" xfId="390" applyAlignment="1">
      <alignment horizontal="left"/>
    </xf>
    <xf numFmtId="0" fontId="1" fillId="0" borderId="0" xfId="388" applyAlignment="1">
      <alignment horizontal="center"/>
    </xf>
    <xf numFmtId="0" fontId="3" fillId="0" borderId="0" xfId="388" applyFont="1" applyAlignment="1">
      <alignment horizontal="right"/>
    </xf>
    <xf numFmtId="0" fontId="3" fillId="0" borderId="0" xfId="389" applyFont="1"/>
    <xf numFmtId="43" fontId="0" fillId="0" borderId="0" xfId="139" applyFont="1"/>
    <xf numFmtId="43" fontId="0" fillId="0" borderId="0" xfId="0" applyNumberFormat="1"/>
    <xf numFmtId="0" fontId="6" fillId="33" borderId="2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4" fillId="0" borderId="33" xfId="267" applyFont="1" applyBorder="1" applyAlignment="1">
      <alignment horizontal="center"/>
    </xf>
    <xf numFmtId="0" fontId="84" fillId="0" borderId="10" xfId="267" applyFont="1" applyBorder="1" applyAlignment="1">
      <alignment horizontal="center"/>
    </xf>
    <xf numFmtId="0" fontId="84" fillId="0" borderId="34" xfId="267" applyFont="1" applyBorder="1" applyAlignment="1">
      <alignment horizontal="center"/>
    </xf>
    <xf numFmtId="0" fontId="84" fillId="0" borderId="0" xfId="266" applyFont="1" applyAlignment="1">
      <alignment horizontal="center"/>
    </xf>
    <xf numFmtId="0" fontId="3" fillId="0" borderId="0" xfId="388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173" fontId="1" fillId="0" borderId="0" xfId="286" applyNumberFormat="1" applyFont="1" applyFill="1" applyAlignment="1"/>
    <xf numFmtId="173" fontId="0" fillId="0" borderId="6" xfId="0" applyNumberFormat="1" applyFill="1" applyBorder="1"/>
    <xf numFmtId="1" fontId="30" fillId="0" borderId="24" xfId="263" applyNumberFormat="1" applyFont="1" applyFill="1" applyBorder="1" applyAlignment="1">
      <alignment horizontal="center"/>
    </xf>
    <xf numFmtId="1" fontId="30" fillId="0" borderId="26" xfId="263" applyNumberFormat="1" applyFont="1" applyFill="1" applyBorder="1" applyAlignment="1">
      <alignment horizontal="center"/>
    </xf>
    <xf numFmtId="1" fontId="30" fillId="0" borderId="35" xfId="263" applyNumberFormat="1" applyFont="1" applyFill="1" applyBorder="1" applyAlignment="1">
      <alignment horizontal="center"/>
    </xf>
    <xf numFmtId="1" fontId="30" fillId="0" borderId="25" xfId="263" applyNumberFormat="1" applyFont="1" applyFill="1" applyBorder="1" applyAlignment="1">
      <alignment horizontal="center"/>
    </xf>
    <xf numFmtId="1" fontId="30" fillId="0" borderId="27" xfId="263" applyNumberFormat="1" applyFont="1" applyFill="1" applyBorder="1" applyAlignment="1">
      <alignment horizontal="center"/>
    </xf>
    <xf numFmtId="1" fontId="30" fillId="0" borderId="28" xfId="263" applyNumberFormat="1" applyFont="1" applyFill="1" applyBorder="1" applyAlignment="1">
      <alignment horizontal="center"/>
    </xf>
    <xf numFmtId="1" fontId="30" fillId="0" borderId="36" xfId="263" applyNumberFormat="1" applyFont="1" applyFill="1" applyBorder="1" applyAlignment="1">
      <alignment horizontal="center"/>
    </xf>
    <xf numFmtId="1" fontId="30" fillId="0" borderId="0" xfId="263" applyNumberFormat="1" applyFont="1" applyFill="1" applyAlignment="1">
      <alignment horizontal="center"/>
    </xf>
    <xf numFmtId="1" fontId="30" fillId="0" borderId="29" xfId="263" applyNumberFormat="1" applyFont="1" applyFill="1" applyBorder="1" applyAlignment="1">
      <alignment horizontal="center"/>
    </xf>
    <xf numFmtId="1" fontId="30" fillId="0" borderId="30" xfId="263" applyNumberFormat="1" applyFont="1" applyFill="1" applyBorder="1" applyAlignment="1">
      <alignment horizontal="center"/>
    </xf>
    <xf numFmtId="1" fontId="30" fillId="0" borderId="37" xfId="263" applyNumberFormat="1" applyFont="1" applyFill="1" applyBorder="1" applyAlignment="1">
      <alignment horizontal="center"/>
    </xf>
    <xf numFmtId="1" fontId="30" fillId="0" borderId="24" xfId="264" applyNumberFormat="1" applyFont="1" applyFill="1" applyBorder="1" applyAlignment="1">
      <alignment horizontal="center"/>
    </xf>
    <xf numFmtId="1" fontId="30" fillId="0" borderId="26" xfId="264" applyNumberFormat="1" applyFont="1" applyFill="1" applyBorder="1" applyAlignment="1">
      <alignment horizontal="center"/>
    </xf>
    <xf numFmtId="1" fontId="30" fillId="0" borderId="35" xfId="264" applyNumberFormat="1" applyFont="1" applyFill="1" applyBorder="1" applyAlignment="1">
      <alignment horizontal="center"/>
    </xf>
    <xf numFmtId="1" fontId="30" fillId="0" borderId="25" xfId="264" applyNumberFormat="1" applyFont="1" applyFill="1" applyBorder="1" applyAlignment="1">
      <alignment horizontal="center"/>
    </xf>
    <xf numFmtId="1" fontId="30" fillId="0" borderId="27" xfId="264" applyNumberFormat="1" applyFont="1" applyFill="1" applyBorder="1" applyAlignment="1">
      <alignment horizontal="center"/>
    </xf>
    <xf numFmtId="1" fontId="30" fillId="0" borderId="28" xfId="264" applyNumberFormat="1" applyFont="1" applyFill="1" applyBorder="1" applyAlignment="1">
      <alignment horizontal="center"/>
    </xf>
    <xf numFmtId="1" fontId="30" fillId="0" borderId="36" xfId="264" applyNumberFormat="1" applyFont="1" applyFill="1" applyBorder="1" applyAlignment="1">
      <alignment horizontal="center"/>
    </xf>
    <xf numFmtId="1" fontId="30" fillId="0" borderId="0" xfId="264" applyNumberFormat="1" applyFont="1" applyFill="1" applyAlignment="1">
      <alignment horizontal="center"/>
    </xf>
    <xf numFmtId="1" fontId="30" fillId="0" borderId="29" xfId="264" applyNumberFormat="1" applyFont="1" applyFill="1" applyBorder="1" applyAlignment="1">
      <alignment horizontal="center"/>
    </xf>
    <xf numFmtId="1" fontId="30" fillId="0" borderId="30" xfId="264" applyNumberFormat="1" applyFont="1" applyFill="1" applyBorder="1" applyAlignment="1">
      <alignment horizontal="center"/>
    </xf>
    <xf numFmtId="1" fontId="30" fillId="0" borderId="37" xfId="264" applyNumberFormat="1" applyFont="1" applyFill="1" applyBorder="1" applyAlignment="1">
      <alignment horizontal="center"/>
    </xf>
    <xf numFmtId="1" fontId="30" fillId="0" borderId="28" xfId="265" applyNumberFormat="1" applyFont="1" applyFill="1" applyBorder="1"/>
    <xf numFmtId="1" fontId="30" fillId="0" borderId="28" xfId="265" applyNumberFormat="1" applyFont="1" applyFill="1" applyBorder="1" applyAlignment="1">
      <alignment horizontal="center"/>
    </xf>
    <xf numFmtId="1" fontId="30" fillId="0" borderId="0" xfId="265" applyNumberFormat="1" applyFont="1" applyFill="1" applyAlignment="1">
      <alignment horizontal="center"/>
    </xf>
    <xf numFmtId="1" fontId="30" fillId="0" borderId="30" xfId="265" applyNumberFormat="1" applyFont="1" applyFill="1" applyBorder="1" applyAlignment="1">
      <alignment horizontal="center"/>
    </xf>
  </cellXfs>
  <cellStyles count="391">
    <cellStyle name="%" xfId="1" xr:uid="{00000000-0005-0000-0000-000000000000}"/>
    <cellStyle name="_033103 13 week CF1" xfId="2" xr:uid="{00000000-0005-0000-0000-000001000000}"/>
    <cellStyle name="_181000-189000" xfId="3" xr:uid="{00000000-0005-0000-0000-000002000000}"/>
    <cellStyle name="_2002  What- No Cap X Morgan" xfId="4" xr:uid="{00000000-0005-0000-0000-000003000000}"/>
    <cellStyle name="_Baseline Rollforward Support 050817" xfId="5" xr:uid="{00000000-0005-0000-0000-000004000000}"/>
    <cellStyle name="_EGTG_2003_YTD_Cash_Flow" xfId="6" xr:uid="{00000000-0005-0000-0000-000005000000}"/>
    <cellStyle name="_Everest_Board_Book_2003_FINAL" xfId="7" xr:uid="{00000000-0005-0000-0000-000006000000}"/>
    <cellStyle name="_Oct03_Everest_Board_Financial_Operating_Report" xfId="8" xr:uid="{00000000-0005-0000-0000-000007000000}"/>
    <cellStyle name="_SpreadSM" xfId="9" xr:uid="{00000000-0005-0000-0000-000008000000}"/>
    <cellStyle name="_Vacation Hours 7-14-08 (2)" xfId="10" xr:uid="{00000000-0005-0000-0000-000009000000}"/>
    <cellStyle name="=C:\WINNT35\SYSTEM32\COMMAND.COM" xfId="11" xr:uid="{00000000-0005-0000-0000-00000A000000}"/>
    <cellStyle name="20% - Accent1" xfId="12" builtinId="30" customBuiltin="1"/>
    <cellStyle name="20% - Accent1 2" xfId="13" xr:uid="{00000000-0005-0000-0000-00000C000000}"/>
    <cellStyle name="20% - Accent1 3" xfId="14" xr:uid="{00000000-0005-0000-0000-00000D000000}"/>
    <cellStyle name="20% - Accent2" xfId="15" builtinId="34" customBuiltin="1"/>
    <cellStyle name="20% - Accent2 2" xfId="16" xr:uid="{00000000-0005-0000-0000-00000F000000}"/>
    <cellStyle name="20% - Accent2 3" xfId="17" xr:uid="{00000000-0005-0000-0000-000010000000}"/>
    <cellStyle name="20% - Accent3" xfId="18" builtinId="38" customBuiltin="1"/>
    <cellStyle name="20% - Accent3 2" xfId="19" xr:uid="{00000000-0005-0000-0000-000012000000}"/>
    <cellStyle name="20% - Accent3 3" xfId="20" xr:uid="{00000000-0005-0000-0000-000013000000}"/>
    <cellStyle name="20% - Accent4" xfId="21" builtinId="42" customBuiltin="1"/>
    <cellStyle name="20% - Accent4 2" xfId="22" xr:uid="{00000000-0005-0000-0000-000015000000}"/>
    <cellStyle name="20% - Accent4 3" xfId="23" xr:uid="{00000000-0005-0000-0000-000016000000}"/>
    <cellStyle name="20% - Accent5" xfId="24" builtinId="46" customBuiltin="1"/>
    <cellStyle name="20% - Accent5 2" xfId="25" xr:uid="{00000000-0005-0000-0000-000018000000}"/>
    <cellStyle name="20% - Accent6" xfId="26" builtinId="50" customBuiltin="1"/>
    <cellStyle name="20% - Accent6 2" xfId="27" xr:uid="{00000000-0005-0000-0000-00001A000000}"/>
    <cellStyle name="20% - Accent6 3" xfId="28" xr:uid="{00000000-0005-0000-0000-00001B000000}"/>
    <cellStyle name="40% - Accent1" xfId="29" builtinId="31" customBuiltin="1"/>
    <cellStyle name="40% - Accent1 2" xfId="30" xr:uid="{00000000-0005-0000-0000-00001D000000}"/>
    <cellStyle name="40% - Accent1 3" xfId="31" xr:uid="{00000000-0005-0000-0000-00001E000000}"/>
    <cellStyle name="40% - Accent2" xfId="32" builtinId="35" customBuiltin="1"/>
    <cellStyle name="40% - Accent2 2" xfId="33" xr:uid="{00000000-0005-0000-0000-000020000000}"/>
    <cellStyle name="40% - Accent3" xfId="34" builtinId="39" customBuiltin="1"/>
    <cellStyle name="40% - Accent3 2" xfId="35" xr:uid="{00000000-0005-0000-0000-000022000000}"/>
    <cellStyle name="40% - Accent3 3" xfId="36" xr:uid="{00000000-0005-0000-0000-000023000000}"/>
    <cellStyle name="40% - Accent4" xfId="37" builtinId="43" customBuiltin="1"/>
    <cellStyle name="40% - Accent4 2" xfId="38" xr:uid="{00000000-0005-0000-0000-000025000000}"/>
    <cellStyle name="40% - Accent4 3" xfId="39" xr:uid="{00000000-0005-0000-0000-000026000000}"/>
    <cellStyle name="40% - Accent5" xfId="40" builtinId="47" customBuiltin="1"/>
    <cellStyle name="40% - Accent5 2" xfId="41" xr:uid="{00000000-0005-0000-0000-000028000000}"/>
    <cellStyle name="40% - Accent5 3" xfId="42" xr:uid="{00000000-0005-0000-0000-000029000000}"/>
    <cellStyle name="40% - Accent6" xfId="43" builtinId="51" customBuiltin="1"/>
    <cellStyle name="40% - Accent6 2" xfId="44" xr:uid="{00000000-0005-0000-0000-00002B000000}"/>
    <cellStyle name="40% - Accent6 3" xfId="45" xr:uid="{00000000-0005-0000-0000-00002C000000}"/>
    <cellStyle name="60% - Accent1" xfId="46" builtinId="32" customBuiltin="1"/>
    <cellStyle name="60% - Accent1 2" xfId="47" xr:uid="{00000000-0005-0000-0000-00002E000000}"/>
    <cellStyle name="60% - Accent1 3" xfId="48" xr:uid="{00000000-0005-0000-0000-00002F000000}"/>
    <cellStyle name="60% - Accent2" xfId="49" builtinId="36" customBuiltin="1"/>
    <cellStyle name="60% - Accent2 2" xfId="50" xr:uid="{00000000-0005-0000-0000-000031000000}"/>
    <cellStyle name="60% - Accent2 3" xfId="51" xr:uid="{00000000-0005-0000-0000-000032000000}"/>
    <cellStyle name="60% - Accent3" xfId="52" builtinId="40" customBuiltin="1"/>
    <cellStyle name="60% - Accent3 2" xfId="53" xr:uid="{00000000-0005-0000-0000-000034000000}"/>
    <cellStyle name="60% - Accent3 3" xfId="54" xr:uid="{00000000-0005-0000-0000-000035000000}"/>
    <cellStyle name="60% - Accent4" xfId="55" builtinId="44" customBuiltin="1"/>
    <cellStyle name="60% - Accent4 2" xfId="56" xr:uid="{00000000-0005-0000-0000-000037000000}"/>
    <cellStyle name="60% - Accent4 3" xfId="57" xr:uid="{00000000-0005-0000-0000-000038000000}"/>
    <cellStyle name="60% - Accent5" xfId="58" builtinId="48" customBuiltin="1"/>
    <cellStyle name="60% - Accent5 2" xfId="59" xr:uid="{00000000-0005-0000-0000-00003A000000}"/>
    <cellStyle name="60% - Accent5 3" xfId="60" xr:uid="{00000000-0005-0000-0000-00003B000000}"/>
    <cellStyle name="60% - Accent6" xfId="61" builtinId="52" customBuiltin="1"/>
    <cellStyle name="60% - Accent6 2" xfId="62" xr:uid="{00000000-0005-0000-0000-00003D000000}"/>
    <cellStyle name="60% - Accent6 3" xfId="63" xr:uid="{00000000-0005-0000-0000-00003E000000}"/>
    <cellStyle name="Accent1" xfId="64" builtinId="29" customBuiltin="1"/>
    <cellStyle name="Accent1 2" xfId="65" xr:uid="{00000000-0005-0000-0000-000040000000}"/>
    <cellStyle name="Accent1 3" xfId="66" xr:uid="{00000000-0005-0000-0000-000041000000}"/>
    <cellStyle name="Accent2" xfId="67" builtinId="33" customBuiltin="1"/>
    <cellStyle name="Accent2 2" xfId="68" xr:uid="{00000000-0005-0000-0000-000043000000}"/>
    <cellStyle name="Accent2 3" xfId="69" xr:uid="{00000000-0005-0000-0000-000044000000}"/>
    <cellStyle name="Accent3" xfId="70" builtinId="37" customBuiltin="1"/>
    <cellStyle name="Accent3 2" xfId="71" xr:uid="{00000000-0005-0000-0000-000046000000}"/>
    <cellStyle name="Accent3 3" xfId="72" xr:uid="{00000000-0005-0000-0000-000047000000}"/>
    <cellStyle name="Accent4" xfId="73" builtinId="41" customBuiltin="1"/>
    <cellStyle name="Accent4 2" xfId="74" xr:uid="{00000000-0005-0000-0000-000049000000}"/>
    <cellStyle name="Accent4 3" xfId="75" xr:uid="{00000000-0005-0000-0000-00004A000000}"/>
    <cellStyle name="Accent5" xfId="76" builtinId="45" customBuiltin="1"/>
    <cellStyle name="Accent5 2" xfId="77" xr:uid="{00000000-0005-0000-0000-00004C000000}"/>
    <cellStyle name="Accent6" xfId="78" builtinId="49" customBuiltin="1"/>
    <cellStyle name="Accent6 2" xfId="79" xr:uid="{00000000-0005-0000-0000-00004E000000}"/>
    <cellStyle name="Accent6 3" xfId="80" xr:uid="{00000000-0005-0000-0000-00004F000000}"/>
    <cellStyle name="Accounting" xfId="81" xr:uid="{00000000-0005-0000-0000-000050000000}"/>
    <cellStyle name="Actual Date" xfId="82" xr:uid="{00000000-0005-0000-0000-000051000000}"/>
    <cellStyle name="ADDR" xfId="83" xr:uid="{00000000-0005-0000-0000-000052000000}"/>
    <cellStyle name="ADDR 2" xfId="84" xr:uid="{00000000-0005-0000-0000-000053000000}"/>
    <cellStyle name="Agara" xfId="85" xr:uid="{00000000-0005-0000-0000-000054000000}"/>
    <cellStyle name="Bad" xfId="86" builtinId="27" customBuiltin="1"/>
    <cellStyle name="Bad 2" xfId="87" xr:uid="{00000000-0005-0000-0000-000056000000}"/>
    <cellStyle name="Bad 3" xfId="88" xr:uid="{00000000-0005-0000-0000-000057000000}"/>
    <cellStyle name="Body" xfId="89" xr:uid="{00000000-0005-0000-0000-000058000000}"/>
    <cellStyle name="Bottom bold border" xfId="90" xr:uid="{00000000-0005-0000-0000-000059000000}"/>
    <cellStyle name="Bottom single border" xfId="91" xr:uid="{00000000-0005-0000-0000-00005A000000}"/>
    <cellStyle name="Business Unit" xfId="92" xr:uid="{00000000-0005-0000-0000-00005B000000}"/>
    <cellStyle name="C00A" xfId="93" xr:uid="{00000000-0005-0000-0000-00005C000000}"/>
    <cellStyle name="C00A 2" xfId="94" xr:uid="{00000000-0005-0000-0000-00005D000000}"/>
    <cellStyle name="C00B" xfId="95" xr:uid="{00000000-0005-0000-0000-00005E000000}"/>
    <cellStyle name="C00B 2" xfId="96" xr:uid="{00000000-0005-0000-0000-00005F000000}"/>
    <cellStyle name="C00L" xfId="97" xr:uid="{00000000-0005-0000-0000-000060000000}"/>
    <cellStyle name="C00L 2" xfId="98" xr:uid="{00000000-0005-0000-0000-000061000000}"/>
    <cellStyle name="C01A" xfId="99" xr:uid="{00000000-0005-0000-0000-000062000000}"/>
    <cellStyle name="C01A 2" xfId="100" xr:uid="{00000000-0005-0000-0000-000063000000}"/>
    <cellStyle name="C01B" xfId="101" xr:uid="{00000000-0005-0000-0000-000064000000}"/>
    <cellStyle name="C01B 2" xfId="102" xr:uid="{00000000-0005-0000-0000-000065000000}"/>
    <cellStyle name="C01H" xfId="103" xr:uid="{00000000-0005-0000-0000-000066000000}"/>
    <cellStyle name="C01L" xfId="104" xr:uid="{00000000-0005-0000-0000-000067000000}"/>
    <cellStyle name="C02A" xfId="105" xr:uid="{00000000-0005-0000-0000-000068000000}"/>
    <cellStyle name="C02A 2" xfId="106" xr:uid="{00000000-0005-0000-0000-000069000000}"/>
    <cellStyle name="C02B" xfId="107" xr:uid="{00000000-0005-0000-0000-00006A000000}"/>
    <cellStyle name="C02H" xfId="108" xr:uid="{00000000-0005-0000-0000-00006B000000}"/>
    <cellStyle name="C02L" xfId="109" xr:uid="{00000000-0005-0000-0000-00006C000000}"/>
    <cellStyle name="C03A" xfId="110" xr:uid="{00000000-0005-0000-0000-00006D000000}"/>
    <cellStyle name="C03A 2" xfId="111" xr:uid="{00000000-0005-0000-0000-00006E000000}"/>
    <cellStyle name="C03B" xfId="112" xr:uid="{00000000-0005-0000-0000-00006F000000}"/>
    <cellStyle name="C03H" xfId="113" xr:uid="{00000000-0005-0000-0000-000070000000}"/>
    <cellStyle name="C03L" xfId="114" xr:uid="{00000000-0005-0000-0000-000071000000}"/>
    <cellStyle name="C04A" xfId="115" xr:uid="{00000000-0005-0000-0000-000072000000}"/>
    <cellStyle name="C04A 2" xfId="116" xr:uid="{00000000-0005-0000-0000-000073000000}"/>
    <cellStyle name="C04B" xfId="117" xr:uid="{00000000-0005-0000-0000-000074000000}"/>
    <cellStyle name="C04H" xfId="118" xr:uid="{00000000-0005-0000-0000-000075000000}"/>
    <cellStyle name="C04L" xfId="119" xr:uid="{00000000-0005-0000-0000-000076000000}"/>
    <cellStyle name="C05A" xfId="120" xr:uid="{00000000-0005-0000-0000-000077000000}"/>
    <cellStyle name="C05A 2" xfId="121" xr:uid="{00000000-0005-0000-0000-000078000000}"/>
    <cellStyle name="C05B" xfId="122" xr:uid="{00000000-0005-0000-0000-000079000000}"/>
    <cellStyle name="C05H" xfId="123" xr:uid="{00000000-0005-0000-0000-00007A000000}"/>
    <cellStyle name="C05L" xfId="124" xr:uid="{00000000-0005-0000-0000-00007B000000}"/>
    <cellStyle name="C05L 2" xfId="125" xr:uid="{00000000-0005-0000-0000-00007C000000}"/>
    <cellStyle name="C06A" xfId="126" xr:uid="{00000000-0005-0000-0000-00007D000000}"/>
    <cellStyle name="C06B" xfId="127" xr:uid="{00000000-0005-0000-0000-00007E000000}"/>
    <cellStyle name="C06H" xfId="128" xr:uid="{00000000-0005-0000-0000-00007F000000}"/>
    <cellStyle name="C06L" xfId="129" xr:uid="{00000000-0005-0000-0000-000080000000}"/>
    <cellStyle name="C07A" xfId="130" xr:uid="{00000000-0005-0000-0000-000081000000}"/>
    <cellStyle name="C07B" xfId="131" xr:uid="{00000000-0005-0000-0000-000082000000}"/>
    <cellStyle name="C07H" xfId="132" xr:uid="{00000000-0005-0000-0000-000083000000}"/>
    <cellStyle name="C07L" xfId="133" xr:uid="{00000000-0005-0000-0000-000084000000}"/>
    <cellStyle name="Calculation" xfId="134" builtinId="22" customBuiltin="1"/>
    <cellStyle name="Calculation 2" xfId="135" xr:uid="{00000000-0005-0000-0000-000086000000}"/>
    <cellStyle name="Calculation 3" xfId="136" xr:uid="{00000000-0005-0000-0000-000087000000}"/>
    <cellStyle name="Check Cell" xfId="137" builtinId="23" customBuiltin="1"/>
    <cellStyle name="Check Cell 2" xfId="138" xr:uid="{00000000-0005-0000-0000-000089000000}"/>
    <cellStyle name="Comma" xfId="139" builtinId="3"/>
    <cellStyle name="Comma 0" xfId="140" xr:uid="{00000000-0005-0000-0000-00008B000000}"/>
    <cellStyle name="Comma 2" xfId="141" xr:uid="{00000000-0005-0000-0000-00008C000000}"/>
    <cellStyle name="Comma 3" xfId="142" xr:uid="{00000000-0005-0000-0000-00008D000000}"/>
    <cellStyle name="Comma 3 2" xfId="143" xr:uid="{00000000-0005-0000-0000-00008E000000}"/>
    <cellStyle name="Comma 3 3" xfId="144" xr:uid="{00000000-0005-0000-0000-00008F000000}"/>
    <cellStyle name="Comma 4" xfId="145" xr:uid="{00000000-0005-0000-0000-000090000000}"/>
    <cellStyle name="Comma 4 2" xfId="146" xr:uid="{00000000-0005-0000-0000-000091000000}"/>
    <cellStyle name="Comma 5" xfId="147" xr:uid="{00000000-0005-0000-0000-000092000000}"/>
    <cellStyle name="Comma 5 2" xfId="148" xr:uid="{00000000-0005-0000-0000-000093000000}"/>
    <cellStyle name="Comma 6" xfId="149" xr:uid="{00000000-0005-0000-0000-000094000000}"/>
    <cellStyle name="Comma 6 2" xfId="150" xr:uid="{00000000-0005-0000-0000-000095000000}"/>
    <cellStyle name="Comma 6 3" xfId="151" xr:uid="{00000000-0005-0000-0000-000096000000}"/>
    <cellStyle name="Comma 7" xfId="152" xr:uid="{00000000-0005-0000-0000-000097000000}"/>
    <cellStyle name="Comma0 - Style1" xfId="153" xr:uid="{00000000-0005-0000-0000-000098000000}"/>
    <cellStyle name="Currency" xfId="154" builtinId="4"/>
    <cellStyle name="Currency 2" xfId="155" xr:uid="{00000000-0005-0000-0000-00009A000000}"/>
    <cellStyle name="Currency 3" xfId="156" xr:uid="{00000000-0005-0000-0000-00009B000000}"/>
    <cellStyle name="Currency 3 2" xfId="157" xr:uid="{00000000-0005-0000-0000-00009C000000}"/>
    <cellStyle name="Currency 4" xfId="158" xr:uid="{00000000-0005-0000-0000-00009D000000}"/>
    <cellStyle name="Currency 4 2" xfId="159" xr:uid="{00000000-0005-0000-0000-00009E000000}"/>
    <cellStyle name="Currency 4 3" xfId="160" xr:uid="{00000000-0005-0000-0000-00009F000000}"/>
    <cellStyle name="Currency 5" xfId="161" xr:uid="{00000000-0005-0000-0000-0000A0000000}"/>
    <cellStyle name="Date" xfId="162" xr:uid="{00000000-0005-0000-0000-0000A1000000}"/>
    <cellStyle name="Euro" xfId="163" xr:uid="{00000000-0005-0000-0000-0000A2000000}"/>
    <cellStyle name="Euro 2" xfId="164" xr:uid="{00000000-0005-0000-0000-0000A3000000}"/>
    <cellStyle name="Explanatory Text" xfId="165" builtinId="53" customBuiltin="1"/>
    <cellStyle name="Explanatory Text 2" xfId="166" xr:uid="{00000000-0005-0000-0000-0000A5000000}"/>
    <cellStyle name="Fixed" xfId="167" xr:uid="{00000000-0005-0000-0000-0000A6000000}"/>
    <cellStyle name="Fixed1 - Style1" xfId="168" xr:uid="{00000000-0005-0000-0000-0000A7000000}"/>
    <cellStyle name="Gilsans" xfId="169" xr:uid="{00000000-0005-0000-0000-0000A8000000}"/>
    <cellStyle name="Gilsansl" xfId="170" xr:uid="{00000000-0005-0000-0000-0000A9000000}"/>
    <cellStyle name="Good" xfId="171" builtinId="26" customBuiltin="1"/>
    <cellStyle name="Good 2" xfId="172" xr:uid="{00000000-0005-0000-0000-0000AB000000}"/>
    <cellStyle name="Good 3" xfId="173" xr:uid="{00000000-0005-0000-0000-0000AC000000}"/>
    <cellStyle name="Grey" xfId="174" xr:uid="{00000000-0005-0000-0000-0000AD000000}"/>
    <cellStyle name="Grey 2" xfId="175" xr:uid="{00000000-0005-0000-0000-0000AE000000}"/>
    <cellStyle name="HEADER" xfId="176" xr:uid="{00000000-0005-0000-0000-0000AF000000}"/>
    <cellStyle name="Header1" xfId="177" xr:uid="{00000000-0005-0000-0000-0000B0000000}"/>
    <cellStyle name="Header2" xfId="178" xr:uid="{00000000-0005-0000-0000-0000B1000000}"/>
    <cellStyle name="Heading" xfId="179" xr:uid="{00000000-0005-0000-0000-0000B2000000}"/>
    <cellStyle name="Heading 1" xfId="180" builtinId="16" customBuiltin="1"/>
    <cellStyle name="Heading 1 2" xfId="181" xr:uid="{00000000-0005-0000-0000-0000B4000000}"/>
    <cellStyle name="Heading 1 3" xfId="182" xr:uid="{00000000-0005-0000-0000-0000B5000000}"/>
    <cellStyle name="Heading 2" xfId="183" builtinId="17" customBuiltin="1"/>
    <cellStyle name="Heading 2 2" xfId="184" xr:uid="{00000000-0005-0000-0000-0000B7000000}"/>
    <cellStyle name="Heading 2 3" xfId="185" xr:uid="{00000000-0005-0000-0000-0000B8000000}"/>
    <cellStyle name="Heading 3" xfId="186" builtinId="18" customBuiltin="1"/>
    <cellStyle name="Heading 3 2" xfId="187" xr:uid="{00000000-0005-0000-0000-0000BA000000}"/>
    <cellStyle name="Heading 3 3" xfId="188" xr:uid="{00000000-0005-0000-0000-0000BB000000}"/>
    <cellStyle name="Heading 4" xfId="189" builtinId="19" customBuiltin="1"/>
    <cellStyle name="Heading 4 2" xfId="190" xr:uid="{00000000-0005-0000-0000-0000BD000000}"/>
    <cellStyle name="Heading 4 3" xfId="191" xr:uid="{00000000-0005-0000-0000-0000BE000000}"/>
    <cellStyle name="Heading1" xfId="192" xr:uid="{00000000-0005-0000-0000-0000BF000000}"/>
    <cellStyle name="Heading2" xfId="193" xr:uid="{00000000-0005-0000-0000-0000C0000000}"/>
    <cellStyle name="HIGHLIGHT" xfId="194" xr:uid="{00000000-0005-0000-0000-0000C1000000}"/>
    <cellStyle name="Hyperlink 2" xfId="195" xr:uid="{00000000-0005-0000-0000-0000C2000000}"/>
    <cellStyle name="Input" xfId="196" builtinId="20" customBuiltin="1"/>
    <cellStyle name="Input [yellow]" xfId="197" xr:uid="{00000000-0005-0000-0000-0000C4000000}"/>
    <cellStyle name="Input [yellow] 2" xfId="198" xr:uid="{00000000-0005-0000-0000-0000C5000000}"/>
    <cellStyle name="Input 10" xfId="199" xr:uid="{00000000-0005-0000-0000-0000C6000000}"/>
    <cellStyle name="Input 11" xfId="200" xr:uid="{00000000-0005-0000-0000-0000C7000000}"/>
    <cellStyle name="Input 12" xfId="201" xr:uid="{00000000-0005-0000-0000-0000C8000000}"/>
    <cellStyle name="Input 13" xfId="202" xr:uid="{00000000-0005-0000-0000-0000C9000000}"/>
    <cellStyle name="Input 14" xfId="203" xr:uid="{00000000-0005-0000-0000-0000CA000000}"/>
    <cellStyle name="Input 2" xfId="204" xr:uid="{00000000-0005-0000-0000-0000CB000000}"/>
    <cellStyle name="Input 3" xfId="205" xr:uid="{00000000-0005-0000-0000-0000CC000000}"/>
    <cellStyle name="Input 4" xfId="206" xr:uid="{00000000-0005-0000-0000-0000CD000000}"/>
    <cellStyle name="Input 5" xfId="207" xr:uid="{00000000-0005-0000-0000-0000CE000000}"/>
    <cellStyle name="Input 6" xfId="208" xr:uid="{00000000-0005-0000-0000-0000CF000000}"/>
    <cellStyle name="Input 7" xfId="209" xr:uid="{00000000-0005-0000-0000-0000D0000000}"/>
    <cellStyle name="Input 8" xfId="210" xr:uid="{00000000-0005-0000-0000-0000D1000000}"/>
    <cellStyle name="Input 9" xfId="211" xr:uid="{00000000-0005-0000-0000-0000D2000000}"/>
    <cellStyle name="Lines" xfId="212" xr:uid="{00000000-0005-0000-0000-0000D3000000}"/>
    <cellStyle name="Lines 2" xfId="213" xr:uid="{00000000-0005-0000-0000-0000D4000000}"/>
    <cellStyle name="Linked Cell" xfId="214" builtinId="24" customBuiltin="1"/>
    <cellStyle name="Linked Cell 2" xfId="215" xr:uid="{00000000-0005-0000-0000-0000D6000000}"/>
    <cellStyle name="Linked Cell 3" xfId="216" xr:uid="{00000000-0005-0000-0000-0000D7000000}"/>
    <cellStyle name="MEM SSN" xfId="217" xr:uid="{00000000-0005-0000-0000-0000D8000000}"/>
    <cellStyle name="MEM SSN 2" xfId="218" xr:uid="{00000000-0005-0000-0000-0000D9000000}"/>
    <cellStyle name="Mine" xfId="219" xr:uid="{00000000-0005-0000-0000-0000DA000000}"/>
    <cellStyle name="mmm-yy" xfId="220" xr:uid="{00000000-0005-0000-0000-0000DB000000}"/>
    <cellStyle name="Monétaire [0]_pldt" xfId="221" xr:uid="{00000000-0005-0000-0000-0000DC000000}"/>
    <cellStyle name="Monétaire_pldt" xfId="222" xr:uid="{00000000-0005-0000-0000-0000DD000000}"/>
    <cellStyle name="Neutral" xfId="223" builtinId="28" customBuiltin="1"/>
    <cellStyle name="Neutral 2" xfId="224" xr:uid="{00000000-0005-0000-0000-0000DF000000}"/>
    <cellStyle name="Neutral 3" xfId="225" xr:uid="{00000000-0005-0000-0000-0000E0000000}"/>
    <cellStyle name="New" xfId="226" xr:uid="{00000000-0005-0000-0000-0000E1000000}"/>
    <cellStyle name="No Border" xfId="227" xr:uid="{00000000-0005-0000-0000-0000E2000000}"/>
    <cellStyle name="no dec" xfId="228" xr:uid="{00000000-0005-0000-0000-0000E3000000}"/>
    <cellStyle name="Normal" xfId="0" builtinId="0"/>
    <cellStyle name="Normal - Style1" xfId="229" xr:uid="{00000000-0005-0000-0000-0000E5000000}"/>
    <cellStyle name="Normal 10" xfId="230" xr:uid="{00000000-0005-0000-0000-0000E6000000}"/>
    <cellStyle name="Normal 11" xfId="231" xr:uid="{00000000-0005-0000-0000-0000E7000000}"/>
    <cellStyle name="Normal 12" xfId="232" xr:uid="{00000000-0005-0000-0000-0000E8000000}"/>
    <cellStyle name="Normal 13" xfId="233" xr:uid="{00000000-0005-0000-0000-0000E9000000}"/>
    <cellStyle name="Normal 14" xfId="234" xr:uid="{00000000-0005-0000-0000-0000EA000000}"/>
    <cellStyle name="Normal 15" xfId="235" xr:uid="{00000000-0005-0000-0000-0000EB000000}"/>
    <cellStyle name="Normal 16" xfId="236" xr:uid="{00000000-0005-0000-0000-0000EC000000}"/>
    <cellStyle name="Normal 17" xfId="237" xr:uid="{00000000-0005-0000-0000-0000ED000000}"/>
    <cellStyle name="Normal 18" xfId="238" xr:uid="{00000000-0005-0000-0000-0000EE000000}"/>
    <cellStyle name="Normal 18 2" xfId="239" xr:uid="{00000000-0005-0000-0000-0000EF000000}"/>
    <cellStyle name="Normal 19" xfId="240" xr:uid="{00000000-0005-0000-0000-0000F0000000}"/>
    <cellStyle name="Normal 2" xfId="241" xr:uid="{00000000-0005-0000-0000-0000F1000000}"/>
    <cellStyle name="Normal 2 2" xfId="242" xr:uid="{00000000-0005-0000-0000-0000F2000000}"/>
    <cellStyle name="Normal 2 2 2" xfId="243" xr:uid="{00000000-0005-0000-0000-0000F3000000}"/>
    <cellStyle name="Normal 20" xfId="244" xr:uid="{00000000-0005-0000-0000-0000F4000000}"/>
    <cellStyle name="Normal 3" xfId="245" xr:uid="{00000000-0005-0000-0000-0000F5000000}"/>
    <cellStyle name="Normal 3 2" xfId="246" xr:uid="{00000000-0005-0000-0000-0000F6000000}"/>
    <cellStyle name="Normal 3 2 2" xfId="247" xr:uid="{00000000-0005-0000-0000-0000F7000000}"/>
    <cellStyle name="Normal 3 2 3" xfId="248" xr:uid="{00000000-0005-0000-0000-0000F8000000}"/>
    <cellStyle name="Normal 3 3" xfId="249" xr:uid="{00000000-0005-0000-0000-0000F9000000}"/>
    <cellStyle name="Normal 4" xfId="250" xr:uid="{00000000-0005-0000-0000-0000FA000000}"/>
    <cellStyle name="Normal 4 2" xfId="251" xr:uid="{00000000-0005-0000-0000-0000FB000000}"/>
    <cellStyle name="Normal 5" xfId="252" xr:uid="{00000000-0005-0000-0000-0000FC000000}"/>
    <cellStyle name="Normal 5 2" xfId="253" xr:uid="{00000000-0005-0000-0000-0000FD000000}"/>
    <cellStyle name="Normal 6" xfId="254" xr:uid="{00000000-0005-0000-0000-0000FE000000}"/>
    <cellStyle name="Normal 7" xfId="255" xr:uid="{00000000-0005-0000-0000-0000FF000000}"/>
    <cellStyle name="Normal 8" xfId="256" xr:uid="{00000000-0005-0000-0000-000000010000}"/>
    <cellStyle name="Normal 9" xfId="257" xr:uid="{00000000-0005-0000-0000-000001010000}"/>
    <cellStyle name="Normal CEN" xfId="258" xr:uid="{00000000-0005-0000-0000-000002010000}"/>
    <cellStyle name="Normal CEN 2" xfId="259" xr:uid="{00000000-0005-0000-0000-000003010000}"/>
    <cellStyle name="Normal Centered" xfId="260" xr:uid="{00000000-0005-0000-0000-000004010000}"/>
    <cellStyle name="Normal Centered 2" xfId="261" xr:uid="{00000000-0005-0000-0000-000005010000}"/>
    <cellStyle name="NORMAL CTR" xfId="262" xr:uid="{00000000-0005-0000-0000-000006010000}"/>
    <cellStyle name="Normal_2002 AREA LOADS FOR JNT TARIFF" xfId="263" xr:uid="{00000000-0005-0000-0000-000007010000}"/>
    <cellStyle name="Normal_2002 AREA LOADS FOR JNT TARIFF 2" xfId="264" xr:uid="{00000000-0005-0000-0000-000008010000}"/>
    <cellStyle name="Normal_2002 AREA LOADS FOR JNT TARIFF 3" xfId="389" xr:uid="{1E981157-6402-41F8-9B53-3644693153FA}"/>
    <cellStyle name="Normal_2002 AREA LOADS FOR JNT TARIFF_CUS AC LOADS" xfId="265" xr:uid="{00000000-0005-0000-0000-000009010000}"/>
    <cellStyle name="Normal_2002 AREA LOADS FOR JNT TARIFF_CUS AC LOADS 2" xfId="390" xr:uid="{613431EF-DAA1-4650-8AD2-CA2A4F624BA2}"/>
    <cellStyle name="Normal_CU AC Rate Design" xfId="266" xr:uid="{00000000-0005-0000-0000-00000A010000}"/>
    <cellStyle name="Normal_CU AC Rate Design 2" xfId="388" xr:uid="{E13FA062-E523-4938-8E1B-49F1EFA276D1}"/>
    <cellStyle name="Normal_CU AC Rate Design_CUS AC LOADS" xfId="267" xr:uid="{00000000-0005-0000-0000-00000B010000}"/>
    <cellStyle name="Normal_CUS AC LOADS" xfId="268" xr:uid="{00000000-0005-0000-0000-00000C010000}"/>
    <cellStyle name="Normal_Sheet2" xfId="269" xr:uid="{00000000-0005-0000-0000-00000D010000}"/>
    <cellStyle name="Normal_TopSheet Type Ancillaries Worksheet-Updated 81903" xfId="270" xr:uid="{00000000-0005-0000-0000-00000E010000}"/>
    <cellStyle name="Normal_TopSheet Type Ancillaries Worksheet-Updated 81903 2" xfId="271" xr:uid="{00000000-0005-0000-0000-00000F010000}"/>
    <cellStyle name="Note" xfId="272" builtinId="10" customBuiltin="1"/>
    <cellStyle name="Note 2" xfId="273" xr:uid="{00000000-0005-0000-0000-000011010000}"/>
    <cellStyle name="Note 2 2" xfId="274" xr:uid="{00000000-0005-0000-0000-000012010000}"/>
    <cellStyle name="Note 3" xfId="275" xr:uid="{00000000-0005-0000-0000-000013010000}"/>
    <cellStyle name="nUMBER" xfId="276" xr:uid="{00000000-0005-0000-0000-000014010000}"/>
    <cellStyle name="Output" xfId="277" builtinId="21" customBuiltin="1"/>
    <cellStyle name="Output 2" xfId="278" xr:uid="{00000000-0005-0000-0000-000016010000}"/>
    <cellStyle name="Output 3" xfId="279" xr:uid="{00000000-0005-0000-0000-000017010000}"/>
    <cellStyle name="Percent" xfId="280" builtinId="5"/>
    <cellStyle name="Percent [2]" xfId="281" xr:uid="{00000000-0005-0000-0000-000019010000}"/>
    <cellStyle name="Percent 10" xfId="282" xr:uid="{00000000-0005-0000-0000-00001A010000}"/>
    <cellStyle name="Percent 11" xfId="283" xr:uid="{00000000-0005-0000-0000-00001B010000}"/>
    <cellStyle name="Percent 12" xfId="284" xr:uid="{00000000-0005-0000-0000-00001C010000}"/>
    <cellStyle name="Percent 13" xfId="285" xr:uid="{00000000-0005-0000-0000-00001D010000}"/>
    <cellStyle name="Percent 14" xfId="286" xr:uid="{00000000-0005-0000-0000-00001E010000}"/>
    <cellStyle name="Percent 14 2" xfId="287" xr:uid="{00000000-0005-0000-0000-00001F010000}"/>
    <cellStyle name="Percent 15" xfId="288" xr:uid="{00000000-0005-0000-0000-000020010000}"/>
    <cellStyle name="Percent 16" xfId="289" xr:uid="{00000000-0005-0000-0000-000021010000}"/>
    <cellStyle name="Percent 17" xfId="290" xr:uid="{00000000-0005-0000-0000-000022010000}"/>
    <cellStyle name="Percent 17 2" xfId="291" xr:uid="{00000000-0005-0000-0000-000023010000}"/>
    <cellStyle name="Percent 18" xfId="292" xr:uid="{00000000-0005-0000-0000-000024010000}"/>
    <cellStyle name="Percent 19" xfId="293" xr:uid="{00000000-0005-0000-0000-000025010000}"/>
    <cellStyle name="Percent 2" xfId="294" xr:uid="{00000000-0005-0000-0000-000026010000}"/>
    <cellStyle name="Percent 2 2" xfId="295" xr:uid="{00000000-0005-0000-0000-000027010000}"/>
    <cellStyle name="Percent 20" xfId="296" xr:uid="{00000000-0005-0000-0000-000028010000}"/>
    <cellStyle name="Percent 21" xfId="297" xr:uid="{00000000-0005-0000-0000-000029010000}"/>
    <cellStyle name="Percent 22" xfId="298" xr:uid="{00000000-0005-0000-0000-00002A010000}"/>
    <cellStyle name="Percent 23" xfId="299" xr:uid="{00000000-0005-0000-0000-00002B010000}"/>
    <cellStyle name="Percent 24" xfId="300" xr:uid="{00000000-0005-0000-0000-00002C010000}"/>
    <cellStyle name="Percent 25" xfId="301" xr:uid="{00000000-0005-0000-0000-00002D010000}"/>
    <cellStyle name="Percent 26" xfId="302" xr:uid="{00000000-0005-0000-0000-00002E010000}"/>
    <cellStyle name="Percent 27" xfId="303" xr:uid="{00000000-0005-0000-0000-00002F010000}"/>
    <cellStyle name="Percent 28" xfId="304" xr:uid="{00000000-0005-0000-0000-000030010000}"/>
    <cellStyle name="Percent 3" xfId="305" xr:uid="{00000000-0005-0000-0000-000031010000}"/>
    <cellStyle name="Percent 3 2" xfId="306" xr:uid="{00000000-0005-0000-0000-000032010000}"/>
    <cellStyle name="Percent 4" xfId="307" xr:uid="{00000000-0005-0000-0000-000033010000}"/>
    <cellStyle name="Percent 5" xfId="308" xr:uid="{00000000-0005-0000-0000-000034010000}"/>
    <cellStyle name="Percent 6" xfId="309" xr:uid="{00000000-0005-0000-0000-000035010000}"/>
    <cellStyle name="Percent 7" xfId="310" xr:uid="{00000000-0005-0000-0000-000036010000}"/>
    <cellStyle name="Percent 8" xfId="311" xr:uid="{00000000-0005-0000-0000-000037010000}"/>
    <cellStyle name="Percent 9" xfId="312" xr:uid="{00000000-0005-0000-0000-000038010000}"/>
    <cellStyle name="PSChar" xfId="313" xr:uid="{00000000-0005-0000-0000-000039010000}"/>
    <cellStyle name="PSDate" xfId="314" xr:uid="{00000000-0005-0000-0000-00003A010000}"/>
    <cellStyle name="PSDec" xfId="315" xr:uid="{00000000-0005-0000-0000-00003B010000}"/>
    <cellStyle name="PSHeading" xfId="316" xr:uid="{00000000-0005-0000-0000-00003C010000}"/>
    <cellStyle name="PSInt" xfId="317" xr:uid="{00000000-0005-0000-0000-00003D010000}"/>
    <cellStyle name="PSSpacer" xfId="318" xr:uid="{00000000-0005-0000-0000-00003E010000}"/>
    <cellStyle name="R00A" xfId="319" xr:uid="{00000000-0005-0000-0000-00003F010000}"/>
    <cellStyle name="R00A 2" xfId="320" xr:uid="{00000000-0005-0000-0000-000040010000}"/>
    <cellStyle name="R00B" xfId="321" xr:uid="{00000000-0005-0000-0000-000041010000}"/>
    <cellStyle name="R00L" xfId="322" xr:uid="{00000000-0005-0000-0000-000042010000}"/>
    <cellStyle name="R00L 2" xfId="323" xr:uid="{00000000-0005-0000-0000-000043010000}"/>
    <cellStyle name="R01A" xfId="324" xr:uid="{00000000-0005-0000-0000-000044010000}"/>
    <cellStyle name="R01A 2" xfId="325" xr:uid="{00000000-0005-0000-0000-000045010000}"/>
    <cellStyle name="R01B" xfId="326" xr:uid="{00000000-0005-0000-0000-000046010000}"/>
    <cellStyle name="R01H" xfId="327" xr:uid="{00000000-0005-0000-0000-000047010000}"/>
    <cellStyle name="R01L" xfId="328" xr:uid="{00000000-0005-0000-0000-000048010000}"/>
    <cellStyle name="R01L 2" xfId="329" xr:uid="{00000000-0005-0000-0000-000049010000}"/>
    <cellStyle name="R02A" xfId="330" xr:uid="{00000000-0005-0000-0000-00004A010000}"/>
    <cellStyle name="R02A 2" xfId="331" xr:uid="{00000000-0005-0000-0000-00004B010000}"/>
    <cellStyle name="R02B" xfId="332" xr:uid="{00000000-0005-0000-0000-00004C010000}"/>
    <cellStyle name="R02H" xfId="333" xr:uid="{00000000-0005-0000-0000-00004D010000}"/>
    <cellStyle name="R02L" xfId="334" xr:uid="{00000000-0005-0000-0000-00004E010000}"/>
    <cellStyle name="R03A" xfId="335" xr:uid="{00000000-0005-0000-0000-00004F010000}"/>
    <cellStyle name="R03A 2" xfId="336" xr:uid="{00000000-0005-0000-0000-000050010000}"/>
    <cellStyle name="R03B" xfId="337" xr:uid="{00000000-0005-0000-0000-000051010000}"/>
    <cellStyle name="R03H" xfId="338" xr:uid="{00000000-0005-0000-0000-000052010000}"/>
    <cellStyle name="R03L" xfId="339" xr:uid="{00000000-0005-0000-0000-000053010000}"/>
    <cellStyle name="R03L 2" xfId="340" xr:uid="{00000000-0005-0000-0000-000054010000}"/>
    <cellStyle name="R04A" xfId="341" xr:uid="{00000000-0005-0000-0000-000055010000}"/>
    <cellStyle name="R04A 2" xfId="342" xr:uid="{00000000-0005-0000-0000-000056010000}"/>
    <cellStyle name="R04B" xfId="343" xr:uid="{00000000-0005-0000-0000-000057010000}"/>
    <cellStyle name="R04H" xfId="344" xr:uid="{00000000-0005-0000-0000-000058010000}"/>
    <cellStyle name="R04L" xfId="345" xr:uid="{00000000-0005-0000-0000-000059010000}"/>
    <cellStyle name="R04L 2" xfId="346" xr:uid="{00000000-0005-0000-0000-00005A010000}"/>
    <cellStyle name="R05A" xfId="347" xr:uid="{00000000-0005-0000-0000-00005B010000}"/>
    <cellStyle name="R05A 2" xfId="348" xr:uid="{00000000-0005-0000-0000-00005C010000}"/>
    <cellStyle name="R05B" xfId="349" xr:uid="{00000000-0005-0000-0000-00005D010000}"/>
    <cellStyle name="R05H" xfId="350" xr:uid="{00000000-0005-0000-0000-00005E010000}"/>
    <cellStyle name="R05L" xfId="351" xr:uid="{00000000-0005-0000-0000-00005F010000}"/>
    <cellStyle name="R05L 2" xfId="352" xr:uid="{00000000-0005-0000-0000-000060010000}"/>
    <cellStyle name="R06A" xfId="353" xr:uid="{00000000-0005-0000-0000-000061010000}"/>
    <cellStyle name="R06B" xfId="354" xr:uid="{00000000-0005-0000-0000-000062010000}"/>
    <cellStyle name="R06H" xfId="355" xr:uid="{00000000-0005-0000-0000-000063010000}"/>
    <cellStyle name="R06L" xfId="356" xr:uid="{00000000-0005-0000-0000-000064010000}"/>
    <cellStyle name="R07A" xfId="357" xr:uid="{00000000-0005-0000-0000-000065010000}"/>
    <cellStyle name="R07B" xfId="358" xr:uid="{00000000-0005-0000-0000-000066010000}"/>
    <cellStyle name="R07H" xfId="359" xr:uid="{00000000-0005-0000-0000-000067010000}"/>
    <cellStyle name="R07L" xfId="360" xr:uid="{00000000-0005-0000-0000-000068010000}"/>
    <cellStyle name="Resource Detail" xfId="361" xr:uid="{00000000-0005-0000-0000-000069010000}"/>
    <cellStyle name="Shade" xfId="362" xr:uid="{00000000-0005-0000-0000-00006A010000}"/>
    <cellStyle name="single acct" xfId="363" xr:uid="{00000000-0005-0000-0000-00006B010000}"/>
    <cellStyle name="Single Border" xfId="364" xr:uid="{00000000-0005-0000-0000-00006C010000}"/>
    <cellStyle name="Small Page Heading" xfId="365" xr:uid="{00000000-0005-0000-0000-00006D010000}"/>
    <cellStyle name="ssn" xfId="366" xr:uid="{00000000-0005-0000-0000-00006E010000}"/>
    <cellStyle name="ssn 2" xfId="367" xr:uid="{00000000-0005-0000-0000-00006F010000}"/>
    <cellStyle name="Style 1" xfId="368" xr:uid="{00000000-0005-0000-0000-000070010000}"/>
    <cellStyle name="Style 2" xfId="369" xr:uid="{00000000-0005-0000-0000-000071010000}"/>
    <cellStyle name="Style 27" xfId="370" xr:uid="{00000000-0005-0000-0000-000072010000}"/>
    <cellStyle name="Style 28" xfId="371" xr:uid="{00000000-0005-0000-0000-000073010000}"/>
    <cellStyle name="Table Sub Heading" xfId="372" xr:uid="{00000000-0005-0000-0000-000074010000}"/>
    <cellStyle name="Table Title" xfId="373" xr:uid="{00000000-0005-0000-0000-000075010000}"/>
    <cellStyle name="Table Units" xfId="374" xr:uid="{00000000-0005-0000-0000-000076010000}"/>
    <cellStyle name="Theirs" xfId="375" xr:uid="{00000000-0005-0000-0000-000077010000}"/>
    <cellStyle name="Times New Roman" xfId="376" xr:uid="{00000000-0005-0000-0000-000078010000}"/>
    <cellStyle name="Title" xfId="377" builtinId="15" customBuiltin="1"/>
    <cellStyle name="Title 2" xfId="378" xr:uid="{00000000-0005-0000-0000-00007A010000}"/>
    <cellStyle name="Title 3" xfId="379" xr:uid="{00000000-0005-0000-0000-00007B010000}"/>
    <cellStyle name="Total" xfId="380" builtinId="25" customBuiltin="1"/>
    <cellStyle name="Total 2" xfId="381" xr:uid="{00000000-0005-0000-0000-00007D010000}"/>
    <cellStyle name="Total 3" xfId="382" xr:uid="{00000000-0005-0000-0000-00007E010000}"/>
    <cellStyle name="Unprot" xfId="383" xr:uid="{00000000-0005-0000-0000-00007F010000}"/>
    <cellStyle name="Unprot$" xfId="384" xr:uid="{00000000-0005-0000-0000-000080010000}"/>
    <cellStyle name="Unprotect" xfId="385" xr:uid="{00000000-0005-0000-0000-000081010000}"/>
    <cellStyle name="Warning Text" xfId="386" builtinId="11" customBuiltin="1"/>
    <cellStyle name="Warning Text 2" xfId="387" xr:uid="{00000000-0005-0000-0000-00008301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70"/>
  <sheetViews>
    <sheetView tabSelected="1" zoomScale="85" zoomScaleNormal="85" workbookViewId="0">
      <selection activeCell="Y16" sqref="Y16"/>
    </sheetView>
  </sheetViews>
  <sheetFormatPr defaultRowHeight="12.75"/>
  <cols>
    <col min="1" max="1" width="4.140625" customWidth="1"/>
    <col min="2" max="2" width="9.140625" customWidth="1"/>
    <col min="3" max="3" width="6.140625" customWidth="1"/>
    <col min="4" max="9" width="10.140625" bestFit="1" customWidth="1"/>
    <col min="10" max="10" width="14" bestFit="1" customWidth="1"/>
    <col min="11" max="22" width="11.42578125" customWidth="1"/>
    <col min="23" max="23" width="10.140625" bestFit="1" customWidth="1"/>
    <col min="25" max="25" width="10.140625" bestFit="1" customWidth="1"/>
    <col min="26" max="26" width="9.42578125" bestFit="1" customWidth="1"/>
    <col min="27" max="27" width="10.140625" bestFit="1" customWidth="1"/>
    <col min="28" max="28" width="11.42578125" bestFit="1" customWidth="1"/>
    <col min="29" max="29" width="11.85546875" bestFit="1" customWidth="1"/>
  </cols>
  <sheetData>
    <row r="1" spans="1:29">
      <c r="A1" s="10" t="s">
        <v>0</v>
      </c>
    </row>
    <row r="2" spans="1:29">
      <c r="A2" s="10" t="s">
        <v>1</v>
      </c>
      <c r="J2" s="20" t="s">
        <v>118</v>
      </c>
    </row>
    <row r="3" spans="1:29">
      <c r="A3" s="10" t="s">
        <v>2</v>
      </c>
      <c r="J3" s="21" t="s">
        <v>123</v>
      </c>
    </row>
    <row r="5" spans="1:29">
      <c r="B5" s="2" t="s">
        <v>70</v>
      </c>
      <c r="K5" s="122" t="s">
        <v>22</v>
      </c>
      <c r="L5" s="122" t="s">
        <v>23</v>
      </c>
      <c r="M5" s="122" t="s">
        <v>24</v>
      </c>
      <c r="N5" s="122" t="s">
        <v>28</v>
      </c>
      <c r="O5" s="122" t="s">
        <v>29</v>
      </c>
      <c r="P5" s="122" t="s">
        <v>30</v>
      </c>
      <c r="Q5" s="122" t="s">
        <v>25</v>
      </c>
      <c r="R5" s="122" t="s">
        <v>19</v>
      </c>
      <c r="S5" s="122" t="s">
        <v>26</v>
      </c>
      <c r="T5" s="122" t="s">
        <v>20</v>
      </c>
      <c r="U5" s="122" t="s">
        <v>21</v>
      </c>
      <c r="V5" s="122" t="s">
        <v>27</v>
      </c>
    </row>
    <row r="7" spans="1:29">
      <c r="A7">
        <v>1</v>
      </c>
      <c r="B7" s="2" t="s">
        <v>71</v>
      </c>
    </row>
    <row r="8" spans="1:29">
      <c r="A8">
        <v>2</v>
      </c>
      <c r="B8" s="106" t="s">
        <v>122</v>
      </c>
      <c r="J8" s="12">
        <f>SUM(K8:V8)</f>
        <v>954727.60412152763</v>
      </c>
      <c r="K8" s="3">
        <f>'Sch. 2 - BHP (old rate)'!$H$21*('CUS AC LOADS (for old rate)'!$I$24/12)*1000</f>
        <v>138337.66666666669</v>
      </c>
      <c r="L8" s="3">
        <f>'Sch. 2 - BHP (old rate)'!$H$21*('CUS AC LOADS (for old rate)'!$I$24/12)*1000</f>
        <v>138337.66666666669</v>
      </c>
      <c r="M8" s="3">
        <f>'Sch. 2 - BHP (old rate)'!$H$21*('CUS AC LOADS (for old rate)'!$I$24/12)*1000</f>
        <v>138337.66666666669</v>
      </c>
      <c r="N8" s="3">
        <f>'Sch. 2 - BHP (old rate)'!$H$21*('CUS AC LOADS (for old rate)'!$I$24/12)*1000</f>
        <v>138337.66666666669</v>
      </c>
      <c r="O8" s="3">
        <f>'Sch. 2 - BHP (old rate)'!$H$21*('CUS AC LOADS (for old rate)'!$I$24/12)*1000</f>
        <v>138337.66666666669</v>
      </c>
      <c r="P8" s="3">
        <f>'Sch. 2 - BHP'!$H$20*('CUS AC LOADS'!$I$24/12)*1000</f>
        <v>37577.038684027786</v>
      </c>
      <c r="Q8" s="3">
        <f>'Sch. 2 - BHP'!$H$20*('CUS AC LOADS'!$I$24/12)*1000</f>
        <v>37577.038684027786</v>
      </c>
      <c r="R8" s="3">
        <f>'Sch. 2 - BHP'!$H$20*('CUS AC LOADS'!$I$24/12)*1000</f>
        <v>37577.038684027786</v>
      </c>
      <c r="S8" s="3">
        <f>'Sch. 2 - BHP'!$H$20*('CUS AC LOADS'!$I$24/12)*1000</f>
        <v>37577.038684027786</v>
      </c>
      <c r="T8" s="3">
        <f>'Sch. 2 - BHP'!$H$20*('CUS AC LOADS'!$I$24/12)*1000</f>
        <v>37577.038684027786</v>
      </c>
      <c r="U8" s="3">
        <f>'Sch. 2 - BHP'!$H$20*('CUS AC LOADS'!$I$24/12)*1000</f>
        <v>37577.038684027786</v>
      </c>
      <c r="V8" s="3">
        <f>'Sch. 2 - BHP'!$H$20*('CUS AC LOADS'!$I$24/12)*1000</f>
        <v>37577.038684027786</v>
      </c>
    </row>
    <row r="9" spans="1:29" ht="15">
      <c r="A9">
        <v>3</v>
      </c>
      <c r="B9" s="106" t="s">
        <v>130</v>
      </c>
      <c r="J9" s="22">
        <v>1105182.6000000001</v>
      </c>
      <c r="M9" s="23"/>
    </row>
    <row r="10" spans="1:29" ht="15">
      <c r="A10">
        <v>4</v>
      </c>
      <c r="B10" s="2" t="s">
        <v>72</v>
      </c>
      <c r="J10" s="13">
        <f>J8-J9</f>
        <v>-150454.99587847246</v>
      </c>
      <c r="M10" s="23"/>
    </row>
    <row r="11" spans="1:29" ht="15">
      <c r="A11">
        <v>5</v>
      </c>
      <c r="B11" s="2" t="s">
        <v>73</v>
      </c>
      <c r="J11" s="118">
        <f>ROUND((1+$I$70)^18,2)</f>
        <v>1.1200000000000001</v>
      </c>
      <c r="M11" s="23"/>
    </row>
    <row r="12" spans="1:29" ht="15">
      <c r="A12">
        <v>6</v>
      </c>
      <c r="B12" s="79" t="s">
        <v>146</v>
      </c>
      <c r="D12" s="15"/>
      <c r="E12" s="15"/>
      <c r="F12" s="15"/>
      <c r="G12" s="15"/>
      <c r="H12" s="15"/>
      <c r="I12" s="15"/>
      <c r="J12" s="14">
        <f>J10*J11</f>
        <v>-168509.59538388916</v>
      </c>
      <c r="K12" s="15"/>
      <c r="L12" s="15"/>
      <c r="M12" s="23"/>
      <c r="N12" s="15"/>
      <c r="O12" s="15"/>
      <c r="P12" s="24"/>
      <c r="Q12" s="15"/>
      <c r="R12" s="24"/>
      <c r="S12" s="15"/>
      <c r="T12" s="24"/>
      <c r="U12" s="15"/>
      <c r="V12" s="24"/>
      <c r="W12" s="15"/>
      <c r="X12" s="24"/>
      <c r="Y12" s="15"/>
      <c r="Z12" s="24"/>
      <c r="AA12" s="15"/>
      <c r="AB12" s="24"/>
      <c r="AC12" s="15"/>
    </row>
    <row r="13" spans="1:29" ht="15">
      <c r="B13" s="2"/>
      <c r="D13" s="15"/>
      <c r="E13" s="15"/>
      <c r="F13" s="15"/>
      <c r="G13" s="15"/>
      <c r="H13" s="15"/>
      <c r="I13" s="15"/>
      <c r="J13" s="15"/>
      <c r="K13" s="15"/>
      <c r="L13" s="15"/>
      <c r="M13" s="23"/>
      <c r="N13" s="15"/>
      <c r="O13" s="15"/>
      <c r="P13" s="24"/>
      <c r="Q13" s="15"/>
      <c r="R13" s="24"/>
      <c r="S13" s="15"/>
      <c r="T13" s="24"/>
      <c r="U13" s="15"/>
      <c r="V13" s="24"/>
      <c r="W13" s="15"/>
      <c r="X13" s="24"/>
      <c r="Y13" s="15"/>
      <c r="Z13" s="24"/>
      <c r="AA13" s="15"/>
      <c r="AB13" s="24"/>
      <c r="AC13" s="15"/>
    </row>
    <row r="14" spans="1:29" ht="15">
      <c r="A14">
        <v>7</v>
      </c>
      <c r="B14" s="2" t="s">
        <v>74</v>
      </c>
      <c r="K14" s="15"/>
      <c r="L14" s="15"/>
      <c r="M14" s="23"/>
      <c r="N14" s="15"/>
      <c r="O14" s="15"/>
      <c r="P14" s="24"/>
      <c r="Q14" s="15"/>
      <c r="R14" s="24"/>
      <c r="S14" s="15"/>
      <c r="T14" s="24"/>
      <c r="U14" s="15"/>
      <c r="V14" s="24"/>
      <c r="W14" s="15"/>
      <c r="X14" s="24"/>
      <c r="Y14" s="15"/>
      <c r="Z14" s="24"/>
      <c r="AA14" s="15"/>
      <c r="AB14" s="24"/>
      <c r="AC14" s="15"/>
    </row>
    <row r="15" spans="1:29">
      <c r="A15">
        <v>8</v>
      </c>
      <c r="B15" s="106" t="s">
        <v>122</v>
      </c>
      <c r="J15" s="12">
        <f>SUM(K15:V15)</f>
        <v>193883.44288333334</v>
      </c>
      <c r="K15" s="24">
        <f>'Sch. 2 - Gillette(old rate)'!$H$21*('CUS AC LOADS (for old rate)'!$I$24/12)*1000</f>
        <v>24696.834165277782</v>
      </c>
      <c r="L15" s="24">
        <f>'Sch. 2 - Gillette(old rate)'!$H$21*('CUS AC LOADS (for old rate)'!$I$24/12)*1000</f>
        <v>24696.834165277782</v>
      </c>
      <c r="M15" s="24">
        <f>'Sch. 2 - Gillette(old rate)'!$H$21*('CUS AC LOADS (for old rate)'!$I$24/12)*1000</f>
        <v>24696.834165277782</v>
      </c>
      <c r="N15" s="24">
        <f>'Sch. 2 - Gillette(old rate)'!$H$21*('CUS AC LOADS (for old rate)'!$I$24/12)*1000</f>
        <v>24696.834165277782</v>
      </c>
      <c r="O15" s="24">
        <f>'Sch. 2 - Gillette(old rate)'!$H$21*('CUS AC LOADS (for old rate)'!$I$24/12)*1000</f>
        <v>24696.834165277782</v>
      </c>
      <c r="P15" s="24">
        <f>'Sch. 2 - Gillette'!$H$20*('CUS AC LOADS'!$I$24/12)*1000</f>
        <v>10057.038865277778</v>
      </c>
      <c r="Q15" s="24">
        <f>'Sch. 2 - Gillette'!$H$20*('CUS AC LOADS'!$I$24/12)*1000</f>
        <v>10057.038865277778</v>
      </c>
      <c r="R15" s="24">
        <f>'Sch. 2 - Gillette'!$H$20*('CUS AC LOADS'!$I$24/12)*1000</f>
        <v>10057.038865277778</v>
      </c>
      <c r="S15" s="24">
        <f>'Sch. 2 - Gillette'!$H$20*('CUS AC LOADS'!$I$24/12)*1000</f>
        <v>10057.038865277778</v>
      </c>
      <c r="T15" s="24">
        <f>'Sch. 2 - Gillette'!$H$20*('CUS AC LOADS'!$I$24/12)*1000</f>
        <v>10057.038865277778</v>
      </c>
      <c r="U15" s="24">
        <f>'Sch. 2 - Gillette'!$H$20*('CUS AC LOADS'!$I$24/12)*1000</f>
        <v>10057.038865277778</v>
      </c>
      <c r="V15" s="24">
        <f>'Sch. 2 - Gillette'!$H$20*('CUS AC LOADS'!$I$24/12)*1000</f>
        <v>10057.038865277778</v>
      </c>
      <c r="W15" s="15"/>
      <c r="X15" s="24"/>
      <c r="Y15" s="15"/>
      <c r="Z15" s="24"/>
      <c r="AA15" s="15"/>
      <c r="AB15" s="24"/>
      <c r="AC15" s="15"/>
    </row>
    <row r="16" spans="1:29">
      <c r="A16">
        <v>9</v>
      </c>
      <c r="B16" s="107" t="str">
        <f>B9</f>
        <v>2025 Collected Revenue</v>
      </c>
      <c r="J16" s="22">
        <v>224977.42</v>
      </c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15"/>
      <c r="X16" s="24"/>
      <c r="Y16" s="15"/>
      <c r="Z16" s="24"/>
      <c r="AA16" s="15"/>
      <c r="AB16" s="24"/>
      <c r="AC16" s="15"/>
    </row>
    <row r="17" spans="1:29">
      <c r="A17">
        <v>10</v>
      </c>
      <c r="B17" s="2" t="s">
        <v>72</v>
      </c>
      <c r="J17" s="13">
        <f>J15-J16</f>
        <v>-31093.977116666676</v>
      </c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15"/>
      <c r="X17" s="24"/>
      <c r="Y17" s="15"/>
      <c r="Z17" s="24"/>
      <c r="AA17" s="15"/>
      <c r="AB17" s="24"/>
      <c r="AC17" s="15"/>
    </row>
    <row r="18" spans="1:29">
      <c r="A18">
        <v>11</v>
      </c>
      <c r="B18" s="2" t="s">
        <v>73</v>
      </c>
      <c r="J18" s="118">
        <f>ROUND((1+$I$70)^18,2)</f>
        <v>1.1200000000000001</v>
      </c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15"/>
      <c r="X18" s="24"/>
      <c r="Y18" s="15"/>
      <c r="Z18" s="24"/>
      <c r="AA18" s="15"/>
      <c r="AB18" s="24"/>
      <c r="AC18" s="15"/>
    </row>
    <row r="19" spans="1:29">
      <c r="A19">
        <v>12</v>
      </c>
      <c r="B19" s="2" t="str">
        <f>+B12</f>
        <v>True-up Amount to be (Refunded)/Paid based on 2025 Actual Loads</v>
      </c>
      <c r="D19" s="15"/>
      <c r="E19" s="15"/>
      <c r="F19" s="15"/>
      <c r="G19" s="15"/>
      <c r="H19" s="15"/>
      <c r="I19" s="15"/>
      <c r="J19" s="14">
        <f>J17*J18</f>
        <v>-34825.254370666684</v>
      </c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15"/>
      <c r="X19" s="24"/>
      <c r="Y19" s="15"/>
      <c r="Z19" s="24"/>
      <c r="AA19" s="15"/>
      <c r="AB19" s="24"/>
      <c r="AC19" s="15"/>
    </row>
    <row r="20" spans="1:29">
      <c r="B20" s="2"/>
      <c r="D20" s="15"/>
      <c r="E20" s="15"/>
      <c r="F20" s="15"/>
      <c r="G20" s="15"/>
      <c r="H20" s="15"/>
      <c r="I20" s="15"/>
      <c r="J20" s="15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15"/>
      <c r="X20" s="24"/>
      <c r="Y20" s="15"/>
      <c r="Z20" s="24"/>
      <c r="AA20" s="15"/>
      <c r="AB20" s="24"/>
      <c r="AC20" s="15"/>
    </row>
    <row r="21" spans="1:29">
      <c r="A21">
        <v>13</v>
      </c>
      <c r="B21" s="2" t="s">
        <v>75</v>
      </c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15"/>
      <c r="X21" s="24"/>
      <c r="Y21" s="15"/>
      <c r="Z21" s="24"/>
      <c r="AA21" s="15"/>
      <c r="AB21" s="24"/>
      <c r="AC21" s="15"/>
    </row>
    <row r="22" spans="1:29">
      <c r="A22">
        <v>14</v>
      </c>
      <c r="B22" s="106" t="s">
        <v>122</v>
      </c>
      <c r="J22" s="12">
        <f>SUM(K22:V22)</f>
        <v>349751.90448819438</v>
      </c>
      <c r="K22" s="24">
        <f>'Sch. 2 - CLFP(old rate)'!$H$21*('CUS AC LOADS (for old rate)'!$I$24/12)*1000</f>
        <v>50089.684239583337</v>
      </c>
      <c r="L22" s="24">
        <f>'Sch. 2 - CLFP(old rate)'!$H$21*('CUS AC LOADS (for old rate)'!$I$24/12)*1000</f>
        <v>50089.684239583337</v>
      </c>
      <c r="M22" s="24">
        <f>'Sch. 2 - CLFP(old rate)'!$H$21*('CUS AC LOADS (for old rate)'!$I$24/12)*1000</f>
        <v>50089.684239583337</v>
      </c>
      <c r="N22" s="24">
        <f>'Sch. 2 - CLFP(old rate)'!$H$21*('CUS AC LOADS (for old rate)'!$I$24/12)*1000</f>
        <v>50089.684239583337</v>
      </c>
      <c r="O22" s="24">
        <f>'Sch. 2 - CLFP(old rate)'!$H$21*('CUS AC LOADS (for old rate)'!$I$24/12)*1000</f>
        <v>50089.684239583337</v>
      </c>
      <c r="P22" s="24">
        <f>'Sch. 2 - CLFP'!$H$20*('CUS AC LOADS'!$I$24/12)*1000</f>
        <v>14186.211898611113</v>
      </c>
      <c r="Q22" s="24">
        <f>'Sch. 2 - CLFP'!$H$20*('CUS AC LOADS'!$I$24/12)*1000</f>
        <v>14186.211898611113</v>
      </c>
      <c r="R22" s="24">
        <f>'Sch. 2 - CLFP'!$H$20*('CUS AC LOADS'!$I$24/12)*1000</f>
        <v>14186.211898611113</v>
      </c>
      <c r="S22" s="24">
        <f>'Sch. 2 - CLFP'!$H$20*('CUS AC LOADS'!$I$24/12)*1000</f>
        <v>14186.211898611113</v>
      </c>
      <c r="T22" s="24">
        <f>'Sch. 2 - CLFP'!$H$20*('CUS AC LOADS'!$I$24/12)*1000</f>
        <v>14186.211898611113</v>
      </c>
      <c r="U22" s="24">
        <f>'Sch. 2 - CLFP'!$H$20*('CUS AC LOADS'!$I$24/12)*1000</f>
        <v>14186.211898611113</v>
      </c>
      <c r="V22" s="24">
        <f>'Sch. 2 - CLFP'!$H$20*('CUS AC LOADS'!$I$24/12)*1000</f>
        <v>14186.211898611113</v>
      </c>
      <c r="W22" s="15"/>
      <c r="X22" s="24"/>
      <c r="Y22" s="15"/>
      <c r="Z22" s="24"/>
      <c r="AA22" s="15"/>
      <c r="AB22" s="24"/>
      <c r="AC22" s="15"/>
    </row>
    <row r="23" spans="1:29">
      <c r="A23">
        <v>15</v>
      </c>
      <c r="B23" s="107" t="str">
        <f>B16</f>
        <v>2025 Collected Revenue</v>
      </c>
      <c r="J23" s="22">
        <v>405288.79</v>
      </c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15"/>
      <c r="X23" s="24"/>
      <c r="Y23" s="15"/>
      <c r="Z23" s="24"/>
      <c r="AA23" s="15"/>
      <c r="AB23" s="24"/>
      <c r="AC23" s="15"/>
    </row>
    <row r="24" spans="1:29">
      <c r="A24">
        <v>16</v>
      </c>
      <c r="B24" s="2" t="s">
        <v>72</v>
      </c>
      <c r="J24" s="13">
        <f>J22-J23</f>
        <v>-55536.885511805594</v>
      </c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15"/>
      <c r="X24" s="24"/>
      <c r="Y24" s="15"/>
      <c r="Z24" s="24"/>
      <c r="AA24" s="15"/>
      <c r="AB24" s="24"/>
      <c r="AC24" s="15"/>
    </row>
    <row r="25" spans="1:29">
      <c r="A25">
        <v>17</v>
      </c>
      <c r="B25" s="2" t="s">
        <v>73</v>
      </c>
      <c r="J25" s="118">
        <f>ROUND((1+$I$70)^18,2)</f>
        <v>1.1200000000000001</v>
      </c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15"/>
      <c r="X25" s="24"/>
      <c r="Y25" s="15"/>
      <c r="Z25" s="24"/>
      <c r="AA25" s="15"/>
      <c r="AB25" s="24"/>
      <c r="AC25" s="15"/>
    </row>
    <row r="26" spans="1:29">
      <c r="A26">
        <v>18</v>
      </c>
      <c r="B26" s="2" t="str">
        <f>+B12</f>
        <v>True-up Amount to be (Refunded)/Paid based on 2025 Actual Loads</v>
      </c>
      <c r="D26" s="15"/>
      <c r="E26" s="15"/>
      <c r="F26" s="15"/>
      <c r="G26" s="15"/>
      <c r="H26" s="15"/>
      <c r="I26" s="15"/>
      <c r="J26" s="14">
        <f>J24*J25</f>
        <v>-62201.311773222274</v>
      </c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15"/>
      <c r="X26" s="24"/>
      <c r="Y26" s="15"/>
      <c r="Z26" s="24"/>
      <c r="AA26" s="15"/>
      <c r="AB26" s="24"/>
      <c r="AC26" s="15"/>
    </row>
    <row r="27" spans="1:29">
      <c r="B27" s="2"/>
      <c r="D27" s="15"/>
      <c r="E27" s="15"/>
      <c r="F27" s="15"/>
      <c r="G27" s="15"/>
      <c r="H27" s="15"/>
      <c r="I27" s="15"/>
      <c r="J27" s="15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15"/>
      <c r="X27" s="24"/>
      <c r="Y27" s="15"/>
      <c r="Z27" s="24"/>
      <c r="AA27" s="15"/>
      <c r="AB27" s="24"/>
      <c r="AC27" s="15"/>
    </row>
    <row r="28" spans="1:29">
      <c r="A28">
        <v>19</v>
      </c>
      <c r="B28" s="2" t="s">
        <v>76</v>
      </c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15"/>
      <c r="X28" s="24"/>
      <c r="Y28" s="15"/>
      <c r="Z28" s="24"/>
      <c r="AA28" s="15"/>
      <c r="AB28" s="24"/>
      <c r="AC28" s="15"/>
    </row>
    <row r="29" spans="1:29">
      <c r="A29">
        <v>20</v>
      </c>
      <c r="B29" s="106" t="s">
        <v>122</v>
      </c>
      <c r="J29" s="12">
        <f>SUM(K29:V29)</f>
        <v>151590.7009055556</v>
      </c>
      <c r="K29" s="24">
        <f>'Sch. 2 - BHW(old rate)'!$H$21*('CUS AC LOADS (for old rate)'!$I$24/12)*1000</f>
        <v>21701.619635416671</v>
      </c>
      <c r="L29" s="24">
        <f>'Sch. 2 - BHW(old rate)'!$H$21*('CUS AC LOADS (for old rate)'!$I$24/12)*1000</f>
        <v>21701.619635416671</v>
      </c>
      <c r="M29" s="24">
        <f>'Sch. 2 - BHW(old rate)'!$H$21*('CUS AC LOADS (for old rate)'!$I$24/12)*1000</f>
        <v>21701.619635416671</v>
      </c>
      <c r="N29" s="24">
        <f>'Sch. 2 - BHW(old rate)'!$H$21*('CUS AC LOADS (for old rate)'!$I$24/12)*1000</f>
        <v>21701.619635416671</v>
      </c>
      <c r="O29" s="24">
        <f>'Sch. 2 - BHW(old rate)'!$H$21*('CUS AC LOADS (for old rate)'!$I$24/12)*1000</f>
        <v>21701.619635416671</v>
      </c>
      <c r="P29" s="24">
        <f>'Sch. 2 - BHW'!$H$20*('CUS AC LOADS'!$I$24/12)*1000</f>
        <v>6154.6575326388902</v>
      </c>
      <c r="Q29" s="24">
        <f>'Sch. 2 - BHW'!$H$20*('CUS AC LOADS'!$I$24/12)*1000</f>
        <v>6154.6575326388902</v>
      </c>
      <c r="R29" s="24">
        <f>'Sch. 2 - BHW'!$H$20*('CUS AC LOADS'!$I$24/12)*1000</f>
        <v>6154.6575326388902</v>
      </c>
      <c r="S29" s="24">
        <f>'Sch. 2 - BHW'!$H$20*('CUS AC LOADS'!$I$24/12)*1000</f>
        <v>6154.6575326388902</v>
      </c>
      <c r="T29" s="24">
        <f>'Sch. 2 - BHW'!$H$20*('CUS AC LOADS'!$I$24/12)*1000</f>
        <v>6154.6575326388902</v>
      </c>
      <c r="U29" s="24">
        <f>'Sch. 2 - BHW'!$H$20*('CUS AC LOADS'!$I$24/12)*1000</f>
        <v>6154.6575326388902</v>
      </c>
      <c r="V29" s="24">
        <f>'Sch. 2 - BHW'!$H$20*('CUS AC LOADS'!$I$24/12)*1000</f>
        <v>6154.6575326388902</v>
      </c>
      <c r="W29" s="15"/>
      <c r="X29" s="24"/>
      <c r="Y29" s="15"/>
      <c r="Z29" s="24"/>
      <c r="AA29" s="15"/>
      <c r="AB29" s="24"/>
      <c r="AC29" s="15"/>
    </row>
    <row r="30" spans="1:29">
      <c r="A30">
        <v>21</v>
      </c>
      <c r="B30" s="107" t="str">
        <f>B23</f>
        <v>2025 Collected Revenue</v>
      </c>
      <c r="J30" s="22">
        <v>174599.1</v>
      </c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15"/>
      <c r="X30" s="24"/>
      <c r="Y30" s="15"/>
      <c r="Z30" s="24"/>
      <c r="AA30" s="15"/>
      <c r="AB30" s="24"/>
      <c r="AC30" s="15"/>
    </row>
    <row r="31" spans="1:29">
      <c r="A31">
        <v>22</v>
      </c>
      <c r="B31" s="2" t="s">
        <v>72</v>
      </c>
      <c r="J31" s="13">
        <f>J29-J30</f>
        <v>-23008.399094444409</v>
      </c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15"/>
      <c r="X31" s="24"/>
      <c r="Y31" s="15"/>
      <c r="Z31" s="24"/>
      <c r="AA31" s="15"/>
      <c r="AB31" s="24"/>
      <c r="AC31" s="15"/>
    </row>
    <row r="32" spans="1:29">
      <c r="A32">
        <v>23</v>
      </c>
      <c r="B32" s="2" t="s">
        <v>73</v>
      </c>
      <c r="J32" s="118">
        <f>ROUND((1+$I$70)^18,2)</f>
        <v>1.1200000000000001</v>
      </c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15"/>
      <c r="X32" s="24"/>
      <c r="Y32" s="15"/>
      <c r="Z32" s="24"/>
      <c r="AA32" s="15"/>
      <c r="AB32" s="24"/>
      <c r="AC32" s="15"/>
    </row>
    <row r="33" spans="1:29">
      <c r="A33">
        <v>24</v>
      </c>
      <c r="B33" s="2" t="str">
        <f>+B12</f>
        <v>True-up Amount to be (Refunded)/Paid based on 2025 Actual Loads</v>
      </c>
      <c r="D33" s="15"/>
      <c r="E33" s="15"/>
      <c r="F33" s="15"/>
      <c r="G33" s="15"/>
      <c r="H33" s="15"/>
      <c r="I33" s="15"/>
      <c r="J33" s="14">
        <f>J31*J32</f>
        <v>-25769.406985777739</v>
      </c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15"/>
      <c r="X33" s="24"/>
      <c r="Y33" s="15"/>
      <c r="Z33" s="24"/>
      <c r="AA33" s="15"/>
      <c r="AB33" s="24"/>
      <c r="AC33" s="15"/>
    </row>
    <row r="34" spans="1:29">
      <c r="B34" s="2"/>
      <c r="D34" s="15"/>
      <c r="E34" s="15"/>
      <c r="F34" s="15"/>
      <c r="G34" s="15"/>
      <c r="H34" s="15"/>
      <c r="I34" s="15"/>
      <c r="J34" s="15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15"/>
      <c r="X34" s="24"/>
      <c r="Y34" s="15"/>
      <c r="Z34" s="24"/>
      <c r="AA34" s="15"/>
      <c r="AB34" s="24"/>
      <c r="AC34" s="15"/>
    </row>
    <row r="35" spans="1:29">
      <c r="A35">
        <v>25</v>
      </c>
      <c r="B35" s="2" t="s">
        <v>77</v>
      </c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15"/>
      <c r="X35" s="24"/>
      <c r="Y35" s="15"/>
      <c r="Z35" s="24"/>
      <c r="AA35" s="15"/>
      <c r="AB35" s="24"/>
      <c r="AC35" s="15"/>
    </row>
    <row r="36" spans="1:29">
      <c r="A36">
        <v>26</v>
      </c>
      <c r="B36" s="106" t="s">
        <v>122</v>
      </c>
      <c r="J36" s="12">
        <f>SUM(K36:V36)</f>
        <v>694342.34268472239</v>
      </c>
      <c r="K36" s="24">
        <f>'Sch. 2 - Basin(old rate)'!$H$21*('CUS AC LOADS (for old rate)'!$I$24/12)*1000</f>
        <v>86227.768684722236</v>
      </c>
      <c r="L36" s="24">
        <f>'Sch. 2 - Basin(old rate)'!$H$21*('CUS AC LOADS (for old rate)'!$I$24/12)*1000</f>
        <v>86227.768684722236</v>
      </c>
      <c r="M36" s="24">
        <f>'Sch. 2 - Basin(old rate)'!$H$21*('CUS AC LOADS (for old rate)'!$I$24/12)*1000</f>
        <v>86227.768684722236</v>
      </c>
      <c r="N36" s="24">
        <f>'Sch. 2 - Basin(old rate)'!$H$21*('CUS AC LOADS (for old rate)'!$I$24/12)*1000</f>
        <v>86227.768684722236</v>
      </c>
      <c r="O36" s="24">
        <f>'Sch. 2 - Basin(old rate)'!$H$21*('CUS AC LOADS (for old rate)'!$I$24/12)*1000</f>
        <v>86227.768684722236</v>
      </c>
      <c r="P36" s="24">
        <f>'Sch. 2 - Basin'!$H$20*('CUS AC LOADS'!$I$24/12)*1000</f>
        <v>37600.499894444445</v>
      </c>
      <c r="Q36" s="24">
        <f>'Sch. 2 - Basin'!$H$20*('CUS AC LOADS'!$I$24/12)*1000</f>
        <v>37600.499894444445</v>
      </c>
      <c r="R36" s="24">
        <f>'Sch. 2 - Basin'!$H$20*('CUS AC LOADS'!$I$24/12)*1000</f>
        <v>37600.499894444445</v>
      </c>
      <c r="S36" s="24">
        <f>'Sch. 2 - Basin'!$H$20*('CUS AC LOADS'!$I$24/12)*1000</f>
        <v>37600.499894444445</v>
      </c>
      <c r="T36" s="24">
        <f>'Sch. 2 - Basin'!$H$20*('CUS AC LOADS'!$I$24/12)*1000</f>
        <v>37600.499894444445</v>
      </c>
      <c r="U36" s="24">
        <f>'Sch. 2 - Basin'!$H$20*('CUS AC LOADS'!$I$24/12)*1000</f>
        <v>37600.499894444445</v>
      </c>
      <c r="V36" s="24">
        <f>'Sch. 2 - Basin'!$H$20*('CUS AC LOADS'!$I$24/12)*1000</f>
        <v>37600.499894444445</v>
      </c>
      <c r="W36" s="15"/>
      <c r="X36" s="24"/>
      <c r="Y36" s="15"/>
      <c r="Z36" s="24"/>
      <c r="AA36" s="15"/>
      <c r="AB36" s="24"/>
      <c r="AC36" s="15"/>
    </row>
    <row r="37" spans="1:29">
      <c r="A37">
        <v>27</v>
      </c>
      <c r="B37" s="107" t="str">
        <f>B30</f>
        <v>2025 Collected Revenue</v>
      </c>
      <c r="J37" s="22">
        <v>812576.51</v>
      </c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15"/>
      <c r="X37" s="24"/>
      <c r="Y37" s="15"/>
      <c r="Z37" s="24"/>
      <c r="AA37" s="15"/>
      <c r="AB37" s="24"/>
      <c r="AC37" s="15"/>
    </row>
    <row r="38" spans="1:29">
      <c r="A38">
        <v>28</v>
      </c>
      <c r="B38" s="2" t="s">
        <v>72</v>
      </c>
      <c r="J38" s="13">
        <f>J36-J37</f>
        <v>-118234.16731527762</v>
      </c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15"/>
      <c r="X38" s="24"/>
      <c r="Y38" s="15"/>
      <c r="Z38" s="24"/>
      <c r="AA38" s="15"/>
      <c r="AB38" s="24"/>
      <c r="AC38" s="15"/>
    </row>
    <row r="39" spans="1:29">
      <c r="A39">
        <v>29</v>
      </c>
      <c r="B39" s="2" t="s">
        <v>73</v>
      </c>
      <c r="J39" s="118">
        <f>ROUND((1+$I$70)^18,2)</f>
        <v>1.1200000000000001</v>
      </c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15"/>
      <c r="X39" s="24"/>
      <c r="Y39" s="15"/>
      <c r="Z39" s="24"/>
      <c r="AA39" s="15"/>
      <c r="AB39" s="24"/>
      <c r="AC39" s="15"/>
    </row>
    <row r="40" spans="1:29">
      <c r="A40">
        <v>30</v>
      </c>
      <c r="B40" s="2" t="str">
        <f>+B12</f>
        <v>True-up Amount to be (Refunded)/Paid based on 2025 Actual Loads</v>
      </c>
      <c r="D40" s="15"/>
      <c r="E40" s="15"/>
      <c r="F40" s="15"/>
      <c r="G40" s="15"/>
      <c r="H40" s="15"/>
      <c r="I40" s="15"/>
      <c r="J40" s="14">
        <f>J38*J39</f>
        <v>-132422.26739311096</v>
      </c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15"/>
      <c r="X40" s="24"/>
      <c r="Y40" s="15"/>
      <c r="Z40" s="24"/>
      <c r="AA40" s="15"/>
      <c r="AB40" s="24"/>
      <c r="AC40" s="15"/>
    </row>
    <row r="41" spans="1:29">
      <c r="B41" s="2"/>
      <c r="D41" s="15"/>
      <c r="E41" s="15"/>
      <c r="F41" s="15"/>
      <c r="G41" s="15"/>
      <c r="H41" s="15"/>
      <c r="I41" s="15"/>
      <c r="J41" s="15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15"/>
      <c r="X41" s="24"/>
      <c r="Y41" s="15"/>
      <c r="Z41" s="24"/>
      <c r="AA41" s="15"/>
      <c r="AB41" s="24"/>
      <c r="AC41" s="15"/>
    </row>
    <row r="42" spans="1:29">
      <c r="A42">
        <v>30</v>
      </c>
      <c r="B42" s="2" t="s">
        <v>78</v>
      </c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15"/>
      <c r="X42" s="24"/>
      <c r="Y42" s="15"/>
      <c r="Z42" s="24"/>
      <c r="AA42" s="15"/>
      <c r="AB42" s="24"/>
      <c r="AC42" s="15"/>
    </row>
    <row r="43" spans="1:29">
      <c r="A43">
        <v>31</v>
      </c>
      <c r="B43" s="106" t="s">
        <v>122</v>
      </c>
      <c r="J43" s="12">
        <f>SUM(K43:V43)</f>
        <v>27801.534343750005</v>
      </c>
      <c r="K43" s="24">
        <f>'Sch. 2 - WMPA(old rate)'!$H$21*'CUS AC LOADS (for old rate)'!$I$24/12*1000</f>
        <v>5560.3068687500008</v>
      </c>
      <c r="L43" s="24">
        <f>'Sch. 2 - WMPA(old rate)'!$H$21*'CUS AC LOADS (for old rate)'!$I$24/12*1000</f>
        <v>5560.3068687500008</v>
      </c>
      <c r="M43" s="24">
        <f>'Sch. 2 - WMPA(old rate)'!$H$21*'CUS AC LOADS (for old rate)'!$I$24/12*1000</f>
        <v>5560.3068687500008</v>
      </c>
      <c r="N43" s="24">
        <f>'Sch. 2 - WMPA(old rate)'!$H$21*'CUS AC LOADS (for old rate)'!$I$24/12*1000</f>
        <v>5560.3068687500008</v>
      </c>
      <c r="O43" s="24">
        <f>'Sch. 2 - WMPA(old rate)'!$H$21*'CUS AC LOADS (for old rate)'!$I$24/12*1000</f>
        <v>5560.3068687500008</v>
      </c>
      <c r="P43" s="24"/>
      <c r="Q43" s="24"/>
      <c r="R43" s="24"/>
      <c r="S43" s="24"/>
      <c r="T43" s="24"/>
      <c r="U43" s="24"/>
      <c r="V43" s="24"/>
      <c r="W43" s="15"/>
      <c r="X43" s="24"/>
      <c r="Y43" s="15"/>
      <c r="Z43" s="24"/>
      <c r="AA43" s="15"/>
      <c r="AB43" s="24"/>
      <c r="AC43" s="15"/>
    </row>
    <row r="44" spans="1:29">
      <c r="A44">
        <v>33</v>
      </c>
      <c r="B44" s="107" t="str">
        <f>B37</f>
        <v>2025 Collected Revenue</v>
      </c>
      <c r="J44" s="22">
        <v>31006.68</v>
      </c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15"/>
      <c r="X44" s="24"/>
      <c r="Y44" s="15"/>
      <c r="Z44" s="24"/>
      <c r="AA44" s="15"/>
      <c r="AB44" s="24"/>
      <c r="AC44" s="15"/>
    </row>
    <row r="45" spans="1:29">
      <c r="A45">
        <v>34</v>
      </c>
      <c r="B45" s="2" t="s">
        <v>72</v>
      </c>
      <c r="J45" s="13">
        <f>J43-J44</f>
        <v>-3205.1456562499952</v>
      </c>
      <c r="K45" s="15"/>
      <c r="L45" s="13"/>
      <c r="O45" s="15"/>
      <c r="P45" s="24"/>
      <c r="Q45" s="15"/>
      <c r="R45" s="24"/>
      <c r="S45" s="15"/>
      <c r="T45" s="24"/>
      <c r="U45" s="15"/>
      <c r="V45" s="24"/>
      <c r="W45" s="15"/>
      <c r="X45" s="24"/>
      <c r="Y45" s="15"/>
      <c r="Z45" s="24"/>
      <c r="AA45" s="15"/>
      <c r="AB45" s="24"/>
      <c r="AC45" s="15"/>
    </row>
    <row r="46" spans="1:29">
      <c r="A46">
        <v>35</v>
      </c>
      <c r="B46" s="2" t="s">
        <v>73</v>
      </c>
      <c r="J46" s="118">
        <f>ROUND((1+$I$70)^18,2)</f>
        <v>1.1200000000000001</v>
      </c>
      <c r="K46" s="15"/>
      <c r="L46" s="15"/>
      <c r="M46" s="15"/>
      <c r="N46" s="15"/>
      <c r="O46" s="15"/>
      <c r="P46" s="24"/>
      <c r="Q46" s="15"/>
      <c r="R46" s="24"/>
      <c r="S46" s="15"/>
      <c r="T46" s="24"/>
      <c r="U46" s="15"/>
      <c r="V46" s="24"/>
      <c r="W46" s="15"/>
      <c r="X46" s="24"/>
      <c r="Y46" s="15"/>
      <c r="Z46" s="24"/>
      <c r="AA46" s="15"/>
      <c r="AB46" s="24"/>
      <c r="AC46" s="15"/>
    </row>
    <row r="47" spans="1:29">
      <c r="A47">
        <v>36</v>
      </c>
      <c r="B47" s="2" t="str">
        <f>+B12</f>
        <v>True-up Amount to be (Refunded)/Paid based on 2025 Actual Loads</v>
      </c>
      <c r="D47" s="15"/>
      <c r="E47" s="15"/>
      <c r="F47" s="15"/>
      <c r="G47" s="15"/>
      <c r="H47" s="15"/>
      <c r="I47" s="15"/>
      <c r="J47" s="14">
        <f>J45*J46</f>
        <v>-3589.7631349999951</v>
      </c>
      <c r="K47" s="15"/>
      <c r="L47" s="15"/>
      <c r="M47" s="15"/>
      <c r="N47" s="15"/>
      <c r="O47" s="15"/>
      <c r="P47" s="24"/>
      <c r="Q47" s="15"/>
      <c r="R47" s="24"/>
      <c r="S47" s="15"/>
      <c r="T47" s="24"/>
      <c r="U47" s="15"/>
      <c r="V47" s="24"/>
      <c r="W47" s="15"/>
      <c r="X47" s="24"/>
      <c r="Y47" s="15"/>
      <c r="Z47" s="24"/>
      <c r="AA47" s="15"/>
      <c r="AB47" s="24"/>
      <c r="AC47" s="15"/>
    </row>
    <row r="48" spans="1:29">
      <c r="B48" s="2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25">
        <f>J43+J36+J29+J22+J15+J8</f>
        <v>2372097.5294270832</v>
      </c>
      <c r="O48" s="26" t="s">
        <v>79</v>
      </c>
      <c r="P48" s="24"/>
      <c r="Q48" s="15"/>
      <c r="R48" s="24"/>
      <c r="S48" s="15"/>
      <c r="T48" s="24"/>
      <c r="U48" s="15"/>
      <c r="V48" s="24"/>
      <c r="W48" s="15"/>
      <c r="X48" s="24"/>
      <c r="Y48" s="15"/>
      <c r="Z48" s="24"/>
      <c r="AA48" s="15"/>
      <c r="AB48" s="24"/>
      <c r="AC48" s="15"/>
    </row>
    <row r="49" spans="1:29">
      <c r="A49">
        <v>37</v>
      </c>
      <c r="C49" t="s">
        <v>81</v>
      </c>
      <c r="D49" t="s">
        <v>82</v>
      </c>
      <c r="E49" s="16"/>
      <c r="F49" s="16"/>
      <c r="G49" s="16"/>
      <c r="H49" s="16"/>
      <c r="I49" s="16"/>
      <c r="J49" s="16"/>
      <c r="K49" s="16"/>
      <c r="L49" s="16"/>
      <c r="M49" s="16"/>
      <c r="N49" s="27">
        <f>J44+J37+J30+J23+J16+J9</f>
        <v>2753631.1</v>
      </c>
      <c r="O49" s="28" t="s">
        <v>80</v>
      </c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</row>
    <row r="50" spans="1:29">
      <c r="E50" s="16"/>
      <c r="F50" s="16"/>
      <c r="G50" s="16"/>
      <c r="H50" s="16"/>
      <c r="I50" s="16"/>
      <c r="J50" s="16"/>
      <c r="K50" s="16"/>
      <c r="L50" s="16"/>
      <c r="M50" s="16"/>
      <c r="N50" s="29">
        <f>N48-N49</f>
        <v>-381533.57057291688</v>
      </c>
      <c r="O50" s="30" t="s">
        <v>121</v>
      </c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</row>
    <row r="51" spans="1:29">
      <c r="A51">
        <v>38</v>
      </c>
      <c r="B51" t="s">
        <v>83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</row>
    <row r="52" spans="1:29">
      <c r="A52">
        <v>39</v>
      </c>
      <c r="E52" s="16"/>
      <c r="F52" s="16"/>
      <c r="G52" s="16"/>
      <c r="H52" s="16"/>
      <c r="I52" s="16" t="s">
        <v>84</v>
      </c>
      <c r="J52" s="16"/>
      <c r="K52" s="16"/>
      <c r="L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</row>
    <row r="53" spans="1:29">
      <c r="A53">
        <v>40</v>
      </c>
      <c r="C53" t="s">
        <v>85</v>
      </c>
      <c r="F53" s="31" t="s">
        <v>86</v>
      </c>
      <c r="I53" t="s">
        <v>87</v>
      </c>
    </row>
    <row r="54" spans="1:29">
      <c r="A54">
        <f t="shared" ref="A54:A70" si="0">A53+1</f>
        <v>41</v>
      </c>
      <c r="C54" t="s">
        <v>22</v>
      </c>
      <c r="F54" s="172">
        <v>2025</v>
      </c>
      <c r="G54" s="173"/>
      <c r="H54" s="173"/>
      <c r="I54" s="174">
        <v>6.7999999999999996E-3</v>
      </c>
    </row>
    <row r="55" spans="1:29">
      <c r="A55">
        <f t="shared" si="0"/>
        <v>42</v>
      </c>
      <c r="C55" t="s">
        <v>23</v>
      </c>
      <c r="F55" s="172">
        <f>F54</f>
        <v>2025</v>
      </c>
      <c r="G55" s="173"/>
      <c r="H55" s="173"/>
      <c r="I55" s="174">
        <v>6.1999999999999998E-3</v>
      </c>
    </row>
    <row r="56" spans="1:29">
      <c r="A56">
        <f t="shared" si="0"/>
        <v>43</v>
      </c>
      <c r="C56" t="s">
        <v>24</v>
      </c>
      <c r="F56" s="172">
        <f t="shared" ref="F56:F65" si="1">F55</f>
        <v>2025</v>
      </c>
      <c r="G56" s="173"/>
      <c r="H56" s="173"/>
      <c r="I56" s="174">
        <v>6.7999999999999996E-3</v>
      </c>
    </row>
    <row r="57" spans="1:29">
      <c r="A57">
        <f t="shared" si="0"/>
        <v>44</v>
      </c>
      <c r="C57" t="s">
        <v>28</v>
      </c>
      <c r="F57" s="172">
        <f t="shared" si="1"/>
        <v>2025</v>
      </c>
      <c r="G57" s="173"/>
      <c r="H57" s="173"/>
      <c r="I57" s="174">
        <v>6.1999999999999998E-3</v>
      </c>
    </row>
    <row r="58" spans="1:29">
      <c r="A58">
        <f t="shared" si="0"/>
        <v>45</v>
      </c>
      <c r="C58" t="s">
        <v>29</v>
      </c>
      <c r="F58" s="172">
        <f t="shared" si="1"/>
        <v>2025</v>
      </c>
      <c r="G58" s="173"/>
      <c r="H58" s="173"/>
      <c r="I58" s="174">
        <v>6.4000000000000003E-3</v>
      </c>
    </row>
    <row r="59" spans="1:29">
      <c r="A59">
        <f t="shared" si="0"/>
        <v>46</v>
      </c>
      <c r="C59" t="s">
        <v>30</v>
      </c>
      <c r="F59" s="172">
        <f t="shared" si="1"/>
        <v>2025</v>
      </c>
      <c r="G59" s="173"/>
      <c r="H59" s="173"/>
      <c r="I59" s="174">
        <v>6.1999999999999998E-3</v>
      </c>
    </row>
    <row r="60" spans="1:29">
      <c r="A60">
        <f t="shared" si="0"/>
        <v>47</v>
      </c>
      <c r="C60" t="s">
        <v>25</v>
      </c>
      <c r="F60" s="172">
        <f t="shared" si="1"/>
        <v>2025</v>
      </c>
      <c r="G60" s="173"/>
      <c r="H60" s="173"/>
      <c r="I60" s="174">
        <v>6.4000000000000003E-3</v>
      </c>
    </row>
    <row r="61" spans="1:29">
      <c r="A61">
        <f t="shared" si="0"/>
        <v>48</v>
      </c>
      <c r="C61" t="s">
        <v>19</v>
      </c>
      <c r="F61" s="172">
        <f t="shared" si="1"/>
        <v>2025</v>
      </c>
      <c r="G61" s="173"/>
      <c r="H61" s="173"/>
      <c r="I61" s="174">
        <v>6.4000000000000003E-3</v>
      </c>
    </row>
    <row r="62" spans="1:29">
      <c r="A62">
        <f t="shared" si="0"/>
        <v>49</v>
      </c>
      <c r="C62" t="s">
        <v>26</v>
      </c>
      <c r="F62" s="172">
        <f t="shared" si="1"/>
        <v>2025</v>
      </c>
      <c r="G62" s="173"/>
      <c r="H62" s="173"/>
      <c r="I62" s="174">
        <v>6.1999999999999998E-3</v>
      </c>
    </row>
    <row r="63" spans="1:29">
      <c r="A63">
        <f t="shared" si="0"/>
        <v>50</v>
      </c>
      <c r="C63" t="s">
        <v>20</v>
      </c>
      <c r="F63" s="172">
        <f t="shared" si="1"/>
        <v>2025</v>
      </c>
      <c r="G63" s="173"/>
      <c r="H63" s="173"/>
      <c r="I63" s="174">
        <v>6.4000000000000003E-3</v>
      </c>
    </row>
    <row r="64" spans="1:29">
      <c r="A64">
        <f t="shared" si="0"/>
        <v>51</v>
      </c>
      <c r="C64" t="s">
        <v>21</v>
      </c>
      <c r="F64" s="172">
        <f t="shared" si="1"/>
        <v>2025</v>
      </c>
      <c r="G64" s="173"/>
      <c r="H64" s="173"/>
      <c r="I64" s="174">
        <v>6.1999999999999998E-3</v>
      </c>
    </row>
    <row r="65" spans="1:9">
      <c r="A65">
        <f t="shared" si="0"/>
        <v>52</v>
      </c>
      <c r="C65" t="s">
        <v>27</v>
      </c>
      <c r="F65" s="172">
        <f t="shared" si="1"/>
        <v>2025</v>
      </c>
      <c r="G65" s="173"/>
      <c r="H65" s="173"/>
      <c r="I65" s="174">
        <v>6.4000000000000003E-3</v>
      </c>
    </row>
    <row r="66" spans="1:9">
      <c r="A66">
        <f t="shared" si="0"/>
        <v>53</v>
      </c>
      <c r="C66" t="s">
        <v>22</v>
      </c>
      <c r="F66" s="172">
        <f>F65+1</f>
        <v>2026</v>
      </c>
      <c r="G66" s="173"/>
      <c r="H66" s="173"/>
      <c r="I66" s="174">
        <v>6.1000000000000004E-3</v>
      </c>
    </row>
    <row r="67" spans="1:9">
      <c r="A67">
        <f t="shared" si="0"/>
        <v>54</v>
      </c>
      <c r="C67" t="s">
        <v>23</v>
      </c>
      <c r="F67" s="172">
        <f>F66</f>
        <v>2026</v>
      </c>
      <c r="G67" s="173"/>
      <c r="H67" s="173"/>
      <c r="I67" s="174">
        <v>5.4999999999999997E-3</v>
      </c>
    </row>
    <row r="68" spans="1:9">
      <c r="A68">
        <f t="shared" si="0"/>
        <v>55</v>
      </c>
      <c r="C68" t="s">
        <v>24</v>
      </c>
      <c r="F68" s="172">
        <f>F67</f>
        <v>2026</v>
      </c>
      <c r="G68" s="173"/>
      <c r="H68" s="173"/>
      <c r="I68" s="174">
        <v>6.1000000000000004E-3</v>
      </c>
    </row>
    <row r="69" spans="1:9">
      <c r="A69">
        <f t="shared" si="0"/>
        <v>56</v>
      </c>
      <c r="C69" t="s">
        <v>28</v>
      </c>
      <c r="F69" s="172">
        <f>F68</f>
        <v>2026</v>
      </c>
      <c r="G69" s="173"/>
      <c r="H69" s="173"/>
      <c r="I69" s="174">
        <v>5.5999999999999999E-3</v>
      </c>
    </row>
    <row r="70" spans="1:9">
      <c r="A70">
        <f t="shared" si="0"/>
        <v>57</v>
      </c>
      <c r="D70" t="s">
        <v>88</v>
      </c>
      <c r="F70" s="173"/>
      <c r="G70" s="173"/>
      <c r="H70" s="173"/>
      <c r="I70" s="175">
        <f>AVERAGE(I54:I69)</f>
        <v>6.2437499999999993E-3</v>
      </c>
    </row>
  </sheetData>
  <phoneticPr fontId="88" type="noConversion"/>
  <pageMargins left="0.7" right="0.7" top="0.75" bottom="0.75" header="0.3" footer="0.3"/>
  <pageSetup scale="7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78"/>
  <sheetViews>
    <sheetView zoomScale="85" zoomScaleNormal="85" workbookViewId="0">
      <selection activeCell="H20" sqref="H20"/>
    </sheetView>
  </sheetViews>
  <sheetFormatPr defaultColWidth="9.140625" defaultRowHeight="14.25"/>
  <cols>
    <col min="1" max="1" width="9.140625" style="34"/>
    <col min="2" max="2" width="25.7109375" style="34" customWidth="1"/>
    <col min="3" max="6" width="14.140625" style="34" customWidth="1"/>
    <col min="7" max="7" width="15.42578125" style="34" customWidth="1"/>
    <col min="8" max="8" width="14.140625" style="34" customWidth="1"/>
    <col min="9" max="9" width="16.140625" style="34" customWidth="1"/>
    <col min="10" max="16384" width="9.140625" style="34"/>
  </cols>
  <sheetData>
    <row r="1" spans="1:13" ht="15">
      <c r="A1" s="32" t="s">
        <v>34</v>
      </c>
      <c r="B1" s="33"/>
      <c r="C1" s="33"/>
      <c r="D1" s="33"/>
      <c r="E1" s="33"/>
      <c r="F1" s="33"/>
      <c r="G1" s="33"/>
      <c r="I1" s="35" t="str">
        <f>+'Under-Over Recovery'!J2</f>
        <v>Black Hills Power, Inc.</v>
      </c>
      <c r="J1" s="36"/>
    </row>
    <row r="2" spans="1:13" ht="15">
      <c r="A2" s="33"/>
      <c r="B2" s="37"/>
      <c r="C2" s="38"/>
      <c r="D2" s="38"/>
      <c r="E2" s="38"/>
      <c r="F2" s="38"/>
      <c r="G2" s="38"/>
      <c r="H2" s="33"/>
      <c r="I2" s="35" t="str">
        <f>+'Under-Over Recovery'!J3</f>
        <v>May 31, 2026</v>
      </c>
      <c r="J2" s="33"/>
    </row>
    <row r="3" spans="1:13" ht="15">
      <c r="A3" s="33"/>
      <c r="B3" s="170" t="s">
        <v>33</v>
      </c>
      <c r="C3" s="170"/>
      <c r="D3" s="170"/>
      <c r="E3" s="170"/>
      <c r="F3" s="170"/>
      <c r="G3" s="170"/>
      <c r="H3" s="170"/>
    </row>
    <row r="4" spans="1:13" ht="15">
      <c r="A4" s="33"/>
      <c r="B4" s="170" t="s">
        <v>7</v>
      </c>
      <c r="C4" s="170"/>
      <c r="D4" s="170"/>
      <c r="E4" s="170"/>
      <c r="F4" s="170"/>
      <c r="G4" s="170"/>
      <c r="H4" s="170"/>
    </row>
    <row r="5" spans="1:13" ht="15">
      <c r="A5" s="33"/>
      <c r="B5" s="37"/>
      <c r="C5" s="39"/>
      <c r="D5" s="38"/>
      <c r="E5" s="33"/>
      <c r="F5" s="38"/>
      <c r="G5" s="38"/>
      <c r="H5" s="38"/>
      <c r="I5" s="38"/>
      <c r="J5" s="33"/>
    </row>
    <row r="6" spans="1:13" ht="17.25">
      <c r="A6" s="40" t="s">
        <v>31</v>
      </c>
      <c r="B6" s="41"/>
      <c r="C6" s="167" t="s">
        <v>124</v>
      </c>
      <c r="D6" s="168"/>
      <c r="E6" s="168"/>
      <c r="F6" s="168"/>
      <c r="G6" s="169"/>
      <c r="H6" s="42"/>
      <c r="I6" s="43"/>
      <c r="J6" s="44"/>
    </row>
    <row r="7" spans="1:13" ht="15" thickBot="1">
      <c r="A7" s="45" t="s">
        <v>32</v>
      </c>
      <c r="B7" s="43"/>
      <c r="C7" s="43"/>
      <c r="D7" s="43"/>
      <c r="E7" s="43"/>
      <c r="F7" s="43"/>
      <c r="G7" s="43"/>
      <c r="H7" s="43"/>
      <c r="I7" s="43"/>
      <c r="J7" s="44"/>
    </row>
    <row r="8" spans="1:13" ht="13.5" customHeight="1">
      <c r="A8" s="46">
        <v>1</v>
      </c>
      <c r="B8" s="47"/>
      <c r="C8" s="49" t="s">
        <v>6</v>
      </c>
      <c r="D8" s="49" t="s">
        <v>8</v>
      </c>
      <c r="E8" s="49" t="s">
        <v>9</v>
      </c>
      <c r="F8" s="48" t="s">
        <v>10</v>
      </c>
      <c r="G8" s="49" t="s">
        <v>17</v>
      </c>
      <c r="H8" s="49" t="s">
        <v>37</v>
      </c>
      <c r="I8" s="49" t="s">
        <v>4</v>
      </c>
      <c r="J8" s="44"/>
    </row>
    <row r="9" spans="1:13" ht="13.5" customHeight="1">
      <c r="A9" s="46">
        <f>A8+1</f>
        <v>2</v>
      </c>
      <c r="B9" s="50"/>
      <c r="C9" s="52" t="s">
        <v>4</v>
      </c>
      <c r="D9" s="52" t="s">
        <v>4</v>
      </c>
      <c r="E9" s="52" t="s">
        <v>11</v>
      </c>
      <c r="F9" s="51" t="s">
        <v>12</v>
      </c>
      <c r="G9" s="52" t="s">
        <v>18</v>
      </c>
      <c r="H9" s="52" t="s">
        <v>38</v>
      </c>
      <c r="I9" s="52" t="s">
        <v>14</v>
      </c>
      <c r="J9" s="44"/>
      <c r="K9" s="53"/>
    </row>
    <row r="10" spans="1:13" ht="13.5" customHeight="1" thickBot="1">
      <c r="A10" s="46">
        <f t="shared" ref="A10:A69" si="0">A9+1</f>
        <v>3</v>
      </c>
      <c r="B10" s="54"/>
      <c r="C10" s="56" t="s">
        <v>13</v>
      </c>
      <c r="D10" s="56" t="s">
        <v>13</v>
      </c>
      <c r="E10" s="56" t="s">
        <v>13</v>
      </c>
      <c r="F10" s="55" t="s">
        <v>13</v>
      </c>
      <c r="G10" s="56" t="s">
        <v>13</v>
      </c>
      <c r="H10" s="56" t="s">
        <v>13</v>
      </c>
      <c r="I10" s="52" t="s">
        <v>15</v>
      </c>
      <c r="J10" s="44"/>
    </row>
    <row r="11" spans="1:13" ht="13.5" customHeight="1">
      <c r="A11" s="46">
        <f t="shared" si="0"/>
        <v>4</v>
      </c>
      <c r="B11" s="57" t="s">
        <v>22</v>
      </c>
      <c r="C11" s="176">
        <v>298.03399999999999</v>
      </c>
      <c r="D11" s="177">
        <v>317.75200000000001</v>
      </c>
      <c r="E11" s="178">
        <v>2</v>
      </c>
      <c r="F11" s="177">
        <v>52.055999999999997</v>
      </c>
      <c r="G11" s="179">
        <v>317</v>
      </c>
      <c r="H11" s="176">
        <v>0</v>
      </c>
      <c r="I11" s="58">
        <f>SUM(C11:H11)</f>
        <v>986.8420000000001</v>
      </c>
      <c r="J11" s="44"/>
      <c r="M11" s="59"/>
    </row>
    <row r="12" spans="1:13" ht="13.5" customHeight="1">
      <c r="A12" s="46">
        <f t="shared" si="0"/>
        <v>5</v>
      </c>
      <c r="B12" s="60" t="s">
        <v>23</v>
      </c>
      <c r="C12" s="180">
        <v>333.24299999999999</v>
      </c>
      <c r="D12" s="181">
        <v>306.93</v>
      </c>
      <c r="E12" s="182">
        <v>2</v>
      </c>
      <c r="F12" s="181">
        <v>60.816000000000003</v>
      </c>
      <c r="G12" s="183">
        <v>317</v>
      </c>
      <c r="H12" s="180">
        <v>0</v>
      </c>
      <c r="I12" s="61">
        <f t="shared" ref="I12:I22" si="1">SUM(C12:H12)</f>
        <v>1019.989</v>
      </c>
      <c r="J12" s="44"/>
      <c r="M12" s="59"/>
    </row>
    <row r="13" spans="1:13">
      <c r="A13" s="46">
        <f t="shared" si="0"/>
        <v>6</v>
      </c>
      <c r="B13" s="60" t="s">
        <v>24</v>
      </c>
      <c r="C13" s="180">
        <v>258</v>
      </c>
      <c r="D13" s="181">
        <v>264.351</v>
      </c>
      <c r="E13" s="182">
        <v>2</v>
      </c>
      <c r="F13" s="181">
        <v>45.956000000000003</v>
      </c>
      <c r="G13" s="183">
        <v>317</v>
      </c>
      <c r="H13" s="180">
        <v>0</v>
      </c>
      <c r="I13" s="61">
        <f t="shared" si="1"/>
        <v>887.30700000000002</v>
      </c>
      <c r="J13" s="44"/>
      <c r="M13" s="59"/>
    </row>
    <row r="14" spans="1:13">
      <c r="A14" s="46">
        <f t="shared" si="0"/>
        <v>7</v>
      </c>
      <c r="B14" s="60" t="s">
        <v>28</v>
      </c>
      <c r="C14" s="180">
        <v>247.47399999999999</v>
      </c>
      <c r="D14" s="181">
        <v>238.006</v>
      </c>
      <c r="E14" s="182">
        <v>2</v>
      </c>
      <c r="F14" s="181">
        <v>45.76</v>
      </c>
      <c r="G14" s="183">
        <v>317</v>
      </c>
      <c r="H14" s="180">
        <v>0</v>
      </c>
      <c r="I14" s="61">
        <f t="shared" si="1"/>
        <v>850.24</v>
      </c>
      <c r="J14" s="44"/>
      <c r="M14" s="59"/>
    </row>
    <row r="15" spans="1:13">
      <c r="A15" s="46">
        <f t="shared" si="0"/>
        <v>8</v>
      </c>
      <c r="B15" s="60" t="s">
        <v>29</v>
      </c>
      <c r="C15" s="180">
        <v>286.404</v>
      </c>
      <c r="D15" s="181">
        <v>243.35499999999999</v>
      </c>
      <c r="E15" s="182">
        <v>3</v>
      </c>
      <c r="F15" s="181">
        <v>51.095999999999997</v>
      </c>
      <c r="G15" s="183">
        <v>317</v>
      </c>
      <c r="H15" s="180">
        <v>0</v>
      </c>
      <c r="I15" s="61">
        <f t="shared" si="1"/>
        <v>900.85500000000002</v>
      </c>
      <c r="J15" s="44"/>
      <c r="M15" s="59"/>
    </row>
    <row r="16" spans="1:13">
      <c r="A16" s="46">
        <f t="shared" si="0"/>
        <v>9</v>
      </c>
      <c r="B16" s="60" t="s">
        <v>30</v>
      </c>
      <c r="C16" s="180">
        <v>353.37799999999999</v>
      </c>
      <c r="D16" s="181">
        <v>231.49700000000001</v>
      </c>
      <c r="E16" s="182">
        <v>3</v>
      </c>
      <c r="F16" s="181">
        <v>63.273000000000003</v>
      </c>
      <c r="G16" s="183">
        <v>317</v>
      </c>
      <c r="H16" s="180">
        <v>0</v>
      </c>
      <c r="I16" s="61">
        <f t="shared" si="1"/>
        <v>968.14800000000002</v>
      </c>
      <c r="J16" s="44"/>
      <c r="M16" s="59"/>
    </row>
    <row r="17" spans="1:13">
      <c r="A17" s="46">
        <f t="shared" si="0"/>
        <v>10</v>
      </c>
      <c r="B17" s="60" t="s">
        <v>25</v>
      </c>
      <c r="C17" s="180">
        <v>319</v>
      </c>
      <c r="D17" s="181">
        <v>239</v>
      </c>
      <c r="E17" s="182">
        <v>3</v>
      </c>
      <c r="F17" s="181">
        <v>70</v>
      </c>
      <c r="G17" s="183">
        <v>317</v>
      </c>
      <c r="H17" s="180">
        <v>0</v>
      </c>
      <c r="I17" s="61">
        <f t="shared" si="1"/>
        <v>948</v>
      </c>
      <c r="J17" s="44"/>
      <c r="M17" s="59"/>
    </row>
    <row r="18" spans="1:13">
      <c r="A18" s="46">
        <f t="shared" si="0"/>
        <v>11</v>
      </c>
      <c r="B18" s="60" t="s">
        <v>19</v>
      </c>
      <c r="C18" s="180">
        <v>379</v>
      </c>
      <c r="D18" s="181">
        <v>258</v>
      </c>
      <c r="E18" s="182">
        <v>3</v>
      </c>
      <c r="F18" s="181">
        <v>71</v>
      </c>
      <c r="G18" s="183">
        <v>317</v>
      </c>
      <c r="H18" s="180">
        <v>0</v>
      </c>
      <c r="I18" s="61">
        <f t="shared" si="1"/>
        <v>1028</v>
      </c>
      <c r="J18" s="44"/>
      <c r="M18" s="59"/>
    </row>
    <row r="19" spans="1:13">
      <c r="A19" s="46">
        <f t="shared" si="0"/>
        <v>12</v>
      </c>
      <c r="B19" s="60" t="s">
        <v>26</v>
      </c>
      <c r="C19" s="180">
        <v>334</v>
      </c>
      <c r="D19" s="181">
        <v>246</v>
      </c>
      <c r="E19" s="182">
        <v>3</v>
      </c>
      <c r="F19" s="181">
        <v>62</v>
      </c>
      <c r="G19" s="183">
        <v>317</v>
      </c>
      <c r="H19" s="180">
        <v>0</v>
      </c>
      <c r="I19" s="61">
        <f t="shared" si="1"/>
        <v>962</v>
      </c>
      <c r="J19" s="44"/>
      <c r="M19" s="59"/>
    </row>
    <row r="20" spans="1:13">
      <c r="A20" s="46">
        <f t="shared" si="0"/>
        <v>13</v>
      </c>
      <c r="B20" s="60" t="s">
        <v>20</v>
      </c>
      <c r="C20" s="180">
        <v>279</v>
      </c>
      <c r="D20" s="181">
        <v>222</v>
      </c>
      <c r="E20" s="182">
        <v>3</v>
      </c>
      <c r="F20" s="181">
        <v>52</v>
      </c>
      <c r="G20" s="183">
        <v>317</v>
      </c>
      <c r="H20" s="180">
        <v>0</v>
      </c>
      <c r="I20" s="61">
        <f t="shared" si="1"/>
        <v>873</v>
      </c>
      <c r="J20" s="44"/>
      <c r="M20" s="59"/>
    </row>
    <row r="21" spans="1:13">
      <c r="A21" s="46">
        <f t="shared" si="0"/>
        <v>14</v>
      </c>
      <c r="B21" s="60" t="s">
        <v>21</v>
      </c>
      <c r="C21" s="180">
        <v>305</v>
      </c>
      <c r="D21" s="181">
        <v>288</v>
      </c>
      <c r="E21" s="182">
        <v>2</v>
      </c>
      <c r="F21" s="181">
        <v>56</v>
      </c>
      <c r="G21" s="183">
        <v>317</v>
      </c>
      <c r="H21" s="180">
        <v>0</v>
      </c>
      <c r="I21" s="61">
        <f t="shared" si="1"/>
        <v>968</v>
      </c>
      <c r="J21" s="44"/>
      <c r="M21" s="59"/>
    </row>
    <row r="22" spans="1:13" ht="15" thickBot="1">
      <c r="A22" s="46">
        <f t="shared" si="0"/>
        <v>15</v>
      </c>
      <c r="B22" s="60" t="s">
        <v>27</v>
      </c>
      <c r="C22" s="184">
        <v>250</v>
      </c>
      <c r="D22" s="185">
        <v>258</v>
      </c>
      <c r="E22" s="186">
        <v>2</v>
      </c>
      <c r="F22" s="185">
        <v>42</v>
      </c>
      <c r="G22" s="186">
        <v>317</v>
      </c>
      <c r="H22" s="184">
        <v>0</v>
      </c>
      <c r="I22" s="62">
        <f t="shared" si="1"/>
        <v>869</v>
      </c>
      <c r="J22" s="44"/>
      <c r="M22" s="59"/>
    </row>
    <row r="23" spans="1:13" ht="15" thickBot="1">
      <c r="A23" s="46">
        <f t="shared" si="0"/>
        <v>16</v>
      </c>
      <c r="B23" s="63"/>
      <c r="C23" s="64"/>
      <c r="D23" s="64"/>
      <c r="E23" s="64"/>
      <c r="F23" s="65"/>
      <c r="G23" s="66"/>
      <c r="H23" s="67"/>
      <c r="I23" s="68"/>
      <c r="J23" s="44"/>
      <c r="M23" s="59"/>
    </row>
    <row r="24" spans="1:13" ht="15" thickBot="1">
      <c r="A24" s="46">
        <f t="shared" si="0"/>
        <v>17</v>
      </c>
      <c r="B24" s="69" t="s">
        <v>16</v>
      </c>
      <c r="C24" s="68">
        <f>SUM(C11:C22)/12</f>
        <v>303.54441666666668</v>
      </c>
      <c r="D24" s="68">
        <f t="shared" ref="D24:I24" si="2">SUM(D11:D22)/12</f>
        <v>259.40758333333332</v>
      </c>
      <c r="E24" s="68">
        <f t="shared" si="2"/>
        <v>2.5</v>
      </c>
      <c r="F24" s="68">
        <f t="shared" si="2"/>
        <v>55.996416666666669</v>
      </c>
      <c r="G24" s="68">
        <f t="shared" si="2"/>
        <v>317</v>
      </c>
      <c r="H24" s="68">
        <f t="shared" si="2"/>
        <v>0</v>
      </c>
      <c r="I24" s="68">
        <f t="shared" si="2"/>
        <v>938.44841666666673</v>
      </c>
      <c r="J24" s="44"/>
      <c r="M24" s="59"/>
    </row>
    <row r="25" spans="1:13">
      <c r="A25" s="46">
        <f t="shared" si="0"/>
        <v>18</v>
      </c>
      <c r="B25" s="44"/>
      <c r="C25" s="44"/>
      <c r="D25" s="44"/>
      <c r="E25" s="44"/>
      <c r="F25" s="44"/>
      <c r="G25" s="44"/>
      <c r="H25" s="44"/>
      <c r="I25" s="44"/>
      <c r="J25" s="44"/>
    </row>
    <row r="26" spans="1:13" ht="15">
      <c r="A26" s="46">
        <f t="shared" si="0"/>
        <v>19</v>
      </c>
      <c r="B26" s="37"/>
      <c r="C26" s="39"/>
      <c r="D26" s="38"/>
      <c r="E26" s="33"/>
      <c r="F26" s="38"/>
      <c r="G26" s="38"/>
      <c r="H26" s="38"/>
      <c r="I26" s="38"/>
      <c r="J26" s="44"/>
    </row>
    <row r="27" spans="1:13" ht="17.25">
      <c r="A27" s="46">
        <f t="shared" si="0"/>
        <v>20</v>
      </c>
      <c r="B27" s="41"/>
      <c r="C27" s="167" t="s">
        <v>125</v>
      </c>
      <c r="D27" s="168"/>
      <c r="E27" s="168"/>
      <c r="F27" s="168"/>
      <c r="G27" s="169"/>
      <c r="H27" s="42"/>
      <c r="I27" s="43"/>
      <c r="J27" s="44"/>
    </row>
    <row r="28" spans="1:13" ht="15" thickBot="1">
      <c r="A28" s="46">
        <f t="shared" si="0"/>
        <v>21</v>
      </c>
      <c r="B28" s="43"/>
      <c r="C28" s="43"/>
      <c r="D28" s="43"/>
      <c r="E28" s="43"/>
      <c r="F28" s="43"/>
      <c r="G28" s="43"/>
      <c r="H28" s="43"/>
      <c r="I28" s="43"/>
      <c r="J28" s="44"/>
    </row>
    <row r="29" spans="1:13">
      <c r="A29" s="46">
        <f t="shared" si="0"/>
        <v>22</v>
      </c>
      <c r="B29" s="47"/>
      <c r="C29" s="49" t="s">
        <v>6</v>
      </c>
      <c r="D29" s="49" t="s">
        <v>8</v>
      </c>
      <c r="E29" s="49" t="s">
        <v>9</v>
      </c>
      <c r="F29" s="48" t="s">
        <v>10</v>
      </c>
      <c r="G29" s="49" t="s">
        <v>17</v>
      </c>
      <c r="H29" s="49" t="s">
        <v>37</v>
      </c>
      <c r="I29" s="49" t="s">
        <v>4</v>
      </c>
      <c r="J29" s="44"/>
    </row>
    <row r="30" spans="1:13">
      <c r="A30" s="46">
        <f t="shared" si="0"/>
        <v>23</v>
      </c>
      <c r="B30" s="50"/>
      <c r="C30" s="52" t="s">
        <v>4</v>
      </c>
      <c r="D30" s="52" t="s">
        <v>4</v>
      </c>
      <c r="E30" s="52" t="s">
        <v>11</v>
      </c>
      <c r="F30" s="51" t="s">
        <v>12</v>
      </c>
      <c r="G30" s="52" t="s">
        <v>18</v>
      </c>
      <c r="H30" s="52" t="s">
        <v>38</v>
      </c>
      <c r="I30" s="52" t="s">
        <v>14</v>
      </c>
      <c r="J30" s="44"/>
      <c r="K30" s="53"/>
    </row>
    <row r="31" spans="1:13" ht="15" thickBot="1">
      <c r="A31" s="46">
        <f t="shared" si="0"/>
        <v>24</v>
      </c>
      <c r="B31" s="54"/>
      <c r="C31" s="56" t="s">
        <v>13</v>
      </c>
      <c r="D31" s="56" t="s">
        <v>13</v>
      </c>
      <c r="E31" s="56" t="s">
        <v>13</v>
      </c>
      <c r="F31" s="55" t="s">
        <v>13</v>
      </c>
      <c r="G31" s="56" t="s">
        <v>13</v>
      </c>
      <c r="H31" s="56" t="s">
        <v>13</v>
      </c>
      <c r="I31" s="52" t="s">
        <v>15</v>
      </c>
      <c r="J31" s="44"/>
    </row>
    <row r="32" spans="1:13">
      <c r="A32" s="46">
        <f t="shared" si="0"/>
        <v>25</v>
      </c>
      <c r="B32" s="57" t="s">
        <v>22</v>
      </c>
      <c r="C32" s="187">
        <v>330</v>
      </c>
      <c r="D32" s="188">
        <v>315</v>
      </c>
      <c r="E32" s="189">
        <v>3</v>
      </c>
      <c r="F32" s="188">
        <v>75</v>
      </c>
      <c r="G32" s="190">
        <v>317</v>
      </c>
      <c r="H32" s="187">
        <v>0</v>
      </c>
      <c r="I32" s="58">
        <f>SUM(C32:H32)</f>
        <v>1040</v>
      </c>
      <c r="J32" s="44"/>
      <c r="L32" s="59"/>
    </row>
    <row r="33" spans="1:12">
      <c r="A33" s="46">
        <f t="shared" si="0"/>
        <v>26</v>
      </c>
      <c r="B33" s="60" t="s">
        <v>23</v>
      </c>
      <c r="C33" s="191">
        <v>317</v>
      </c>
      <c r="D33" s="192">
        <v>326</v>
      </c>
      <c r="E33" s="193">
        <v>3</v>
      </c>
      <c r="F33" s="192">
        <v>72</v>
      </c>
      <c r="G33" s="194">
        <v>317</v>
      </c>
      <c r="H33" s="191">
        <v>0</v>
      </c>
      <c r="I33" s="61">
        <f t="shared" ref="I33:I43" si="3">SUM(C33:H33)</f>
        <v>1035</v>
      </c>
      <c r="J33" s="44"/>
      <c r="L33" s="59"/>
    </row>
    <row r="34" spans="1:12">
      <c r="A34" s="46">
        <f t="shared" si="0"/>
        <v>27</v>
      </c>
      <c r="B34" s="60" t="s">
        <v>24</v>
      </c>
      <c r="C34" s="191">
        <v>297</v>
      </c>
      <c r="D34" s="192">
        <v>298</v>
      </c>
      <c r="E34" s="193">
        <v>3</v>
      </c>
      <c r="F34" s="192">
        <v>68</v>
      </c>
      <c r="G34" s="194">
        <v>317</v>
      </c>
      <c r="H34" s="191">
        <v>0</v>
      </c>
      <c r="I34" s="61">
        <f t="shared" si="3"/>
        <v>983</v>
      </c>
      <c r="J34" s="44"/>
      <c r="L34" s="59"/>
    </row>
    <row r="35" spans="1:12">
      <c r="A35" s="46">
        <f t="shared" si="0"/>
        <v>28</v>
      </c>
      <c r="B35" s="60" t="s">
        <v>28</v>
      </c>
      <c r="C35" s="191">
        <v>268</v>
      </c>
      <c r="D35" s="192">
        <v>279</v>
      </c>
      <c r="E35" s="193">
        <v>3</v>
      </c>
      <c r="F35" s="192">
        <v>61</v>
      </c>
      <c r="G35" s="194">
        <v>317</v>
      </c>
      <c r="H35" s="191">
        <v>0</v>
      </c>
      <c r="I35" s="61">
        <f t="shared" si="3"/>
        <v>928</v>
      </c>
      <c r="J35" s="44"/>
      <c r="L35" s="59"/>
    </row>
    <row r="36" spans="1:12">
      <c r="A36" s="46">
        <f t="shared" si="0"/>
        <v>29</v>
      </c>
      <c r="B36" s="60" t="s">
        <v>29</v>
      </c>
      <c r="C36" s="191">
        <v>277</v>
      </c>
      <c r="D36" s="192">
        <v>252</v>
      </c>
      <c r="E36" s="193">
        <v>3</v>
      </c>
      <c r="F36" s="192">
        <v>65</v>
      </c>
      <c r="G36" s="194">
        <v>317</v>
      </c>
      <c r="H36" s="191">
        <v>0</v>
      </c>
      <c r="I36" s="61">
        <f t="shared" si="3"/>
        <v>914</v>
      </c>
      <c r="J36" s="44"/>
      <c r="L36" s="59"/>
    </row>
    <row r="37" spans="1:12">
      <c r="A37" s="46">
        <f t="shared" si="0"/>
        <v>30</v>
      </c>
      <c r="B37" s="60" t="s">
        <v>30</v>
      </c>
      <c r="C37" s="191">
        <v>342</v>
      </c>
      <c r="D37" s="192">
        <v>249</v>
      </c>
      <c r="E37" s="193">
        <v>3</v>
      </c>
      <c r="F37" s="192">
        <v>79</v>
      </c>
      <c r="G37" s="194">
        <v>317</v>
      </c>
      <c r="H37" s="191">
        <v>0</v>
      </c>
      <c r="I37" s="61">
        <f t="shared" si="3"/>
        <v>990</v>
      </c>
      <c r="J37" s="44"/>
      <c r="L37" s="59"/>
    </row>
    <row r="38" spans="1:12">
      <c r="A38" s="46">
        <f t="shared" si="0"/>
        <v>31</v>
      </c>
      <c r="B38" s="60" t="s">
        <v>25</v>
      </c>
      <c r="C38" s="191">
        <v>377</v>
      </c>
      <c r="D38" s="192">
        <v>256</v>
      </c>
      <c r="E38" s="193">
        <v>3</v>
      </c>
      <c r="F38" s="192">
        <v>88</v>
      </c>
      <c r="G38" s="194">
        <v>317</v>
      </c>
      <c r="H38" s="191">
        <v>0</v>
      </c>
      <c r="I38" s="61">
        <f t="shared" si="3"/>
        <v>1041</v>
      </c>
      <c r="J38" s="44"/>
      <c r="L38" s="59"/>
    </row>
    <row r="39" spans="1:12">
      <c r="A39" s="46">
        <f t="shared" si="0"/>
        <v>32</v>
      </c>
      <c r="B39" s="60" t="s">
        <v>19</v>
      </c>
      <c r="C39" s="191">
        <v>362</v>
      </c>
      <c r="D39" s="192">
        <v>266</v>
      </c>
      <c r="E39" s="193">
        <v>3</v>
      </c>
      <c r="F39" s="192">
        <v>84</v>
      </c>
      <c r="G39" s="194">
        <v>317</v>
      </c>
      <c r="H39" s="191">
        <v>0</v>
      </c>
      <c r="I39" s="61">
        <f t="shared" si="3"/>
        <v>1032</v>
      </c>
      <c r="J39" s="44"/>
      <c r="L39" s="59"/>
    </row>
    <row r="40" spans="1:12">
      <c r="A40" s="46">
        <f t="shared" si="0"/>
        <v>33</v>
      </c>
      <c r="B40" s="60" t="s">
        <v>26</v>
      </c>
      <c r="C40" s="191">
        <v>323</v>
      </c>
      <c r="D40" s="192">
        <v>254</v>
      </c>
      <c r="E40" s="193">
        <v>3</v>
      </c>
      <c r="F40" s="192">
        <v>77</v>
      </c>
      <c r="G40" s="194">
        <v>317</v>
      </c>
      <c r="H40" s="191">
        <v>0</v>
      </c>
      <c r="I40" s="61">
        <f t="shared" si="3"/>
        <v>974</v>
      </c>
      <c r="J40" s="44"/>
      <c r="L40" s="59"/>
    </row>
    <row r="41" spans="1:12">
      <c r="A41" s="46">
        <f t="shared" si="0"/>
        <v>34</v>
      </c>
      <c r="B41" s="60" t="s">
        <v>20</v>
      </c>
      <c r="C41" s="191">
        <v>275</v>
      </c>
      <c r="D41" s="192">
        <v>273</v>
      </c>
      <c r="E41" s="193">
        <v>3</v>
      </c>
      <c r="F41" s="192">
        <v>62</v>
      </c>
      <c r="G41" s="194">
        <v>317</v>
      </c>
      <c r="H41" s="191">
        <v>0</v>
      </c>
      <c r="I41" s="61">
        <f t="shared" si="3"/>
        <v>930</v>
      </c>
      <c r="J41" s="44"/>
      <c r="L41" s="59"/>
    </row>
    <row r="42" spans="1:12">
      <c r="A42" s="46">
        <f t="shared" si="0"/>
        <v>35</v>
      </c>
      <c r="B42" s="60" t="s">
        <v>21</v>
      </c>
      <c r="C42" s="191">
        <v>301</v>
      </c>
      <c r="D42" s="192">
        <v>304</v>
      </c>
      <c r="E42" s="193">
        <v>3</v>
      </c>
      <c r="F42" s="192">
        <v>71</v>
      </c>
      <c r="G42" s="194">
        <v>317</v>
      </c>
      <c r="H42" s="191">
        <v>0</v>
      </c>
      <c r="I42" s="61">
        <f t="shared" si="3"/>
        <v>996</v>
      </c>
      <c r="J42" s="44"/>
      <c r="L42" s="59"/>
    </row>
    <row r="43" spans="1:12" ht="15" thickBot="1">
      <c r="A43" s="46">
        <f t="shared" si="0"/>
        <v>36</v>
      </c>
      <c r="B43" s="60" t="s">
        <v>27</v>
      </c>
      <c r="C43" s="195">
        <v>323</v>
      </c>
      <c r="D43" s="196">
        <v>340</v>
      </c>
      <c r="E43" s="197">
        <v>3</v>
      </c>
      <c r="F43" s="196">
        <v>76</v>
      </c>
      <c r="G43" s="197">
        <v>317</v>
      </c>
      <c r="H43" s="195">
        <v>0</v>
      </c>
      <c r="I43" s="62">
        <f t="shared" si="3"/>
        <v>1059</v>
      </c>
      <c r="J43" s="44"/>
      <c r="L43" s="59"/>
    </row>
    <row r="44" spans="1:12" ht="15" thickBot="1">
      <c r="A44" s="46">
        <f t="shared" si="0"/>
        <v>37</v>
      </c>
      <c r="B44" s="70"/>
      <c r="C44" s="64"/>
      <c r="D44" s="64"/>
      <c r="E44" s="64"/>
      <c r="F44" s="65"/>
      <c r="G44" s="66"/>
      <c r="H44" s="67"/>
      <c r="I44" s="64"/>
      <c r="J44" s="44"/>
      <c r="L44" s="59"/>
    </row>
    <row r="45" spans="1:12" ht="15" thickBot="1">
      <c r="A45" s="46">
        <f t="shared" si="0"/>
        <v>38</v>
      </c>
      <c r="B45" s="69" t="s">
        <v>16</v>
      </c>
      <c r="C45" s="68">
        <f>SUM(C32:C43)/12</f>
        <v>316</v>
      </c>
      <c r="D45" s="68">
        <f t="shared" ref="D45:I45" si="4">SUM(D32:D43)/12</f>
        <v>284.33333333333331</v>
      </c>
      <c r="E45" s="68">
        <f t="shared" si="4"/>
        <v>3</v>
      </c>
      <c r="F45" s="68">
        <f t="shared" si="4"/>
        <v>73.166666666666671</v>
      </c>
      <c r="G45" s="68">
        <f t="shared" si="4"/>
        <v>317</v>
      </c>
      <c r="H45" s="68">
        <f t="shared" si="4"/>
        <v>0</v>
      </c>
      <c r="I45" s="68">
        <f t="shared" si="4"/>
        <v>993.5</v>
      </c>
      <c r="J45" s="44"/>
      <c r="L45" s="59"/>
    </row>
    <row r="46" spans="1:12">
      <c r="A46" s="46">
        <f t="shared" si="0"/>
        <v>39</v>
      </c>
      <c r="B46" s="44"/>
      <c r="C46" s="44"/>
      <c r="D46" s="44"/>
      <c r="E46" s="44"/>
      <c r="F46" s="44"/>
      <c r="G46" s="44"/>
      <c r="H46" s="44"/>
      <c r="I46" s="44"/>
      <c r="J46" s="44"/>
    </row>
    <row r="47" spans="1:12">
      <c r="A47" s="46">
        <f t="shared" si="0"/>
        <v>40</v>
      </c>
    </row>
    <row r="48" spans="1:12" ht="15">
      <c r="A48" s="46">
        <f t="shared" si="0"/>
        <v>41</v>
      </c>
      <c r="B48" s="41"/>
      <c r="C48" s="167" t="s">
        <v>126</v>
      </c>
      <c r="D48" s="168"/>
      <c r="E48" s="168"/>
      <c r="F48" s="168"/>
      <c r="G48" s="169"/>
      <c r="H48" s="42"/>
      <c r="I48" s="43"/>
    </row>
    <row r="49" spans="1:9" ht="15" thickBot="1">
      <c r="A49" s="46">
        <f t="shared" si="0"/>
        <v>42</v>
      </c>
      <c r="B49" s="43"/>
      <c r="C49" s="43"/>
      <c r="D49" s="43"/>
      <c r="E49" s="43"/>
      <c r="F49" s="43"/>
      <c r="G49" s="43"/>
      <c r="H49" s="43"/>
      <c r="I49" s="43"/>
    </row>
    <row r="50" spans="1:9" ht="15" customHeight="1">
      <c r="A50" s="46">
        <f t="shared" si="0"/>
        <v>43</v>
      </c>
      <c r="B50" s="47"/>
      <c r="C50" s="49" t="s">
        <v>6</v>
      </c>
      <c r="D50" s="49" t="s">
        <v>8</v>
      </c>
      <c r="E50" s="49" t="s">
        <v>9</v>
      </c>
      <c r="F50" s="48" t="s">
        <v>10</v>
      </c>
      <c r="G50" s="49" t="s">
        <v>17</v>
      </c>
      <c r="H50" s="49" t="s">
        <v>37</v>
      </c>
      <c r="I50" s="49" t="s">
        <v>4</v>
      </c>
    </row>
    <row r="51" spans="1:9" ht="15" customHeight="1">
      <c r="A51" s="46">
        <f t="shared" si="0"/>
        <v>44</v>
      </c>
      <c r="B51" s="50"/>
      <c r="C51" s="52" t="s">
        <v>4</v>
      </c>
      <c r="D51" s="52" t="s">
        <v>4</v>
      </c>
      <c r="E51" s="52" t="s">
        <v>11</v>
      </c>
      <c r="F51" s="51" t="s">
        <v>12</v>
      </c>
      <c r="G51" s="52" t="s">
        <v>18</v>
      </c>
      <c r="H51" s="52" t="s">
        <v>38</v>
      </c>
      <c r="I51" s="52" t="s">
        <v>14</v>
      </c>
    </row>
    <row r="52" spans="1:9" ht="15" customHeight="1" thickBot="1">
      <c r="A52" s="46">
        <f t="shared" si="0"/>
        <v>45</v>
      </c>
      <c r="B52" s="54"/>
      <c r="C52" s="56" t="s">
        <v>13</v>
      </c>
      <c r="D52" s="56" t="s">
        <v>13</v>
      </c>
      <c r="E52" s="56" t="s">
        <v>13</v>
      </c>
      <c r="F52" s="55" t="s">
        <v>13</v>
      </c>
      <c r="G52" s="56" t="s">
        <v>13</v>
      </c>
      <c r="H52" s="56" t="s">
        <v>13</v>
      </c>
      <c r="I52" s="52" t="s">
        <v>15</v>
      </c>
    </row>
    <row r="53" spans="1:9" ht="15" customHeight="1">
      <c r="A53" s="46">
        <f t="shared" si="0"/>
        <v>46</v>
      </c>
      <c r="B53" s="60" t="s">
        <v>22</v>
      </c>
      <c r="C53" s="72">
        <f t="shared" ref="C53:I54" si="5">C11-C32</f>
        <v>-31.966000000000008</v>
      </c>
      <c r="D53" s="72">
        <f t="shared" si="5"/>
        <v>2.7520000000000095</v>
      </c>
      <c r="E53" s="72">
        <f t="shared" si="5"/>
        <v>-1</v>
      </c>
      <c r="F53" s="72">
        <f t="shared" si="5"/>
        <v>-22.944000000000003</v>
      </c>
      <c r="G53" s="72">
        <f t="shared" si="5"/>
        <v>0</v>
      </c>
      <c r="H53" s="72">
        <f t="shared" si="5"/>
        <v>0</v>
      </c>
      <c r="I53" s="72">
        <f>I11-I32</f>
        <v>-53.157999999999902</v>
      </c>
    </row>
    <row r="54" spans="1:9" ht="15" customHeight="1">
      <c r="A54" s="46">
        <f t="shared" si="0"/>
        <v>47</v>
      </c>
      <c r="B54" s="60" t="s">
        <v>23</v>
      </c>
      <c r="C54" s="73">
        <f t="shared" si="5"/>
        <v>16.242999999999995</v>
      </c>
      <c r="D54" s="73">
        <f t="shared" si="5"/>
        <v>-19.069999999999993</v>
      </c>
      <c r="E54" s="73">
        <f t="shared" si="5"/>
        <v>-1</v>
      </c>
      <c r="F54" s="73">
        <f t="shared" si="5"/>
        <v>-11.183999999999997</v>
      </c>
      <c r="G54" s="73">
        <f t="shared" si="5"/>
        <v>0</v>
      </c>
      <c r="H54" s="73">
        <f t="shared" si="5"/>
        <v>0</v>
      </c>
      <c r="I54" s="73">
        <f t="shared" si="5"/>
        <v>-15.010999999999967</v>
      </c>
    </row>
    <row r="55" spans="1:9" ht="15" customHeight="1">
      <c r="A55" s="46">
        <f t="shared" si="0"/>
        <v>48</v>
      </c>
      <c r="B55" s="60" t="s">
        <v>24</v>
      </c>
      <c r="C55" s="73">
        <f t="shared" ref="C55:C64" si="6">C13-C34</f>
        <v>-39</v>
      </c>
      <c r="D55" s="73">
        <f t="shared" ref="D55:I55" si="7">D13-D34</f>
        <v>-33.649000000000001</v>
      </c>
      <c r="E55" s="73">
        <f t="shared" si="7"/>
        <v>-1</v>
      </c>
      <c r="F55" s="73">
        <f t="shared" si="7"/>
        <v>-22.043999999999997</v>
      </c>
      <c r="G55" s="73">
        <f t="shared" si="7"/>
        <v>0</v>
      </c>
      <c r="H55" s="73">
        <f t="shared" si="7"/>
        <v>0</v>
      </c>
      <c r="I55" s="73">
        <f t="shared" si="7"/>
        <v>-95.692999999999984</v>
      </c>
    </row>
    <row r="56" spans="1:9" ht="15" customHeight="1">
      <c r="A56" s="46">
        <f t="shared" si="0"/>
        <v>49</v>
      </c>
      <c r="B56" s="60" t="s">
        <v>28</v>
      </c>
      <c r="C56" s="73">
        <f t="shared" si="6"/>
        <v>-20.52600000000001</v>
      </c>
      <c r="D56" s="73">
        <f t="shared" ref="D56:I56" si="8">D14-D35</f>
        <v>-40.994</v>
      </c>
      <c r="E56" s="73">
        <f t="shared" si="8"/>
        <v>-1</v>
      </c>
      <c r="F56" s="73">
        <f t="shared" si="8"/>
        <v>-15.240000000000002</v>
      </c>
      <c r="G56" s="73">
        <f t="shared" si="8"/>
        <v>0</v>
      </c>
      <c r="H56" s="73">
        <f t="shared" si="8"/>
        <v>0</v>
      </c>
      <c r="I56" s="73">
        <f t="shared" si="8"/>
        <v>-77.759999999999991</v>
      </c>
    </row>
    <row r="57" spans="1:9" ht="15" customHeight="1">
      <c r="A57" s="46">
        <f t="shared" si="0"/>
        <v>50</v>
      </c>
      <c r="B57" s="60" t="s">
        <v>29</v>
      </c>
      <c r="C57" s="73">
        <f t="shared" si="6"/>
        <v>9.4039999999999964</v>
      </c>
      <c r="D57" s="73">
        <f t="shared" ref="D57:I57" si="9">D15-D36</f>
        <v>-8.6450000000000102</v>
      </c>
      <c r="E57" s="73">
        <f t="shared" si="9"/>
        <v>0</v>
      </c>
      <c r="F57" s="73">
        <f t="shared" si="9"/>
        <v>-13.904000000000003</v>
      </c>
      <c r="G57" s="73">
        <f t="shared" si="9"/>
        <v>0</v>
      </c>
      <c r="H57" s="73">
        <f t="shared" si="9"/>
        <v>0</v>
      </c>
      <c r="I57" s="73">
        <f t="shared" si="9"/>
        <v>-13.144999999999982</v>
      </c>
    </row>
    <row r="58" spans="1:9" ht="15" customHeight="1">
      <c r="A58" s="46">
        <f t="shared" si="0"/>
        <v>51</v>
      </c>
      <c r="B58" s="60" t="s">
        <v>30</v>
      </c>
      <c r="C58" s="73">
        <f t="shared" si="6"/>
        <v>11.377999999999986</v>
      </c>
      <c r="D58" s="73">
        <f t="shared" ref="D58:I58" si="10">D16-D37</f>
        <v>-17.502999999999986</v>
      </c>
      <c r="E58" s="73">
        <f t="shared" si="10"/>
        <v>0</v>
      </c>
      <c r="F58" s="73">
        <f t="shared" si="10"/>
        <v>-15.726999999999997</v>
      </c>
      <c r="G58" s="73">
        <f t="shared" si="10"/>
        <v>0</v>
      </c>
      <c r="H58" s="73">
        <f t="shared" si="10"/>
        <v>0</v>
      </c>
      <c r="I58" s="73">
        <f t="shared" si="10"/>
        <v>-21.851999999999975</v>
      </c>
    </row>
    <row r="59" spans="1:9" ht="15" customHeight="1">
      <c r="A59" s="46">
        <f t="shared" si="0"/>
        <v>52</v>
      </c>
      <c r="B59" s="60" t="s">
        <v>25</v>
      </c>
      <c r="C59" s="73">
        <f t="shared" si="6"/>
        <v>-58</v>
      </c>
      <c r="D59" s="73">
        <f t="shared" ref="D59:I59" si="11">D17-D38</f>
        <v>-17</v>
      </c>
      <c r="E59" s="73">
        <f t="shared" si="11"/>
        <v>0</v>
      </c>
      <c r="F59" s="73">
        <f t="shared" si="11"/>
        <v>-18</v>
      </c>
      <c r="G59" s="73">
        <f t="shared" si="11"/>
        <v>0</v>
      </c>
      <c r="H59" s="73">
        <f t="shared" si="11"/>
        <v>0</v>
      </c>
      <c r="I59" s="73">
        <f t="shared" si="11"/>
        <v>-93</v>
      </c>
    </row>
    <row r="60" spans="1:9" ht="15" customHeight="1">
      <c r="A60" s="46">
        <f t="shared" si="0"/>
        <v>53</v>
      </c>
      <c r="B60" s="60" t="s">
        <v>19</v>
      </c>
      <c r="C60" s="73">
        <f t="shared" si="6"/>
        <v>17</v>
      </c>
      <c r="D60" s="73">
        <f t="shared" ref="D60:I60" si="12">D18-D39</f>
        <v>-8</v>
      </c>
      <c r="E60" s="73">
        <f t="shared" si="12"/>
        <v>0</v>
      </c>
      <c r="F60" s="73">
        <f t="shared" si="12"/>
        <v>-13</v>
      </c>
      <c r="G60" s="73">
        <f t="shared" si="12"/>
        <v>0</v>
      </c>
      <c r="H60" s="73">
        <f t="shared" si="12"/>
        <v>0</v>
      </c>
      <c r="I60" s="73">
        <f t="shared" si="12"/>
        <v>-4</v>
      </c>
    </row>
    <row r="61" spans="1:9" ht="15" customHeight="1">
      <c r="A61" s="46">
        <f t="shared" si="0"/>
        <v>54</v>
      </c>
      <c r="B61" s="60" t="s">
        <v>26</v>
      </c>
      <c r="C61" s="73">
        <f t="shared" si="6"/>
        <v>11</v>
      </c>
      <c r="D61" s="73">
        <f t="shared" ref="D61:I61" si="13">D19-D40</f>
        <v>-8</v>
      </c>
      <c r="E61" s="73">
        <f t="shared" si="13"/>
        <v>0</v>
      </c>
      <c r="F61" s="73">
        <f t="shared" si="13"/>
        <v>-15</v>
      </c>
      <c r="G61" s="73">
        <f t="shared" si="13"/>
        <v>0</v>
      </c>
      <c r="H61" s="73">
        <f t="shared" si="13"/>
        <v>0</v>
      </c>
      <c r="I61" s="73">
        <f t="shared" si="13"/>
        <v>-12</v>
      </c>
    </row>
    <row r="62" spans="1:9" ht="15" customHeight="1">
      <c r="A62" s="46">
        <f t="shared" si="0"/>
        <v>55</v>
      </c>
      <c r="B62" s="60" t="s">
        <v>20</v>
      </c>
      <c r="C62" s="73">
        <f t="shared" si="6"/>
        <v>4</v>
      </c>
      <c r="D62" s="73">
        <f t="shared" ref="D62:I64" si="14">D20-D41</f>
        <v>-51</v>
      </c>
      <c r="E62" s="73">
        <f t="shared" si="14"/>
        <v>0</v>
      </c>
      <c r="F62" s="73">
        <f t="shared" si="14"/>
        <v>-10</v>
      </c>
      <c r="G62" s="73">
        <f t="shared" si="14"/>
        <v>0</v>
      </c>
      <c r="H62" s="73">
        <f t="shared" si="14"/>
        <v>0</v>
      </c>
      <c r="I62" s="73">
        <f t="shared" si="14"/>
        <v>-57</v>
      </c>
    </row>
    <row r="63" spans="1:9" ht="15" customHeight="1">
      <c r="A63" s="46">
        <f t="shared" si="0"/>
        <v>56</v>
      </c>
      <c r="B63" s="60" t="s">
        <v>21</v>
      </c>
      <c r="C63" s="73">
        <f t="shared" si="6"/>
        <v>4</v>
      </c>
      <c r="D63" s="73">
        <f t="shared" si="14"/>
        <v>-16</v>
      </c>
      <c r="E63" s="73">
        <f t="shared" si="14"/>
        <v>-1</v>
      </c>
      <c r="F63" s="73">
        <f t="shared" si="14"/>
        <v>-15</v>
      </c>
      <c r="G63" s="73">
        <f t="shared" si="14"/>
        <v>0</v>
      </c>
      <c r="H63" s="73">
        <f t="shared" si="14"/>
        <v>0</v>
      </c>
      <c r="I63" s="73">
        <f t="shared" si="14"/>
        <v>-28</v>
      </c>
    </row>
    <row r="64" spans="1:9" ht="15" customHeight="1">
      <c r="A64" s="46">
        <f t="shared" si="0"/>
        <v>57</v>
      </c>
      <c r="B64" s="60" t="s">
        <v>27</v>
      </c>
      <c r="C64" s="73">
        <f t="shared" si="6"/>
        <v>-73</v>
      </c>
      <c r="D64" s="73">
        <f t="shared" si="14"/>
        <v>-82</v>
      </c>
      <c r="E64" s="73">
        <f t="shared" si="14"/>
        <v>-1</v>
      </c>
      <c r="F64" s="73">
        <f t="shared" si="14"/>
        <v>-34</v>
      </c>
      <c r="G64" s="73">
        <f t="shared" si="14"/>
        <v>0</v>
      </c>
      <c r="H64" s="73">
        <f t="shared" si="14"/>
        <v>0</v>
      </c>
      <c r="I64" s="73">
        <f t="shared" si="14"/>
        <v>-190</v>
      </c>
    </row>
    <row r="65" spans="1:9" ht="15" customHeight="1" thickBot="1">
      <c r="A65" s="46">
        <f t="shared" si="0"/>
        <v>58</v>
      </c>
      <c r="B65" s="70"/>
      <c r="C65" s="74"/>
      <c r="D65" s="74"/>
      <c r="E65" s="74"/>
      <c r="F65" s="75"/>
      <c r="G65" s="76"/>
      <c r="H65" s="77"/>
      <c r="I65" s="74"/>
    </row>
    <row r="66" spans="1:9" ht="15" customHeight="1" thickBot="1">
      <c r="A66" s="46">
        <f t="shared" si="0"/>
        <v>59</v>
      </c>
      <c r="B66" s="69" t="s">
        <v>16</v>
      </c>
      <c r="C66" s="78">
        <f t="shared" ref="C66:H66" si="15">ROUND(AVERAGE(C53:C64),0)</f>
        <v>-12</v>
      </c>
      <c r="D66" s="78">
        <f t="shared" si="15"/>
        <v>-25</v>
      </c>
      <c r="E66" s="78">
        <f t="shared" si="15"/>
        <v>-1</v>
      </c>
      <c r="F66" s="78">
        <f t="shared" si="15"/>
        <v>-17</v>
      </c>
      <c r="G66" s="78">
        <f t="shared" si="15"/>
        <v>0</v>
      </c>
      <c r="H66" s="78">
        <f t="shared" si="15"/>
        <v>0</v>
      </c>
      <c r="I66" s="78">
        <f>ROUND(AVERAGE(I53:I64),0)</f>
        <v>-55</v>
      </c>
    </row>
    <row r="67" spans="1:9">
      <c r="A67" s="46">
        <f t="shared" si="0"/>
        <v>60</v>
      </c>
    </row>
    <row r="68" spans="1:9">
      <c r="A68" s="46">
        <f t="shared" si="0"/>
        <v>61</v>
      </c>
      <c r="B68" s="71" t="s">
        <v>116</v>
      </c>
    </row>
    <row r="69" spans="1:9">
      <c r="A69" s="46">
        <f t="shared" si="0"/>
        <v>62</v>
      </c>
      <c r="B69" s="71" t="s">
        <v>117</v>
      </c>
    </row>
    <row r="74" spans="1:9">
      <c r="C74" s="59"/>
      <c r="D74" s="59"/>
      <c r="E74" s="59"/>
      <c r="F74" s="59"/>
      <c r="G74" s="59"/>
      <c r="H74" s="59"/>
      <c r="I74" s="59"/>
    </row>
    <row r="78" spans="1:9">
      <c r="C78" s="59"/>
      <c r="D78" s="59"/>
      <c r="E78" s="59"/>
      <c r="F78" s="59"/>
      <c r="G78" s="59"/>
      <c r="H78" s="59"/>
      <c r="I78" s="59"/>
    </row>
  </sheetData>
  <mergeCells count="5">
    <mergeCell ref="C48:G48"/>
    <mergeCell ref="C27:G27"/>
    <mergeCell ref="B3:H3"/>
    <mergeCell ref="B4:H4"/>
    <mergeCell ref="C6:G6"/>
  </mergeCells>
  <phoneticPr fontId="2" type="noConversion"/>
  <pageMargins left="0.75" right="0.75" top="1" bottom="1" header="0.5" footer="0.5"/>
  <pageSetup scale="64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0A38A-46D3-4A15-BE1C-FAA83772D6F0}">
  <sheetPr>
    <pageSetUpPr fitToPage="1"/>
  </sheetPr>
  <dimension ref="A1:P33"/>
  <sheetViews>
    <sheetView zoomScaleNormal="100" workbookViewId="0">
      <selection activeCell="H20" sqref="H20"/>
    </sheetView>
  </sheetViews>
  <sheetFormatPr defaultColWidth="9.140625" defaultRowHeight="15"/>
  <cols>
    <col min="1" max="1" width="7.7109375" style="123" customWidth="1"/>
    <col min="2" max="5" width="9.140625" style="123"/>
    <col min="6" max="6" width="10.42578125" style="123" customWidth="1"/>
    <col min="7" max="7" width="12.42578125" style="123" customWidth="1"/>
    <col min="8" max="8" width="11.140625" style="123" bestFit="1" customWidth="1"/>
    <col min="9" max="9" width="29.5703125" style="124" customWidth="1"/>
    <col min="10" max="10" width="12.7109375" style="123" bestFit="1" customWidth="1"/>
    <col min="11" max="11" width="11.7109375" style="123" customWidth="1"/>
    <col min="12" max="12" width="10.28515625" style="123" bestFit="1" customWidth="1"/>
    <col min="13" max="16384" width="9.140625" style="123"/>
  </cols>
  <sheetData>
    <row r="1" spans="1:16">
      <c r="A1" s="145" t="s">
        <v>144</v>
      </c>
      <c r="B1" s="129"/>
      <c r="C1" s="129"/>
      <c r="D1" s="129"/>
      <c r="E1" s="129"/>
      <c r="F1" s="129"/>
      <c r="G1" s="129"/>
      <c r="H1" s="138"/>
      <c r="I1" s="128"/>
      <c r="J1" s="129"/>
      <c r="K1" s="129"/>
    </row>
    <row r="2" spans="1:16">
      <c r="A2" s="145" t="s">
        <v>1</v>
      </c>
      <c r="B2" s="129"/>
      <c r="C2" s="129"/>
      <c r="D2" s="129"/>
      <c r="E2" s="129"/>
      <c r="F2" s="129"/>
      <c r="G2" s="129"/>
      <c r="H2" s="138"/>
      <c r="J2" s="124"/>
      <c r="K2" s="146"/>
    </row>
    <row r="3" spans="1:16">
      <c r="A3" s="145" t="s">
        <v>143</v>
      </c>
      <c r="B3" s="129"/>
      <c r="C3" s="129"/>
      <c r="D3" s="129"/>
      <c r="E3" s="129"/>
      <c r="F3" s="129"/>
      <c r="G3" s="129"/>
      <c r="H3" s="138"/>
      <c r="I3" s="128"/>
      <c r="J3" s="147"/>
      <c r="K3" s="146"/>
    </row>
    <row r="4" spans="1:16">
      <c r="A4" s="145"/>
      <c r="B4" s="129"/>
      <c r="C4" s="129"/>
      <c r="D4" s="129"/>
      <c r="E4" s="129"/>
      <c r="F4" s="129"/>
      <c r="G4" s="129"/>
      <c r="H4" s="138"/>
      <c r="I4" s="128"/>
      <c r="K4" s="129"/>
      <c r="P4" s="129"/>
    </row>
    <row r="5" spans="1:16">
      <c r="A5" s="125"/>
      <c r="B5" s="125"/>
      <c r="C5" s="125"/>
      <c r="D5" s="125"/>
      <c r="E5" s="125"/>
      <c r="F5" s="125"/>
      <c r="G5" s="125"/>
      <c r="H5" s="125"/>
      <c r="I5" s="126"/>
      <c r="J5" s="125"/>
      <c r="K5" s="125"/>
    </row>
    <row r="6" spans="1:16">
      <c r="A6" s="125"/>
      <c r="B6" s="125"/>
      <c r="C6" s="125"/>
      <c r="D6" s="125"/>
      <c r="E6" s="125"/>
      <c r="F6" s="125"/>
      <c r="G6" s="125"/>
      <c r="H6" s="125"/>
      <c r="I6" s="126"/>
      <c r="J6" s="125"/>
      <c r="K6" s="125"/>
    </row>
    <row r="7" spans="1:16">
      <c r="A7" s="125"/>
      <c r="B7" s="125"/>
      <c r="C7" s="125"/>
      <c r="D7" s="125"/>
      <c r="E7" s="125"/>
      <c r="F7" s="125"/>
      <c r="G7" s="125"/>
      <c r="H7" s="125"/>
      <c r="I7" s="126"/>
      <c r="J7" s="125"/>
      <c r="K7" s="125"/>
    </row>
    <row r="8" spans="1:16">
      <c r="A8" s="144" t="s">
        <v>31</v>
      </c>
      <c r="B8" s="125"/>
      <c r="C8" s="125"/>
      <c r="D8" s="125"/>
      <c r="E8" s="125"/>
      <c r="F8" s="125"/>
      <c r="G8" s="125"/>
      <c r="H8" s="125"/>
      <c r="I8" s="126"/>
      <c r="J8" s="125"/>
      <c r="K8" s="125"/>
    </row>
    <row r="9" spans="1:16">
      <c r="A9" s="143" t="s">
        <v>32</v>
      </c>
      <c r="B9" s="142"/>
      <c r="C9" s="129"/>
      <c r="D9" s="141"/>
      <c r="E9" s="129"/>
      <c r="F9" s="129"/>
      <c r="G9" s="129"/>
      <c r="H9" s="138"/>
      <c r="I9" s="128"/>
      <c r="J9" s="129"/>
      <c r="K9" s="129"/>
    </row>
    <row r="10" spans="1:16">
      <c r="A10" s="130">
        <v>1</v>
      </c>
      <c r="B10" s="142" t="s">
        <v>60</v>
      </c>
      <c r="C10" s="129"/>
      <c r="D10" s="141"/>
      <c r="E10" s="129"/>
      <c r="F10" s="129"/>
      <c r="G10" s="129"/>
      <c r="H10" s="138">
        <f>'Sch. 2 - Total'!H10</f>
        <v>450884</v>
      </c>
      <c r="I10" s="128" t="s">
        <v>142</v>
      </c>
      <c r="J10" s="129"/>
      <c r="K10" s="129"/>
    </row>
    <row r="11" spans="1:16">
      <c r="A11" s="130">
        <f>A10+1</f>
        <v>2</v>
      </c>
      <c r="B11" s="142" t="s">
        <v>50</v>
      </c>
      <c r="C11" s="129"/>
      <c r="D11" s="141"/>
      <c r="E11" s="129"/>
      <c r="F11" s="129"/>
      <c r="G11" s="129"/>
      <c r="H11" s="138">
        <f>'Sch. 2 - Total'!H11</f>
        <v>120658</v>
      </c>
      <c r="I11" s="128" t="s">
        <v>115</v>
      </c>
      <c r="J11" s="129"/>
      <c r="K11" s="129"/>
    </row>
    <row r="12" spans="1:16">
      <c r="A12" s="130">
        <f>A11+1</f>
        <v>3</v>
      </c>
      <c r="B12" s="142" t="s">
        <v>53</v>
      </c>
      <c r="C12" s="129"/>
      <c r="D12" s="141"/>
      <c r="E12" s="129"/>
      <c r="F12" s="129"/>
      <c r="G12" s="129"/>
      <c r="H12" s="138">
        <f>'Sch. 2 - Total'!H12</f>
        <v>170264</v>
      </c>
      <c r="I12" s="128" t="s">
        <v>55</v>
      </c>
      <c r="J12" s="129"/>
      <c r="K12" s="129"/>
    </row>
    <row r="13" spans="1:16">
      <c r="A13" s="130">
        <f>A12+1</f>
        <v>4</v>
      </c>
      <c r="B13" s="142" t="s">
        <v>52</v>
      </c>
      <c r="C13" s="129"/>
      <c r="D13" s="141"/>
      <c r="E13" s="129"/>
      <c r="F13" s="129"/>
      <c r="G13" s="129"/>
      <c r="H13" s="138">
        <f>'Sch. 2 - Total'!H13</f>
        <v>73899</v>
      </c>
      <c r="I13" s="128" t="s">
        <v>54</v>
      </c>
      <c r="J13" s="129"/>
      <c r="K13" s="129"/>
    </row>
    <row r="14" spans="1:16">
      <c r="A14" s="130">
        <v>5</v>
      </c>
      <c r="B14" s="142" t="s">
        <v>62</v>
      </c>
      <c r="C14" s="129"/>
      <c r="D14" s="141"/>
      <c r="E14" s="129"/>
      <c r="F14" s="129"/>
      <c r="G14" s="129"/>
      <c r="H14" s="138">
        <f>'Sch. 2 - Total'!H14</f>
        <v>451216</v>
      </c>
      <c r="I14" s="128" t="s">
        <v>105</v>
      </c>
      <c r="J14" s="129"/>
      <c r="K14" s="129"/>
    </row>
    <row r="15" spans="1:16">
      <c r="A15" s="125"/>
      <c r="B15" s="125"/>
      <c r="C15" s="125"/>
      <c r="D15" s="125"/>
      <c r="E15" s="125"/>
      <c r="F15" s="125"/>
      <c r="G15" s="125"/>
      <c r="H15" s="125"/>
      <c r="I15" s="126"/>
      <c r="J15" s="125"/>
      <c r="K15" s="125"/>
    </row>
    <row r="16" spans="1:16" ht="15.75" thickBot="1">
      <c r="A16" s="130">
        <v>6</v>
      </c>
      <c r="B16" s="140" t="s">
        <v>3</v>
      </c>
      <c r="C16" s="140"/>
      <c r="D16" s="140"/>
      <c r="E16" s="140"/>
      <c r="F16" s="140"/>
      <c r="G16" s="140"/>
      <c r="H16" s="139">
        <f>H10</f>
        <v>450884</v>
      </c>
      <c r="I16" s="128" t="s">
        <v>57</v>
      </c>
      <c r="J16" s="138"/>
      <c r="K16" s="138"/>
    </row>
    <row r="17" spans="1:12">
      <c r="A17" s="130"/>
      <c r="B17" s="129"/>
      <c r="C17" s="129"/>
      <c r="D17" s="129"/>
      <c r="E17" s="129"/>
      <c r="F17" s="129"/>
      <c r="G17" s="129"/>
      <c r="H17" s="138"/>
      <c r="I17" s="128"/>
      <c r="J17" s="129"/>
      <c r="K17" s="129"/>
    </row>
    <row r="18" spans="1:12">
      <c r="A18" s="130">
        <v>7</v>
      </c>
      <c r="B18" s="129" t="s">
        <v>132</v>
      </c>
      <c r="C18" s="129"/>
      <c r="D18" s="129"/>
      <c r="E18" s="129"/>
      <c r="F18" s="129"/>
      <c r="G18" s="129"/>
      <c r="H18" s="137">
        <f>'CUS AC LOADS'!I24*1000</f>
        <v>938448.41666666674</v>
      </c>
      <c r="I18" s="128" t="s">
        <v>64</v>
      </c>
      <c r="J18" s="136"/>
    </row>
    <row r="19" spans="1:12">
      <c r="A19" s="125"/>
      <c r="B19" s="125"/>
      <c r="C19" s="125"/>
      <c r="D19" s="125"/>
      <c r="E19" s="125"/>
      <c r="F19" s="125"/>
      <c r="G19" s="125"/>
      <c r="H19" s="125"/>
      <c r="I19" s="126"/>
      <c r="J19" s="125"/>
      <c r="K19" s="125"/>
    </row>
    <row r="20" spans="1:12">
      <c r="A20" s="130">
        <v>8</v>
      </c>
      <c r="B20" s="129" t="s">
        <v>5</v>
      </c>
      <c r="C20" s="129"/>
      <c r="D20" s="129"/>
      <c r="E20" s="129"/>
      <c r="F20" s="129"/>
      <c r="G20" s="129"/>
      <c r="H20" s="131">
        <f>ROUND(H16/H18,4)</f>
        <v>0.48049999999999998</v>
      </c>
      <c r="I20" s="128" t="s">
        <v>141</v>
      </c>
      <c r="J20" s="127"/>
      <c r="K20" s="125"/>
    </row>
    <row r="21" spans="1:12">
      <c r="A21" s="125"/>
      <c r="B21" s="125"/>
      <c r="C21" s="125"/>
      <c r="D21" s="125"/>
      <c r="E21" s="125"/>
      <c r="F21" s="125"/>
      <c r="G21" s="125"/>
      <c r="H21" s="133"/>
      <c r="I21" s="126"/>
      <c r="J21" s="135"/>
      <c r="K21" s="135"/>
      <c r="L21" s="134"/>
    </row>
    <row r="22" spans="1:12">
      <c r="A22" s="130">
        <v>9</v>
      </c>
      <c r="B22" s="129"/>
      <c r="C22" s="129"/>
      <c r="D22" s="129"/>
      <c r="E22" s="129"/>
      <c r="F22" s="129"/>
      <c r="G22" s="129"/>
      <c r="H22" s="131">
        <f>ROUND(H20/12,4)</f>
        <v>0.04</v>
      </c>
      <c r="I22" s="128" t="s">
        <v>140</v>
      </c>
      <c r="J22" s="127"/>
      <c r="K22" s="135"/>
      <c r="L22" s="134"/>
    </row>
    <row r="23" spans="1:12">
      <c r="A23" s="125"/>
      <c r="B23" s="125"/>
      <c r="C23" s="125"/>
      <c r="D23" s="125"/>
      <c r="E23" s="125"/>
      <c r="F23" s="125"/>
      <c r="G23" s="125"/>
      <c r="H23" s="133"/>
      <c r="I23" s="126"/>
      <c r="J23" s="125"/>
      <c r="K23" s="125"/>
    </row>
    <row r="24" spans="1:12">
      <c r="A24" s="130">
        <v>10</v>
      </c>
      <c r="B24" s="129"/>
      <c r="C24" s="129"/>
      <c r="D24" s="129"/>
      <c r="E24" s="129"/>
      <c r="F24" s="132"/>
      <c r="G24" s="129"/>
      <c r="H24" s="131">
        <f>ROUND(H20/52,4)</f>
        <v>9.1999999999999998E-3</v>
      </c>
      <c r="I24" s="128" t="s">
        <v>139</v>
      </c>
      <c r="J24" s="127"/>
      <c r="K24" s="125"/>
    </row>
    <row r="25" spans="1:12">
      <c r="A25" s="125"/>
      <c r="B25" s="125"/>
      <c r="C25" s="125"/>
      <c r="D25" s="125"/>
      <c r="E25" s="125"/>
      <c r="F25" s="125"/>
      <c r="G25" s="125"/>
      <c r="H25" s="133"/>
      <c r="I25" s="126"/>
      <c r="J25" s="125"/>
      <c r="K25" s="125"/>
    </row>
    <row r="26" spans="1:12">
      <c r="A26" s="130">
        <v>11</v>
      </c>
      <c r="B26" s="129"/>
      <c r="C26" s="129"/>
      <c r="D26" s="129"/>
      <c r="E26" s="132"/>
      <c r="F26" s="129"/>
      <c r="G26" s="129"/>
      <c r="H26" s="131">
        <f>ROUND(H20/365,4)</f>
        <v>1.2999999999999999E-3</v>
      </c>
      <c r="I26" s="128" t="s">
        <v>138</v>
      </c>
      <c r="J26" s="127" t="s">
        <v>36</v>
      </c>
      <c r="K26" s="125"/>
    </row>
    <row r="27" spans="1:12">
      <c r="A27" s="130">
        <v>12</v>
      </c>
      <c r="B27" s="129"/>
      <c r="C27" s="129"/>
      <c r="D27" s="129"/>
      <c r="E27" s="132"/>
      <c r="F27" s="129"/>
      <c r="G27" s="129"/>
      <c r="H27" s="131">
        <f>ROUND(H20/312,4)</f>
        <v>1.5E-3</v>
      </c>
      <c r="I27" s="128" t="s">
        <v>137</v>
      </c>
      <c r="J27" s="127" t="s">
        <v>136</v>
      </c>
      <c r="K27" s="125"/>
    </row>
    <row r="28" spans="1:12">
      <c r="A28" s="125"/>
      <c r="B28" s="125"/>
      <c r="C28" s="125"/>
      <c r="D28" s="125"/>
      <c r="E28" s="125"/>
      <c r="F28" s="125"/>
      <c r="G28" s="125"/>
      <c r="H28" s="125"/>
      <c r="I28" s="126"/>
      <c r="J28" s="125"/>
      <c r="K28" s="125"/>
    </row>
    <row r="29" spans="1:12">
      <c r="A29" s="130">
        <v>13</v>
      </c>
      <c r="B29" s="129"/>
      <c r="C29" s="129"/>
      <c r="D29" s="129"/>
      <c r="E29" s="129"/>
      <c r="F29" s="129"/>
      <c r="G29" s="129"/>
      <c r="H29" s="127">
        <f>ROUND((H20/8760),5)</f>
        <v>5.0000000000000002E-5</v>
      </c>
      <c r="I29" s="128" t="s">
        <v>135</v>
      </c>
      <c r="J29" s="127"/>
      <c r="K29" s="125"/>
    </row>
    <row r="30" spans="1:12">
      <c r="A30" s="130">
        <v>14</v>
      </c>
      <c r="B30" s="129"/>
      <c r="C30" s="129"/>
      <c r="D30" s="129"/>
      <c r="E30" s="129"/>
      <c r="F30" s="129"/>
      <c r="G30" s="129"/>
      <c r="H30" s="127">
        <f>ROUND((H20/4992),5)</f>
        <v>1E-4</v>
      </c>
      <c r="I30" s="128" t="s">
        <v>134</v>
      </c>
      <c r="J30" s="127" t="s">
        <v>133</v>
      </c>
      <c r="K30" s="125"/>
    </row>
    <row r="31" spans="1:12">
      <c r="A31" s="125"/>
      <c r="B31" s="125"/>
      <c r="C31" s="125"/>
      <c r="D31" s="125"/>
      <c r="E31" s="125"/>
      <c r="F31" s="125"/>
      <c r="G31" s="125"/>
      <c r="H31" s="125"/>
      <c r="I31" s="126"/>
      <c r="J31" s="125"/>
      <c r="K31" s="125"/>
    </row>
    <row r="32" spans="1:12">
      <c r="A32" s="125"/>
      <c r="B32" s="125"/>
      <c r="C32" s="125"/>
      <c r="D32" s="125"/>
      <c r="E32" s="125"/>
      <c r="F32" s="125"/>
      <c r="G32" s="125"/>
      <c r="H32" s="125"/>
      <c r="I32" s="126"/>
      <c r="J32" s="125"/>
      <c r="K32" s="125"/>
    </row>
    <row r="33" spans="1:11">
      <c r="A33" s="125"/>
      <c r="B33" s="125"/>
      <c r="C33" s="125"/>
      <c r="D33" s="125"/>
      <c r="E33" s="125"/>
      <c r="F33" s="125"/>
      <c r="G33" s="125"/>
      <c r="I33" s="126"/>
      <c r="K33" s="125"/>
    </row>
  </sheetData>
  <pageMargins left="0.7" right="0.7" top="0.75" bottom="0.75" header="0.3" footer="0.3"/>
  <pageSetup scale="69" orientation="portrait" r:id="rId1"/>
  <headerFooter>
    <oddHeader>&amp;R&amp;"Arial,Bold"Black Hills Power, Inc.
September 30, 2015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0D7FD-ACF4-438A-9D76-FFD019AE7817}">
  <sheetPr>
    <pageSetUpPr fitToPage="1"/>
  </sheetPr>
  <dimension ref="A1:P33"/>
  <sheetViews>
    <sheetView zoomScaleNormal="100" workbookViewId="0">
      <selection activeCell="H20" sqref="H20"/>
    </sheetView>
  </sheetViews>
  <sheetFormatPr defaultColWidth="9.140625" defaultRowHeight="15"/>
  <cols>
    <col min="1" max="1" width="7.7109375" style="123" customWidth="1"/>
    <col min="2" max="5" width="9.140625" style="123"/>
    <col min="6" max="6" width="11.140625" style="123" customWidth="1"/>
    <col min="7" max="7" width="11.28515625" style="123" customWidth="1"/>
    <col min="8" max="8" width="11.140625" style="123" bestFit="1" customWidth="1"/>
    <col min="9" max="9" width="27.85546875" style="124" bestFit="1" customWidth="1"/>
    <col min="10" max="10" width="12.7109375" style="123" bestFit="1" customWidth="1"/>
    <col min="11" max="11" width="11.7109375" style="123" customWidth="1"/>
    <col min="12" max="12" width="10.28515625" style="123" bestFit="1" customWidth="1"/>
    <col min="13" max="16384" width="9.140625" style="123"/>
  </cols>
  <sheetData>
    <row r="1" spans="1:16">
      <c r="A1" s="145" t="s">
        <v>144</v>
      </c>
      <c r="B1" s="129"/>
      <c r="C1" s="129"/>
      <c r="D1" s="129"/>
      <c r="E1" s="129"/>
      <c r="F1" s="129"/>
      <c r="G1" s="129"/>
      <c r="H1" s="138"/>
      <c r="I1" s="128"/>
      <c r="J1" s="129"/>
      <c r="K1" s="129"/>
    </row>
    <row r="2" spans="1:16">
      <c r="A2" s="145" t="s">
        <v>1</v>
      </c>
      <c r="B2" s="129"/>
      <c r="C2" s="129"/>
      <c r="D2" s="129"/>
      <c r="E2" s="129"/>
      <c r="F2" s="129"/>
      <c r="G2" s="129"/>
      <c r="H2" s="138"/>
      <c r="K2" s="146"/>
    </row>
    <row r="3" spans="1:16">
      <c r="A3" s="145" t="s">
        <v>143</v>
      </c>
      <c r="B3" s="129"/>
      <c r="C3" s="129"/>
      <c r="D3" s="129"/>
      <c r="E3" s="129"/>
      <c r="F3" s="129"/>
      <c r="G3" s="129"/>
      <c r="H3" s="138"/>
      <c r="I3" s="128"/>
      <c r="J3" s="147"/>
      <c r="K3" s="146"/>
    </row>
    <row r="4" spans="1:16">
      <c r="A4" s="145"/>
      <c r="B4" s="129"/>
      <c r="C4" s="129"/>
      <c r="D4" s="129"/>
      <c r="E4" s="129"/>
      <c r="F4" s="129"/>
      <c r="G4" s="129"/>
      <c r="H4" s="138"/>
      <c r="I4" s="128"/>
      <c r="K4" s="129"/>
      <c r="P4" s="129"/>
    </row>
    <row r="5" spans="1:16">
      <c r="A5" s="125"/>
      <c r="B5" s="125"/>
      <c r="C5" s="125"/>
      <c r="D5" s="125"/>
      <c r="E5" s="125"/>
      <c r="F5" s="125"/>
      <c r="G5" s="125"/>
      <c r="H5" s="125"/>
      <c r="I5" s="126"/>
      <c r="J5" s="125"/>
      <c r="K5" s="125"/>
    </row>
    <row r="6" spans="1:16">
      <c r="A6" s="125"/>
      <c r="B6" s="125"/>
      <c r="C6" s="125"/>
      <c r="D6" s="125"/>
      <c r="E6" s="125"/>
      <c r="F6" s="125"/>
      <c r="G6" s="125"/>
      <c r="H6" s="125"/>
      <c r="I6" s="126"/>
      <c r="J6" s="125"/>
      <c r="K6" s="125"/>
    </row>
    <row r="7" spans="1:16">
      <c r="A7" s="125"/>
      <c r="B7" s="125"/>
      <c r="C7" s="125"/>
      <c r="D7" s="125"/>
      <c r="E7" s="125"/>
      <c r="F7" s="125"/>
      <c r="G7" s="125"/>
      <c r="H7" s="125"/>
      <c r="I7" s="126"/>
      <c r="J7" s="125"/>
      <c r="K7" s="125"/>
    </row>
    <row r="8" spans="1:16">
      <c r="A8" s="144" t="s">
        <v>31</v>
      </c>
      <c r="B8" s="125"/>
      <c r="C8" s="125"/>
      <c r="D8" s="125"/>
      <c r="E8" s="125"/>
      <c r="F8" s="125"/>
      <c r="G8" s="125"/>
      <c r="H8" s="125"/>
      <c r="I8" s="126"/>
      <c r="J8" s="125"/>
      <c r="K8" s="125"/>
    </row>
    <row r="9" spans="1:16">
      <c r="A9" s="143" t="s">
        <v>32</v>
      </c>
      <c r="B9" s="142"/>
      <c r="C9" s="129"/>
      <c r="D9" s="141"/>
      <c r="E9" s="129"/>
      <c r="F9" s="129"/>
      <c r="G9" s="129"/>
      <c r="H9" s="138"/>
      <c r="I9" s="128"/>
      <c r="J9" s="129"/>
      <c r="K9" s="129"/>
    </row>
    <row r="10" spans="1:16">
      <c r="A10" s="130">
        <v>1</v>
      </c>
      <c r="B10" s="142" t="s">
        <v>60</v>
      </c>
      <c r="C10" s="129"/>
      <c r="D10" s="141"/>
      <c r="E10" s="129"/>
      <c r="F10" s="129"/>
      <c r="G10" s="129"/>
      <c r="H10" s="138">
        <f>'Sch. 2 - Total'!H10</f>
        <v>450884</v>
      </c>
      <c r="I10" s="128" t="s">
        <v>142</v>
      </c>
      <c r="J10" s="129"/>
      <c r="K10" s="129"/>
    </row>
    <row r="11" spans="1:16">
      <c r="A11" s="130">
        <v>2</v>
      </c>
      <c r="B11" s="142" t="s">
        <v>50</v>
      </c>
      <c r="C11" s="129"/>
      <c r="D11" s="141"/>
      <c r="E11" s="129"/>
      <c r="F11" s="129"/>
      <c r="G11" s="129"/>
      <c r="H11" s="138">
        <f>'Sch. 2 - Total'!H11</f>
        <v>120658</v>
      </c>
      <c r="I11" s="128" t="s">
        <v>115</v>
      </c>
      <c r="J11" s="129"/>
      <c r="K11" s="129"/>
    </row>
    <row r="12" spans="1:16">
      <c r="A12" s="130">
        <v>3</v>
      </c>
      <c r="B12" s="142" t="s">
        <v>53</v>
      </c>
      <c r="C12" s="129"/>
      <c r="D12" s="141"/>
      <c r="E12" s="129"/>
      <c r="F12" s="129"/>
      <c r="G12" s="129"/>
      <c r="H12" s="138">
        <f>'Sch. 2 - Total'!H12</f>
        <v>170264</v>
      </c>
      <c r="I12" s="128" t="s">
        <v>55</v>
      </c>
      <c r="J12" s="129"/>
      <c r="K12" s="129"/>
    </row>
    <row r="13" spans="1:16">
      <c r="A13" s="130">
        <v>4</v>
      </c>
      <c r="B13" s="142" t="s">
        <v>52</v>
      </c>
      <c r="C13" s="129"/>
      <c r="D13" s="141"/>
      <c r="E13" s="129"/>
      <c r="F13" s="129"/>
      <c r="G13" s="129"/>
      <c r="H13" s="138">
        <f>'Sch. 2 - Total'!H13</f>
        <v>73899</v>
      </c>
      <c r="I13" s="128" t="s">
        <v>54</v>
      </c>
      <c r="J13" s="129"/>
      <c r="K13" s="129"/>
    </row>
    <row r="14" spans="1:16">
      <c r="A14" s="130">
        <v>5</v>
      </c>
      <c r="B14" s="142" t="s">
        <v>62</v>
      </c>
      <c r="C14" s="129"/>
      <c r="D14" s="141"/>
      <c r="E14" s="129"/>
      <c r="F14" s="129"/>
      <c r="G14" s="129"/>
      <c r="H14" s="138">
        <f>'Sch. 2 - Total'!H14</f>
        <v>451216</v>
      </c>
      <c r="I14" s="128" t="s">
        <v>105</v>
      </c>
      <c r="J14" s="129"/>
      <c r="K14" s="129"/>
    </row>
    <row r="15" spans="1:16">
      <c r="A15" s="125"/>
      <c r="B15" s="125"/>
      <c r="C15" s="125"/>
      <c r="D15" s="125"/>
      <c r="E15" s="125"/>
      <c r="F15" s="125"/>
      <c r="G15" s="125"/>
      <c r="H15" s="125"/>
      <c r="I15" s="126"/>
      <c r="J15" s="125"/>
      <c r="K15" s="125"/>
    </row>
    <row r="16" spans="1:16" ht="15.75" thickBot="1">
      <c r="A16" s="130">
        <v>6</v>
      </c>
      <c r="B16" s="140" t="s">
        <v>3</v>
      </c>
      <c r="C16" s="140"/>
      <c r="D16" s="140"/>
      <c r="E16" s="140"/>
      <c r="F16" s="140"/>
      <c r="G16" s="140"/>
      <c r="H16" s="139">
        <f>H11</f>
        <v>120658</v>
      </c>
      <c r="I16" s="128" t="s">
        <v>56</v>
      </c>
      <c r="J16" s="138"/>
      <c r="K16" s="138"/>
    </row>
    <row r="17" spans="1:12">
      <c r="A17" s="130"/>
      <c r="B17" s="129"/>
      <c r="C17" s="129"/>
      <c r="D17" s="129"/>
      <c r="E17" s="129"/>
      <c r="F17" s="129"/>
      <c r="G17" s="129"/>
      <c r="H17" s="138"/>
      <c r="I17" s="128"/>
      <c r="J17" s="129"/>
      <c r="K17" s="129"/>
    </row>
    <row r="18" spans="1:12">
      <c r="A18" s="130">
        <v>7</v>
      </c>
      <c r="B18" s="129" t="str">
        <f>'Sch. 2 - BHP'!B18</f>
        <v>Common Use AC Facility Transmission Load (2025 Actual Load)</v>
      </c>
      <c r="C18" s="129"/>
      <c r="D18" s="129"/>
      <c r="E18" s="129"/>
      <c r="F18" s="129"/>
      <c r="G18" s="129"/>
      <c r="H18" s="137">
        <f>'CUS AC LOADS'!I24*1000</f>
        <v>938448.41666666674</v>
      </c>
      <c r="I18" s="128" t="s">
        <v>64</v>
      </c>
      <c r="J18" s="136"/>
    </row>
    <row r="19" spans="1:12">
      <c r="A19" s="125"/>
      <c r="B19" s="125"/>
      <c r="C19" s="125"/>
      <c r="D19" s="125"/>
      <c r="E19" s="125"/>
      <c r="F19" s="125"/>
      <c r="G19" s="125"/>
      <c r="H19" s="125"/>
      <c r="I19" s="126"/>
      <c r="J19" s="125"/>
      <c r="K19" s="125"/>
    </row>
    <row r="20" spans="1:12">
      <c r="A20" s="130">
        <v>8</v>
      </c>
      <c r="B20" s="129" t="s">
        <v>5</v>
      </c>
      <c r="C20" s="129"/>
      <c r="D20" s="129"/>
      <c r="E20" s="129"/>
      <c r="F20" s="129"/>
      <c r="G20" s="129"/>
      <c r="H20" s="131">
        <f>ROUND(H16/H18,4)</f>
        <v>0.12859999999999999</v>
      </c>
      <c r="I20" s="128" t="s">
        <v>141</v>
      </c>
      <c r="J20" s="127"/>
      <c r="K20" s="125"/>
      <c r="L20" s="149"/>
    </row>
    <row r="21" spans="1:12">
      <c r="A21" s="125"/>
      <c r="B21" s="125"/>
      <c r="C21" s="125"/>
      <c r="D21" s="125"/>
      <c r="E21" s="125"/>
      <c r="F21" s="125"/>
      <c r="G21" s="125"/>
      <c r="H21" s="133"/>
      <c r="I21" s="126"/>
      <c r="J21" s="135"/>
      <c r="K21" s="135"/>
      <c r="L21" s="148"/>
    </row>
    <row r="22" spans="1:12">
      <c r="A22" s="130">
        <v>9</v>
      </c>
      <c r="B22" s="129"/>
      <c r="C22" s="129"/>
      <c r="D22" s="129"/>
      <c r="E22" s="129"/>
      <c r="F22" s="129"/>
      <c r="G22" s="129"/>
      <c r="H22" s="131">
        <f>ROUND(H20/12,4)</f>
        <v>1.0699999999999999E-2</v>
      </c>
      <c r="I22" s="128" t="s">
        <v>140</v>
      </c>
      <c r="J22" s="127"/>
      <c r="K22" s="135"/>
      <c r="L22" s="134"/>
    </row>
    <row r="23" spans="1:12">
      <c r="A23" s="125"/>
      <c r="B23" s="125"/>
      <c r="C23" s="125"/>
      <c r="D23" s="125"/>
      <c r="E23" s="125"/>
      <c r="F23" s="125"/>
      <c r="G23" s="125"/>
      <c r="H23" s="135"/>
      <c r="I23" s="126"/>
      <c r="J23" s="125"/>
      <c r="K23" s="125"/>
    </row>
    <row r="24" spans="1:12">
      <c r="A24" s="130">
        <v>10</v>
      </c>
      <c r="B24" s="129"/>
      <c r="C24" s="129"/>
      <c r="D24" s="129"/>
      <c r="E24" s="129"/>
      <c r="F24" s="132"/>
      <c r="G24" s="129"/>
      <c r="H24" s="131">
        <f>ROUND(H20/52,4)</f>
        <v>2.5000000000000001E-3</v>
      </c>
      <c r="I24" s="128" t="s">
        <v>139</v>
      </c>
      <c r="J24" s="127"/>
      <c r="K24" s="125"/>
    </row>
    <row r="25" spans="1:12">
      <c r="A25" s="125"/>
      <c r="B25" s="125"/>
      <c r="C25" s="125"/>
      <c r="D25" s="125"/>
      <c r="E25" s="125"/>
      <c r="F25" s="125"/>
      <c r="G25" s="125"/>
      <c r="H25" s="135"/>
      <c r="I25" s="126"/>
      <c r="J25" s="125"/>
      <c r="K25" s="125"/>
    </row>
    <row r="26" spans="1:12">
      <c r="A26" s="130">
        <v>11</v>
      </c>
      <c r="B26" s="129"/>
      <c r="C26" s="129"/>
      <c r="D26" s="129"/>
      <c r="E26" s="132"/>
      <c r="F26" s="129"/>
      <c r="G26" s="129"/>
      <c r="H26" s="131">
        <f>ROUND(H20/365,4)</f>
        <v>4.0000000000000002E-4</v>
      </c>
      <c r="I26" s="128" t="s">
        <v>138</v>
      </c>
      <c r="J26" s="127" t="s">
        <v>36</v>
      </c>
      <c r="K26" s="125"/>
    </row>
    <row r="27" spans="1:12">
      <c r="A27" s="130">
        <v>12</v>
      </c>
      <c r="B27" s="129"/>
      <c r="C27" s="129"/>
      <c r="D27" s="129"/>
      <c r="E27" s="132"/>
      <c r="F27" s="129"/>
      <c r="G27" s="129"/>
      <c r="H27" s="131">
        <f>ROUND(H20/312,4)</f>
        <v>4.0000000000000002E-4</v>
      </c>
      <c r="I27" s="128" t="s">
        <v>137</v>
      </c>
      <c r="J27" s="127" t="s">
        <v>136</v>
      </c>
      <c r="K27" s="125"/>
    </row>
    <row r="28" spans="1:12">
      <c r="A28" s="125"/>
      <c r="B28" s="125"/>
      <c r="C28" s="125"/>
      <c r="D28" s="125"/>
      <c r="E28" s="125"/>
      <c r="F28" s="125"/>
      <c r="G28" s="125"/>
      <c r="H28" s="125"/>
      <c r="I28" s="126"/>
      <c r="J28" s="125"/>
      <c r="K28" s="125"/>
    </row>
    <row r="29" spans="1:12">
      <c r="A29" s="130">
        <v>13</v>
      </c>
      <c r="B29" s="129"/>
      <c r="C29" s="129"/>
      <c r="D29" s="129"/>
      <c r="E29" s="129"/>
      <c r="F29" s="129"/>
      <c r="G29" s="129"/>
      <c r="H29" s="127">
        <f>ROUND((H20/8760),5)</f>
        <v>1.0000000000000001E-5</v>
      </c>
      <c r="I29" s="128" t="s">
        <v>135</v>
      </c>
      <c r="J29" s="127"/>
      <c r="K29" s="125"/>
    </row>
    <row r="30" spans="1:12">
      <c r="A30" s="130">
        <v>14</v>
      </c>
      <c r="B30" s="129"/>
      <c r="C30" s="129"/>
      <c r="D30" s="129"/>
      <c r="E30" s="129"/>
      <c r="F30" s="129"/>
      <c r="G30" s="129"/>
      <c r="H30" s="127">
        <f>ROUND((H20/4992),5)</f>
        <v>3.0000000000000001E-5</v>
      </c>
      <c r="I30" s="128" t="s">
        <v>134</v>
      </c>
      <c r="J30" s="127" t="s">
        <v>133</v>
      </c>
      <c r="K30" s="125"/>
    </row>
    <row r="31" spans="1:12">
      <c r="A31" s="125"/>
      <c r="B31" s="125"/>
      <c r="C31" s="125"/>
      <c r="D31" s="125"/>
      <c r="E31" s="125"/>
      <c r="F31" s="125"/>
      <c r="G31" s="125"/>
      <c r="H31" s="125"/>
      <c r="I31" s="126"/>
      <c r="J31" s="125"/>
      <c r="K31" s="125"/>
    </row>
    <row r="32" spans="1:12">
      <c r="A32" s="125"/>
      <c r="B32" s="125"/>
      <c r="C32" s="125"/>
      <c r="D32" s="125"/>
      <c r="E32" s="125"/>
      <c r="F32" s="125"/>
      <c r="G32" s="125"/>
      <c r="H32" s="125"/>
      <c r="I32" s="126"/>
      <c r="J32" s="125"/>
      <c r="K32" s="125"/>
    </row>
    <row r="33" spans="1:11">
      <c r="A33" s="125"/>
      <c r="B33" s="125"/>
      <c r="C33" s="125"/>
      <c r="D33" s="125"/>
      <c r="E33" s="125"/>
      <c r="F33" s="125"/>
      <c r="G33" s="125"/>
      <c r="I33" s="126"/>
      <c r="K33" s="125"/>
    </row>
  </sheetData>
  <pageMargins left="0.7" right="0.7" top="0.75" bottom="0.75" header="0.3" footer="0.3"/>
  <pageSetup scale="70" orientation="portrait" r:id="rId1"/>
  <headerFooter>
    <oddHeader>&amp;R&amp;"Arial,Bold"Black Hills Power, Inc.
September 30, 2015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693AE-8337-4165-B46E-E9C31D1DFA5B}">
  <sheetPr>
    <pageSetUpPr fitToPage="1"/>
  </sheetPr>
  <dimension ref="A1:P33"/>
  <sheetViews>
    <sheetView zoomScaleNormal="100" workbookViewId="0">
      <selection activeCell="H20" sqref="H20"/>
    </sheetView>
  </sheetViews>
  <sheetFormatPr defaultColWidth="9.140625" defaultRowHeight="15"/>
  <cols>
    <col min="1" max="1" width="7.7109375" style="123" customWidth="1"/>
    <col min="2" max="6" width="9.140625" style="123"/>
    <col min="7" max="7" width="12.42578125" style="123" customWidth="1"/>
    <col min="8" max="8" width="11.140625" style="123" bestFit="1" customWidth="1"/>
    <col min="9" max="9" width="34.42578125" style="124" customWidth="1"/>
    <col min="10" max="10" width="12.7109375" style="123" bestFit="1" customWidth="1"/>
    <col min="11" max="11" width="11.7109375" style="123" customWidth="1"/>
    <col min="12" max="12" width="10.28515625" style="123" bestFit="1" customWidth="1"/>
    <col min="13" max="16384" width="9.140625" style="123"/>
  </cols>
  <sheetData>
    <row r="1" spans="1:16">
      <c r="A1" s="145" t="s">
        <v>144</v>
      </c>
      <c r="B1" s="129"/>
      <c r="C1" s="129"/>
      <c r="D1" s="129"/>
      <c r="E1" s="129"/>
      <c r="F1" s="129"/>
      <c r="G1" s="129"/>
      <c r="H1" s="138"/>
      <c r="I1" s="128"/>
      <c r="J1" s="129"/>
      <c r="K1" s="129"/>
    </row>
    <row r="2" spans="1:16">
      <c r="A2" s="145" t="s">
        <v>1</v>
      </c>
      <c r="B2" s="129"/>
      <c r="C2" s="129"/>
      <c r="D2" s="129"/>
      <c r="E2" s="129"/>
      <c r="F2" s="129"/>
      <c r="G2" s="129"/>
      <c r="H2" s="138"/>
      <c r="K2" s="146"/>
    </row>
    <row r="3" spans="1:16">
      <c r="A3" s="145" t="s">
        <v>143</v>
      </c>
      <c r="B3" s="129"/>
      <c r="C3" s="129"/>
      <c r="D3" s="129"/>
      <c r="E3" s="129"/>
      <c r="F3" s="129"/>
      <c r="G3" s="129"/>
      <c r="H3" s="138"/>
      <c r="I3" s="128"/>
      <c r="J3" s="147"/>
      <c r="K3" s="146"/>
    </row>
    <row r="4" spans="1:16">
      <c r="A4" s="145"/>
      <c r="B4" s="129"/>
      <c r="C4" s="129"/>
      <c r="D4" s="129"/>
      <c r="E4" s="129"/>
      <c r="F4" s="129"/>
      <c r="G4" s="129"/>
      <c r="H4" s="138"/>
      <c r="I4" s="128"/>
      <c r="K4" s="129"/>
      <c r="P4" s="129"/>
    </row>
    <row r="5" spans="1:16">
      <c r="A5" s="125"/>
      <c r="B5" s="125"/>
      <c r="C5" s="125"/>
      <c r="D5" s="125"/>
      <c r="E5" s="125"/>
      <c r="F5" s="125"/>
      <c r="G5" s="125"/>
      <c r="H5" s="125"/>
      <c r="I5" s="126"/>
      <c r="J5" s="125"/>
      <c r="K5" s="125"/>
    </row>
    <row r="6" spans="1:16">
      <c r="A6" s="125"/>
      <c r="B6" s="125"/>
      <c r="C6" s="125"/>
      <c r="D6" s="125"/>
      <c r="E6" s="125"/>
      <c r="F6" s="125"/>
      <c r="G6" s="125"/>
      <c r="H6" s="125"/>
      <c r="I6" s="126"/>
      <c r="J6" s="125"/>
      <c r="K6" s="125"/>
    </row>
    <row r="7" spans="1:16">
      <c r="A7" s="125"/>
      <c r="B7" s="125"/>
      <c r="C7" s="125"/>
      <c r="D7" s="125"/>
      <c r="E7" s="125"/>
      <c r="F7" s="125"/>
      <c r="G7" s="125"/>
      <c r="H7" s="125"/>
      <c r="I7" s="126"/>
      <c r="J7" s="125"/>
      <c r="K7" s="125"/>
    </row>
    <row r="8" spans="1:16">
      <c r="A8" s="144" t="s">
        <v>31</v>
      </c>
      <c r="B8" s="125"/>
      <c r="C8" s="125"/>
      <c r="D8" s="125"/>
      <c r="E8" s="125"/>
      <c r="F8" s="125"/>
      <c r="G8" s="125"/>
      <c r="H8" s="125"/>
      <c r="I8" s="126"/>
      <c r="J8" s="125"/>
      <c r="K8" s="125"/>
    </row>
    <row r="9" spans="1:16">
      <c r="A9" s="143" t="s">
        <v>32</v>
      </c>
      <c r="B9" s="142"/>
      <c r="C9" s="129"/>
      <c r="D9" s="141"/>
      <c r="E9" s="129"/>
      <c r="F9" s="129"/>
      <c r="G9" s="129"/>
      <c r="H9" s="138"/>
      <c r="I9" s="128"/>
      <c r="J9" s="129"/>
      <c r="K9" s="129"/>
    </row>
    <row r="10" spans="1:16">
      <c r="A10" s="130">
        <v>1</v>
      </c>
      <c r="B10" s="142" t="s">
        <v>60</v>
      </c>
      <c r="C10" s="129"/>
      <c r="D10" s="141"/>
      <c r="E10" s="129"/>
      <c r="F10" s="129"/>
      <c r="G10" s="129"/>
      <c r="H10" s="138">
        <f>'Sch. 2 - Total'!H10</f>
        <v>450884</v>
      </c>
      <c r="I10" s="128" t="s">
        <v>142</v>
      </c>
      <c r="J10" s="129"/>
      <c r="K10" s="129"/>
    </row>
    <row r="11" spans="1:16">
      <c r="A11" s="130">
        <v>2</v>
      </c>
      <c r="B11" s="142" t="s">
        <v>50</v>
      </c>
      <c r="C11" s="129"/>
      <c r="D11" s="141"/>
      <c r="E11" s="129"/>
      <c r="F11" s="129"/>
      <c r="G11" s="129"/>
      <c r="H11" s="138">
        <f>'Sch. 2 - Total'!H11</f>
        <v>120658</v>
      </c>
      <c r="I11" s="128" t="s">
        <v>115</v>
      </c>
      <c r="J11" s="129"/>
      <c r="K11" s="129"/>
    </row>
    <row r="12" spans="1:16">
      <c r="A12" s="130">
        <v>3</v>
      </c>
      <c r="B12" s="142" t="s">
        <v>53</v>
      </c>
      <c r="C12" s="129"/>
      <c r="D12" s="141"/>
      <c r="E12" s="129"/>
      <c r="F12" s="129"/>
      <c r="G12" s="129"/>
      <c r="H12" s="138">
        <f>'Sch. 2 - Total'!H12</f>
        <v>170264</v>
      </c>
      <c r="I12" s="128" t="s">
        <v>55</v>
      </c>
      <c r="J12" s="129"/>
      <c r="K12" s="129"/>
    </row>
    <row r="13" spans="1:16">
      <c r="A13" s="130">
        <v>4</v>
      </c>
      <c r="B13" s="142" t="s">
        <v>52</v>
      </c>
      <c r="C13" s="129"/>
      <c r="D13" s="141"/>
      <c r="E13" s="129"/>
      <c r="F13" s="129"/>
      <c r="G13" s="129"/>
      <c r="H13" s="138">
        <f>'Sch. 2 - Total'!H13</f>
        <v>73899</v>
      </c>
      <c r="I13" s="128" t="s">
        <v>54</v>
      </c>
      <c r="J13" s="129"/>
      <c r="K13" s="129"/>
    </row>
    <row r="14" spans="1:16">
      <c r="A14" s="130">
        <v>5</v>
      </c>
      <c r="B14" s="142" t="s">
        <v>62</v>
      </c>
      <c r="C14" s="129"/>
      <c r="D14" s="141"/>
      <c r="E14" s="129"/>
      <c r="F14" s="129"/>
      <c r="G14" s="129"/>
      <c r="H14" s="138">
        <f>'Sch. 2 - Total'!H14</f>
        <v>451216</v>
      </c>
      <c r="I14" s="128" t="s">
        <v>105</v>
      </c>
      <c r="J14" s="129"/>
      <c r="K14" s="129"/>
    </row>
    <row r="15" spans="1:16">
      <c r="A15" s="125"/>
      <c r="B15" s="125"/>
      <c r="C15" s="125"/>
      <c r="D15" s="125"/>
      <c r="E15" s="125"/>
      <c r="F15" s="125"/>
      <c r="G15" s="125"/>
      <c r="H15" s="125"/>
      <c r="I15" s="126"/>
      <c r="J15" s="125"/>
      <c r="K15" s="125"/>
    </row>
    <row r="16" spans="1:16" ht="15.75" thickBot="1">
      <c r="A16" s="130">
        <v>6</v>
      </c>
      <c r="B16" s="140" t="s">
        <v>3</v>
      </c>
      <c r="C16" s="140"/>
      <c r="D16" s="140"/>
      <c r="E16" s="140"/>
      <c r="F16" s="140"/>
      <c r="G16" s="140"/>
      <c r="H16" s="139">
        <f>H12</f>
        <v>170264</v>
      </c>
      <c r="I16" s="128" t="s">
        <v>58</v>
      </c>
      <c r="J16" s="138"/>
      <c r="K16" s="138"/>
    </row>
    <row r="17" spans="1:12">
      <c r="A17" s="130"/>
      <c r="B17" s="129"/>
      <c r="C17" s="129"/>
      <c r="D17" s="129"/>
      <c r="E17" s="129"/>
      <c r="F17" s="129"/>
      <c r="G17" s="129"/>
      <c r="H17" s="138"/>
      <c r="I17" s="128"/>
      <c r="J17" s="129"/>
      <c r="K17" s="129"/>
    </row>
    <row r="18" spans="1:12">
      <c r="A18" s="130">
        <v>7</v>
      </c>
      <c r="B18" s="129" t="str">
        <f>'Sch. 2 - BHP'!B18</f>
        <v>Common Use AC Facility Transmission Load (2025 Actual Load)</v>
      </c>
      <c r="C18" s="129"/>
      <c r="D18" s="129"/>
      <c r="E18" s="129"/>
      <c r="F18" s="129"/>
      <c r="G18" s="129"/>
      <c r="H18" s="137">
        <f>'CUS AC LOADS'!I24*1000</f>
        <v>938448.41666666674</v>
      </c>
      <c r="I18" s="128" t="s">
        <v>64</v>
      </c>
      <c r="J18" s="136"/>
    </row>
    <row r="19" spans="1:12">
      <c r="A19" s="125"/>
      <c r="B19" s="125"/>
      <c r="C19" s="125"/>
      <c r="D19" s="125"/>
      <c r="E19" s="125"/>
      <c r="F19" s="125"/>
      <c r="G19" s="125"/>
      <c r="H19" s="125"/>
      <c r="I19" s="126"/>
      <c r="J19" s="125"/>
      <c r="K19" s="125"/>
    </row>
    <row r="20" spans="1:12">
      <c r="A20" s="130">
        <v>8</v>
      </c>
      <c r="B20" s="129" t="s">
        <v>5</v>
      </c>
      <c r="C20" s="129"/>
      <c r="D20" s="129"/>
      <c r="E20" s="129"/>
      <c r="F20" s="129"/>
      <c r="G20" s="129"/>
      <c r="H20" s="131">
        <f>ROUND(H16/H18,4)</f>
        <v>0.18140000000000001</v>
      </c>
      <c r="I20" s="128" t="s">
        <v>141</v>
      </c>
      <c r="J20" s="127"/>
      <c r="K20" s="125"/>
    </row>
    <row r="21" spans="1:12">
      <c r="A21" s="125"/>
      <c r="B21" s="125"/>
      <c r="C21" s="125"/>
      <c r="D21" s="125"/>
      <c r="E21" s="125"/>
      <c r="F21" s="125"/>
      <c r="G21" s="125"/>
      <c r="H21" s="133"/>
      <c r="I21" s="126"/>
      <c r="J21" s="135"/>
      <c r="K21" s="135"/>
      <c r="L21" s="134"/>
    </row>
    <row r="22" spans="1:12">
      <c r="A22" s="130">
        <v>9</v>
      </c>
      <c r="B22" s="129"/>
      <c r="C22" s="129"/>
      <c r="D22" s="129"/>
      <c r="E22" s="129"/>
      <c r="F22" s="129"/>
      <c r="G22" s="129"/>
      <c r="H22" s="131">
        <f>ROUND(H20/12,4)</f>
        <v>1.5100000000000001E-2</v>
      </c>
      <c r="I22" s="128" t="s">
        <v>140</v>
      </c>
      <c r="J22" s="127"/>
      <c r="K22" s="135"/>
      <c r="L22" s="134"/>
    </row>
    <row r="23" spans="1:12">
      <c r="A23" s="125"/>
      <c r="B23" s="125"/>
      <c r="C23" s="125"/>
      <c r="D23" s="125"/>
      <c r="E23" s="125"/>
      <c r="F23" s="125"/>
      <c r="G23" s="125"/>
      <c r="H23" s="133"/>
      <c r="I23" s="126"/>
      <c r="J23" s="125"/>
      <c r="K23" s="125"/>
    </row>
    <row r="24" spans="1:12">
      <c r="A24" s="130">
        <v>10</v>
      </c>
      <c r="B24" s="129"/>
      <c r="C24" s="129"/>
      <c r="D24" s="129"/>
      <c r="E24" s="129"/>
      <c r="F24" s="132"/>
      <c r="G24" s="129"/>
      <c r="H24" s="131">
        <f>ROUND(H20/52,4)</f>
        <v>3.5000000000000001E-3</v>
      </c>
      <c r="I24" s="128" t="s">
        <v>139</v>
      </c>
      <c r="J24" s="127"/>
      <c r="K24" s="125"/>
    </row>
    <row r="25" spans="1:12">
      <c r="A25" s="125"/>
      <c r="B25" s="125"/>
      <c r="C25" s="125"/>
      <c r="D25" s="125"/>
      <c r="E25" s="125"/>
      <c r="F25" s="125"/>
      <c r="G25" s="125"/>
      <c r="H25" s="133"/>
      <c r="I25" s="126"/>
      <c r="J25" s="125"/>
      <c r="K25" s="125"/>
    </row>
    <row r="26" spans="1:12">
      <c r="A26" s="130">
        <v>11</v>
      </c>
      <c r="B26" s="129"/>
      <c r="C26" s="129"/>
      <c r="D26" s="129"/>
      <c r="E26" s="132"/>
      <c r="F26" s="129"/>
      <c r="G26" s="129"/>
      <c r="H26" s="131">
        <f>ROUND(H20/365,4)</f>
        <v>5.0000000000000001E-4</v>
      </c>
      <c r="I26" s="128" t="s">
        <v>138</v>
      </c>
      <c r="J26" s="127" t="s">
        <v>36</v>
      </c>
      <c r="K26" s="125"/>
    </row>
    <row r="27" spans="1:12">
      <c r="A27" s="130">
        <v>12</v>
      </c>
      <c r="B27" s="129"/>
      <c r="C27" s="129"/>
      <c r="D27" s="129"/>
      <c r="E27" s="132"/>
      <c r="F27" s="129"/>
      <c r="G27" s="129"/>
      <c r="H27" s="131">
        <f>ROUND(H20/312,4)</f>
        <v>5.9999999999999995E-4</v>
      </c>
      <c r="I27" s="128" t="s">
        <v>137</v>
      </c>
      <c r="J27" s="127" t="s">
        <v>136</v>
      </c>
      <c r="K27" s="125"/>
    </row>
    <row r="28" spans="1:12">
      <c r="A28" s="125"/>
      <c r="B28" s="125"/>
      <c r="C28" s="125"/>
      <c r="D28" s="125"/>
      <c r="E28" s="125"/>
      <c r="F28" s="125"/>
      <c r="G28" s="125"/>
      <c r="H28" s="125"/>
      <c r="I28" s="126"/>
      <c r="J28" s="125"/>
      <c r="K28" s="125"/>
    </row>
    <row r="29" spans="1:12">
      <c r="A29" s="130">
        <v>13</v>
      </c>
      <c r="B29" s="129"/>
      <c r="C29" s="129"/>
      <c r="D29" s="129"/>
      <c r="E29" s="129"/>
      <c r="F29" s="129"/>
      <c r="G29" s="129"/>
      <c r="H29" s="127">
        <f>ROUND((H20/8760),5)</f>
        <v>2.0000000000000002E-5</v>
      </c>
      <c r="I29" s="128" t="s">
        <v>135</v>
      </c>
      <c r="J29" s="127"/>
      <c r="K29" s="125"/>
    </row>
    <row r="30" spans="1:12">
      <c r="A30" s="130">
        <v>14</v>
      </c>
      <c r="B30" s="129"/>
      <c r="C30" s="129"/>
      <c r="D30" s="129"/>
      <c r="E30" s="129"/>
      <c r="F30" s="129"/>
      <c r="G30" s="129"/>
      <c r="H30" s="127">
        <f>ROUND((H20/4992),5)</f>
        <v>4.0000000000000003E-5</v>
      </c>
      <c r="I30" s="128" t="s">
        <v>134</v>
      </c>
      <c r="J30" s="127" t="s">
        <v>133</v>
      </c>
      <c r="K30" s="125"/>
    </row>
    <row r="31" spans="1:12">
      <c r="A31" s="125"/>
      <c r="B31" s="125"/>
      <c r="C31" s="125"/>
      <c r="D31" s="125"/>
      <c r="E31" s="125"/>
      <c r="F31" s="125"/>
      <c r="G31" s="125"/>
      <c r="H31" s="125"/>
      <c r="I31" s="126"/>
      <c r="J31" s="125"/>
      <c r="K31" s="125"/>
    </row>
    <row r="32" spans="1:12">
      <c r="A32" s="125"/>
      <c r="B32" s="125"/>
      <c r="C32" s="125"/>
      <c r="D32" s="125"/>
      <c r="E32" s="125"/>
      <c r="F32" s="125"/>
      <c r="G32" s="125"/>
      <c r="H32" s="125"/>
      <c r="I32" s="126"/>
      <c r="J32" s="125"/>
      <c r="K32" s="125"/>
    </row>
    <row r="33" spans="1:11">
      <c r="A33" s="125"/>
      <c r="B33" s="125"/>
      <c r="C33" s="125"/>
      <c r="D33" s="125"/>
      <c r="E33" s="125"/>
      <c r="F33" s="125"/>
      <c r="G33" s="125"/>
      <c r="I33" s="126"/>
      <c r="K33" s="125"/>
    </row>
  </sheetData>
  <pageMargins left="0.7" right="0.7" top="0.75" bottom="0.75" header="0.3" footer="0.3"/>
  <pageSetup scale="71" orientation="portrait" r:id="rId1"/>
  <headerFooter>
    <oddHeader>&amp;R&amp;"Arial,Bold"Black Hills Power, Inc.
September 30, 2015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F5878-4187-4ACA-B8E5-EEF4CDFFC7A8}">
  <sheetPr>
    <pageSetUpPr fitToPage="1"/>
  </sheetPr>
  <dimension ref="A1:P33"/>
  <sheetViews>
    <sheetView zoomScaleNormal="100" workbookViewId="0">
      <selection activeCell="H20" sqref="H20"/>
    </sheetView>
  </sheetViews>
  <sheetFormatPr defaultColWidth="9.140625" defaultRowHeight="15"/>
  <cols>
    <col min="1" max="1" width="7.7109375" style="123" customWidth="1"/>
    <col min="2" max="5" width="9.140625" style="123"/>
    <col min="6" max="6" width="10.140625" style="123" customWidth="1"/>
    <col min="7" max="7" width="11.5703125" style="123" customWidth="1"/>
    <col min="8" max="8" width="11.140625" style="123" bestFit="1" customWidth="1"/>
    <col min="9" max="9" width="34.140625" style="124" customWidth="1"/>
    <col min="10" max="10" width="12.7109375" style="123" bestFit="1" customWidth="1"/>
    <col min="11" max="11" width="11.7109375" style="123" customWidth="1"/>
    <col min="12" max="12" width="10.28515625" style="123" bestFit="1" customWidth="1"/>
    <col min="13" max="16384" width="9.140625" style="123"/>
  </cols>
  <sheetData>
    <row r="1" spans="1:16">
      <c r="A1" s="145" t="s">
        <v>144</v>
      </c>
      <c r="B1" s="129"/>
      <c r="C1" s="129"/>
      <c r="D1" s="129"/>
      <c r="E1" s="129"/>
      <c r="F1" s="129"/>
      <c r="G1" s="129"/>
      <c r="H1" s="138"/>
      <c r="I1" s="128"/>
      <c r="J1" s="129"/>
      <c r="K1" s="129"/>
    </row>
    <row r="2" spans="1:16">
      <c r="A2" s="145" t="s">
        <v>1</v>
      </c>
      <c r="B2" s="129"/>
      <c r="C2" s="129"/>
      <c r="D2" s="129"/>
      <c r="E2" s="129"/>
      <c r="F2" s="129"/>
      <c r="G2" s="129"/>
      <c r="H2" s="138"/>
      <c r="K2" s="146"/>
    </row>
    <row r="3" spans="1:16">
      <c r="A3" s="145" t="s">
        <v>143</v>
      </c>
      <c r="B3" s="129"/>
      <c r="C3" s="129"/>
      <c r="D3" s="129"/>
      <c r="E3" s="129"/>
      <c r="F3" s="129"/>
      <c r="G3" s="129"/>
      <c r="H3" s="138"/>
      <c r="I3" s="128"/>
      <c r="J3" s="147"/>
      <c r="K3" s="146"/>
    </row>
    <row r="4" spans="1:16">
      <c r="A4" s="145"/>
      <c r="B4" s="129"/>
      <c r="C4" s="129"/>
      <c r="D4" s="129"/>
      <c r="E4" s="129"/>
      <c r="F4" s="129"/>
      <c r="G4" s="129"/>
      <c r="H4" s="138"/>
      <c r="I4" s="128"/>
      <c r="K4" s="129"/>
      <c r="P4" s="129"/>
    </row>
    <row r="5" spans="1:16">
      <c r="A5" s="125"/>
      <c r="B5" s="125"/>
      <c r="C5" s="125"/>
      <c r="D5" s="125"/>
      <c r="E5" s="125"/>
      <c r="F5" s="125"/>
      <c r="G5" s="125"/>
      <c r="H5" s="125"/>
      <c r="I5" s="126"/>
      <c r="J5" s="125"/>
      <c r="K5" s="125"/>
    </row>
    <row r="6" spans="1:16">
      <c r="A6" s="125"/>
      <c r="B6" s="125"/>
      <c r="C6" s="125"/>
      <c r="D6" s="125"/>
      <c r="E6" s="125"/>
      <c r="F6" s="125"/>
      <c r="G6" s="125"/>
      <c r="H6" s="125"/>
      <c r="I6" s="126"/>
      <c r="J6" s="125"/>
      <c r="K6" s="125"/>
    </row>
    <row r="7" spans="1:16">
      <c r="A7" s="125"/>
      <c r="B7" s="125"/>
      <c r="C7" s="125"/>
      <c r="D7" s="125"/>
      <c r="E7" s="125"/>
      <c r="F7" s="125"/>
      <c r="G7" s="125"/>
      <c r="H7" s="125"/>
      <c r="I7" s="126"/>
      <c r="J7" s="125"/>
      <c r="K7" s="125"/>
    </row>
    <row r="8" spans="1:16">
      <c r="A8" s="144" t="s">
        <v>31</v>
      </c>
      <c r="B8" s="125"/>
      <c r="C8" s="125"/>
      <c r="D8" s="125"/>
      <c r="E8" s="125"/>
      <c r="F8" s="125"/>
      <c r="G8" s="125"/>
      <c r="H8" s="125"/>
      <c r="I8" s="126"/>
      <c r="J8" s="125"/>
      <c r="K8" s="125"/>
    </row>
    <row r="9" spans="1:16">
      <c r="A9" s="143" t="s">
        <v>32</v>
      </c>
      <c r="B9" s="142"/>
      <c r="C9" s="129"/>
      <c r="D9" s="141"/>
      <c r="E9" s="129"/>
      <c r="F9" s="129"/>
      <c r="G9" s="129"/>
      <c r="H9" s="138"/>
      <c r="I9" s="128"/>
      <c r="J9" s="129"/>
      <c r="K9" s="129"/>
    </row>
    <row r="10" spans="1:16">
      <c r="A10" s="130">
        <v>1</v>
      </c>
      <c r="B10" s="142" t="s">
        <v>60</v>
      </c>
      <c r="C10" s="129"/>
      <c r="D10" s="141"/>
      <c r="E10" s="129"/>
      <c r="F10" s="129"/>
      <c r="G10" s="129"/>
      <c r="H10" s="138">
        <f>'Sch. 2 - Total'!H10</f>
        <v>450884</v>
      </c>
      <c r="I10" s="128" t="s">
        <v>142</v>
      </c>
      <c r="J10" s="129"/>
      <c r="K10" s="129"/>
    </row>
    <row r="11" spans="1:16">
      <c r="A11" s="130">
        <v>2</v>
      </c>
      <c r="B11" s="142" t="s">
        <v>50</v>
      </c>
      <c r="C11" s="129"/>
      <c r="D11" s="141"/>
      <c r="E11" s="129"/>
      <c r="F11" s="129"/>
      <c r="G11" s="129"/>
      <c r="H11" s="138">
        <f>'Sch. 2 - Total'!H11</f>
        <v>120658</v>
      </c>
      <c r="I11" s="128" t="s">
        <v>115</v>
      </c>
      <c r="J11" s="129"/>
      <c r="K11" s="129"/>
    </row>
    <row r="12" spans="1:16">
      <c r="A12" s="130">
        <v>3</v>
      </c>
      <c r="B12" s="142" t="s">
        <v>53</v>
      </c>
      <c r="C12" s="129"/>
      <c r="D12" s="141"/>
      <c r="E12" s="129"/>
      <c r="F12" s="129"/>
      <c r="G12" s="129"/>
      <c r="H12" s="138">
        <f>'Sch. 2 - Total'!H12</f>
        <v>170264</v>
      </c>
      <c r="I12" s="128" t="s">
        <v>55</v>
      </c>
      <c r="J12" s="129"/>
      <c r="K12" s="129"/>
    </row>
    <row r="13" spans="1:16">
      <c r="A13" s="130">
        <v>4</v>
      </c>
      <c r="B13" s="142" t="s">
        <v>52</v>
      </c>
      <c r="C13" s="129"/>
      <c r="D13" s="141"/>
      <c r="E13" s="129"/>
      <c r="F13" s="129"/>
      <c r="G13" s="129"/>
      <c r="H13" s="138">
        <f>'Sch. 2 - Total'!H13</f>
        <v>73899</v>
      </c>
      <c r="I13" s="128" t="s">
        <v>54</v>
      </c>
      <c r="J13" s="129"/>
      <c r="K13" s="129"/>
    </row>
    <row r="14" spans="1:16">
      <c r="A14" s="130">
        <v>5</v>
      </c>
      <c r="B14" s="142" t="s">
        <v>62</v>
      </c>
      <c r="C14" s="129"/>
      <c r="D14" s="141"/>
      <c r="E14" s="129"/>
      <c r="F14" s="129"/>
      <c r="G14" s="129"/>
      <c r="H14" s="138">
        <f>'Sch. 2 - Total'!H14</f>
        <v>451216</v>
      </c>
      <c r="I14" s="128" t="s">
        <v>105</v>
      </c>
      <c r="J14" s="129"/>
      <c r="K14" s="129"/>
    </row>
    <row r="15" spans="1:16">
      <c r="A15" s="125"/>
      <c r="B15" s="125"/>
      <c r="C15" s="125"/>
      <c r="D15" s="125"/>
      <c r="E15" s="125"/>
      <c r="F15" s="125"/>
      <c r="G15" s="125"/>
      <c r="H15" s="125"/>
      <c r="I15" s="126"/>
      <c r="J15" s="125"/>
      <c r="K15" s="125"/>
    </row>
    <row r="16" spans="1:16" ht="15.75" thickBot="1">
      <c r="A16" s="130">
        <v>6</v>
      </c>
      <c r="B16" s="140" t="s">
        <v>3</v>
      </c>
      <c r="C16" s="140"/>
      <c r="D16" s="140"/>
      <c r="E16" s="140"/>
      <c r="F16" s="140"/>
      <c r="G16" s="140"/>
      <c r="H16" s="139">
        <f>H13</f>
        <v>73899</v>
      </c>
      <c r="I16" s="128" t="s">
        <v>59</v>
      </c>
      <c r="J16" s="138"/>
      <c r="K16" s="138"/>
    </row>
    <row r="17" spans="1:12">
      <c r="A17" s="130"/>
      <c r="B17" s="129"/>
      <c r="C17" s="129"/>
      <c r="D17" s="129"/>
      <c r="E17" s="129"/>
      <c r="F17" s="129"/>
      <c r="G17" s="129"/>
      <c r="H17" s="138"/>
      <c r="I17" s="128"/>
      <c r="J17" s="129"/>
      <c r="K17" s="129"/>
    </row>
    <row r="18" spans="1:12">
      <c r="A18" s="130">
        <v>7</v>
      </c>
      <c r="B18" s="129" t="str">
        <f>'Sch. 2 - BHP'!B18</f>
        <v>Common Use AC Facility Transmission Load (2025 Actual Load)</v>
      </c>
      <c r="C18" s="129"/>
      <c r="D18" s="129"/>
      <c r="E18" s="129"/>
      <c r="F18" s="129"/>
      <c r="G18" s="129"/>
      <c r="H18" s="137">
        <f>'CUS AC LOADS'!I24*1000</f>
        <v>938448.41666666674</v>
      </c>
      <c r="I18" s="128" t="s">
        <v>64</v>
      </c>
      <c r="J18" s="136"/>
    </row>
    <row r="19" spans="1:12">
      <c r="A19" s="125"/>
      <c r="B19" s="125"/>
      <c r="C19" s="125"/>
      <c r="D19" s="125"/>
      <c r="E19" s="125"/>
      <c r="F19" s="125"/>
      <c r="G19" s="125"/>
      <c r="H19" s="125"/>
      <c r="I19" s="126"/>
      <c r="J19" s="125"/>
      <c r="K19" s="125"/>
    </row>
    <row r="20" spans="1:12">
      <c r="A20" s="130">
        <v>8</v>
      </c>
      <c r="B20" s="129" t="s">
        <v>5</v>
      </c>
      <c r="C20" s="129"/>
      <c r="D20" s="129"/>
      <c r="E20" s="129"/>
      <c r="F20" s="129"/>
      <c r="G20" s="129"/>
      <c r="H20" s="131">
        <f>ROUND(H16/H18,4)</f>
        <v>7.8700000000000006E-2</v>
      </c>
      <c r="I20" s="128" t="s">
        <v>141</v>
      </c>
      <c r="J20" s="127"/>
      <c r="K20" s="125"/>
      <c r="L20" s="150"/>
    </row>
    <row r="21" spans="1:12">
      <c r="A21" s="125"/>
      <c r="B21" s="125"/>
      <c r="C21" s="125"/>
      <c r="D21" s="125"/>
      <c r="E21" s="125"/>
      <c r="F21" s="125"/>
      <c r="G21" s="125"/>
      <c r="H21" s="133"/>
      <c r="I21" s="126"/>
      <c r="J21" s="135"/>
      <c r="K21" s="135"/>
      <c r="L21" s="134"/>
    </row>
    <row r="22" spans="1:12">
      <c r="A22" s="130">
        <v>9</v>
      </c>
      <c r="B22" s="129"/>
      <c r="C22" s="129"/>
      <c r="D22" s="129"/>
      <c r="E22" s="129"/>
      <c r="F22" s="129"/>
      <c r="G22" s="129"/>
      <c r="H22" s="131">
        <f>ROUND(H20/12,4)</f>
        <v>6.6E-3</v>
      </c>
      <c r="I22" s="128" t="s">
        <v>140</v>
      </c>
      <c r="J22" s="127"/>
      <c r="K22" s="135"/>
      <c r="L22" s="134"/>
    </row>
    <row r="23" spans="1:12">
      <c r="A23" s="125"/>
      <c r="B23" s="125"/>
      <c r="C23" s="125"/>
      <c r="D23" s="125"/>
      <c r="E23" s="125"/>
      <c r="F23" s="125"/>
      <c r="G23" s="125"/>
      <c r="H23" s="133"/>
      <c r="I23" s="126"/>
      <c r="J23" s="125"/>
      <c r="K23" s="125"/>
    </row>
    <row r="24" spans="1:12">
      <c r="A24" s="130">
        <v>10</v>
      </c>
      <c r="B24" s="129"/>
      <c r="C24" s="129"/>
      <c r="D24" s="129"/>
      <c r="E24" s="129"/>
      <c r="F24" s="132"/>
      <c r="G24" s="129"/>
      <c r="H24" s="131">
        <f>ROUND(H20/52,4)</f>
        <v>1.5E-3</v>
      </c>
      <c r="I24" s="128" t="s">
        <v>139</v>
      </c>
      <c r="J24" s="127"/>
      <c r="K24" s="125"/>
    </row>
    <row r="25" spans="1:12">
      <c r="A25" s="125"/>
      <c r="B25" s="125"/>
      <c r="C25" s="125"/>
      <c r="D25" s="125"/>
      <c r="E25" s="125"/>
      <c r="F25" s="125"/>
      <c r="G25" s="125"/>
      <c r="H25" s="133"/>
      <c r="I25" s="126"/>
      <c r="J25" s="125"/>
      <c r="K25" s="125"/>
    </row>
    <row r="26" spans="1:12">
      <c r="A26" s="130">
        <v>11</v>
      </c>
      <c r="B26" s="129"/>
      <c r="C26" s="129"/>
      <c r="D26" s="129"/>
      <c r="E26" s="132"/>
      <c r="F26" s="129"/>
      <c r="G26" s="129"/>
      <c r="H26" s="131">
        <f>ROUND(H20/365,4)</f>
        <v>2.0000000000000001E-4</v>
      </c>
      <c r="I26" s="128" t="s">
        <v>138</v>
      </c>
      <c r="J26" s="127" t="s">
        <v>36</v>
      </c>
      <c r="K26" s="125"/>
    </row>
    <row r="27" spans="1:12">
      <c r="A27" s="130">
        <v>12</v>
      </c>
      <c r="B27" s="129"/>
      <c r="C27" s="129"/>
      <c r="D27" s="129"/>
      <c r="E27" s="132"/>
      <c r="F27" s="129"/>
      <c r="G27" s="129"/>
      <c r="H27" s="131">
        <f>ROUND(H20/312,4)</f>
        <v>2.9999999999999997E-4</v>
      </c>
      <c r="I27" s="128" t="s">
        <v>137</v>
      </c>
      <c r="J27" s="127" t="s">
        <v>136</v>
      </c>
      <c r="K27" s="125"/>
    </row>
    <row r="28" spans="1:12">
      <c r="A28" s="125"/>
      <c r="B28" s="125"/>
      <c r="C28" s="125"/>
      <c r="D28" s="125"/>
      <c r="E28" s="125"/>
      <c r="F28" s="125"/>
      <c r="G28" s="125"/>
      <c r="H28" s="125"/>
      <c r="I28" s="126"/>
      <c r="J28" s="125"/>
      <c r="K28" s="125"/>
    </row>
    <row r="29" spans="1:12">
      <c r="A29" s="130">
        <v>13</v>
      </c>
      <c r="B29" s="129"/>
      <c r="C29" s="129"/>
      <c r="D29" s="129"/>
      <c r="E29" s="129"/>
      <c r="F29" s="129"/>
      <c r="G29" s="129"/>
      <c r="H29" s="127">
        <f>ROUND((H20/8760),5)</f>
        <v>1.0000000000000001E-5</v>
      </c>
      <c r="I29" s="128" t="s">
        <v>135</v>
      </c>
      <c r="J29" s="127"/>
      <c r="K29" s="125"/>
    </row>
    <row r="30" spans="1:12">
      <c r="A30" s="130">
        <v>14</v>
      </c>
      <c r="B30" s="129"/>
      <c r="C30" s="129"/>
      <c r="D30" s="129"/>
      <c r="E30" s="129"/>
      <c r="F30" s="129"/>
      <c r="G30" s="129"/>
      <c r="H30" s="127">
        <f>ROUND((H20/4992),5)</f>
        <v>2.0000000000000002E-5</v>
      </c>
      <c r="I30" s="128" t="s">
        <v>134</v>
      </c>
      <c r="J30" s="127" t="s">
        <v>133</v>
      </c>
      <c r="K30" s="125"/>
    </row>
    <row r="31" spans="1:12">
      <c r="A31" s="125"/>
      <c r="B31" s="125"/>
      <c r="C31" s="125"/>
      <c r="D31" s="125"/>
      <c r="E31" s="125"/>
      <c r="F31" s="125"/>
      <c r="G31" s="125"/>
      <c r="H31" s="125"/>
      <c r="I31" s="126"/>
      <c r="J31" s="125"/>
      <c r="K31" s="125"/>
    </row>
    <row r="32" spans="1:12">
      <c r="A32" s="125"/>
      <c r="B32" s="125"/>
      <c r="C32" s="125"/>
      <c r="D32" s="125"/>
      <c r="E32" s="125"/>
      <c r="F32" s="125"/>
      <c r="G32" s="125"/>
      <c r="H32" s="125"/>
      <c r="I32" s="126"/>
      <c r="J32" s="125"/>
      <c r="K32" s="125"/>
    </row>
    <row r="33" spans="1:11">
      <c r="A33" s="125"/>
      <c r="B33" s="125"/>
      <c r="C33" s="125"/>
      <c r="D33" s="125"/>
      <c r="E33" s="125"/>
      <c r="F33" s="125"/>
      <c r="G33" s="125"/>
      <c r="I33" s="126"/>
      <c r="K33" s="125"/>
    </row>
  </sheetData>
  <pageMargins left="0.7" right="0.7" top="0.75" bottom="0.75" header="0.3" footer="0.3"/>
  <pageSetup scale="71" orientation="portrait" r:id="rId1"/>
  <headerFooter>
    <oddHeader>&amp;R&amp;"Arial,Bold"Black Hills Power, Inc.
September 30, 2015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887B3-AE29-4327-90AD-E5143957AF7C}">
  <sheetPr>
    <pageSetUpPr fitToPage="1"/>
  </sheetPr>
  <dimension ref="A1:P33"/>
  <sheetViews>
    <sheetView zoomScaleNormal="100" workbookViewId="0">
      <selection activeCell="H20" sqref="H20"/>
    </sheetView>
  </sheetViews>
  <sheetFormatPr defaultColWidth="9.140625" defaultRowHeight="15"/>
  <cols>
    <col min="1" max="1" width="7.7109375" style="123" customWidth="1"/>
    <col min="2" max="5" width="9.140625" style="123"/>
    <col min="6" max="6" width="10.5703125" style="123" customWidth="1"/>
    <col min="7" max="7" width="11.28515625" style="123" customWidth="1"/>
    <col min="8" max="8" width="11.140625" style="123" bestFit="1" customWidth="1"/>
    <col min="9" max="9" width="36.140625" style="124" customWidth="1"/>
    <col min="10" max="10" width="12.7109375" style="123" bestFit="1" customWidth="1"/>
    <col min="11" max="11" width="11.7109375" style="123" customWidth="1"/>
    <col min="12" max="12" width="10.28515625" style="123" bestFit="1" customWidth="1"/>
    <col min="13" max="16384" width="9.140625" style="123"/>
  </cols>
  <sheetData>
    <row r="1" spans="1:16">
      <c r="A1" s="145" t="s">
        <v>144</v>
      </c>
      <c r="B1" s="129"/>
      <c r="C1" s="129"/>
      <c r="D1" s="129"/>
      <c r="E1" s="129"/>
      <c r="F1" s="129"/>
      <c r="G1" s="129"/>
      <c r="H1" s="138"/>
      <c r="I1" s="128"/>
      <c r="J1" s="129"/>
      <c r="K1" s="129"/>
    </row>
    <row r="2" spans="1:16">
      <c r="A2" s="145" t="s">
        <v>1</v>
      </c>
      <c r="B2" s="129"/>
      <c r="C2" s="129"/>
      <c r="D2" s="129"/>
      <c r="E2" s="129"/>
      <c r="F2" s="129"/>
      <c r="G2" s="129"/>
      <c r="H2" s="138"/>
      <c r="K2" s="146"/>
    </row>
    <row r="3" spans="1:16">
      <c r="A3" s="145" t="s">
        <v>143</v>
      </c>
      <c r="B3" s="129"/>
      <c r="C3" s="129"/>
      <c r="D3" s="129"/>
      <c r="E3" s="129"/>
      <c r="F3" s="129"/>
      <c r="G3" s="129"/>
      <c r="H3" s="138"/>
      <c r="I3" s="128"/>
      <c r="J3" s="147"/>
      <c r="K3" s="146"/>
    </row>
    <row r="4" spans="1:16">
      <c r="A4" s="145"/>
      <c r="B4" s="129"/>
      <c r="C4" s="129"/>
      <c r="D4" s="129"/>
      <c r="E4" s="129"/>
      <c r="F4" s="129"/>
      <c r="G4" s="129"/>
      <c r="H4" s="138"/>
      <c r="I4" s="128"/>
      <c r="K4" s="129"/>
      <c r="P4" s="129"/>
    </row>
    <row r="5" spans="1:16">
      <c r="A5" s="125"/>
      <c r="B5" s="125"/>
      <c r="C5" s="125"/>
      <c r="D5" s="125"/>
      <c r="E5" s="125"/>
      <c r="F5" s="125"/>
      <c r="G5" s="125"/>
      <c r="H5" s="125"/>
      <c r="I5" s="126"/>
      <c r="J5" s="125"/>
      <c r="K5" s="125"/>
    </row>
    <row r="6" spans="1:16">
      <c r="A6" s="125"/>
      <c r="B6" s="125"/>
      <c r="C6" s="125"/>
      <c r="D6" s="125"/>
      <c r="E6" s="125"/>
      <c r="F6" s="125"/>
      <c r="G6" s="125"/>
      <c r="H6" s="125"/>
      <c r="I6" s="126"/>
      <c r="J6" s="125"/>
      <c r="K6" s="125"/>
    </row>
    <row r="7" spans="1:16">
      <c r="A7" s="125"/>
      <c r="B7" s="125"/>
      <c r="C7" s="125"/>
      <c r="D7" s="125"/>
      <c r="E7" s="125"/>
      <c r="F7" s="125"/>
      <c r="G7" s="125"/>
      <c r="H7" s="125"/>
      <c r="I7" s="126"/>
      <c r="J7" s="125"/>
      <c r="K7" s="125"/>
    </row>
    <row r="8" spans="1:16">
      <c r="A8" s="144" t="s">
        <v>31</v>
      </c>
      <c r="B8" s="125"/>
      <c r="C8" s="125"/>
      <c r="D8" s="125"/>
      <c r="E8" s="125"/>
      <c r="F8" s="125"/>
      <c r="G8" s="125"/>
      <c r="H8" s="125"/>
      <c r="I8" s="126"/>
      <c r="J8" s="125"/>
      <c r="K8" s="125"/>
    </row>
    <row r="9" spans="1:16">
      <c r="A9" s="143" t="s">
        <v>32</v>
      </c>
      <c r="B9" s="142"/>
      <c r="C9" s="129"/>
      <c r="D9" s="141"/>
      <c r="E9" s="129"/>
      <c r="F9" s="129"/>
      <c r="G9" s="129"/>
      <c r="H9" s="138"/>
      <c r="I9" s="128"/>
      <c r="J9" s="129"/>
      <c r="K9" s="129"/>
    </row>
    <row r="10" spans="1:16">
      <c r="A10" s="130">
        <v>1</v>
      </c>
      <c r="B10" s="142" t="s">
        <v>60</v>
      </c>
      <c r="C10" s="129"/>
      <c r="D10" s="141"/>
      <c r="E10" s="129"/>
      <c r="F10" s="129"/>
      <c r="G10" s="129"/>
      <c r="H10" s="138">
        <f>'Sch. 2 - Total'!H10</f>
        <v>450884</v>
      </c>
      <c r="I10" s="128" t="s">
        <v>142</v>
      </c>
      <c r="J10" s="129"/>
      <c r="K10" s="129"/>
    </row>
    <row r="11" spans="1:16">
      <c r="A11" s="130">
        <v>2</v>
      </c>
      <c r="B11" s="142" t="s">
        <v>50</v>
      </c>
      <c r="C11" s="129"/>
      <c r="D11" s="141"/>
      <c r="E11" s="129"/>
      <c r="F11" s="129"/>
      <c r="G11" s="129"/>
      <c r="H11" s="138">
        <f>'Sch. 2 - Total'!H11</f>
        <v>120658</v>
      </c>
      <c r="I11" s="128" t="s">
        <v>115</v>
      </c>
      <c r="J11" s="129"/>
      <c r="K11" s="129"/>
    </row>
    <row r="12" spans="1:16">
      <c r="A12" s="130">
        <v>3</v>
      </c>
      <c r="B12" s="142" t="s">
        <v>53</v>
      </c>
      <c r="C12" s="129"/>
      <c r="D12" s="141"/>
      <c r="E12" s="129"/>
      <c r="F12" s="129"/>
      <c r="G12" s="129"/>
      <c r="H12" s="138">
        <f>'Sch. 2 - Total'!H12</f>
        <v>170264</v>
      </c>
      <c r="I12" s="128" t="s">
        <v>55</v>
      </c>
      <c r="J12" s="129"/>
      <c r="K12" s="129"/>
    </row>
    <row r="13" spans="1:16">
      <c r="A13" s="130">
        <v>4</v>
      </c>
      <c r="B13" s="142" t="s">
        <v>52</v>
      </c>
      <c r="C13" s="129"/>
      <c r="D13" s="141"/>
      <c r="E13" s="129"/>
      <c r="F13" s="129"/>
      <c r="G13" s="129"/>
      <c r="H13" s="138">
        <f>'Sch. 2 - Total'!H13</f>
        <v>73899</v>
      </c>
      <c r="I13" s="128" t="s">
        <v>54</v>
      </c>
      <c r="J13" s="129"/>
      <c r="K13" s="129"/>
    </row>
    <row r="14" spans="1:16">
      <c r="A14" s="130">
        <v>5</v>
      </c>
      <c r="B14" s="142" t="s">
        <v>62</v>
      </c>
      <c r="C14" s="129"/>
      <c r="D14" s="141"/>
      <c r="E14" s="129"/>
      <c r="F14" s="129"/>
      <c r="G14" s="129"/>
      <c r="H14" s="138">
        <f>'Sch. 2 - Total'!H14</f>
        <v>451216</v>
      </c>
      <c r="I14" s="128" t="s">
        <v>105</v>
      </c>
      <c r="J14" s="129"/>
      <c r="K14" s="129"/>
    </row>
    <row r="15" spans="1:16">
      <c r="A15" s="125"/>
      <c r="B15" s="125"/>
      <c r="C15" s="125"/>
      <c r="D15" s="125"/>
      <c r="E15" s="125"/>
      <c r="F15" s="125"/>
      <c r="G15" s="125"/>
      <c r="H15" s="125"/>
      <c r="I15" s="126"/>
      <c r="J15" s="125"/>
      <c r="K15" s="125"/>
    </row>
    <row r="16" spans="1:16" ht="15.75" thickBot="1">
      <c r="A16" s="130">
        <v>6</v>
      </c>
      <c r="B16" s="140" t="s">
        <v>3</v>
      </c>
      <c r="C16" s="140"/>
      <c r="D16" s="140"/>
      <c r="E16" s="140"/>
      <c r="F16" s="140"/>
      <c r="G16" s="140"/>
      <c r="H16" s="139">
        <f>H14</f>
        <v>451216</v>
      </c>
      <c r="I16" s="128" t="s">
        <v>65</v>
      </c>
      <c r="J16" s="138"/>
      <c r="K16" s="138"/>
    </row>
    <row r="17" spans="1:12">
      <c r="A17" s="130"/>
      <c r="B17" s="129"/>
      <c r="C17" s="129"/>
      <c r="D17" s="129"/>
      <c r="E17" s="129"/>
      <c r="F17" s="129"/>
      <c r="G17" s="129"/>
      <c r="H17" s="138"/>
      <c r="I17" s="128"/>
      <c r="J17" s="129"/>
      <c r="K17" s="129"/>
    </row>
    <row r="18" spans="1:12">
      <c r="A18" s="130">
        <v>7</v>
      </c>
      <c r="B18" s="129" t="str">
        <f>'Sch. 2 - BHP'!B18</f>
        <v>Common Use AC Facility Transmission Load (2025 Actual Load)</v>
      </c>
      <c r="C18" s="129"/>
      <c r="D18" s="129"/>
      <c r="E18" s="129"/>
      <c r="F18" s="129"/>
      <c r="G18" s="129"/>
      <c r="H18" s="137">
        <f>'CUS AC LOADS'!I24*1000</f>
        <v>938448.41666666674</v>
      </c>
      <c r="I18" s="128" t="s">
        <v>64</v>
      </c>
      <c r="J18" s="136"/>
    </row>
    <row r="19" spans="1:12">
      <c r="A19" s="125"/>
      <c r="B19" s="125"/>
      <c r="C19" s="125"/>
      <c r="D19" s="125"/>
      <c r="E19" s="125"/>
      <c r="F19" s="125"/>
      <c r="G19" s="125"/>
      <c r="H19" s="125"/>
      <c r="I19" s="126"/>
      <c r="J19" s="125"/>
      <c r="K19" s="125"/>
    </row>
    <row r="20" spans="1:12">
      <c r="A20" s="130">
        <v>8</v>
      </c>
      <c r="B20" s="129" t="s">
        <v>5</v>
      </c>
      <c r="C20" s="129"/>
      <c r="D20" s="129"/>
      <c r="E20" s="129"/>
      <c r="F20" s="129"/>
      <c r="G20" s="129"/>
      <c r="H20" s="131">
        <f>ROUND(H16/H18,4)</f>
        <v>0.48080000000000001</v>
      </c>
      <c r="I20" s="128" t="s">
        <v>141</v>
      </c>
      <c r="J20" s="127"/>
      <c r="K20" s="125"/>
      <c r="L20" s="150"/>
    </row>
    <row r="21" spans="1:12">
      <c r="A21" s="125"/>
      <c r="B21" s="125"/>
      <c r="C21" s="125"/>
      <c r="D21" s="125"/>
      <c r="E21" s="125"/>
      <c r="F21" s="125"/>
      <c r="G21" s="125"/>
      <c r="H21" s="133"/>
      <c r="I21" s="126"/>
      <c r="J21" s="135"/>
      <c r="K21" s="135"/>
      <c r="L21" s="134"/>
    </row>
    <row r="22" spans="1:12">
      <c r="A22" s="130">
        <v>9</v>
      </c>
      <c r="B22" s="129"/>
      <c r="C22" s="129"/>
      <c r="D22" s="129"/>
      <c r="E22" s="129"/>
      <c r="F22" s="129"/>
      <c r="G22" s="129"/>
      <c r="H22" s="131">
        <f>ROUND(H20/12,4)</f>
        <v>4.0099999999999997E-2</v>
      </c>
      <c r="I22" s="128" t="s">
        <v>140</v>
      </c>
      <c r="J22" s="127"/>
      <c r="K22" s="135"/>
      <c r="L22" s="134"/>
    </row>
    <row r="23" spans="1:12">
      <c r="A23" s="125"/>
      <c r="B23" s="125"/>
      <c r="C23" s="125"/>
      <c r="D23" s="125"/>
      <c r="E23" s="125"/>
      <c r="F23" s="125"/>
      <c r="G23" s="125"/>
      <c r="H23" s="133"/>
      <c r="I23" s="126"/>
      <c r="J23" s="125"/>
      <c r="K23" s="125"/>
    </row>
    <row r="24" spans="1:12">
      <c r="A24" s="130">
        <v>10</v>
      </c>
      <c r="B24" s="129"/>
      <c r="C24" s="129"/>
      <c r="D24" s="129"/>
      <c r="E24" s="129"/>
      <c r="F24" s="132"/>
      <c r="G24" s="129"/>
      <c r="H24" s="131">
        <f>ROUND(H20/52,4)</f>
        <v>9.1999999999999998E-3</v>
      </c>
      <c r="I24" s="128" t="s">
        <v>139</v>
      </c>
      <c r="J24" s="127"/>
      <c r="K24" s="125"/>
    </row>
    <row r="25" spans="1:12">
      <c r="A25" s="125"/>
      <c r="B25" s="125"/>
      <c r="C25" s="125"/>
      <c r="D25" s="125"/>
      <c r="E25" s="125"/>
      <c r="F25" s="125"/>
      <c r="G25" s="125"/>
      <c r="H25" s="133"/>
      <c r="I25" s="126"/>
      <c r="J25" s="125"/>
      <c r="K25" s="125"/>
    </row>
    <row r="26" spans="1:12">
      <c r="A26" s="130">
        <v>11</v>
      </c>
      <c r="B26" s="129"/>
      <c r="C26" s="129"/>
      <c r="D26" s="129"/>
      <c r="E26" s="132"/>
      <c r="F26" s="129"/>
      <c r="G26" s="129"/>
      <c r="H26" s="131">
        <f>ROUND(H20/365,4)</f>
        <v>1.2999999999999999E-3</v>
      </c>
      <c r="I26" s="128" t="s">
        <v>138</v>
      </c>
      <c r="J26" s="127" t="s">
        <v>36</v>
      </c>
      <c r="K26" s="125"/>
    </row>
    <row r="27" spans="1:12">
      <c r="A27" s="130">
        <v>12</v>
      </c>
      <c r="B27" s="129"/>
      <c r="C27" s="129"/>
      <c r="D27" s="129"/>
      <c r="E27" s="132"/>
      <c r="F27" s="129"/>
      <c r="G27" s="129"/>
      <c r="H27" s="131">
        <f>ROUND(H20/312,4)</f>
        <v>1.5E-3</v>
      </c>
      <c r="I27" s="128" t="s">
        <v>137</v>
      </c>
      <c r="J27" s="127" t="s">
        <v>136</v>
      </c>
      <c r="K27" s="125"/>
    </row>
    <row r="28" spans="1:12">
      <c r="A28" s="125"/>
      <c r="B28" s="125"/>
      <c r="C28" s="125"/>
      <c r="D28" s="125"/>
      <c r="E28" s="125"/>
      <c r="F28" s="125"/>
      <c r="G28" s="125"/>
      <c r="H28" s="125"/>
      <c r="I28" s="126"/>
      <c r="J28" s="125"/>
      <c r="K28" s="125"/>
    </row>
    <row r="29" spans="1:12">
      <c r="A29" s="130">
        <v>13</v>
      </c>
      <c r="B29" s="129"/>
      <c r="C29" s="129"/>
      <c r="D29" s="129"/>
      <c r="E29" s="129"/>
      <c r="F29" s="129"/>
      <c r="G29" s="129"/>
      <c r="H29" s="127">
        <f>ROUND((H20/8760),5)</f>
        <v>5.0000000000000002E-5</v>
      </c>
      <c r="I29" s="128" t="s">
        <v>135</v>
      </c>
      <c r="J29" s="127"/>
      <c r="K29" s="125"/>
    </row>
    <row r="30" spans="1:12">
      <c r="A30" s="130">
        <v>14</v>
      </c>
      <c r="B30" s="129"/>
      <c r="C30" s="129"/>
      <c r="D30" s="129"/>
      <c r="E30" s="129"/>
      <c r="F30" s="129"/>
      <c r="G30" s="129"/>
      <c r="H30" s="127">
        <f>ROUND((H20/4992),5)</f>
        <v>1E-4</v>
      </c>
      <c r="I30" s="128" t="s">
        <v>134</v>
      </c>
      <c r="J30" s="127" t="s">
        <v>133</v>
      </c>
      <c r="K30" s="125"/>
    </row>
    <row r="31" spans="1:12">
      <c r="A31" s="125"/>
      <c r="B31" s="125"/>
      <c r="C31" s="125"/>
      <c r="D31" s="125"/>
      <c r="E31" s="125"/>
      <c r="F31" s="125"/>
      <c r="G31" s="125"/>
      <c r="H31" s="125"/>
      <c r="I31" s="126"/>
      <c r="J31" s="125"/>
      <c r="K31" s="125"/>
    </row>
    <row r="32" spans="1:12">
      <c r="A32" s="125"/>
      <c r="B32" s="125"/>
      <c r="C32" s="125"/>
      <c r="D32" s="125"/>
      <c r="E32" s="125"/>
      <c r="F32" s="125"/>
      <c r="G32" s="125"/>
      <c r="H32" s="125"/>
      <c r="I32" s="126"/>
      <c r="J32" s="125"/>
      <c r="K32" s="125"/>
    </row>
    <row r="33" spans="1:11">
      <c r="A33" s="125"/>
      <c r="B33" s="125"/>
      <c r="C33" s="125"/>
      <c r="D33" s="125"/>
      <c r="E33" s="125"/>
      <c r="F33" s="125"/>
      <c r="G33" s="125"/>
      <c r="I33" s="126"/>
      <c r="K33" s="125"/>
    </row>
  </sheetData>
  <pageMargins left="0.7" right="0.7" top="0.75" bottom="0.75" header="0.3" footer="0.3"/>
  <pageSetup scale="71" orientation="portrait" r:id="rId1"/>
  <headerFooter>
    <oddHeader>&amp;R&amp;"Arial,Bold"Black Hills Power, Inc.
September 30, 2015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1B6D8-38C7-4CEF-82C1-213C2C7A0649}">
  <sheetPr>
    <pageSetUpPr fitToPage="1"/>
  </sheetPr>
  <dimension ref="A1:P33"/>
  <sheetViews>
    <sheetView zoomScaleNormal="100" workbookViewId="0">
      <selection activeCell="H20" sqref="H20"/>
    </sheetView>
  </sheetViews>
  <sheetFormatPr defaultColWidth="9.140625" defaultRowHeight="15"/>
  <cols>
    <col min="1" max="1" width="7.5703125" style="123" customWidth="1"/>
    <col min="2" max="2" width="11.140625" style="123" customWidth="1"/>
    <col min="3" max="3" width="10.42578125" style="123" customWidth="1"/>
    <col min="4" max="4" width="11" style="123" customWidth="1"/>
    <col min="5" max="5" width="10.85546875" style="123" customWidth="1"/>
    <col min="6" max="6" width="9.140625" style="123"/>
    <col min="7" max="7" width="6.140625" style="123" customWidth="1"/>
    <col min="8" max="8" width="11.140625" style="123" bestFit="1" customWidth="1"/>
    <col min="9" max="9" width="35.28515625" style="124" customWidth="1"/>
    <col min="10" max="10" width="12.7109375" style="123" bestFit="1" customWidth="1"/>
    <col min="11" max="11" width="11.7109375" style="123" customWidth="1"/>
    <col min="12" max="12" width="10.28515625" style="123" bestFit="1" customWidth="1"/>
    <col min="13" max="16384" width="9.140625" style="123"/>
  </cols>
  <sheetData>
    <row r="1" spans="1:16">
      <c r="A1" s="145" t="s">
        <v>144</v>
      </c>
      <c r="B1" s="129"/>
      <c r="C1" s="129"/>
      <c r="D1" s="129"/>
      <c r="E1" s="129"/>
      <c r="F1" s="129"/>
      <c r="G1" s="129"/>
      <c r="H1" s="138"/>
      <c r="I1" s="128"/>
      <c r="J1" s="129"/>
      <c r="K1" s="129"/>
    </row>
    <row r="2" spans="1:16">
      <c r="A2" s="145" t="s">
        <v>1</v>
      </c>
      <c r="B2" s="129"/>
      <c r="C2" s="129"/>
      <c r="D2" s="129"/>
      <c r="E2" s="129"/>
      <c r="F2" s="129"/>
      <c r="G2" s="129"/>
      <c r="H2" s="138"/>
      <c r="K2" s="146"/>
    </row>
    <row r="3" spans="1:16">
      <c r="A3" s="145" t="s">
        <v>143</v>
      </c>
      <c r="B3" s="129"/>
      <c r="C3" s="129"/>
      <c r="D3" s="129"/>
      <c r="E3" s="129"/>
      <c r="F3" s="129"/>
      <c r="G3" s="129"/>
      <c r="H3" s="138"/>
      <c r="I3" s="128"/>
      <c r="J3" s="151"/>
      <c r="K3" s="146"/>
    </row>
    <row r="4" spans="1:16">
      <c r="A4" s="145"/>
      <c r="B4" s="129"/>
      <c r="C4" s="129"/>
      <c r="D4" s="129"/>
      <c r="E4" s="129"/>
      <c r="F4" s="129"/>
      <c r="G4" s="129"/>
      <c r="H4" s="138"/>
      <c r="I4" s="128"/>
      <c r="K4" s="129"/>
      <c r="P4" s="129"/>
    </row>
    <row r="5" spans="1:16">
      <c r="A5" s="125"/>
      <c r="B5" s="125"/>
      <c r="C5" s="125"/>
      <c r="D5" s="125"/>
      <c r="E5" s="125"/>
      <c r="F5" s="125"/>
      <c r="G5" s="125"/>
      <c r="H5" s="125"/>
      <c r="I5" s="126"/>
      <c r="J5" s="125"/>
      <c r="K5" s="125"/>
    </row>
    <row r="6" spans="1:16">
      <c r="A6" s="125"/>
      <c r="B6" s="125"/>
      <c r="C6" s="125"/>
      <c r="D6" s="125"/>
      <c r="E6" s="125"/>
      <c r="F6" s="125"/>
      <c r="G6" s="125"/>
      <c r="H6" s="125"/>
      <c r="I6" s="126"/>
      <c r="J6" s="125"/>
      <c r="K6" s="125"/>
    </row>
    <row r="7" spans="1:16">
      <c r="A7" s="125"/>
      <c r="B7" s="125"/>
      <c r="C7" s="125"/>
      <c r="D7" s="125"/>
      <c r="E7" s="125"/>
      <c r="F7" s="125"/>
      <c r="G7" s="125"/>
      <c r="H7" s="125"/>
      <c r="I7" s="126"/>
      <c r="J7" s="125"/>
      <c r="K7" s="125"/>
    </row>
    <row r="8" spans="1:16">
      <c r="A8" s="144" t="s">
        <v>31</v>
      </c>
      <c r="B8" s="125"/>
      <c r="C8" s="125"/>
      <c r="D8" s="125"/>
      <c r="E8" s="125"/>
      <c r="F8" s="125"/>
      <c r="G8" s="125"/>
      <c r="H8" s="125"/>
      <c r="I8" s="126"/>
      <c r="J8" s="125"/>
      <c r="K8" s="125"/>
    </row>
    <row r="9" spans="1:16">
      <c r="A9" s="143" t="s">
        <v>32</v>
      </c>
      <c r="B9" s="142"/>
      <c r="C9" s="129"/>
      <c r="D9" s="141"/>
      <c r="E9" s="129"/>
      <c r="F9" s="129"/>
      <c r="G9" s="129"/>
      <c r="H9" s="138"/>
      <c r="I9" s="128"/>
      <c r="J9" s="129"/>
      <c r="K9" s="129"/>
    </row>
    <row r="10" spans="1:16">
      <c r="A10" s="130">
        <v>1</v>
      </c>
      <c r="B10" s="142" t="s">
        <v>60</v>
      </c>
      <c r="C10" s="129"/>
      <c r="D10" s="141"/>
      <c r="E10" s="129"/>
      <c r="F10" s="129"/>
      <c r="G10" s="129"/>
      <c r="H10" s="138">
        <v>450884</v>
      </c>
      <c r="I10" s="128" t="s">
        <v>142</v>
      </c>
      <c r="J10" s="129"/>
      <c r="K10" s="129"/>
    </row>
    <row r="11" spans="1:16">
      <c r="A11" s="130">
        <v>2</v>
      </c>
      <c r="B11" s="142" t="s">
        <v>50</v>
      </c>
      <c r="C11" s="129"/>
      <c r="D11" s="141"/>
      <c r="E11" s="129"/>
      <c r="F11" s="129"/>
      <c r="G11" s="129"/>
      <c r="H11" s="138">
        <v>120658</v>
      </c>
      <c r="I11" s="128" t="s">
        <v>115</v>
      </c>
      <c r="J11" s="129"/>
      <c r="K11" s="129"/>
    </row>
    <row r="12" spans="1:16">
      <c r="A12" s="130">
        <v>3</v>
      </c>
      <c r="B12" s="142" t="s">
        <v>53</v>
      </c>
      <c r="C12" s="129"/>
      <c r="D12" s="141"/>
      <c r="E12" s="129"/>
      <c r="F12" s="129"/>
      <c r="G12" s="129"/>
      <c r="H12" s="138">
        <v>170264</v>
      </c>
      <c r="I12" s="128" t="s">
        <v>55</v>
      </c>
      <c r="J12" s="129"/>
      <c r="K12" s="129"/>
    </row>
    <row r="13" spans="1:16">
      <c r="A13" s="130">
        <v>4</v>
      </c>
      <c r="B13" s="142" t="s">
        <v>52</v>
      </c>
      <c r="C13" s="129"/>
      <c r="D13" s="141"/>
      <c r="E13" s="129"/>
      <c r="F13" s="129"/>
      <c r="G13" s="129"/>
      <c r="H13" s="138">
        <v>73899</v>
      </c>
      <c r="I13" s="128" t="s">
        <v>54</v>
      </c>
      <c r="J13" s="129"/>
      <c r="K13" s="129"/>
    </row>
    <row r="14" spans="1:16">
      <c r="A14" s="130">
        <v>5</v>
      </c>
      <c r="B14" s="142" t="s">
        <v>62</v>
      </c>
      <c r="C14" s="129"/>
      <c r="D14" s="141"/>
      <c r="E14" s="129"/>
      <c r="F14" s="129"/>
      <c r="G14" s="129"/>
      <c r="H14" s="138">
        <v>451216</v>
      </c>
      <c r="I14" s="128" t="s">
        <v>105</v>
      </c>
      <c r="J14" s="129"/>
      <c r="K14" s="129"/>
    </row>
    <row r="15" spans="1:16">
      <c r="A15" s="125"/>
      <c r="B15" s="125"/>
      <c r="C15" s="125"/>
      <c r="D15" s="125"/>
      <c r="E15" s="125"/>
      <c r="F15" s="125"/>
      <c r="G15" s="125"/>
      <c r="H15" s="125"/>
      <c r="I15" s="126"/>
      <c r="J15" s="125"/>
      <c r="K15" s="125"/>
    </row>
    <row r="16" spans="1:16" ht="15.75" thickBot="1">
      <c r="A16" s="130">
        <v>6</v>
      </c>
      <c r="B16" s="140" t="s">
        <v>3</v>
      </c>
      <c r="C16" s="140"/>
      <c r="D16" s="140"/>
      <c r="E16" s="140"/>
      <c r="F16" s="140"/>
      <c r="G16" s="140"/>
      <c r="H16" s="139">
        <f>H10+H11+H12+H13+H14</f>
        <v>1266921</v>
      </c>
      <c r="I16" s="128" t="s">
        <v>145</v>
      </c>
      <c r="J16" s="138"/>
      <c r="K16" s="138"/>
    </row>
    <row r="17" spans="1:12">
      <c r="A17" s="130"/>
      <c r="B17" s="129"/>
      <c r="C17" s="129"/>
      <c r="D17" s="129"/>
      <c r="E17" s="129"/>
      <c r="F17" s="129"/>
      <c r="G17" s="129"/>
      <c r="H17" s="138"/>
      <c r="I17" s="128"/>
      <c r="J17" s="129"/>
      <c r="K17" s="129"/>
    </row>
    <row r="18" spans="1:12">
      <c r="A18" s="130">
        <v>7</v>
      </c>
      <c r="B18" s="129" t="str">
        <f>'Sch. 2 - BHP'!B18</f>
        <v>Common Use AC Facility Transmission Load (2025 Actual Load)</v>
      </c>
      <c r="C18" s="129"/>
      <c r="D18" s="129"/>
      <c r="E18" s="129"/>
      <c r="F18" s="129"/>
      <c r="G18" s="129"/>
      <c r="H18" s="137">
        <f>'CUS AC LOADS'!I24*1000</f>
        <v>938448.41666666674</v>
      </c>
      <c r="I18" s="128" t="s">
        <v>64</v>
      </c>
      <c r="J18" s="136"/>
    </row>
    <row r="19" spans="1:12">
      <c r="A19" s="125"/>
      <c r="B19" s="125"/>
      <c r="C19" s="125"/>
      <c r="D19" s="125"/>
      <c r="E19" s="125"/>
      <c r="F19" s="125"/>
      <c r="G19" s="125"/>
      <c r="H19" s="125"/>
      <c r="I19" s="126"/>
      <c r="J19" s="125"/>
      <c r="K19" s="125"/>
    </row>
    <row r="20" spans="1:12">
      <c r="A20" s="130">
        <v>8</v>
      </c>
      <c r="B20" s="129" t="s">
        <v>5</v>
      </c>
      <c r="C20" s="129"/>
      <c r="D20" s="129"/>
      <c r="E20" s="129"/>
      <c r="F20" s="129"/>
      <c r="G20" s="129"/>
      <c r="H20" s="131">
        <f>ROUND(H16/H18,4)</f>
        <v>1.35</v>
      </c>
      <c r="I20" s="128" t="s">
        <v>141</v>
      </c>
      <c r="J20" s="127"/>
      <c r="K20" s="125"/>
    </row>
    <row r="21" spans="1:12">
      <c r="A21" s="125"/>
      <c r="B21" s="125"/>
      <c r="C21" s="125"/>
      <c r="D21" s="125"/>
      <c r="E21" s="125"/>
      <c r="F21" s="125"/>
      <c r="G21" s="125"/>
      <c r="H21" s="133"/>
      <c r="I21" s="126"/>
      <c r="J21" s="135"/>
      <c r="K21" s="135"/>
      <c r="L21" s="134"/>
    </row>
    <row r="22" spans="1:12">
      <c r="A22" s="130">
        <v>9</v>
      </c>
      <c r="B22" s="129"/>
      <c r="C22" s="129"/>
      <c r="D22" s="129"/>
      <c r="E22" s="129"/>
      <c r="F22" s="129"/>
      <c r="G22" s="129"/>
      <c r="H22" s="131">
        <f>ROUND(H20/12,4)</f>
        <v>0.1125</v>
      </c>
      <c r="I22" s="128" t="s">
        <v>140</v>
      </c>
      <c r="J22" s="127"/>
      <c r="K22" s="135"/>
      <c r="L22" s="134"/>
    </row>
    <row r="23" spans="1:12">
      <c r="A23" s="125"/>
      <c r="B23" s="125"/>
      <c r="C23" s="125"/>
      <c r="D23" s="125"/>
      <c r="E23" s="125"/>
      <c r="F23" s="125"/>
      <c r="G23" s="125"/>
      <c r="H23" s="133"/>
      <c r="I23" s="126"/>
      <c r="J23" s="125"/>
      <c r="K23" s="125"/>
    </row>
    <row r="24" spans="1:12">
      <c r="A24" s="130">
        <v>10</v>
      </c>
      <c r="B24" s="129"/>
      <c r="C24" s="129"/>
      <c r="D24" s="129"/>
      <c r="E24" s="129"/>
      <c r="F24" s="132"/>
      <c r="G24" s="129"/>
      <c r="H24" s="131">
        <f>ROUND(H20/52,4)</f>
        <v>2.5999999999999999E-2</v>
      </c>
      <c r="I24" s="128" t="s">
        <v>139</v>
      </c>
      <c r="J24" s="127"/>
      <c r="K24" s="125"/>
    </row>
    <row r="25" spans="1:12">
      <c r="A25" s="125"/>
      <c r="B25" s="125"/>
      <c r="C25" s="125"/>
      <c r="D25" s="125"/>
      <c r="E25" s="125"/>
      <c r="F25" s="125"/>
      <c r="G25" s="125"/>
      <c r="H25" s="133"/>
      <c r="I25" s="126"/>
      <c r="J25" s="125"/>
      <c r="K25" s="125"/>
    </row>
    <row r="26" spans="1:12">
      <c r="A26" s="130">
        <v>11</v>
      </c>
      <c r="B26" s="129"/>
      <c r="C26" s="129"/>
      <c r="D26" s="129"/>
      <c r="E26" s="132"/>
      <c r="F26" s="129"/>
      <c r="G26" s="129"/>
      <c r="H26" s="131">
        <f>ROUND(H20/365,4)</f>
        <v>3.7000000000000002E-3</v>
      </c>
      <c r="I26" s="128" t="s">
        <v>138</v>
      </c>
      <c r="J26" s="127" t="s">
        <v>36</v>
      </c>
      <c r="K26" s="125"/>
    </row>
    <row r="27" spans="1:12">
      <c r="A27" s="130">
        <v>12</v>
      </c>
      <c r="B27" s="129"/>
      <c r="C27" s="129"/>
      <c r="D27" s="129"/>
      <c r="E27" s="132"/>
      <c r="F27" s="129"/>
      <c r="G27" s="129"/>
      <c r="H27" s="131">
        <f>ROUND(H20/312,4)</f>
        <v>4.3E-3</v>
      </c>
      <c r="I27" s="128" t="s">
        <v>137</v>
      </c>
      <c r="J27" s="127" t="s">
        <v>136</v>
      </c>
      <c r="K27" s="125"/>
    </row>
    <row r="28" spans="1:12">
      <c r="A28" s="125"/>
      <c r="B28" s="125"/>
      <c r="C28" s="125"/>
      <c r="D28" s="125"/>
      <c r="E28" s="125"/>
      <c r="F28" s="125"/>
      <c r="G28" s="125"/>
      <c r="H28" s="125"/>
      <c r="I28" s="126"/>
      <c r="J28" s="125"/>
      <c r="K28" s="125"/>
    </row>
    <row r="29" spans="1:12">
      <c r="A29" s="130">
        <v>13</v>
      </c>
      <c r="B29" s="129"/>
      <c r="C29" s="129"/>
      <c r="D29" s="129"/>
      <c r="E29" s="129"/>
      <c r="F29" s="129"/>
      <c r="G29" s="129"/>
      <c r="H29" s="127">
        <f>ROUND((H20/8760),5)</f>
        <v>1.4999999999999999E-4</v>
      </c>
      <c r="I29" s="128" t="s">
        <v>135</v>
      </c>
      <c r="J29" s="127"/>
      <c r="K29" s="125"/>
    </row>
    <row r="30" spans="1:12">
      <c r="A30" s="130">
        <v>14</v>
      </c>
      <c r="B30" s="129"/>
      <c r="C30" s="129"/>
      <c r="D30" s="129"/>
      <c r="E30" s="129"/>
      <c r="F30" s="129"/>
      <c r="G30" s="129"/>
      <c r="H30" s="127">
        <f>ROUND((H20/4992),5)</f>
        <v>2.7E-4</v>
      </c>
      <c r="I30" s="128" t="s">
        <v>134</v>
      </c>
      <c r="J30" s="127" t="s">
        <v>133</v>
      </c>
      <c r="K30" s="125"/>
    </row>
    <row r="31" spans="1:12">
      <c r="A31" s="125"/>
      <c r="B31" s="125"/>
      <c r="C31" s="125"/>
      <c r="D31" s="125"/>
      <c r="E31" s="125"/>
      <c r="F31" s="125"/>
      <c r="G31" s="125"/>
      <c r="H31" s="125"/>
      <c r="I31" s="126"/>
      <c r="J31" s="125"/>
      <c r="K31" s="125"/>
    </row>
    <row r="32" spans="1:12">
      <c r="A32" s="125"/>
      <c r="B32" s="125"/>
      <c r="C32" s="125"/>
      <c r="D32" s="125"/>
      <c r="E32" s="125"/>
      <c r="F32" s="125"/>
      <c r="G32" s="125"/>
      <c r="H32" s="125"/>
      <c r="I32" s="126"/>
      <c r="J32" s="125"/>
      <c r="K32" s="125"/>
    </row>
    <row r="33" spans="1:11">
      <c r="A33" s="125"/>
      <c r="B33" s="125"/>
      <c r="C33" s="125"/>
      <c r="D33" s="125"/>
      <c r="E33" s="125"/>
      <c r="F33" s="125"/>
      <c r="G33" s="125"/>
      <c r="I33" s="126"/>
      <c r="K33" s="125"/>
    </row>
  </sheetData>
  <pageMargins left="0.7" right="0.7" top="0.75" bottom="0.75" header="0.3" footer="0.3"/>
  <pageSetup scale="71" orientation="portrait" r:id="rId1"/>
  <headerFooter>
    <oddHeader>&amp;R&amp;"Arial,Bold"Black Hills Power, Inc.
September 30, 2015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77691-7FBC-45DF-968A-3DE017E43864}">
  <sheetPr>
    <pageSetUpPr fitToPage="1"/>
  </sheetPr>
  <dimension ref="A1:L63"/>
  <sheetViews>
    <sheetView zoomScaleNormal="100" workbookViewId="0">
      <selection activeCell="O24" sqref="O24"/>
    </sheetView>
  </sheetViews>
  <sheetFormatPr defaultRowHeight="12.75"/>
  <cols>
    <col min="2" max="2" width="12.85546875" customWidth="1"/>
    <col min="4" max="7" width="14.28515625" customWidth="1"/>
    <col min="8" max="8" width="15.42578125" customWidth="1"/>
    <col min="9" max="9" width="16" customWidth="1"/>
  </cols>
  <sheetData>
    <row r="1" spans="1:12">
      <c r="A1" s="160" t="s">
        <v>34</v>
      </c>
      <c r="B1" s="155"/>
      <c r="C1" s="155"/>
      <c r="D1" s="155"/>
      <c r="E1" s="155"/>
      <c r="F1" s="155"/>
      <c r="G1" s="155"/>
      <c r="H1" s="155"/>
      <c r="J1" s="159"/>
    </row>
    <row r="2" spans="1:12">
      <c r="A2" s="155"/>
      <c r="B2" s="158"/>
      <c r="C2" s="154"/>
      <c r="D2" s="154"/>
      <c r="E2" s="154"/>
      <c r="F2" s="154"/>
      <c r="G2" s="154"/>
      <c r="H2" s="154"/>
      <c r="J2" s="155"/>
    </row>
    <row r="3" spans="1:12">
      <c r="A3" s="155"/>
      <c r="B3" s="171" t="s">
        <v>33</v>
      </c>
      <c r="C3" s="171"/>
      <c r="D3" s="171"/>
      <c r="E3" s="171"/>
      <c r="F3" s="171"/>
      <c r="G3" s="171"/>
      <c r="H3" s="171"/>
      <c r="I3" s="171"/>
    </row>
    <row r="4" spans="1:12">
      <c r="A4" s="155"/>
      <c r="B4" s="171" t="s">
        <v>7</v>
      </c>
      <c r="C4" s="171"/>
      <c r="D4" s="171"/>
      <c r="E4" s="171"/>
      <c r="F4" s="171"/>
      <c r="G4" s="171"/>
      <c r="H4" s="171"/>
      <c r="I4" s="171"/>
    </row>
    <row r="5" spans="1:12">
      <c r="A5" s="155"/>
      <c r="B5" s="158"/>
      <c r="C5" s="154"/>
      <c r="D5" s="156"/>
      <c r="E5" s="154"/>
      <c r="F5" s="155"/>
      <c r="G5" s="154"/>
      <c r="H5" s="154"/>
      <c r="I5" s="154"/>
      <c r="J5" s="155"/>
    </row>
    <row r="6" spans="1:12" ht="17.25">
      <c r="A6" s="40" t="s">
        <v>31</v>
      </c>
      <c r="B6" s="41"/>
      <c r="C6" s="167" t="s">
        <v>124</v>
      </c>
      <c r="D6" s="168"/>
      <c r="E6" s="168"/>
      <c r="F6" s="168"/>
      <c r="G6" s="169"/>
      <c r="H6" s="42"/>
      <c r="I6" s="43"/>
      <c r="J6" s="153"/>
    </row>
    <row r="7" spans="1:12" ht="15.75" thickBot="1">
      <c r="A7" s="45" t="s">
        <v>32</v>
      </c>
      <c r="B7" s="43"/>
      <c r="C7" s="43"/>
      <c r="D7" s="43"/>
      <c r="E7" s="43"/>
      <c r="F7" s="43"/>
      <c r="G7" s="43"/>
      <c r="H7" s="43"/>
      <c r="I7" s="43"/>
      <c r="J7" s="153"/>
    </row>
    <row r="8" spans="1:12" ht="13.5" customHeight="1">
      <c r="A8" s="46">
        <v>1</v>
      </c>
      <c r="B8" s="47"/>
      <c r="C8" s="49" t="s">
        <v>6</v>
      </c>
      <c r="D8" s="49" t="s">
        <v>8</v>
      </c>
      <c r="E8" s="49" t="s">
        <v>9</v>
      </c>
      <c r="F8" s="48" t="s">
        <v>10</v>
      </c>
      <c r="G8" s="49" t="s">
        <v>17</v>
      </c>
      <c r="H8" s="49" t="s">
        <v>37</v>
      </c>
      <c r="I8" s="49" t="s">
        <v>4</v>
      </c>
      <c r="J8" s="153"/>
    </row>
    <row r="9" spans="1:12" ht="13.5" customHeight="1">
      <c r="A9" s="46">
        <f>A8+1</f>
        <v>2</v>
      </c>
      <c r="B9" s="50"/>
      <c r="C9" s="52" t="s">
        <v>4</v>
      </c>
      <c r="D9" s="52" t="s">
        <v>4</v>
      </c>
      <c r="E9" s="52" t="s">
        <v>11</v>
      </c>
      <c r="F9" s="51" t="s">
        <v>12</v>
      </c>
      <c r="G9" s="52" t="s">
        <v>18</v>
      </c>
      <c r="H9" s="52" t="s">
        <v>38</v>
      </c>
      <c r="I9" s="52" t="s">
        <v>14</v>
      </c>
      <c r="J9" s="153"/>
      <c r="K9" s="157"/>
    </row>
    <row r="10" spans="1:12" ht="13.5" customHeight="1" thickBot="1">
      <c r="A10" s="46">
        <f t="shared" ref="A10:A45" si="0">A9+1</f>
        <v>3</v>
      </c>
      <c r="B10" s="54"/>
      <c r="C10" s="56" t="s">
        <v>13</v>
      </c>
      <c r="D10" s="56" t="s">
        <v>13</v>
      </c>
      <c r="E10" s="56" t="s">
        <v>13</v>
      </c>
      <c r="F10" s="55" t="s">
        <v>13</v>
      </c>
      <c r="G10" s="56" t="s">
        <v>13</v>
      </c>
      <c r="H10" s="56" t="s">
        <v>13</v>
      </c>
      <c r="I10" s="52" t="s">
        <v>15</v>
      </c>
      <c r="J10" s="153"/>
    </row>
    <row r="11" spans="1:12" ht="13.5" customHeight="1">
      <c r="A11" s="46">
        <f t="shared" si="0"/>
        <v>4</v>
      </c>
      <c r="B11" s="57" t="s">
        <v>22</v>
      </c>
      <c r="C11" s="176">
        <v>298.03399999999999</v>
      </c>
      <c r="D11" s="177">
        <v>317.75200000000001</v>
      </c>
      <c r="E11" s="178">
        <v>2</v>
      </c>
      <c r="F11" s="177">
        <v>52.055999999999997</v>
      </c>
      <c r="G11" s="179">
        <v>317</v>
      </c>
      <c r="H11" s="176">
        <v>0</v>
      </c>
      <c r="I11" s="58">
        <f>SUM(C11:H11)</f>
        <v>986.8420000000001</v>
      </c>
      <c r="J11" s="153"/>
      <c r="L11" s="152"/>
    </row>
    <row r="12" spans="1:12" ht="13.5" customHeight="1">
      <c r="A12" s="46">
        <f t="shared" si="0"/>
        <v>5</v>
      </c>
      <c r="B12" s="60" t="s">
        <v>23</v>
      </c>
      <c r="C12" s="180">
        <v>333.24299999999999</v>
      </c>
      <c r="D12" s="181">
        <v>306.93</v>
      </c>
      <c r="E12" s="182">
        <v>2</v>
      </c>
      <c r="F12" s="181">
        <v>60.816000000000003</v>
      </c>
      <c r="G12" s="183">
        <v>317</v>
      </c>
      <c r="H12" s="180">
        <v>0</v>
      </c>
      <c r="I12" s="61">
        <f t="shared" ref="I12:I22" si="1">SUM(C12:H12)</f>
        <v>1019.989</v>
      </c>
      <c r="J12" s="153"/>
      <c r="L12" s="152"/>
    </row>
    <row r="13" spans="1:12" ht="15">
      <c r="A13" s="46">
        <f t="shared" si="0"/>
        <v>6</v>
      </c>
      <c r="B13" s="60" t="s">
        <v>24</v>
      </c>
      <c r="C13" s="180">
        <v>258</v>
      </c>
      <c r="D13" s="181">
        <v>264.351</v>
      </c>
      <c r="E13" s="182">
        <v>2</v>
      </c>
      <c r="F13" s="181">
        <v>45.956000000000003</v>
      </c>
      <c r="G13" s="183">
        <v>317</v>
      </c>
      <c r="H13" s="180">
        <v>0</v>
      </c>
      <c r="I13" s="61">
        <f t="shared" si="1"/>
        <v>887.30700000000002</v>
      </c>
      <c r="J13" s="153"/>
      <c r="L13" s="152"/>
    </row>
    <row r="14" spans="1:12" ht="15">
      <c r="A14" s="46">
        <f t="shared" si="0"/>
        <v>7</v>
      </c>
      <c r="B14" s="60" t="s">
        <v>28</v>
      </c>
      <c r="C14" s="180">
        <v>247.47399999999999</v>
      </c>
      <c r="D14" s="181">
        <v>238.006</v>
      </c>
      <c r="E14" s="182">
        <v>2</v>
      </c>
      <c r="F14" s="181">
        <v>45.76</v>
      </c>
      <c r="G14" s="183">
        <v>317</v>
      </c>
      <c r="H14" s="180">
        <v>0</v>
      </c>
      <c r="I14" s="61">
        <f t="shared" si="1"/>
        <v>850.24</v>
      </c>
      <c r="J14" s="153"/>
      <c r="L14" s="152"/>
    </row>
    <row r="15" spans="1:12" ht="15">
      <c r="A15" s="46">
        <f t="shared" si="0"/>
        <v>8</v>
      </c>
      <c r="B15" s="60" t="s">
        <v>29</v>
      </c>
      <c r="C15" s="180">
        <v>286.404</v>
      </c>
      <c r="D15" s="181">
        <v>243.35499999999999</v>
      </c>
      <c r="E15" s="182">
        <v>3</v>
      </c>
      <c r="F15" s="181">
        <v>51.095999999999997</v>
      </c>
      <c r="G15" s="183">
        <v>317</v>
      </c>
      <c r="H15" s="180">
        <v>0</v>
      </c>
      <c r="I15" s="61">
        <f t="shared" si="1"/>
        <v>900.85500000000002</v>
      </c>
      <c r="J15" s="153"/>
      <c r="L15" s="152"/>
    </row>
    <row r="16" spans="1:12" ht="15">
      <c r="A16" s="46">
        <f t="shared" si="0"/>
        <v>9</v>
      </c>
      <c r="B16" s="60" t="s">
        <v>30</v>
      </c>
      <c r="C16" s="180">
        <v>353.37799999999999</v>
      </c>
      <c r="D16" s="181">
        <v>231.49700000000001</v>
      </c>
      <c r="E16" s="182">
        <v>3</v>
      </c>
      <c r="F16" s="181">
        <v>63.273000000000003</v>
      </c>
      <c r="G16" s="183">
        <v>317</v>
      </c>
      <c r="H16" s="180">
        <v>0</v>
      </c>
      <c r="I16" s="61">
        <f t="shared" si="1"/>
        <v>968.14800000000002</v>
      </c>
      <c r="J16" s="153"/>
      <c r="L16" s="152"/>
    </row>
    <row r="17" spans="1:12" ht="15">
      <c r="A17" s="46">
        <f t="shared" si="0"/>
        <v>10</v>
      </c>
      <c r="B17" s="60" t="s">
        <v>25</v>
      </c>
      <c r="C17" s="180">
        <v>319</v>
      </c>
      <c r="D17" s="181">
        <v>239</v>
      </c>
      <c r="E17" s="182">
        <v>3</v>
      </c>
      <c r="F17" s="181">
        <v>70</v>
      </c>
      <c r="G17" s="183">
        <v>317</v>
      </c>
      <c r="H17" s="180">
        <v>0</v>
      </c>
      <c r="I17" s="61">
        <f t="shared" si="1"/>
        <v>948</v>
      </c>
      <c r="J17" s="153"/>
      <c r="L17" s="152"/>
    </row>
    <row r="18" spans="1:12" ht="15">
      <c r="A18" s="46">
        <f t="shared" si="0"/>
        <v>11</v>
      </c>
      <c r="B18" s="60" t="s">
        <v>19</v>
      </c>
      <c r="C18" s="180">
        <v>379</v>
      </c>
      <c r="D18" s="181">
        <v>258</v>
      </c>
      <c r="E18" s="182">
        <v>3</v>
      </c>
      <c r="F18" s="181">
        <v>71</v>
      </c>
      <c r="G18" s="183">
        <v>317</v>
      </c>
      <c r="H18" s="180">
        <v>0</v>
      </c>
      <c r="I18" s="61">
        <f t="shared" si="1"/>
        <v>1028</v>
      </c>
      <c r="J18" s="153"/>
      <c r="L18" s="152"/>
    </row>
    <row r="19" spans="1:12" ht="15">
      <c r="A19" s="46">
        <f t="shared" si="0"/>
        <v>12</v>
      </c>
      <c r="B19" s="60" t="s">
        <v>26</v>
      </c>
      <c r="C19" s="180">
        <v>334</v>
      </c>
      <c r="D19" s="181">
        <v>246</v>
      </c>
      <c r="E19" s="182">
        <v>3</v>
      </c>
      <c r="F19" s="181">
        <v>62</v>
      </c>
      <c r="G19" s="183">
        <v>317</v>
      </c>
      <c r="H19" s="180">
        <v>0</v>
      </c>
      <c r="I19" s="61">
        <f t="shared" si="1"/>
        <v>962</v>
      </c>
      <c r="J19" s="153"/>
      <c r="L19" s="152"/>
    </row>
    <row r="20" spans="1:12" ht="15">
      <c r="A20" s="46">
        <f t="shared" si="0"/>
        <v>13</v>
      </c>
      <c r="B20" s="60" t="s">
        <v>20</v>
      </c>
      <c r="C20" s="180">
        <v>279</v>
      </c>
      <c r="D20" s="181">
        <v>222</v>
      </c>
      <c r="E20" s="182">
        <v>3</v>
      </c>
      <c r="F20" s="181">
        <v>52</v>
      </c>
      <c r="G20" s="183">
        <v>317</v>
      </c>
      <c r="H20" s="180">
        <v>0</v>
      </c>
      <c r="I20" s="61">
        <f t="shared" si="1"/>
        <v>873</v>
      </c>
      <c r="J20" s="153"/>
      <c r="L20" s="152"/>
    </row>
    <row r="21" spans="1:12" ht="15">
      <c r="A21" s="46">
        <f t="shared" si="0"/>
        <v>14</v>
      </c>
      <c r="B21" s="60" t="s">
        <v>21</v>
      </c>
      <c r="C21" s="180">
        <v>305</v>
      </c>
      <c r="D21" s="181">
        <v>288</v>
      </c>
      <c r="E21" s="182">
        <v>2</v>
      </c>
      <c r="F21" s="181">
        <v>56</v>
      </c>
      <c r="G21" s="183">
        <v>317</v>
      </c>
      <c r="H21" s="180">
        <v>0</v>
      </c>
      <c r="I21" s="61">
        <f t="shared" si="1"/>
        <v>968</v>
      </c>
      <c r="J21" s="153"/>
      <c r="L21" s="152"/>
    </row>
    <row r="22" spans="1:12" ht="15.75" thickBot="1">
      <c r="A22" s="46">
        <f t="shared" si="0"/>
        <v>15</v>
      </c>
      <c r="B22" s="60" t="s">
        <v>27</v>
      </c>
      <c r="C22" s="184">
        <v>250</v>
      </c>
      <c r="D22" s="185">
        <v>258</v>
      </c>
      <c r="E22" s="186">
        <v>2</v>
      </c>
      <c r="F22" s="185">
        <v>42</v>
      </c>
      <c r="G22" s="186">
        <v>317</v>
      </c>
      <c r="H22" s="184">
        <v>0</v>
      </c>
      <c r="I22" s="62">
        <f t="shared" si="1"/>
        <v>869</v>
      </c>
      <c r="J22" s="153"/>
      <c r="L22" s="152"/>
    </row>
    <row r="23" spans="1:12" ht="15.75" thickBot="1">
      <c r="A23" s="46">
        <f t="shared" si="0"/>
        <v>16</v>
      </c>
      <c r="B23" s="63"/>
      <c r="C23" s="64"/>
      <c r="D23" s="64"/>
      <c r="E23" s="64"/>
      <c r="F23" s="65"/>
      <c r="G23" s="66"/>
      <c r="H23" s="67"/>
      <c r="I23" s="68"/>
      <c r="J23" s="153"/>
      <c r="L23" s="152"/>
    </row>
    <row r="24" spans="1:12" ht="15.75" thickBot="1">
      <c r="A24" s="46">
        <f t="shared" si="0"/>
        <v>17</v>
      </c>
      <c r="B24" s="69" t="s">
        <v>16</v>
      </c>
      <c r="C24" s="68">
        <f>SUM(C11:C22)/12</f>
        <v>303.54441666666668</v>
      </c>
      <c r="D24" s="68">
        <f t="shared" ref="D24:I24" si="2">SUM(D11:D22)/12</f>
        <v>259.40758333333332</v>
      </c>
      <c r="E24" s="68">
        <f t="shared" si="2"/>
        <v>2.5</v>
      </c>
      <c r="F24" s="68">
        <f t="shared" si="2"/>
        <v>55.996416666666669</v>
      </c>
      <c r="G24" s="68">
        <f t="shared" si="2"/>
        <v>317</v>
      </c>
      <c r="H24" s="68">
        <f t="shared" si="2"/>
        <v>0</v>
      </c>
      <c r="I24" s="68">
        <f t="shared" si="2"/>
        <v>938.44841666666673</v>
      </c>
      <c r="J24" s="153"/>
      <c r="L24" s="152"/>
    </row>
    <row r="25" spans="1:12" ht="15">
      <c r="A25" s="46">
        <f t="shared" si="0"/>
        <v>18</v>
      </c>
      <c r="B25" s="44"/>
      <c r="C25" s="44"/>
      <c r="D25" s="44"/>
      <c r="E25" s="44"/>
      <c r="F25" s="44"/>
      <c r="G25" s="44"/>
      <c r="H25" s="44"/>
      <c r="I25" s="44"/>
      <c r="J25" s="153"/>
    </row>
    <row r="26" spans="1:12" ht="15.75">
      <c r="A26" s="46">
        <f t="shared" si="0"/>
        <v>19</v>
      </c>
      <c r="B26" s="37"/>
      <c r="C26" s="39"/>
      <c r="D26" s="38"/>
      <c r="E26" s="33"/>
      <c r="F26" s="38"/>
      <c r="G26" s="38"/>
      <c r="H26" s="38"/>
      <c r="I26" s="38"/>
      <c r="J26" s="153"/>
    </row>
    <row r="27" spans="1:12" ht="17.25">
      <c r="A27" s="46">
        <f t="shared" si="0"/>
        <v>20</v>
      </c>
      <c r="B27" s="41"/>
      <c r="C27" s="167" t="s">
        <v>125</v>
      </c>
      <c r="D27" s="168"/>
      <c r="E27" s="168"/>
      <c r="F27" s="168"/>
      <c r="G27" s="169"/>
      <c r="H27" s="42"/>
      <c r="I27" s="43"/>
    </row>
    <row r="28" spans="1:12" ht="15" thickBot="1">
      <c r="A28" s="46">
        <f t="shared" si="0"/>
        <v>21</v>
      </c>
      <c r="B28" s="43"/>
      <c r="C28" s="43"/>
      <c r="D28" s="43"/>
      <c r="E28" s="43"/>
      <c r="F28" s="43"/>
      <c r="G28" s="43"/>
      <c r="H28" s="43"/>
      <c r="I28" s="43"/>
    </row>
    <row r="29" spans="1:12" ht="14.25">
      <c r="A29" s="46">
        <f t="shared" si="0"/>
        <v>22</v>
      </c>
      <c r="B29" s="47"/>
      <c r="C29" s="49" t="s">
        <v>6</v>
      </c>
      <c r="D29" s="49" t="s">
        <v>8</v>
      </c>
      <c r="E29" s="49" t="s">
        <v>9</v>
      </c>
      <c r="F29" s="48" t="s">
        <v>10</v>
      </c>
      <c r="G29" s="49" t="s">
        <v>17</v>
      </c>
      <c r="H29" s="49" t="s">
        <v>37</v>
      </c>
      <c r="I29" s="49" t="s">
        <v>4</v>
      </c>
    </row>
    <row r="30" spans="1:12" ht="14.25">
      <c r="A30" s="46">
        <f t="shared" si="0"/>
        <v>23</v>
      </c>
      <c r="B30" s="50"/>
      <c r="C30" s="52" t="s">
        <v>4</v>
      </c>
      <c r="D30" s="52" t="s">
        <v>4</v>
      </c>
      <c r="E30" s="52" t="s">
        <v>11</v>
      </c>
      <c r="F30" s="51" t="s">
        <v>12</v>
      </c>
      <c r="G30" s="52" t="s">
        <v>18</v>
      </c>
      <c r="H30" s="52" t="s">
        <v>38</v>
      </c>
      <c r="I30" s="52" t="s">
        <v>14</v>
      </c>
    </row>
    <row r="31" spans="1:12" ht="15" thickBot="1">
      <c r="A31" s="46">
        <f t="shared" si="0"/>
        <v>24</v>
      </c>
      <c r="B31" s="54"/>
      <c r="C31" s="56" t="s">
        <v>13</v>
      </c>
      <c r="D31" s="56" t="s">
        <v>13</v>
      </c>
      <c r="E31" s="56" t="s">
        <v>13</v>
      </c>
      <c r="F31" s="55" t="s">
        <v>13</v>
      </c>
      <c r="G31" s="56" t="s">
        <v>13</v>
      </c>
      <c r="H31" s="56" t="s">
        <v>13</v>
      </c>
      <c r="I31" s="52" t="s">
        <v>15</v>
      </c>
    </row>
    <row r="32" spans="1:12" ht="14.25">
      <c r="A32" s="46">
        <f t="shared" si="0"/>
        <v>25</v>
      </c>
      <c r="B32" s="57" t="s">
        <v>22</v>
      </c>
      <c r="C32" s="187">
        <v>330</v>
      </c>
      <c r="D32" s="188">
        <v>315</v>
      </c>
      <c r="E32" s="189">
        <v>3</v>
      </c>
      <c r="F32" s="188">
        <v>75</v>
      </c>
      <c r="G32" s="190">
        <v>317</v>
      </c>
      <c r="H32" s="187">
        <v>0</v>
      </c>
      <c r="I32" s="58">
        <f>SUM(C32:H32)</f>
        <v>1040</v>
      </c>
    </row>
    <row r="33" spans="1:9" ht="14.25">
      <c r="A33" s="46">
        <f t="shared" si="0"/>
        <v>26</v>
      </c>
      <c r="B33" s="60" t="s">
        <v>23</v>
      </c>
      <c r="C33" s="191">
        <v>317</v>
      </c>
      <c r="D33" s="192">
        <v>326</v>
      </c>
      <c r="E33" s="193">
        <v>3</v>
      </c>
      <c r="F33" s="192">
        <v>72</v>
      </c>
      <c r="G33" s="194">
        <v>317</v>
      </c>
      <c r="H33" s="191">
        <v>0</v>
      </c>
      <c r="I33" s="61">
        <f t="shared" ref="I33:I43" si="3">SUM(C33:H33)</f>
        <v>1035</v>
      </c>
    </row>
    <row r="34" spans="1:9" ht="14.25">
      <c r="A34" s="46">
        <f t="shared" si="0"/>
        <v>27</v>
      </c>
      <c r="B34" s="60" t="s">
        <v>24</v>
      </c>
      <c r="C34" s="191">
        <v>297</v>
      </c>
      <c r="D34" s="192">
        <v>298</v>
      </c>
      <c r="E34" s="193">
        <v>3</v>
      </c>
      <c r="F34" s="192">
        <v>68</v>
      </c>
      <c r="G34" s="194">
        <v>317</v>
      </c>
      <c r="H34" s="191">
        <v>0</v>
      </c>
      <c r="I34" s="61">
        <f t="shared" si="3"/>
        <v>983</v>
      </c>
    </row>
    <row r="35" spans="1:9" ht="14.25">
      <c r="A35" s="46">
        <f t="shared" si="0"/>
        <v>28</v>
      </c>
      <c r="B35" s="60" t="s">
        <v>28</v>
      </c>
      <c r="C35" s="191">
        <v>268</v>
      </c>
      <c r="D35" s="192">
        <v>279</v>
      </c>
      <c r="E35" s="193">
        <v>3</v>
      </c>
      <c r="F35" s="192">
        <v>61</v>
      </c>
      <c r="G35" s="194">
        <v>317</v>
      </c>
      <c r="H35" s="191">
        <v>0</v>
      </c>
      <c r="I35" s="61">
        <f t="shared" si="3"/>
        <v>928</v>
      </c>
    </row>
    <row r="36" spans="1:9" ht="14.25">
      <c r="A36" s="46">
        <f t="shared" si="0"/>
        <v>29</v>
      </c>
      <c r="B36" s="60" t="s">
        <v>29</v>
      </c>
      <c r="C36" s="191">
        <v>277</v>
      </c>
      <c r="D36" s="192">
        <v>252</v>
      </c>
      <c r="E36" s="193">
        <v>3</v>
      </c>
      <c r="F36" s="192">
        <v>65</v>
      </c>
      <c r="G36" s="194">
        <v>317</v>
      </c>
      <c r="H36" s="191">
        <v>0</v>
      </c>
      <c r="I36" s="61">
        <f t="shared" si="3"/>
        <v>914</v>
      </c>
    </row>
    <row r="37" spans="1:9" ht="14.25">
      <c r="A37" s="46">
        <f t="shared" si="0"/>
        <v>30</v>
      </c>
      <c r="B37" s="60" t="s">
        <v>30</v>
      </c>
      <c r="C37" s="191">
        <v>342</v>
      </c>
      <c r="D37" s="192">
        <v>249</v>
      </c>
      <c r="E37" s="193">
        <v>3</v>
      </c>
      <c r="F37" s="192">
        <v>79</v>
      </c>
      <c r="G37" s="194">
        <v>317</v>
      </c>
      <c r="H37" s="191">
        <v>0</v>
      </c>
      <c r="I37" s="61">
        <f t="shared" si="3"/>
        <v>990</v>
      </c>
    </row>
    <row r="38" spans="1:9" ht="14.25">
      <c r="A38" s="46">
        <f t="shared" si="0"/>
        <v>31</v>
      </c>
      <c r="B38" s="60" t="s">
        <v>25</v>
      </c>
      <c r="C38" s="191">
        <v>377</v>
      </c>
      <c r="D38" s="192">
        <v>256</v>
      </c>
      <c r="E38" s="193">
        <v>3</v>
      </c>
      <c r="F38" s="192">
        <v>88</v>
      </c>
      <c r="G38" s="194">
        <v>317</v>
      </c>
      <c r="H38" s="191">
        <v>0</v>
      </c>
      <c r="I38" s="61">
        <f t="shared" si="3"/>
        <v>1041</v>
      </c>
    </row>
    <row r="39" spans="1:9" ht="14.25">
      <c r="A39" s="46">
        <f t="shared" si="0"/>
        <v>32</v>
      </c>
      <c r="B39" s="60" t="s">
        <v>19</v>
      </c>
      <c r="C39" s="191">
        <v>362</v>
      </c>
      <c r="D39" s="192">
        <v>266</v>
      </c>
      <c r="E39" s="193">
        <v>3</v>
      </c>
      <c r="F39" s="192">
        <v>84</v>
      </c>
      <c r="G39" s="194">
        <v>317</v>
      </c>
      <c r="H39" s="191">
        <v>0</v>
      </c>
      <c r="I39" s="61">
        <f t="shared" si="3"/>
        <v>1032</v>
      </c>
    </row>
    <row r="40" spans="1:9" ht="14.25">
      <c r="A40" s="46">
        <f t="shared" si="0"/>
        <v>33</v>
      </c>
      <c r="B40" s="60" t="s">
        <v>26</v>
      </c>
      <c r="C40" s="191">
        <v>323</v>
      </c>
      <c r="D40" s="192">
        <v>254</v>
      </c>
      <c r="E40" s="193">
        <v>3</v>
      </c>
      <c r="F40" s="192">
        <v>77</v>
      </c>
      <c r="G40" s="194">
        <v>317</v>
      </c>
      <c r="H40" s="191">
        <v>0</v>
      </c>
      <c r="I40" s="61">
        <f t="shared" si="3"/>
        <v>974</v>
      </c>
    </row>
    <row r="41" spans="1:9" ht="14.25">
      <c r="A41" s="46">
        <f t="shared" si="0"/>
        <v>34</v>
      </c>
      <c r="B41" s="60" t="s">
        <v>20</v>
      </c>
      <c r="C41" s="191">
        <v>275</v>
      </c>
      <c r="D41" s="192">
        <v>273</v>
      </c>
      <c r="E41" s="193">
        <v>3</v>
      </c>
      <c r="F41" s="192">
        <v>62</v>
      </c>
      <c r="G41" s="194">
        <v>317</v>
      </c>
      <c r="H41" s="191">
        <v>0</v>
      </c>
      <c r="I41" s="61">
        <f t="shared" si="3"/>
        <v>930</v>
      </c>
    </row>
    <row r="42" spans="1:9" ht="14.25">
      <c r="A42" s="46">
        <f t="shared" si="0"/>
        <v>35</v>
      </c>
      <c r="B42" s="60" t="s">
        <v>21</v>
      </c>
      <c r="C42" s="191">
        <v>301</v>
      </c>
      <c r="D42" s="192">
        <v>304</v>
      </c>
      <c r="E42" s="193">
        <v>3</v>
      </c>
      <c r="F42" s="192">
        <v>71</v>
      </c>
      <c r="G42" s="194">
        <v>317</v>
      </c>
      <c r="H42" s="191">
        <v>0</v>
      </c>
      <c r="I42" s="61">
        <f t="shared" si="3"/>
        <v>996</v>
      </c>
    </row>
    <row r="43" spans="1:9" ht="15" thickBot="1">
      <c r="A43" s="46">
        <f t="shared" si="0"/>
        <v>36</v>
      </c>
      <c r="B43" s="60" t="s">
        <v>27</v>
      </c>
      <c r="C43" s="195">
        <v>323</v>
      </c>
      <c r="D43" s="196">
        <v>340</v>
      </c>
      <c r="E43" s="197">
        <v>3</v>
      </c>
      <c r="F43" s="196">
        <v>76</v>
      </c>
      <c r="G43" s="197">
        <v>317</v>
      </c>
      <c r="H43" s="195">
        <v>0</v>
      </c>
      <c r="I43" s="62">
        <f t="shared" si="3"/>
        <v>1059</v>
      </c>
    </row>
    <row r="44" spans="1:9" ht="15" thickBot="1">
      <c r="A44" s="46">
        <f t="shared" si="0"/>
        <v>37</v>
      </c>
      <c r="B44" s="70"/>
      <c r="C44" s="198"/>
      <c r="D44" s="198"/>
      <c r="E44" s="198"/>
      <c r="F44" s="199"/>
      <c r="G44" s="200"/>
      <c r="H44" s="201"/>
      <c r="I44" s="64"/>
    </row>
    <row r="45" spans="1:9" ht="15" thickBot="1">
      <c r="A45" s="46">
        <f t="shared" si="0"/>
        <v>38</v>
      </c>
      <c r="B45" s="69" t="s">
        <v>16</v>
      </c>
      <c r="C45" s="68">
        <f>SUM(C32:C43)/12</f>
        <v>316</v>
      </c>
      <c r="D45" s="68">
        <f t="shared" ref="D45:I45" si="4">SUM(D32:D43)/12</f>
        <v>284.33333333333331</v>
      </c>
      <c r="E45" s="68">
        <f t="shared" si="4"/>
        <v>3</v>
      </c>
      <c r="F45" s="68">
        <f t="shared" si="4"/>
        <v>73.166666666666671</v>
      </c>
      <c r="G45" s="68">
        <f t="shared" si="4"/>
        <v>317</v>
      </c>
      <c r="H45" s="68">
        <f t="shared" si="4"/>
        <v>0</v>
      </c>
      <c r="I45" s="68">
        <f t="shared" si="4"/>
        <v>993.5</v>
      </c>
    </row>
    <row r="46" spans="1:9">
      <c r="D46" s="152"/>
      <c r="E46" s="152"/>
      <c r="F46" s="152"/>
      <c r="G46" s="152"/>
      <c r="H46" s="152"/>
      <c r="I46" s="152"/>
    </row>
    <row r="47" spans="1:9">
      <c r="D47" s="152"/>
      <c r="E47" s="152"/>
      <c r="F47" s="152"/>
      <c r="G47" s="152"/>
      <c r="H47" s="152"/>
      <c r="I47" s="152"/>
    </row>
    <row r="48" spans="1:9">
      <c r="D48" s="152"/>
      <c r="E48" s="152"/>
      <c r="F48" s="152"/>
      <c r="G48" s="152"/>
      <c r="H48" s="152"/>
      <c r="I48" s="152"/>
    </row>
    <row r="49" spans="4:9">
      <c r="D49" s="152"/>
      <c r="E49" s="152"/>
      <c r="F49" s="152"/>
      <c r="G49" s="152"/>
      <c r="H49" s="152"/>
      <c r="I49" s="152"/>
    </row>
    <row r="50" spans="4:9">
      <c r="D50" s="152"/>
      <c r="E50" s="152"/>
      <c r="F50" s="152"/>
      <c r="G50" s="152"/>
      <c r="H50" s="152"/>
      <c r="I50" s="152"/>
    </row>
    <row r="51" spans="4:9">
      <c r="D51" s="152"/>
      <c r="E51" s="152"/>
      <c r="F51" s="152"/>
      <c r="G51" s="152"/>
      <c r="H51" s="152"/>
      <c r="I51" s="152"/>
    </row>
    <row r="52" spans="4:9">
      <c r="D52" s="152"/>
      <c r="E52" s="152"/>
      <c r="F52" s="152"/>
      <c r="G52" s="152"/>
      <c r="H52" s="152"/>
      <c r="I52" s="152"/>
    </row>
    <row r="53" spans="4:9">
      <c r="D53" s="152"/>
      <c r="E53" s="152"/>
      <c r="F53" s="152"/>
      <c r="G53" s="152"/>
      <c r="H53" s="152"/>
      <c r="I53" s="152"/>
    </row>
    <row r="54" spans="4:9">
      <c r="D54" s="152"/>
      <c r="E54" s="152"/>
      <c r="F54" s="152"/>
      <c r="G54" s="152"/>
      <c r="H54" s="152"/>
      <c r="I54" s="152"/>
    </row>
    <row r="55" spans="4:9">
      <c r="D55" s="152"/>
      <c r="E55" s="152"/>
      <c r="F55" s="152"/>
      <c r="G55" s="152"/>
      <c r="H55" s="152"/>
      <c r="I55" s="152"/>
    </row>
    <row r="56" spans="4:9">
      <c r="D56" s="152"/>
      <c r="E56" s="152"/>
      <c r="F56" s="152"/>
      <c r="G56" s="152"/>
      <c r="H56" s="152"/>
      <c r="I56" s="152"/>
    </row>
    <row r="57" spans="4:9">
      <c r="D57" s="152"/>
      <c r="E57" s="152"/>
      <c r="F57" s="152"/>
      <c r="G57" s="152"/>
      <c r="H57" s="152"/>
      <c r="I57" s="152"/>
    </row>
    <row r="58" spans="4:9">
      <c r="D58" s="152"/>
      <c r="E58" s="152"/>
      <c r="F58" s="152"/>
      <c r="G58" s="152"/>
      <c r="H58" s="152"/>
      <c r="I58" s="152"/>
    </row>
    <row r="59" spans="4:9">
      <c r="D59" s="152"/>
      <c r="E59" s="152"/>
      <c r="F59" s="152"/>
      <c r="G59" s="152"/>
      <c r="H59" s="152"/>
      <c r="I59" s="152"/>
    </row>
    <row r="60" spans="4:9">
      <c r="D60" s="152"/>
    </row>
    <row r="61" spans="4:9">
      <c r="D61" s="152"/>
    </row>
    <row r="62" spans="4:9">
      <c r="D62" s="152"/>
    </row>
    <row r="63" spans="4:9">
      <c r="D63" s="152"/>
    </row>
  </sheetData>
  <mergeCells count="4">
    <mergeCell ref="B3:I3"/>
    <mergeCell ref="B4:I4"/>
    <mergeCell ref="C6:G6"/>
    <mergeCell ref="C27:G27"/>
  </mergeCells>
  <pageMargins left="0.7" right="0.7" top="0.75" bottom="0.75" header="0.3" footer="0.3"/>
  <pageSetup scale="68" orientation="portrait" r:id="rId1"/>
  <headerFooter>
    <oddHeader>&amp;R&amp;"Arial,Bold"Black Hills Power, Inc.
September 30, 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72"/>
  <sheetViews>
    <sheetView workbookViewId="0">
      <selection activeCell="H20" sqref="H20"/>
    </sheetView>
  </sheetViews>
  <sheetFormatPr defaultRowHeight="12.75"/>
  <cols>
    <col min="1" max="1" width="5" customWidth="1"/>
    <col min="2" max="2" width="14.140625" customWidth="1"/>
    <col min="3" max="3" width="9.5703125" bestFit="1" customWidth="1"/>
    <col min="4" max="4" width="10.140625" bestFit="1" customWidth="1"/>
    <col min="7" max="7" width="13.140625" customWidth="1"/>
    <col min="8" max="8" width="13" customWidth="1"/>
    <col min="11" max="11" width="11.28515625" bestFit="1" customWidth="1"/>
  </cols>
  <sheetData>
    <row r="1" spans="1:10">
      <c r="A1" s="10" t="s">
        <v>0</v>
      </c>
    </row>
    <row r="2" spans="1:10">
      <c r="A2" s="10" t="s">
        <v>1</v>
      </c>
      <c r="J2" s="1" t="str">
        <f>+'Under-Over Recovery'!J2</f>
        <v>Black Hills Power, Inc.</v>
      </c>
    </row>
    <row r="3" spans="1:10">
      <c r="A3" s="10" t="s">
        <v>2</v>
      </c>
      <c r="J3" s="1" t="str">
        <f>+'Under-Over Recovery'!J3</f>
        <v>May 31, 2026</v>
      </c>
    </row>
    <row r="7" spans="1:10">
      <c r="A7" s="2" t="s">
        <v>31</v>
      </c>
    </row>
    <row r="8" spans="1:10">
      <c r="A8" s="9" t="s">
        <v>32</v>
      </c>
    </row>
    <row r="9" spans="1:10">
      <c r="A9">
        <v>1</v>
      </c>
      <c r="B9" s="2" t="s">
        <v>61</v>
      </c>
    </row>
    <row r="11" spans="1:10">
      <c r="A11">
        <v>2</v>
      </c>
      <c r="B11" s="2" t="s">
        <v>107</v>
      </c>
    </row>
    <row r="12" spans="1:10">
      <c r="A12">
        <v>3</v>
      </c>
      <c r="B12" s="2" t="s">
        <v>89</v>
      </c>
    </row>
    <row r="13" spans="1:10">
      <c r="A13">
        <v>4</v>
      </c>
      <c r="B13" s="2" t="s">
        <v>90</v>
      </c>
    </row>
    <row r="14" spans="1:10">
      <c r="A14">
        <v>5</v>
      </c>
      <c r="B14" s="2" t="s">
        <v>91</v>
      </c>
    </row>
    <row r="15" spans="1:10">
      <c r="A15">
        <v>6</v>
      </c>
      <c r="B15" s="2" t="s">
        <v>92</v>
      </c>
    </row>
    <row r="16" spans="1:10">
      <c r="A16">
        <v>7</v>
      </c>
      <c r="B16" s="2" t="s">
        <v>93</v>
      </c>
    </row>
    <row r="17" spans="1:9">
      <c r="A17">
        <v>8</v>
      </c>
      <c r="B17" s="2" t="s">
        <v>94</v>
      </c>
    </row>
    <row r="18" spans="1:9">
      <c r="A18">
        <v>9</v>
      </c>
      <c r="B18" s="2" t="s">
        <v>95</v>
      </c>
    </row>
    <row r="19" spans="1:9">
      <c r="A19">
        <v>10</v>
      </c>
      <c r="B19" s="2" t="s">
        <v>96</v>
      </c>
    </row>
    <row r="20" spans="1:9">
      <c r="B20" s="2"/>
    </row>
    <row r="21" spans="1:9">
      <c r="A21">
        <v>11</v>
      </c>
      <c r="B21" s="2" t="s">
        <v>97</v>
      </c>
    </row>
    <row r="22" spans="1:9">
      <c r="A22">
        <f>+A21+1</f>
        <v>12</v>
      </c>
      <c r="B22" s="2" t="s">
        <v>98</v>
      </c>
    </row>
    <row r="23" spans="1:9">
      <c r="A23">
        <f t="shared" ref="A23:A28" si="0">+A22+1</f>
        <v>13</v>
      </c>
      <c r="B23" s="2" t="s">
        <v>99</v>
      </c>
    </row>
    <row r="24" spans="1:9">
      <c r="A24">
        <f t="shared" si="0"/>
        <v>14</v>
      </c>
      <c r="B24" s="2" t="s">
        <v>100</v>
      </c>
    </row>
    <row r="25" spans="1:9">
      <c r="A25">
        <f t="shared" si="0"/>
        <v>15</v>
      </c>
      <c r="B25" s="2" t="s">
        <v>101</v>
      </c>
    </row>
    <row r="26" spans="1:9">
      <c r="A26">
        <f t="shared" si="0"/>
        <v>16</v>
      </c>
      <c r="B26" s="2" t="s">
        <v>102</v>
      </c>
    </row>
    <row r="27" spans="1:9">
      <c r="A27">
        <f t="shared" si="0"/>
        <v>17</v>
      </c>
      <c r="B27" s="2" t="s">
        <v>103</v>
      </c>
    </row>
    <row r="28" spans="1:9">
      <c r="A28">
        <f t="shared" si="0"/>
        <v>18</v>
      </c>
      <c r="B28" s="2" t="s">
        <v>104</v>
      </c>
    </row>
    <row r="29" spans="1:9">
      <c r="B29" s="2"/>
    </row>
    <row r="30" spans="1:9">
      <c r="A30">
        <v>19</v>
      </c>
      <c r="B30" s="166" t="s">
        <v>131</v>
      </c>
      <c r="C30" s="166"/>
      <c r="D30" s="166"/>
      <c r="E30" s="166"/>
      <c r="F30" s="166"/>
      <c r="G30" s="166"/>
      <c r="H30" s="166"/>
    </row>
    <row r="31" spans="1:9" ht="38.25">
      <c r="A31">
        <f>+A30+1</f>
        <v>20</v>
      </c>
      <c r="B31" s="6" t="s">
        <v>39</v>
      </c>
      <c r="C31" s="163" t="s">
        <v>40</v>
      </c>
      <c r="D31" s="163"/>
      <c r="E31" s="163" t="s">
        <v>41</v>
      </c>
      <c r="F31" s="163"/>
      <c r="G31" s="8" t="s">
        <v>42</v>
      </c>
      <c r="H31" s="8" t="s">
        <v>43</v>
      </c>
      <c r="I31" s="8" t="s">
        <v>106</v>
      </c>
    </row>
    <row r="32" spans="1:9">
      <c r="A32">
        <f t="shared" ref="A32:A40" si="1">+A31+1</f>
        <v>21</v>
      </c>
      <c r="B32" s="5"/>
      <c r="C32" s="4" t="s">
        <v>44</v>
      </c>
      <c r="D32" s="4" t="s">
        <v>45</v>
      </c>
      <c r="E32" s="4" t="s">
        <v>44</v>
      </c>
      <c r="F32" s="4" t="s">
        <v>45</v>
      </c>
      <c r="G32" s="5"/>
      <c r="H32" s="5"/>
      <c r="I32" s="5"/>
    </row>
    <row r="33" spans="1:11">
      <c r="A33">
        <f t="shared" si="1"/>
        <v>22</v>
      </c>
      <c r="B33" s="7" t="s">
        <v>46</v>
      </c>
      <c r="C33" s="18">
        <f>ROUND('Sch. 2 - BHP (old rate)'!H31,5)</f>
        <v>3.5E-4</v>
      </c>
      <c r="D33" s="18">
        <f>ROUND('Sch. 2 - BHP (old rate)'!H30,5)</f>
        <v>2.0000000000000001E-4</v>
      </c>
      <c r="E33" s="19">
        <f>ROUND('Sch. 2 - BHP (old rate)'!H28,4)</f>
        <v>5.7000000000000002E-3</v>
      </c>
      <c r="F33" s="19">
        <f>ROUND('Sch. 2 - BHP (old rate)'!H27,4)</f>
        <v>4.7999999999999996E-3</v>
      </c>
      <c r="G33" s="18">
        <f>ROUND('Sch. 2 - BHP (old rate)'!H25,4)</f>
        <v>3.4000000000000002E-2</v>
      </c>
      <c r="H33" s="19">
        <f>ROUND('Sch. 2 - BHP (old rate)'!H23,4)</f>
        <v>0.1474</v>
      </c>
      <c r="I33" s="19">
        <f>ROUND('Sch. 2 - BHP (old rate)'!H21,4)</f>
        <v>1.7688999999999999</v>
      </c>
      <c r="K33" s="161"/>
    </row>
    <row r="34" spans="1:11">
      <c r="A34">
        <f t="shared" si="1"/>
        <v>23</v>
      </c>
      <c r="B34" s="7" t="s">
        <v>47</v>
      </c>
      <c r="C34" s="18">
        <f>ROUND('Sch. 2 - Gillette(old rate)'!H31,5)</f>
        <v>6.0000000000000002E-5</v>
      </c>
      <c r="D34" s="18">
        <f>ROUND('Sch. 2 - Gillette(old rate)'!H30,5)</f>
        <v>4.0000000000000003E-5</v>
      </c>
      <c r="E34" s="19">
        <f>ROUND('Sch. 2 - Gillette(old rate)'!H28,4)</f>
        <v>1E-3</v>
      </c>
      <c r="F34" s="19">
        <f>ROUND('Sch. 2 - Gillette(old rate)'!H27,4)</f>
        <v>8.9999999999999998E-4</v>
      </c>
      <c r="G34" s="18">
        <f>ROUND('Sch. 2 - Gillette(old rate)'!H25,4)</f>
        <v>6.1000000000000004E-3</v>
      </c>
      <c r="H34" s="19">
        <f>ROUND('Sch. 2 - Gillette(old rate)'!H23,4)</f>
        <v>2.63E-2</v>
      </c>
      <c r="I34" s="19">
        <f>ROUND('Sch. 2 - Gillette(old rate)'!H21,4)</f>
        <v>0.31580000000000003</v>
      </c>
      <c r="K34" s="161"/>
    </row>
    <row r="35" spans="1:11">
      <c r="A35">
        <f t="shared" si="1"/>
        <v>24</v>
      </c>
      <c r="B35" s="11" t="s">
        <v>48</v>
      </c>
      <c r="C35" s="18">
        <f>ROUND('Sch. 2 - CLFP(old rate)'!H31,5)</f>
        <v>1.2999999999999999E-4</v>
      </c>
      <c r="D35" s="18">
        <f>ROUND('Sch. 2 - CLFP(old rate)'!H30,5)</f>
        <v>6.9999999999999994E-5</v>
      </c>
      <c r="E35" s="19">
        <f>ROUND('Sch. 2 - CLFP(old rate)'!H28,4)</f>
        <v>2.0999999999999999E-3</v>
      </c>
      <c r="F35" s="19">
        <f>ROUND('Sch. 2 - CLFP(old rate)'!H27,4)</f>
        <v>1.8E-3</v>
      </c>
      <c r="G35" s="18">
        <f>ROUND('Sch. 2 - CLFP(old rate)'!H25,4)</f>
        <v>1.23E-2</v>
      </c>
      <c r="H35" s="19">
        <f>ROUND('Sch. 2 - CLFP(old rate)'!H23,4)</f>
        <v>5.3400000000000003E-2</v>
      </c>
      <c r="I35" s="19">
        <f>ROUND('Sch. 2 - CLFP(old rate)'!H21,4)</f>
        <v>0.64049999999999996</v>
      </c>
      <c r="K35" s="161"/>
    </row>
    <row r="36" spans="1:11">
      <c r="A36">
        <f t="shared" si="1"/>
        <v>25</v>
      </c>
      <c r="B36" s="11" t="s">
        <v>69</v>
      </c>
      <c r="C36" s="18">
        <f>ROUND('Sch. 2 - BHW(old rate)'!H31,5)</f>
        <v>6.0000000000000002E-5</v>
      </c>
      <c r="D36" s="18">
        <f>ROUND('Sch. 2 - BHW(old rate)'!H30,5)</f>
        <v>3.0000000000000001E-5</v>
      </c>
      <c r="E36" s="19">
        <f>ROUND('Sch. 2 - BHW(old rate)'!H28,4)</f>
        <v>8.9999999999999998E-4</v>
      </c>
      <c r="F36" s="19">
        <f>ROUND('Sch. 2 - BHW(old rate)'!H27,4)</f>
        <v>8.0000000000000004E-4</v>
      </c>
      <c r="G36" s="18">
        <f>ROUND('Sch. 2 - BHW(old rate)'!H25,4)</f>
        <v>5.3E-3</v>
      </c>
      <c r="H36" s="19">
        <f>ROUND('Sch. 2 - BHW(old rate)'!H23,4)</f>
        <v>2.3099999999999999E-2</v>
      </c>
      <c r="I36" s="19">
        <f>ROUND('Sch. 2 - BHW(old rate)'!H21,4)</f>
        <v>0.27750000000000002</v>
      </c>
      <c r="K36" s="161"/>
    </row>
    <row r="37" spans="1:11">
      <c r="A37">
        <f t="shared" si="1"/>
        <v>26</v>
      </c>
      <c r="B37" s="11" t="s">
        <v>67</v>
      </c>
      <c r="C37" s="18">
        <f>ROUND('Sch. 2 - Basin(old rate)'!H31,5)</f>
        <v>2.2000000000000001E-4</v>
      </c>
      <c r="D37" s="18">
        <f>ROUND('Sch. 2 - Basin(old rate)'!H30,5)</f>
        <v>1.2999999999999999E-4</v>
      </c>
      <c r="E37" s="19">
        <f>ROUND('Sch. 2 - Basin(old rate)'!H28,4)</f>
        <v>3.5000000000000001E-3</v>
      </c>
      <c r="F37" s="19">
        <f>ROUND('Sch. 2 - Basin(old rate)'!H27,4)</f>
        <v>3.0000000000000001E-3</v>
      </c>
      <c r="G37" s="18">
        <f>ROUND('Sch. 2 - Basin(old rate)'!H25,4)</f>
        <v>2.12E-2</v>
      </c>
      <c r="H37" s="19">
        <f>ROUND('Sch. 2 - Basin(old rate)'!H23,4)</f>
        <v>9.1899999999999996E-2</v>
      </c>
      <c r="I37" s="19">
        <f>ROUND('Sch. 2 - Basin(old rate)'!H21,4)</f>
        <v>1.1026</v>
      </c>
      <c r="K37" s="161"/>
    </row>
    <row r="38" spans="1:11">
      <c r="A38">
        <f t="shared" si="1"/>
        <v>27</v>
      </c>
      <c r="B38" s="11" t="s">
        <v>68</v>
      </c>
      <c r="C38" s="18">
        <f>ROUND('Sch. 2 - WMPA(old rate)'!H31,5)</f>
        <v>1.0000000000000001E-5</v>
      </c>
      <c r="D38" s="18">
        <f>ROUND('Sch. 2 - WMPA(old rate)'!H30,5)</f>
        <v>1.0000000000000001E-5</v>
      </c>
      <c r="E38" s="19">
        <f>ROUND('Sch. 2 - WMPA(old rate)'!H28,4)</f>
        <v>2.0000000000000001E-4</v>
      </c>
      <c r="F38" s="19">
        <f>ROUND('Sch. 2 - WMPA(old rate)'!H27,4)</f>
        <v>2.0000000000000001E-4</v>
      </c>
      <c r="G38" s="18">
        <f>ROUND('Sch. 2 - WMPA(old rate)'!H25,4)</f>
        <v>1.4E-3</v>
      </c>
      <c r="H38" s="19">
        <f>ROUND('Sch. 2 - WMPA(old rate)'!H23,4)</f>
        <v>5.8999999999999999E-3</v>
      </c>
      <c r="I38" s="19">
        <f>ROUND('Sch. 2 - WMPA(old rate)'!H21,4)</f>
        <v>7.1099999999999997E-2</v>
      </c>
      <c r="K38" s="161"/>
    </row>
    <row r="39" spans="1:11">
      <c r="A39">
        <f t="shared" si="1"/>
        <v>28</v>
      </c>
      <c r="B39" s="82" t="s">
        <v>49</v>
      </c>
      <c r="C39" s="80">
        <f t="shared" ref="C39:H39" si="2">SUM(C33:C38)</f>
        <v>8.3000000000000012E-4</v>
      </c>
      <c r="D39" s="80">
        <f t="shared" si="2"/>
        <v>4.8000000000000007E-4</v>
      </c>
      <c r="E39" s="81">
        <f t="shared" si="2"/>
        <v>1.34E-2</v>
      </c>
      <c r="F39" s="81">
        <f t="shared" si="2"/>
        <v>1.1500000000000002E-2</v>
      </c>
      <c r="G39" s="80">
        <f t="shared" si="2"/>
        <v>8.0299999999999996E-2</v>
      </c>
      <c r="H39" s="81">
        <f t="shared" si="2"/>
        <v>0.34799999999999998</v>
      </c>
      <c r="I39" s="81">
        <f>SUM(I33:I38)</f>
        <v>4.1764000000000001</v>
      </c>
      <c r="K39" s="162"/>
    </row>
    <row r="40" spans="1:11">
      <c r="A40">
        <f t="shared" si="1"/>
        <v>29</v>
      </c>
      <c r="B40" s="79" t="s">
        <v>128</v>
      </c>
      <c r="D40" s="3">
        <f>'CUS AC LOADS (for old rate)'!I24*1000</f>
        <v>938448.41666666674</v>
      </c>
    </row>
    <row r="41" spans="1:11">
      <c r="B41" s="2"/>
      <c r="D41" s="3"/>
    </row>
    <row r="42" spans="1:11">
      <c r="A42">
        <v>30</v>
      </c>
      <c r="B42" s="164" t="s">
        <v>127</v>
      </c>
      <c r="C42" s="165"/>
      <c r="D42" s="165"/>
      <c r="E42" s="165"/>
      <c r="F42" s="165"/>
      <c r="G42" s="165"/>
      <c r="H42" s="165"/>
    </row>
    <row r="43" spans="1:11" ht="38.25">
      <c r="A43">
        <f>+A42+1</f>
        <v>31</v>
      </c>
      <c r="B43" s="6" t="s">
        <v>39</v>
      </c>
      <c r="C43" s="163" t="s">
        <v>40</v>
      </c>
      <c r="D43" s="163"/>
      <c r="E43" s="163" t="s">
        <v>41</v>
      </c>
      <c r="F43" s="163"/>
      <c r="G43" s="8" t="s">
        <v>42</v>
      </c>
      <c r="H43" s="8" t="s">
        <v>43</v>
      </c>
      <c r="I43" s="8" t="s">
        <v>106</v>
      </c>
    </row>
    <row r="44" spans="1:11">
      <c r="A44">
        <f t="shared" ref="A44:A52" si="3">+A43+1</f>
        <v>32</v>
      </c>
      <c r="B44" s="5"/>
      <c r="C44" s="4" t="s">
        <v>44</v>
      </c>
      <c r="D44" s="4" t="s">
        <v>45</v>
      </c>
      <c r="E44" s="4" t="s">
        <v>44</v>
      </c>
      <c r="F44" s="4" t="s">
        <v>45</v>
      </c>
      <c r="G44" s="5"/>
      <c r="H44" s="5"/>
      <c r="I44" s="5"/>
    </row>
    <row r="45" spans="1:11">
      <c r="A45">
        <f t="shared" si="3"/>
        <v>33</v>
      </c>
      <c r="B45" s="7" t="s">
        <v>46</v>
      </c>
      <c r="C45" s="120">
        <v>3.3E-4</v>
      </c>
      <c r="D45" s="120">
        <v>1.9000000000000001E-4</v>
      </c>
      <c r="E45" s="121">
        <v>5.4000000000000003E-3</v>
      </c>
      <c r="F45" s="121">
        <v>4.5999999999999999E-3</v>
      </c>
      <c r="G45" s="121">
        <v>3.2099999999999997E-2</v>
      </c>
      <c r="H45" s="121">
        <v>0.13919999999999999</v>
      </c>
      <c r="I45" s="121">
        <v>1.6709000000000001</v>
      </c>
      <c r="J45" s="119"/>
    </row>
    <row r="46" spans="1:11">
      <c r="A46">
        <f t="shared" si="3"/>
        <v>34</v>
      </c>
      <c r="B46" s="7" t="s">
        <v>47</v>
      </c>
      <c r="C46" s="120">
        <v>6.0000000000000002E-5</v>
      </c>
      <c r="D46" s="120">
        <v>3.0000000000000001E-5</v>
      </c>
      <c r="E46" s="121">
        <v>1E-3</v>
      </c>
      <c r="F46" s="121">
        <v>8.0000000000000004E-4</v>
      </c>
      <c r="G46" s="121">
        <v>5.7000000000000002E-3</v>
      </c>
      <c r="H46" s="121">
        <v>2.4899999999999999E-2</v>
      </c>
      <c r="I46" s="121">
        <v>0.29830000000000001</v>
      </c>
    </row>
    <row r="47" spans="1:11">
      <c r="A47">
        <f t="shared" si="3"/>
        <v>35</v>
      </c>
      <c r="B47" s="11" t="s">
        <v>48</v>
      </c>
      <c r="C47" s="120">
        <v>1.2E-4</v>
      </c>
      <c r="D47" s="120">
        <v>6.9999999999999994E-5</v>
      </c>
      <c r="E47" s="121">
        <v>1.9E-3</v>
      </c>
      <c r="F47" s="121">
        <v>1.6999999999999999E-3</v>
      </c>
      <c r="G47" s="121">
        <v>1.1599999999999999E-2</v>
      </c>
      <c r="H47" s="121">
        <v>5.04E-2</v>
      </c>
      <c r="I47" s="121">
        <v>0.60499999999999998</v>
      </c>
    </row>
    <row r="48" spans="1:11">
      <c r="A48">
        <f t="shared" si="3"/>
        <v>36</v>
      </c>
      <c r="B48" s="11" t="s">
        <v>69</v>
      </c>
      <c r="C48" s="120">
        <v>5.0000000000000002E-5</v>
      </c>
      <c r="D48" s="120">
        <v>3.0000000000000001E-5</v>
      </c>
      <c r="E48" s="121">
        <v>8.0000000000000004E-4</v>
      </c>
      <c r="F48" s="121">
        <v>6.9999999999999999E-4</v>
      </c>
      <c r="G48" s="121">
        <v>5.0000000000000001E-3</v>
      </c>
      <c r="H48" s="121">
        <v>2.18E-2</v>
      </c>
      <c r="I48" s="121">
        <v>0.2621</v>
      </c>
    </row>
    <row r="49" spans="1:9">
      <c r="A49">
        <f t="shared" si="3"/>
        <v>37</v>
      </c>
      <c r="B49" s="11" t="s">
        <v>67</v>
      </c>
      <c r="C49" s="120">
        <v>2.1000000000000001E-4</v>
      </c>
      <c r="D49" s="120">
        <v>1.2E-4</v>
      </c>
      <c r="E49" s="121">
        <v>3.3E-3</v>
      </c>
      <c r="F49" s="121">
        <v>2.8999999999999998E-3</v>
      </c>
      <c r="G49" s="121">
        <v>0.02</v>
      </c>
      <c r="H49" s="121">
        <v>8.6800000000000002E-2</v>
      </c>
      <c r="I49" s="121">
        <v>1.0415000000000001</v>
      </c>
    </row>
    <row r="50" spans="1:9">
      <c r="A50">
        <f t="shared" si="3"/>
        <v>38</v>
      </c>
      <c r="B50" s="11" t="s">
        <v>68</v>
      </c>
      <c r="C50" s="120">
        <v>1.0000000000000001E-5</v>
      </c>
      <c r="D50" s="120">
        <v>1.0000000000000001E-5</v>
      </c>
      <c r="E50" s="121">
        <v>2.0000000000000001E-4</v>
      </c>
      <c r="F50" s="121">
        <v>2.0000000000000001E-4</v>
      </c>
      <c r="G50" s="121">
        <v>1.2999999999999999E-3</v>
      </c>
      <c r="H50" s="121">
        <v>5.5999999999999999E-3</v>
      </c>
      <c r="I50" s="121">
        <v>6.7199999999999996E-2</v>
      </c>
    </row>
    <row r="51" spans="1:9">
      <c r="A51">
        <f t="shared" si="3"/>
        <v>39</v>
      </c>
      <c r="B51" s="82" t="s">
        <v>49</v>
      </c>
      <c r="C51" s="80">
        <f>SUM(C45:C50)</f>
        <v>7.8000000000000009E-4</v>
      </c>
      <c r="D51" s="80">
        <f t="shared" ref="D51:I51" si="4">SUM(D45:D50)</f>
        <v>4.5000000000000004E-4</v>
      </c>
      <c r="E51" s="81">
        <f t="shared" si="4"/>
        <v>1.2600000000000002E-2</v>
      </c>
      <c r="F51" s="81">
        <f t="shared" si="4"/>
        <v>1.0900000000000002E-2</v>
      </c>
      <c r="G51" s="81">
        <f t="shared" si="4"/>
        <v>7.569999999999999E-2</v>
      </c>
      <c r="H51" s="81">
        <f t="shared" si="4"/>
        <v>0.32869999999999999</v>
      </c>
      <c r="I51" s="81">
        <f t="shared" si="4"/>
        <v>3.9450000000000007</v>
      </c>
    </row>
    <row r="52" spans="1:9">
      <c r="A52">
        <f t="shared" si="3"/>
        <v>40</v>
      </c>
      <c r="B52" s="79" t="s">
        <v>129</v>
      </c>
      <c r="D52" s="3">
        <f>'CUS AC LOADS (for old rate)'!I45*1000</f>
        <v>993500</v>
      </c>
    </row>
    <row r="64" spans="1:9">
      <c r="C64" s="17"/>
      <c r="D64" s="17"/>
      <c r="E64" s="17"/>
      <c r="F64" s="17"/>
      <c r="G64" s="17"/>
      <c r="H64" s="17"/>
      <c r="I64" s="17"/>
    </row>
    <row r="65" spans="3:9">
      <c r="C65" s="17"/>
      <c r="D65" s="17"/>
      <c r="E65" s="17"/>
      <c r="F65" s="17"/>
      <c r="G65" s="17"/>
      <c r="H65" s="17"/>
      <c r="I65" s="17"/>
    </row>
    <row r="66" spans="3:9">
      <c r="C66" s="17"/>
      <c r="D66" s="17"/>
      <c r="E66" s="17"/>
      <c r="F66" s="17"/>
      <c r="G66" s="17"/>
      <c r="H66" s="17"/>
      <c r="I66" s="17"/>
    </row>
    <row r="67" spans="3:9">
      <c r="C67" s="17"/>
      <c r="D67" s="17"/>
      <c r="E67" s="17"/>
      <c r="F67" s="17"/>
      <c r="G67" s="17"/>
      <c r="H67" s="17"/>
      <c r="I67" s="17"/>
    </row>
    <row r="68" spans="3:9">
      <c r="C68" s="17"/>
      <c r="D68" s="17"/>
      <c r="E68" s="17"/>
      <c r="F68" s="17"/>
      <c r="G68" s="17"/>
      <c r="H68" s="17"/>
      <c r="I68" s="17"/>
    </row>
    <row r="69" spans="3:9">
      <c r="C69" s="17"/>
      <c r="D69" s="17"/>
      <c r="E69" s="17"/>
      <c r="F69" s="17"/>
      <c r="G69" s="17"/>
      <c r="H69" s="17"/>
      <c r="I69" s="17"/>
    </row>
    <row r="70" spans="3:9">
      <c r="C70" s="17"/>
      <c r="D70" s="17"/>
      <c r="E70" s="17"/>
      <c r="F70" s="17"/>
      <c r="G70" s="17"/>
      <c r="H70" s="17"/>
      <c r="I70" s="17"/>
    </row>
    <row r="71" spans="3:9">
      <c r="C71" s="17"/>
      <c r="D71" s="17"/>
      <c r="E71" s="17"/>
      <c r="F71" s="17"/>
      <c r="G71" s="17"/>
      <c r="H71" s="17"/>
      <c r="I71" s="17"/>
    </row>
    <row r="72" spans="3:9">
      <c r="C72" s="17"/>
    </row>
  </sheetData>
  <mergeCells count="6">
    <mergeCell ref="C43:D43"/>
    <mergeCell ref="E43:F43"/>
    <mergeCell ref="B42:H42"/>
    <mergeCell ref="B30:H30"/>
    <mergeCell ref="C31:D31"/>
    <mergeCell ref="E31:F31"/>
  </mergeCells>
  <pageMargins left="0.7" right="0.7" top="0.75" bottom="0.75" header="0.3" footer="0.3"/>
  <pageSetup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4"/>
  <sheetViews>
    <sheetView workbookViewId="0">
      <selection activeCell="H20" sqref="H20"/>
    </sheetView>
  </sheetViews>
  <sheetFormatPr defaultColWidth="9.140625" defaultRowHeight="14.25"/>
  <cols>
    <col min="1" max="1" width="6.140625" style="34" customWidth="1"/>
    <col min="2" max="6" width="9.140625" style="34"/>
    <col min="7" max="7" width="20" style="34" customWidth="1"/>
    <col min="8" max="8" width="11.140625" style="34" bestFit="1" customWidth="1"/>
    <col min="9" max="9" width="37.5703125" style="87" customWidth="1"/>
    <col min="10" max="10" width="20" style="34" customWidth="1"/>
    <col min="11" max="11" width="11.85546875" style="34" customWidth="1"/>
    <col min="12" max="12" width="10.140625" style="34" bestFit="1" customWidth="1"/>
    <col min="13" max="16384" width="9.140625" style="34"/>
  </cols>
  <sheetData>
    <row r="1" spans="1:16" ht="15">
      <c r="A1" s="83" t="s">
        <v>0</v>
      </c>
      <c r="B1" s="84"/>
      <c r="C1" s="84"/>
      <c r="D1" s="84"/>
      <c r="E1" s="84"/>
      <c r="F1" s="84"/>
      <c r="G1" s="84"/>
      <c r="H1" s="85"/>
      <c r="I1" s="86"/>
      <c r="J1" s="84"/>
      <c r="K1" s="84"/>
    </row>
    <row r="2" spans="1:16" ht="15">
      <c r="A2" s="83" t="s">
        <v>1</v>
      </c>
      <c r="B2" s="84"/>
      <c r="C2" s="84"/>
      <c r="D2" s="84"/>
      <c r="E2" s="84"/>
      <c r="F2" s="84"/>
      <c r="G2" s="84"/>
      <c r="H2" s="85"/>
      <c r="K2" s="88" t="str">
        <f>+'Under-Over Recovery'!J2</f>
        <v>Black Hills Power, Inc.</v>
      </c>
    </row>
    <row r="3" spans="1:16" ht="15">
      <c r="A3" s="83" t="s">
        <v>2</v>
      </c>
      <c r="B3" s="84"/>
      <c r="C3" s="84"/>
      <c r="D3" s="84"/>
      <c r="E3" s="84"/>
      <c r="F3" s="84"/>
      <c r="G3" s="84"/>
      <c r="H3" s="85"/>
      <c r="I3" s="86"/>
      <c r="J3" s="84"/>
      <c r="K3" s="88" t="str">
        <f>+'Under-Over Recovery'!J3</f>
        <v>May 31, 2026</v>
      </c>
    </row>
    <row r="4" spans="1:16" ht="15">
      <c r="A4" s="83"/>
      <c r="B4" s="84"/>
      <c r="C4" s="84"/>
      <c r="D4" s="84"/>
      <c r="E4" s="84"/>
      <c r="F4" s="84"/>
      <c r="G4" s="84"/>
      <c r="H4" s="85"/>
      <c r="I4" s="86"/>
      <c r="K4" s="88"/>
      <c r="P4" s="84"/>
    </row>
    <row r="5" spans="1:16" ht="15">
      <c r="A5" s="89"/>
      <c r="B5" s="89"/>
      <c r="C5" s="89"/>
      <c r="D5" s="89"/>
      <c r="E5" s="89"/>
      <c r="F5" s="89"/>
      <c r="G5" s="89"/>
      <c r="H5" s="89"/>
      <c r="I5" s="90"/>
      <c r="J5" s="89"/>
      <c r="K5" s="88"/>
    </row>
    <row r="6" spans="1:16">
      <c r="A6" s="89"/>
      <c r="B6" s="89"/>
      <c r="C6" s="89"/>
      <c r="D6" s="89"/>
      <c r="E6" s="89"/>
      <c r="F6" s="89"/>
      <c r="G6" s="89"/>
      <c r="H6" s="89"/>
      <c r="I6" s="90"/>
      <c r="J6" s="89"/>
      <c r="K6" s="89"/>
    </row>
    <row r="7" spans="1:16">
      <c r="A7" s="89"/>
      <c r="B7" s="89"/>
      <c r="C7" s="89"/>
      <c r="D7" s="89"/>
      <c r="E7" s="89"/>
      <c r="F7" s="89"/>
      <c r="G7" s="89"/>
      <c r="H7" s="89"/>
      <c r="I7" s="90"/>
      <c r="J7" s="89"/>
      <c r="K7" s="89"/>
    </row>
    <row r="8" spans="1:16">
      <c r="A8" s="91" t="s">
        <v>31</v>
      </c>
      <c r="B8" s="89"/>
      <c r="C8" s="89"/>
      <c r="D8" s="89"/>
      <c r="E8" s="89"/>
      <c r="F8" s="89"/>
      <c r="G8" s="89"/>
      <c r="H8" s="89"/>
      <c r="I8" s="90"/>
      <c r="J8" s="89"/>
      <c r="K8" s="89"/>
    </row>
    <row r="9" spans="1:16">
      <c r="A9" s="92" t="s">
        <v>32</v>
      </c>
      <c r="B9" s="93"/>
      <c r="C9" s="84"/>
      <c r="D9" s="94"/>
      <c r="E9" s="84"/>
      <c r="F9" s="84"/>
      <c r="G9" s="84"/>
      <c r="H9" s="89"/>
      <c r="I9" s="86"/>
      <c r="J9" s="84"/>
      <c r="K9" s="84"/>
    </row>
    <row r="10" spans="1:16">
      <c r="A10" s="95">
        <v>1</v>
      </c>
      <c r="B10" s="93" t="s">
        <v>60</v>
      </c>
      <c r="C10" s="84"/>
      <c r="D10" s="94"/>
      <c r="E10" s="84"/>
      <c r="F10" s="84"/>
      <c r="G10" s="84"/>
      <c r="H10" s="85">
        <f>+'Sch. 2 - Total (old rate)'!H10</f>
        <v>1660052</v>
      </c>
      <c r="I10" s="86" t="s">
        <v>51</v>
      </c>
      <c r="J10" s="84"/>
      <c r="K10" s="84"/>
    </row>
    <row r="11" spans="1:16">
      <c r="A11" s="95">
        <f>A10+1</f>
        <v>2</v>
      </c>
      <c r="B11" s="93" t="s">
        <v>50</v>
      </c>
      <c r="C11" s="84"/>
      <c r="D11" s="94"/>
      <c r="E11" s="84"/>
      <c r="F11" s="84"/>
      <c r="G11" s="84"/>
      <c r="H11" s="85">
        <f>+'Sch. 2 - Total (old rate)'!H11</f>
        <v>296353</v>
      </c>
      <c r="I11" s="86" t="s">
        <v>115</v>
      </c>
      <c r="J11" s="84"/>
      <c r="K11" s="84"/>
    </row>
    <row r="12" spans="1:16">
      <c r="A12" s="95">
        <f>A11+1</f>
        <v>3</v>
      </c>
      <c r="B12" s="93" t="s">
        <v>53</v>
      </c>
      <c r="C12" s="84"/>
      <c r="D12" s="94"/>
      <c r="E12" s="84"/>
      <c r="F12" s="84"/>
      <c r="G12" s="84"/>
      <c r="H12" s="85">
        <f>+'Sch. 2 - Total (old rate)'!H12</f>
        <v>601062</v>
      </c>
      <c r="I12" s="86" t="s">
        <v>55</v>
      </c>
      <c r="J12" s="84"/>
      <c r="K12" s="84"/>
    </row>
    <row r="13" spans="1:16">
      <c r="A13" s="95">
        <f>A12+1</f>
        <v>4</v>
      </c>
      <c r="B13" s="93" t="s">
        <v>52</v>
      </c>
      <c r="C13" s="84"/>
      <c r="D13" s="94"/>
      <c r="E13" s="84"/>
      <c r="F13" s="84"/>
      <c r="G13" s="84"/>
      <c r="H13" s="85">
        <f>+'Sch. 2 - Total (old rate)'!H13</f>
        <v>260384</v>
      </c>
      <c r="I13" s="86" t="s">
        <v>54</v>
      </c>
      <c r="J13" s="84"/>
      <c r="K13" s="84"/>
    </row>
    <row r="14" spans="1:16">
      <c r="A14" s="95">
        <v>5</v>
      </c>
      <c r="B14" s="93" t="s">
        <v>62</v>
      </c>
      <c r="C14" s="84"/>
      <c r="D14" s="94"/>
      <c r="E14" s="84"/>
      <c r="F14" s="84"/>
      <c r="G14" s="84"/>
      <c r="H14" s="85">
        <f>+'Sch. 2 - Total (old rate)'!H14</f>
        <v>1034689</v>
      </c>
      <c r="I14" s="86" t="s">
        <v>105</v>
      </c>
      <c r="J14" s="84"/>
      <c r="K14" s="84"/>
    </row>
    <row r="15" spans="1:16">
      <c r="A15" s="95">
        <v>6</v>
      </c>
      <c r="B15" s="93" t="s">
        <v>63</v>
      </c>
      <c r="C15" s="84"/>
      <c r="D15" s="94"/>
      <c r="E15" s="84"/>
      <c r="F15" s="84"/>
      <c r="G15" s="84"/>
      <c r="H15" s="85">
        <f>+'Sch. 2 - Total (old rate)'!H15</f>
        <v>66747</v>
      </c>
      <c r="I15" s="86" t="s">
        <v>105</v>
      </c>
      <c r="J15" s="84"/>
      <c r="K15" s="84"/>
    </row>
    <row r="16" spans="1:16">
      <c r="A16" s="89"/>
      <c r="B16" s="89"/>
      <c r="C16" s="89"/>
      <c r="D16" s="89"/>
      <c r="E16" s="89"/>
      <c r="F16" s="89"/>
      <c r="G16" s="89"/>
      <c r="H16" s="89"/>
      <c r="I16" s="90"/>
      <c r="J16" s="89"/>
      <c r="K16" s="89"/>
    </row>
    <row r="17" spans="1:12" ht="15" thickBot="1">
      <c r="A17" s="95">
        <v>7</v>
      </c>
      <c r="B17" s="96" t="s">
        <v>3</v>
      </c>
      <c r="C17" s="96"/>
      <c r="D17" s="96"/>
      <c r="E17" s="96"/>
      <c r="F17" s="96"/>
      <c r="G17" s="96"/>
      <c r="H17" s="97">
        <f>H10</f>
        <v>1660052</v>
      </c>
      <c r="I17" s="86" t="s">
        <v>57</v>
      </c>
      <c r="J17" s="85"/>
      <c r="K17" s="85"/>
    </row>
    <row r="18" spans="1:12">
      <c r="A18" s="95"/>
      <c r="B18" s="84"/>
      <c r="C18" s="84"/>
      <c r="D18" s="84"/>
      <c r="E18" s="84"/>
      <c r="F18" s="84"/>
      <c r="G18" s="84"/>
      <c r="H18" s="85"/>
      <c r="I18" s="86"/>
      <c r="J18" s="84"/>
      <c r="K18" s="84"/>
    </row>
    <row r="19" spans="1:12">
      <c r="A19" s="95">
        <f>A17+1</f>
        <v>8</v>
      </c>
      <c r="B19" s="84" t="s">
        <v>132</v>
      </c>
      <c r="C19" s="84"/>
      <c r="D19" s="84"/>
      <c r="E19" s="84"/>
      <c r="F19" s="84"/>
      <c r="G19" s="84"/>
      <c r="H19" s="98">
        <f>+'CUS AC LOADS (for old rate)'!I24*1000</f>
        <v>938448.41666666674</v>
      </c>
      <c r="I19" s="86" t="s">
        <v>64</v>
      </c>
      <c r="J19" s="111"/>
    </row>
    <row r="20" spans="1:12">
      <c r="A20" s="89"/>
      <c r="B20" s="89"/>
      <c r="C20" s="89"/>
      <c r="D20" s="89"/>
      <c r="E20" s="89"/>
      <c r="F20" s="89"/>
      <c r="G20" s="99"/>
      <c r="H20" s="89"/>
      <c r="I20" s="90"/>
      <c r="J20" s="89"/>
      <c r="K20" s="89"/>
    </row>
    <row r="21" spans="1:12">
      <c r="A21" s="95">
        <f>A19+1</f>
        <v>9</v>
      </c>
      <c r="B21" s="84" t="s">
        <v>5</v>
      </c>
      <c r="C21" s="84"/>
      <c r="D21" s="84"/>
      <c r="E21" s="84"/>
      <c r="F21" s="84"/>
      <c r="G21" s="84"/>
      <c r="H21" s="100">
        <f>H17/H19</f>
        <v>1.768932602493424</v>
      </c>
      <c r="I21" s="86" t="s">
        <v>108</v>
      </c>
      <c r="J21" s="101"/>
      <c r="K21" s="89"/>
    </row>
    <row r="22" spans="1:12">
      <c r="A22" s="89"/>
      <c r="B22" s="89"/>
      <c r="C22" s="89"/>
      <c r="D22" s="89"/>
      <c r="E22" s="89"/>
      <c r="F22" s="89"/>
      <c r="G22" s="89"/>
      <c r="H22" s="102"/>
      <c r="I22" s="90"/>
      <c r="J22" s="103"/>
      <c r="K22" s="103"/>
      <c r="L22" s="104"/>
    </row>
    <row r="23" spans="1:12">
      <c r="A23" s="95">
        <f>A21+1</f>
        <v>10</v>
      </c>
      <c r="B23" s="84"/>
      <c r="C23" s="84"/>
      <c r="D23" s="84"/>
      <c r="E23" s="84"/>
      <c r="F23" s="84"/>
      <c r="G23" s="84"/>
      <c r="H23" s="100">
        <f>ROUND(H21/12,4)</f>
        <v>0.1474</v>
      </c>
      <c r="I23" s="86" t="s">
        <v>109</v>
      </c>
      <c r="J23" s="101"/>
      <c r="K23" s="103"/>
      <c r="L23" s="104"/>
    </row>
    <row r="24" spans="1:12">
      <c r="A24" s="89"/>
      <c r="B24" s="89"/>
      <c r="C24" s="89"/>
      <c r="D24" s="89"/>
      <c r="E24" s="89"/>
      <c r="F24" s="89"/>
      <c r="G24" s="89"/>
      <c r="H24" s="102"/>
      <c r="I24" s="90"/>
      <c r="J24" s="89"/>
      <c r="K24" s="89"/>
    </row>
    <row r="25" spans="1:12">
      <c r="A25" s="95">
        <f>A23+1</f>
        <v>11</v>
      </c>
      <c r="B25" s="84"/>
      <c r="C25" s="84"/>
      <c r="D25" s="84"/>
      <c r="E25" s="84"/>
      <c r="F25" s="105"/>
      <c r="G25" s="84"/>
      <c r="H25" s="100">
        <f>ROUND(H21/52,4)</f>
        <v>3.4000000000000002E-2</v>
      </c>
      <c r="I25" s="86" t="s">
        <v>110</v>
      </c>
      <c r="J25" s="101"/>
      <c r="K25" s="89"/>
    </row>
    <row r="26" spans="1:12">
      <c r="A26" s="89"/>
      <c r="B26" s="89"/>
      <c r="C26" s="89"/>
      <c r="D26" s="89"/>
      <c r="E26" s="89"/>
      <c r="F26" s="89"/>
      <c r="G26" s="89"/>
      <c r="H26" s="102"/>
      <c r="I26" s="90"/>
      <c r="J26" s="89"/>
      <c r="K26" s="89"/>
    </row>
    <row r="27" spans="1:12">
      <c r="A27" s="95">
        <f>A25+1</f>
        <v>12</v>
      </c>
      <c r="B27" s="84"/>
      <c r="C27" s="84"/>
      <c r="D27" s="84"/>
      <c r="E27" s="105"/>
      <c r="F27" s="84"/>
      <c r="G27" s="84"/>
      <c r="H27" s="100">
        <f>ROUND(H21/365,4)</f>
        <v>4.7999999999999996E-3</v>
      </c>
      <c r="I27" s="86" t="s">
        <v>111</v>
      </c>
      <c r="J27" s="101" t="s">
        <v>36</v>
      </c>
      <c r="K27" s="89"/>
    </row>
    <row r="28" spans="1:12">
      <c r="A28" s="95">
        <f>A27+1</f>
        <v>13</v>
      </c>
      <c r="B28" s="84"/>
      <c r="C28" s="84"/>
      <c r="D28" s="84"/>
      <c r="E28" s="105"/>
      <c r="F28" s="84"/>
      <c r="G28" s="84"/>
      <c r="H28" s="100">
        <f>ROUND(H21/312,4)</f>
        <v>5.7000000000000002E-3</v>
      </c>
      <c r="I28" s="86" t="s">
        <v>112</v>
      </c>
      <c r="J28" s="101" t="s">
        <v>119</v>
      </c>
      <c r="K28" s="89"/>
    </row>
    <row r="29" spans="1:12">
      <c r="A29" s="89"/>
      <c r="B29" s="89"/>
      <c r="C29" s="89"/>
      <c r="D29" s="89"/>
      <c r="E29" s="89"/>
      <c r="F29" s="89"/>
      <c r="G29" s="89"/>
      <c r="H29" s="89"/>
      <c r="I29" s="90"/>
      <c r="J29" s="89"/>
      <c r="K29" s="89"/>
    </row>
    <row r="30" spans="1:12">
      <c r="A30" s="95">
        <f>A28+1</f>
        <v>14</v>
      </c>
      <c r="B30" s="84"/>
      <c r="C30" s="84"/>
      <c r="D30" s="84"/>
      <c r="E30" s="84"/>
      <c r="F30" s="84"/>
      <c r="G30" s="84"/>
      <c r="H30" s="101">
        <f>ROUND((H21/8760),5)</f>
        <v>2.0000000000000001E-4</v>
      </c>
      <c r="I30" s="86" t="s">
        <v>113</v>
      </c>
      <c r="J30" s="101"/>
      <c r="K30" s="89"/>
    </row>
    <row r="31" spans="1:12">
      <c r="A31" s="95">
        <f>A30+1</f>
        <v>15</v>
      </c>
      <c r="B31" s="84"/>
      <c r="C31" s="84"/>
      <c r="D31" s="84"/>
      <c r="E31" s="84"/>
      <c r="F31" s="84"/>
      <c r="G31" s="84"/>
      <c r="H31" s="101">
        <f>ROUND((H21/4992),5)</f>
        <v>3.5E-4</v>
      </c>
      <c r="I31" s="86" t="s">
        <v>114</v>
      </c>
      <c r="J31" s="101" t="s">
        <v>35</v>
      </c>
      <c r="K31" s="89"/>
    </row>
    <row r="32" spans="1:12">
      <c r="A32" s="89"/>
      <c r="B32" s="89"/>
      <c r="C32" s="89"/>
      <c r="D32" s="89"/>
      <c r="E32" s="89"/>
      <c r="F32" s="89"/>
      <c r="G32" s="89"/>
      <c r="H32" s="89"/>
      <c r="I32" s="90"/>
      <c r="J32" s="89"/>
      <c r="K32" s="89"/>
    </row>
    <row r="33" spans="1:11">
      <c r="A33" s="89"/>
      <c r="B33" s="89"/>
      <c r="C33" s="89"/>
      <c r="D33" s="89"/>
      <c r="E33" s="89"/>
      <c r="F33" s="89"/>
      <c r="G33" s="89"/>
      <c r="H33" s="89"/>
      <c r="I33" s="90"/>
      <c r="J33" s="89"/>
      <c r="K33" s="89"/>
    </row>
    <row r="34" spans="1:11">
      <c r="A34" s="89"/>
      <c r="B34" s="89"/>
      <c r="C34" s="89"/>
      <c r="D34" s="89"/>
      <c r="E34" s="89"/>
      <c r="F34" s="89"/>
      <c r="G34" s="89"/>
      <c r="I34" s="90"/>
      <c r="K34" s="89"/>
    </row>
  </sheetData>
  <pageMargins left="0.28000000000000003" right="0.33" top="1" bottom="1" header="0.5" footer="0.5"/>
  <pageSetup scale="7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4"/>
  <sheetViews>
    <sheetView workbookViewId="0">
      <selection activeCell="H20" sqref="H20"/>
    </sheetView>
  </sheetViews>
  <sheetFormatPr defaultColWidth="9.140625" defaultRowHeight="14.25"/>
  <cols>
    <col min="1" max="1" width="4.85546875" style="34" customWidth="1"/>
    <col min="2" max="6" width="9.140625" style="34"/>
    <col min="7" max="7" width="15.42578125" style="34" customWidth="1"/>
    <col min="8" max="8" width="11.140625" style="34" bestFit="1" customWidth="1"/>
    <col min="9" max="9" width="37.140625" style="87" customWidth="1"/>
    <col min="10" max="10" width="19" style="34" customWidth="1"/>
    <col min="11" max="11" width="11.85546875" style="34" customWidth="1"/>
    <col min="12" max="12" width="10.140625" style="34" bestFit="1" customWidth="1"/>
    <col min="13" max="16384" width="9.140625" style="34"/>
  </cols>
  <sheetData>
    <row r="1" spans="1:16" ht="15">
      <c r="A1" s="83" t="s">
        <v>0</v>
      </c>
      <c r="B1" s="84"/>
      <c r="C1" s="84"/>
      <c r="D1" s="84"/>
      <c r="E1" s="84"/>
      <c r="F1" s="84"/>
      <c r="G1" s="84"/>
      <c r="H1" s="85"/>
      <c r="I1" s="86"/>
      <c r="J1" s="84"/>
      <c r="K1" s="84"/>
    </row>
    <row r="2" spans="1:16" ht="15">
      <c r="A2" s="83" t="s">
        <v>1</v>
      </c>
      <c r="B2" s="84"/>
      <c r="C2" s="84"/>
      <c r="D2" s="84"/>
      <c r="E2" s="84"/>
      <c r="F2" s="84"/>
      <c r="G2" s="84"/>
      <c r="H2" s="85"/>
      <c r="K2" s="88" t="str">
        <f>+'Under-Over Recovery'!J2</f>
        <v>Black Hills Power, Inc.</v>
      </c>
    </row>
    <row r="3" spans="1:16" ht="15">
      <c r="A3" s="83" t="s">
        <v>2</v>
      </c>
      <c r="B3" s="84"/>
      <c r="C3" s="84"/>
      <c r="D3" s="84"/>
      <c r="E3" s="84"/>
      <c r="F3" s="84"/>
      <c r="G3" s="84"/>
      <c r="H3" s="85"/>
      <c r="I3" s="86"/>
      <c r="J3" s="84"/>
      <c r="K3" s="88" t="str">
        <f>+'Under-Over Recovery'!J3</f>
        <v>May 31, 2026</v>
      </c>
    </row>
    <row r="4" spans="1:16" ht="15">
      <c r="A4" s="83"/>
      <c r="B4" s="84"/>
      <c r="C4" s="84"/>
      <c r="D4" s="84"/>
      <c r="E4" s="84"/>
      <c r="F4" s="84"/>
      <c r="G4" s="84"/>
      <c r="H4" s="85"/>
      <c r="I4" s="86"/>
      <c r="K4" s="84"/>
      <c r="P4" s="84"/>
    </row>
    <row r="5" spans="1:16">
      <c r="A5" s="108"/>
      <c r="B5" s="108"/>
      <c r="C5" s="108"/>
      <c r="D5" s="108"/>
      <c r="E5" s="108"/>
      <c r="F5" s="108"/>
      <c r="G5" s="108"/>
      <c r="H5" s="108"/>
      <c r="I5" s="109"/>
      <c r="J5" s="108"/>
      <c r="K5" s="108"/>
    </row>
    <row r="6" spans="1:16">
      <c r="A6" s="108"/>
      <c r="B6" s="108"/>
      <c r="C6" s="108"/>
      <c r="D6" s="108"/>
      <c r="E6" s="108"/>
      <c r="F6" s="108"/>
      <c r="G6" s="108"/>
      <c r="H6" s="108"/>
      <c r="I6" s="109"/>
      <c r="J6" s="108"/>
      <c r="K6" s="108"/>
    </row>
    <row r="7" spans="1:16">
      <c r="A7" s="108"/>
      <c r="B7" s="108"/>
      <c r="C7" s="108"/>
      <c r="D7" s="108"/>
      <c r="E7" s="108"/>
      <c r="F7" s="108"/>
      <c r="G7" s="108"/>
      <c r="H7" s="108"/>
      <c r="I7" s="109"/>
      <c r="J7" s="108"/>
      <c r="K7" s="108"/>
    </row>
    <row r="8" spans="1:16">
      <c r="A8" s="110" t="s">
        <v>31</v>
      </c>
      <c r="B8" s="108"/>
      <c r="C8" s="108"/>
      <c r="D8" s="108"/>
      <c r="E8" s="108"/>
      <c r="F8" s="108"/>
      <c r="G8" s="108"/>
      <c r="H8" s="108"/>
      <c r="I8" s="109"/>
      <c r="J8" s="108"/>
      <c r="K8" s="108"/>
    </row>
    <row r="9" spans="1:16">
      <c r="A9" s="92" t="s">
        <v>32</v>
      </c>
      <c r="B9" s="93"/>
      <c r="C9" s="84"/>
      <c r="D9" s="94"/>
      <c r="E9" s="84"/>
      <c r="F9" s="84"/>
      <c r="G9" s="84"/>
      <c r="H9" s="108"/>
      <c r="I9" s="86"/>
      <c r="J9" s="84"/>
      <c r="K9" s="84"/>
    </row>
    <row r="10" spans="1:16">
      <c r="A10" s="95">
        <v>1</v>
      </c>
      <c r="B10" s="93" t="s">
        <v>60</v>
      </c>
      <c r="C10" s="84"/>
      <c r="D10" s="94"/>
      <c r="E10" s="84"/>
      <c r="F10" s="84"/>
      <c r="G10" s="84"/>
      <c r="H10" s="85">
        <f>+'Sch. 2 - Total (old rate)'!H10</f>
        <v>1660052</v>
      </c>
      <c r="I10" s="86" t="s">
        <v>51</v>
      </c>
      <c r="J10" s="84"/>
      <c r="K10" s="84"/>
    </row>
    <row r="11" spans="1:16">
      <c r="A11" s="95">
        <v>2</v>
      </c>
      <c r="B11" s="93" t="s">
        <v>50</v>
      </c>
      <c r="C11" s="84"/>
      <c r="D11" s="94"/>
      <c r="E11" s="84"/>
      <c r="F11" s="84"/>
      <c r="G11" s="84"/>
      <c r="H11" s="85">
        <f>+'Sch. 2 - Total (old rate)'!H11</f>
        <v>296353</v>
      </c>
      <c r="I11" s="86" t="s">
        <v>115</v>
      </c>
      <c r="J11" s="84"/>
      <c r="K11" s="84"/>
    </row>
    <row r="12" spans="1:16">
      <c r="A12" s="95">
        <v>3</v>
      </c>
      <c r="B12" s="93" t="s">
        <v>53</v>
      </c>
      <c r="C12" s="84"/>
      <c r="D12" s="94"/>
      <c r="E12" s="84"/>
      <c r="F12" s="84"/>
      <c r="G12" s="84"/>
      <c r="H12" s="85">
        <f>+'Sch. 2 - Total (old rate)'!H12</f>
        <v>601062</v>
      </c>
      <c r="I12" s="86" t="s">
        <v>55</v>
      </c>
      <c r="J12" s="84"/>
      <c r="K12" s="84"/>
    </row>
    <row r="13" spans="1:16">
      <c r="A13" s="95">
        <v>4</v>
      </c>
      <c r="B13" s="93" t="s">
        <v>52</v>
      </c>
      <c r="C13" s="84"/>
      <c r="D13" s="94"/>
      <c r="E13" s="84"/>
      <c r="F13" s="84"/>
      <c r="G13" s="84"/>
      <c r="H13" s="85">
        <f>+'Sch. 2 - Total (old rate)'!H13</f>
        <v>260384</v>
      </c>
      <c r="I13" s="86" t="s">
        <v>54</v>
      </c>
      <c r="J13" s="84"/>
      <c r="K13" s="84"/>
    </row>
    <row r="14" spans="1:16">
      <c r="A14" s="95">
        <v>5</v>
      </c>
      <c r="B14" s="93" t="s">
        <v>62</v>
      </c>
      <c r="C14" s="84"/>
      <c r="D14" s="94"/>
      <c r="E14" s="84"/>
      <c r="F14" s="84"/>
      <c r="G14" s="84"/>
      <c r="H14" s="85">
        <f>+'Sch. 2 - Total (old rate)'!H14</f>
        <v>1034689</v>
      </c>
      <c r="I14" s="86" t="s">
        <v>105</v>
      </c>
      <c r="J14" s="84"/>
      <c r="K14" s="84"/>
    </row>
    <row r="15" spans="1:16">
      <c r="A15" s="95">
        <v>6</v>
      </c>
      <c r="B15" s="93" t="s">
        <v>63</v>
      </c>
      <c r="C15" s="84"/>
      <c r="D15" s="94"/>
      <c r="E15" s="84"/>
      <c r="F15" s="84"/>
      <c r="G15" s="84"/>
      <c r="H15" s="85">
        <f>+'Sch. 2 - Total (old rate)'!H15</f>
        <v>66747</v>
      </c>
      <c r="I15" s="86" t="s">
        <v>105</v>
      </c>
      <c r="J15" s="84"/>
      <c r="K15" s="84"/>
    </row>
    <row r="16" spans="1:16">
      <c r="A16" s="108"/>
      <c r="B16" s="108"/>
      <c r="C16" s="108"/>
      <c r="D16" s="108"/>
      <c r="E16" s="108"/>
      <c r="F16" s="108"/>
      <c r="G16" s="108"/>
      <c r="H16" s="108"/>
      <c r="I16" s="109"/>
      <c r="J16" s="108"/>
      <c r="K16" s="108"/>
    </row>
    <row r="17" spans="1:12" ht="15" thickBot="1">
      <c r="A17" s="95">
        <f>A15+1</f>
        <v>7</v>
      </c>
      <c r="B17" s="96" t="s">
        <v>3</v>
      </c>
      <c r="C17" s="96"/>
      <c r="D17" s="96"/>
      <c r="E17" s="96"/>
      <c r="F17" s="96"/>
      <c r="G17" s="96"/>
      <c r="H17" s="97">
        <f>H11</f>
        <v>296353</v>
      </c>
      <c r="I17" s="86" t="s">
        <v>56</v>
      </c>
      <c r="J17" s="85"/>
      <c r="K17" s="85"/>
    </row>
    <row r="18" spans="1:12">
      <c r="A18" s="95"/>
      <c r="B18" s="84"/>
      <c r="C18" s="84"/>
      <c r="D18" s="84"/>
      <c r="E18" s="84"/>
      <c r="F18" s="84"/>
      <c r="G18" s="84"/>
      <c r="H18" s="85"/>
      <c r="I18" s="86"/>
      <c r="J18" s="84"/>
      <c r="K18" s="84"/>
    </row>
    <row r="19" spans="1:12">
      <c r="A19" s="95">
        <f>A17+1</f>
        <v>8</v>
      </c>
      <c r="B19" s="84" t="str">
        <f>'Sch. 2 - BHP (old rate)'!B19</f>
        <v>Common Use AC Facility Transmission Load (2025 Actual Load)</v>
      </c>
      <c r="C19" s="84"/>
      <c r="D19" s="84"/>
      <c r="E19" s="84"/>
      <c r="F19" s="84"/>
      <c r="G19" s="84"/>
      <c r="H19" s="98">
        <f>+'CUS AC LOADS (for old rate)'!I24*1000</f>
        <v>938448.41666666674</v>
      </c>
      <c r="I19" s="86" t="s">
        <v>64</v>
      </c>
      <c r="J19" s="111"/>
    </row>
    <row r="20" spans="1:12">
      <c r="A20" s="108"/>
      <c r="B20" s="108"/>
      <c r="C20" s="108"/>
      <c r="D20" s="108"/>
      <c r="E20" s="108"/>
      <c r="F20" s="108"/>
      <c r="G20" s="112"/>
      <c r="H20" s="108"/>
      <c r="I20" s="109"/>
      <c r="J20" s="108"/>
      <c r="K20" s="108"/>
    </row>
    <row r="21" spans="1:12">
      <c r="A21" s="95">
        <f>A19+1</f>
        <v>9</v>
      </c>
      <c r="B21" s="84" t="s">
        <v>5</v>
      </c>
      <c r="C21" s="84"/>
      <c r="D21" s="84"/>
      <c r="E21" s="84"/>
      <c r="F21" s="84"/>
      <c r="G21" s="84"/>
      <c r="H21" s="100">
        <f>ROUND(H17/H19,4)</f>
        <v>0.31580000000000003</v>
      </c>
      <c r="I21" s="86" t="str">
        <f>+'Sch. 2 - BHP (old rate)'!I21</f>
        <v>$ per kW - Year   (Ln 7/ Ln 8)</v>
      </c>
      <c r="J21" s="101"/>
      <c r="K21" s="108"/>
      <c r="L21" s="117"/>
    </row>
    <row r="22" spans="1:12">
      <c r="A22" s="108"/>
      <c r="B22" s="108"/>
      <c r="C22" s="108"/>
      <c r="D22" s="108"/>
      <c r="E22" s="108"/>
      <c r="F22" s="108"/>
      <c r="G22" s="108"/>
      <c r="H22" s="113"/>
      <c r="I22" s="109"/>
      <c r="J22" s="114"/>
      <c r="K22" s="114"/>
      <c r="L22" s="115"/>
    </row>
    <row r="23" spans="1:12">
      <c r="A23" s="95">
        <f>A21+1</f>
        <v>10</v>
      </c>
      <c r="B23" s="84"/>
      <c r="C23" s="84"/>
      <c r="D23" s="84"/>
      <c r="E23" s="84"/>
      <c r="F23" s="84"/>
      <c r="G23" s="84"/>
      <c r="H23" s="100">
        <f>ROUND(H21/12,4)</f>
        <v>2.63E-2</v>
      </c>
      <c r="I23" s="86" t="str">
        <f>+'Sch. 2 - BHP (old rate)'!I23</f>
        <v>$ per kW - Month (Ln 9 / 12)</v>
      </c>
      <c r="J23" s="101"/>
      <c r="K23" s="114"/>
      <c r="L23" s="104"/>
    </row>
    <row r="24" spans="1:12">
      <c r="A24" s="108"/>
      <c r="B24" s="108"/>
      <c r="C24" s="108"/>
      <c r="D24" s="108"/>
      <c r="E24" s="108"/>
      <c r="F24" s="108"/>
      <c r="G24" s="108"/>
      <c r="H24" s="113"/>
      <c r="I24" s="109"/>
      <c r="J24" s="108"/>
      <c r="K24" s="108"/>
    </row>
    <row r="25" spans="1:12">
      <c r="A25" s="95">
        <f>A23+1</f>
        <v>11</v>
      </c>
      <c r="B25" s="84"/>
      <c r="C25" s="84"/>
      <c r="D25" s="84"/>
      <c r="E25" s="84"/>
      <c r="F25" s="105"/>
      <c r="G25" s="84"/>
      <c r="H25" s="100">
        <f>ROUND(H21/52,4)</f>
        <v>6.1000000000000004E-3</v>
      </c>
      <c r="I25" s="86" t="str">
        <f>+'Sch. 2 - BHP (old rate)'!I25</f>
        <v>$ per kW - Week (Ln 9 / 52)</v>
      </c>
      <c r="J25" s="101"/>
      <c r="K25" s="108"/>
    </row>
    <row r="26" spans="1:12">
      <c r="A26" s="108"/>
      <c r="B26" s="108"/>
      <c r="C26" s="108"/>
      <c r="D26" s="108"/>
      <c r="E26" s="108"/>
      <c r="F26" s="108"/>
      <c r="G26" s="108"/>
      <c r="H26" s="113"/>
      <c r="I26" s="109"/>
      <c r="J26" s="108"/>
      <c r="K26" s="108"/>
    </row>
    <row r="27" spans="1:12">
      <c r="A27" s="95">
        <f>A25+1</f>
        <v>12</v>
      </c>
      <c r="B27" s="84"/>
      <c r="C27" s="84"/>
      <c r="D27" s="84"/>
      <c r="E27" s="105"/>
      <c r="F27" s="84"/>
      <c r="G27" s="84"/>
      <c r="H27" s="100">
        <f>ROUND(H21/365,4)</f>
        <v>8.9999999999999998E-4</v>
      </c>
      <c r="I27" s="86" t="str">
        <f>+'Sch. 2 - BHP (old rate)'!I27</f>
        <v>$ per kW - day off peak (Ln 9 / 365)</v>
      </c>
      <c r="J27" s="101" t="s">
        <v>36</v>
      </c>
      <c r="K27" s="108"/>
    </row>
    <row r="28" spans="1:12">
      <c r="A28" s="95">
        <f>A27+1</f>
        <v>13</v>
      </c>
      <c r="B28" s="84"/>
      <c r="C28" s="84"/>
      <c r="D28" s="84"/>
      <c r="E28" s="105"/>
      <c r="F28" s="84"/>
      <c r="G28" s="84"/>
      <c r="H28" s="100">
        <f>ROUND(H21/312,4)</f>
        <v>1E-3</v>
      </c>
      <c r="I28" s="86" t="str">
        <f>+'Sch. 2 - BHP (old rate)'!I28</f>
        <v>$ per kW - day on peak (Ln 9 / 312)</v>
      </c>
      <c r="J28" s="101" t="s">
        <v>119</v>
      </c>
      <c r="K28" s="108"/>
    </row>
    <row r="29" spans="1:12">
      <c r="A29" s="108"/>
      <c r="B29" s="108"/>
      <c r="C29" s="108"/>
      <c r="D29" s="108"/>
      <c r="E29" s="108"/>
      <c r="F29" s="108"/>
      <c r="G29" s="108"/>
      <c r="H29" s="108"/>
      <c r="I29" s="86"/>
      <c r="J29" s="108"/>
      <c r="K29" s="108"/>
    </row>
    <row r="30" spans="1:12">
      <c r="A30" s="95">
        <f>A28+1</f>
        <v>14</v>
      </c>
      <c r="B30" s="84"/>
      <c r="C30" s="84"/>
      <c r="D30" s="84"/>
      <c r="E30" s="84"/>
      <c r="F30" s="84"/>
      <c r="G30" s="84"/>
      <c r="H30" s="101">
        <f>ROUND((H21/8760),5)</f>
        <v>4.0000000000000003E-5</v>
      </c>
      <c r="I30" s="86" t="str">
        <f>+'Sch. 2 - BHP (old rate)'!I30</f>
        <v>$ per kW - hour off peak (Ln 9 / 8760)</v>
      </c>
      <c r="J30" s="101"/>
      <c r="K30" s="108"/>
    </row>
    <row r="31" spans="1:12">
      <c r="A31" s="95">
        <f>A30+1</f>
        <v>15</v>
      </c>
      <c r="B31" s="84"/>
      <c r="C31" s="84"/>
      <c r="D31" s="84"/>
      <c r="E31" s="84"/>
      <c r="F31" s="84"/>
      <c r="G31" s="84"/>
      <c r="H31" s="101">
        <f>ROUND((H21/4992),5)</f>
        <v>6.0000000000000002E-5</v>
      </c>
      <c r="I31" s="86" t="str">
        <f>+'Sch. 2 - BHP (old rate)'!I31</f>
        <v>$ per kW - hour on peak (Ln 9 / 4992)</v>
      </c>
      <c r="J31" s="101" t="s">
        <v>35</v>
      </c>
      <c r="K31" s="108"/>
    </row>
    <row r="32" spans="1:12">
      <c r="A32" s="108"/>
      <c r="B32" s="108"/>
      <c r="C32" s="108"/>
      <c r="D32" s="108"/>
      <c r="E32" s="108"/>
      <c r="F32" s="108"/>
      <c r="G32" s="108"/>
      <c r="H32" s="108"/>
      <c r="I32" s="109"/>
      <c r="J32" s="108"/>
      <c r="K32" s="108"/>
    </row>
    <row r="33" spans="1:11">
      <c r="A33" s="108"/>
      <c r="B33" s="108"/>
      <c r="C33" s="108"/>
      <c r="D33" s="108"/>
      <c r="E33" s="108"/>
      <c r="F33" s="108"/>
      <c r="G33" s="108"/>
      <c r="H33" s="108"/>
      <c r="I33" s="109"/>
      <c r="J33" s="108"/>
      <c r="K33" s="108"/>
    </row>
    <row r="34" spans="1:11">
      <c r="A34" s="108"/>
      <c r="B34" s="108"/>
      <c r="C34" s="108"/>
      <c r="D34" s="108"/>
      <c r="E34" s="108"/>
      <c r="F34" s="108"/>
      <c r="G34" s="108"/>
      <c r="I34" s="109"/>
      <c r="K34" s="108"/>
    </row>
  </sheetData>
  <pageMargins left="0.28000000000000003" right="0.33" top="1" bottom="1" header="0.5" footer="0.5"/>
  <pageSetup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34"/>
  <sheetViews>
    <sheetView workbookViewId="0">
      <selection activeCell="H20" sqref="H20"/>
    </sheetView>
  </sheetViews>
  <sheetFormatPr defaultColWidth="9.140625" defaultRowHeight="14.25"/>
  <cols>
    <col min="1" max="1" width="9.140625" style="34" bestFit="1" customWidth="1"/>
    <col min="2" max="6" width="9.140625" style="34"/>
    <col min="7" max="7" width="15.7109375" style="34" customWidth="1"/>
    <col min="8" max="8" width="11.140625" style="34" bestFit="1" customWidth="1"/>
    <col min="9" max="9" width="35.28515625" style="87" customWidth="1"/>
    <col min="10" max="10" width="12.85546875" style="34" bestFit="1" customWidth="1"/>
    <col min="11" max="11" width="11.85546875" style="34" customWidth="1"/>
    <col min="12" max="12" width="10.140625" style="34" bestFit="1" customWidth="1"/>
    <col min="13" max="16384" width="9.140625" style="34"/>
  </cols>
  <sheetData>
    <row r="1" spans="1:11" ht="15">
      <c r="A1" s="83" t="s">
        <v>0</v>
      </c>
      <c r="B1" s="84"/>
      <c r="C1" s="84"/>
      <c r="D1" s="84"/>
      <c r="E1" s="84"/>
      <c r="F1" s="84"/>
      <c r="G1" s="84"/>
      <c r="H1" s="85"/>
      <c r="I1" s="86"/>
      <c r="J1" s="84"/>
      <c r="K1" s="84"/>
    </row>
    <row r="2" spans="1:11" ht="15">
      <c r="A2" s="83" t="s">
        <v>1</v>
      </c>
      <c r="B2" s="84"/>
      <c r="C2" s="84"/>
      <c r="D2" s="84"/>
      <c r="E2" s="84"/>
      <c r="F2" s="84"/>
      <c r="G2" s="84"/>
      <c r="H2" s="85"/>
      <c r="K2" s="88" t="str">
        <f>+'Under-Over Recovery'!J2</f>
        <v>Black Hills Power, Inc.</v>
      </c>
    </row>
    <row r="3" spans="1:11" ht="15">
      <c r="A3" s="83" t="s">
        <v>2</v>
      </c>
      <c r="B3" s="84"/>
      <c r="C3" s="84"/>
      <c r="D3" s="84"/>
      <c r="E3" s="84"/>
      <c r="F3" s="84"/>
      <c r="G3" s="84"/>
      <c r="H3" s="85"/>
      <c r="I3" s="86"/>
      <c r="J3" s="84"/>
      <c r="K3" s="88" t="str">
        <f>+'Under-Over Recovery'!J3</f>
        <v>May 31, 2026</v>
      </c>
    </row>
    <row r="4" spans="1:11" ht="15">
      <c r="A4" s="83"/>
      <c r="B4" s="84"/>
      <c r="C4" s="84"/>
      <c r="D4" s="84"/>
      <c r="E4" s="84"/>
      <c r="F4" s="84"/>
      <c r="G4" s="84"/>
      <c r="H4" s="85"/>
      <c r="I4" s="86"/>
      <c r="K4" s="84"/>
    </row>
    <row r="5" spans="1:11">
      <c r="A5" s="108"/>
      <c r="B5" s="108"/>
      <c r="C5" s="108"/>
      <c r="D5" s="108"/>
      <c r="E5" s="108"/>
      <c r="F5" s="108"/>
      <c r="G5" s="108"/>
      <c r="H5" s="108"/>
      <c r="I5" s="109"/>
      <c r="J5" s="108"/>
      <c r="K5" s="108"/>
    </row>
    <row r="6" spans="1:11">
      <c r="A6" s="108"/>
      <c r="B6" s="108"/>
      <c r="C6" s="108"/>
      <c r="D6" s="108"/>
      <c r="E6" s="108"/>
      <c r="F6" s="108"/>
      <c r="G6" s="108"/>
      <c r="H6" s="108"/>
      <c r="I6" s="109"/>
      <c r="J6" s="108"/>
      <c r="K6" s="108"/>
    </row>
    <row r="7" spans="1:11">
      <c r="A7" s="108"/>
      <c r="B7" s="108"/>
      <c r="C7" s="108"/>
      <c r="D7" s="108"/>
      <c r="E7" s="108"/>
      <c r="F7" s="108"/>
      <c r="G7" s="108"/>
      <c r="H7" s="108"/>
      <c r="I7" s="109"/>
      <c r="J7" s="108"/>
      <c r="K7" s="108"/>
    </row>
    <row r="8" spans="1:11">
      <c r="A8" s="110" t="s">
        <v>31</v>
      </c>
      <c r="B8" s="108"/>
      <c r="C8" s="108"/>
      <c r="D8" s="108"/>
      <c r="E8" s="108"/>
      <c r="F8" s="108"/>
      <c r="G8" s="108"/>
      <c r="H8" s="108"/>
      <c r="I8" s="109"/>
      <c r="J8" s="108"/>
      <c r="K8" s="108"/>
    </row>
    <row r="9" spans="1:11">
      <c r="A9" s="92" t="s">
        <v>32</v>
      </c>
      <c r="B9" s="93"/>
      <c r="C9" s="84"/>
      <c r="D9" s="94"/>
      <c r="E9" s="84"/>
      <c r="F9" s="84"/>
      <c r="G9" s="84"/>
      <c r="H9" s="108"/>
      <c r="I9" s="86"/>
      <c r="J9" s="84"/>
      <c r="K9" s="84"/>
    </row>
    <row r="10" spans="1:11">
      <c r="A10" s="95">
        <v>1</v>
      </c>
      <c r="B10" s="93" t="s">
        <v>60</v>
      </c>
      <c r="C10" s="84"/>
      <c r="D10" s="94"/>
      <c r="E10" s="84"/>
      <c r="F10" s="84"/>
      <c r="G10" s="84"/>
      <c r="H10" s="85">
        <f>+'Sch. 2 - Total (old rate)'!H10</f>
        <v>1660052</v>
      </c>
      <c r="I10" s="86" t="s">
        <v>51</v>
      </c>
      <c r="J10" s="84"/>
      <c r="K10" s="84"/>
    </row>
    <row r="11" spans="1:11">
      <c r="A11" s="95">
        <v>2</v>
      </c>
      <c r="B11" s="93" t="s">
        <v>50</v>
      </c>
      <c r="C11" s="84"/>
      <c r="D11" s="94"/>
      <c r="E11" s="84"/>
      <c r="F11" s="84"/>
      <c r="G11" s="84"/>
      <c r="H11" s="85">
        <f>+'Sch. 2 - Total (old rate)'!H11</f>
        <v>296353</v>
      </c>
      <c r="I11" s="86" t="s">
        <v>115</v>
      </c>
      <c r="J11" s="84"/>
      <c r="K11" s="84"/>
    </row>
    <row r="12" spans="1:11">
      <c r="A12" s="95">
        <v>3</v>
      </c>
      <c r="B12" s="93" t="s">
        <v>53</v>
      </c>
      <c r="C12" s="84"/>
      <c r="D12" s="94"/>
      <c r="E12" s="84"/>
      <c r="F12" s="84"/>
      <c r="G12" s="84"/>
      <c r="H12" s="85">
        <f>+'Sch. 2 - Total (old rate)'!H12</f>
        <v>601062</v>
      </c>
      <c r="I12" s="86" t="s">
        <v>55</v>
      </c>
      <c r="J12" s="84"/>
      <c r="K12" s="84"/>
    </row>
    <row r="13" spans="1:11">
      <c r="A13" s="95">
        <v>4</v>
      </c>
      <c r="B13" s="93" t="s">
        <v>52</v>
      </c>
      <c r="C13" s="84"/>
      <c r="D13" s="94"/>
      <c r="E13" s="84"/>
      <c r="F13" s="84"/>
      <c r="G13" s="84"/>
      <c r="H13" s="85">
        <f>+'Sch. 2 - Total (old rate)'!H13</f>
        <v>260384</v>
      </c>
      <c r="I13" s="86" t="s">
        <v>54</v>
      </c>
      <c r="J13" s="84"/>
      <c r="K13" s="84"/>
    </row>
    <row r="14" spans="1:11">
      <c r="A14" s="95">
        <v>5</v>
      </c>
      <c r="B14" s="93" t="s">
        <v>62</v>
      </c>
      <c r="C14" s="84"/>
      <c r="D14" s="94"/>
      <c r="E14" s="84"/>
      <c r="F14" s="84"/>
      <c r="G14" s="84"/>
      <c r="H14" s="85">
        <f>+'Sch. 2 - Total (old rate)'!H14</f>
        <v>1034689</v>
      </c>
      <c r="I14" s="86" t="s">
        <v>105</v>
      </c>
      <c r="J14" s="84"/>
      <c r="K14" s="84"/>
    </row>
    <row r="15" spans="1:11">
      <c r="A15" s="95">
        <v>6</v>
      </c>
      <c r="B15" s="93" t="s">
        <v>63</v>
      </c>
      <c r="C15" s="84"/>
      <c r="D15" s="94"/>
      <c r="E15" s="84"/>
      <c r="F15" s="84"/>
      <c r="G15" s="84"/>
      <c r="H15" s="85">
        <f>+'Sch. 2 - Total (old rate)'!H15</f>
        <v>66747</v>
      </c>
      <c r="I15" s="86" t="s">
        <v>105</v>
      </c>
      <c r="J15" s="84"/>
      <c r="K15" s="84"/>
    </row>
    <row r="16" spans="1:11">
      <c r="A16" s="108"/>
      <c r="B16" s="108"/>
      <c r="C16" s="108"/>
      <c r="D16" s="108"/>
      <c r="E16" s="108"/>
      <c r="F16" s="108"/>
      <c r="G16" s="108"/>
      <c r="H16" s="108"/>
      <c r="I16" s="109"/>
      <c r="J16" s="108"/>
      <c r="K16" s="108"/>
    </row>
    <row r="17" spans="1:12" ht="15" thickBot="1">
      <c r="A17" s="95">
        <v>7</v>
      </c>
      <c r="B17" s="96" t="s">
        <v>3</v>
      </c>
      <c r="C17" s="96"/>
      <c r="D17" s="96"/>
      <c r="E17" s="96"/>
      <c r="F17" s="96"/>
      <c r="G17" s="96"/>
      <c r="H17" s="97">
        <f>H12</f>
        <v>601062</v>
      </c>
      <c r="I17" s="86" t="s">
        <v>58</v>
      </c>
      <c r="J17" s="85"/>
      <c r="K17" s="85"/>
    </row>
    <row r="18" spans="1:12">
      <c r="A18" s="95"/>
      <c r="B18" s="84"/>
      <c r="C18" s="84"/>
      <c r="D18" s="84"/>
      <c r="E18" s="84"/>
      <c r="F18" s="84"/>
      <c r="G18" s="84"/>
      <c r="H18" s="85"/>
      <c r="I18" s="86"/>
      <c r="J18" s="84"/>
      <c r="K18" s="84"/>
    </row>
    <row r="19" spans="1:12">
      <c r="A19" s="95">
        <v>8</v>
      </c>
      <c r="B19" s="84" t="str">
        <f>'Sch. 2 - BHP (old rate)'!B19</f>
        <v>Common Use AC Facility Transmission Load (2025 Actual Load)</v>
      </c>
      <c r="C19" s="84"/>
      <c r="D19" s="84"/>
      <c r="E19" s="84"/>
      <c r="F19" s="84"/>
      <c r="G19" s="84"/>
      <c r="H19" s="98">
        <f>+'CUS AC LOADS (for old rate)'!I24*1000</f>
        <v>938448.41666666674</v>
      </c>
      <c r="I19" s="86" t="s">
        <v>64</v>
      </c>
      <c r="J19" s="111"/>
    </row>
    <row r="20" spans="1:12">
      <c r="A20" s="108"/>
      <c r="B20" s="108"/>
      <c r="C20" s="108"/>
      <c r="D20" s="108"/>
      <c r="E20" s="108"/>
      <c r="F20" s="108"/>
      <c r="G20" s="112"/>
      <c r="H20" s="108"/>
      <c r="I20" s="109"/>
      <c r="J20" s="108"/>
      <c r="K20" s="108"/>
    </row>
    <row r="21" spans="1:12">
      <c r="A21" s="95">
        <v>9</v>
      </c>
      <c r="B21" s="84" t="s">
        <v>5</v>
      </c>
      <c r="C21" s="84"/>
      <c r="D21" s="84"/>
      <c r="E21" s="84"/>
      <c r="F21" s="84"/>
      <c r="G21" s="84"/>
      <c r="H21" s="100">
        <f>ROUND(H17/H19,4)</f>
        <v>0.64049999999999996</v>
      </c>
      <c r="I21" s="86" t="str">
        <f>+'Sch. 2 - BHP (old rate)'!I21</f>
        <v>$ per kW - Year   (Ln 7/ Ln 8)</v>
      </c>
      <c r="J21" s="101"/>
      <c r="K21" s="108"/>
    </row>
    <row r="22" spans="1:12">
      <c r="A22" s="108"/>
      <c r="B22" s="108"/>
      <c r="C22" s="108"/>
      <c r="D22" s="108"/>
      <c r="E22" s="108"/>
      <c r="F22" s="108"/>
      <c r="G22" s="108"/>
      <c r="H22" s="113"/>
      <c r="I22" s="109"/>
      <c r="J22" s="114"/>
      <c r="K22" s="114"/>
      <c r="L22" s="104"/>
    </row>
    <row r="23" spans="1:12">
      <c r="A23" s="95">
        <v>10</v>
      </c>
      <c r="B23" s="84"/>
      <c r="C23" s="84"/>
      <c r="D23" s="84"/>
      <c r="E23" s="84"/>
      <c r="F23" s="84"/>
      <c r="G23" s="84"/>
      <c r="H23" s="100">
        <f>ROUND(H21/12,4)</f>
        <v>5.3400000000000003E-2</v>
      </c>
      <c r="I23" s="86" t="str">
        <f>+'Sch. 2 - BHP (old rate)'!I23</f>
        <v>$ per kW - Month (Ln 9 / 12)</v>
      </c>
      <c r="J23" s="101"/>
      <c r="K23" s="114"/>
      <c r="L23" s="104"/>
    </row>
    <row r="24" spans="1:12">
      <c r="A24" s="108"/>
      <c r="B24" s="108"/>
      <c r="C24" s="108"/>
      <c r="D24" s="108"/>
      <c r="E24" s="108"/>
      <c r="F24" s="108"/>
      <c r="G24" s="108"/>
      <c r="H24" s="113"/>
      <c r="I24" s="109"/>
      <c r="J24" s="108"/>
      <c r="K24" s="108"/>
    </row>
    <row r="25" spans="1:12">
      <c r="A25" s="95">
        <v>11</v>
      </c>
      <c r="B25" s="84"/>
      <c r="C25" s="84"/>
      <c r="D25" s="84"/>
      <c r="E25" s="84"/>
      <c r="F25" s="105"/>
      <c r="G25" s="84"/>
      <c r="H25" s="100">
        <f>ROUND(H21/52,4)</f>
        <v>1.23E-2</v>
      </c>
      <c r="I25" s="86" t="str">
        <f>+'Sch. 2 - BHP (old rate)'!I25</f>
        <v>$ per kW - Week (Ln 9 / 52)</v>
      </c>
      <c r="J25" s="101"/>
      <c r="K25" s="108"/>
    </row>
    <row r="26" spans="1:12">
      <c r="A26" s="108"/>
      <c r="B26" s="108"/>
      <c r="C26" s="108"/>
      <c r="D26" s="108"/>
      <c r="E26" s="108"/>
      <c r="F26" s="108"/>
      <c r="G26" s="108"/>
      <c r="H26" s="113"/>
      <c r="I26" s="109"/>
      <c r="J26" s="108"/>
      <c r="K26" s="108"/>
    </row>
    <row r="27" spans="1:12">
      <c r="A27" s="95">
        <v>12</v>
      </c>
      <c r="B27" s="84"/>
      <c r="C27" s="84"/>
      <c r="D27" s="84"/>
      <c r="E27" s="105"/>
      <c r="F27" s="84"/>
      <c r="G27" s="84"/>
      <c r="H27" s="100">
        <f>ROUND(H21/365,4)</f>
        <v>1.8E-3</v>
      </c>
      <c r="I27" s="86" t="str">
        <f>+'Sch. 2 - BHP (old rate)'!I27</f>
        <v>$ per kW - day off peak (Ln 9 / 365)</v>
      </c>
      <c r="J27" s="101" t="s">
        <v>36</v>
      </c>
      <c r="K27" s="108"/>
    </row>
    <row r="28" spans="1:12">
      <c r="A28" s="95">
        <v>13</v>
      </c>
      <c r="B28" s="84"/>
      <c r="C28" s="84"/>
      <c r="D28" s="84"/>
      <c r="E28" s="105"/>
      <c r="F28" s="84"/>
      <c r="G28" s="84"/>
      <c r="H28" s="100">
        <f>ROUND(H21/312,4)</f>
        <v>2.0999999999999999E-3</v>
      </c>
      <c r="I28" s="86" t="str">
        <f>+'Sch. 2 - BHP (old rate)'!I28</f>
        <v>$ per kW - day on peak (Ln 9 / 312)</v>
      </c>
      <c r="J28" s="101" t="s">
        <v>119</v>
      </c>
      <c r="K28" s="108"/>
    </row>
    <row r="29" spans="1:12">
      <c r="A29" s="108"/>
      <c r="B29" s="108"/>
      <c r="C29" s="108"/>
      <c r="D29" s="108"/>
      <c r="E29" s="108"/>
      <c r="F29" s="108"/>
      <c r="G29" s="108"/>
      <c r="H29" s="108"/>
      <c r="I29" s="109"/>
      <c r="J29" s="108"/>
      <c r="K29" s="108"/>
    </row>
    <row r="30" spans="1:12">
      <c r="A30" s="95">
        <v>14</v>
      </c>
      <c r="B30" s="84"/>
      <c r="C30" s="84"/>
      <c r="D30" s="84"/>
      <c r="E30" s="84"/>
      <c r="F30" s="84"/>
      <c r="G30" s="84"/>
      <c r="H30" s="101">
        <f>ROUND((H21/8760),5)</f>
        <v>6.9999999999999994E-5</v>
      </c>
      <c r="I30" s="86" t="str">
        <f>+'Sch. 2 - BHP (old rate)'!I30</f>
        <v>$ per kW - hour off peak (Ln 9 / 8760)</v>
      </c>
      <c r="J30" s="101"/>
      <c r="K30" s="108"/>
    </row>
    <row r="31" spans="1:12">
      <c r="A31" s="95">
        <v>15</v>
      </c>
      <c r="B31" s="84"/>
      <c r="C31" s="84"/>
      <c r="D31" s="84"/>
      <c r="E31" s="84"/>
      <c r="F31" s="84"/>
      <c r="G31" s="84"/>
      <c r="H31" s="101">
        <f>ROUND((H21/4992),5)</f>
        <v>1.2999999999999999E-4</v>
      </c>
      <c r="I31" s="86" t="str">
        <f>+'Sch. 2 - BHP (old rate)'!I31</f>
        <v>$ per kW - hour on peak (Ln 9 / 4992)</v>
      </c>
      <c r="J31" s="101" t="s">
        <v>35</v>
      </c>
      <c r="K31" s="108"/>
    </row>
    <row r="32" spans="1:12">
      <c r="A32" s="108"/>
      <c r="B32" s="108"/>
      <c r="C32" s="108"/>
      <c r="D32" s="108"/>
      <c r="E32" s="108"/>
      <c r="F32" s="108"/>
      <c r="G32" s="108"/>
      <c r="H32" s="108"/>
      <c r="I32" s="109"/>
      <c r="J32" s="108"/>
      <c r="K32" s="108"/>
    </row>
    <row r="33" spans="1:11">
      <c r="A33" s="108"/>
      <c r="B33" s="108"/>
      <c r="C33" s="108"/>
      <c r="D33" s="108"/>
      <c r="E33" s="108"/>
      <c r="F33" s="108"/>
      <c r="G33" s="108"/>
      <c r="H33" s="108"/>
      <c r="I33" s="109"/>
      <c r="J33" s="108"/>
      <c r="K33" s="108"/>
    </row>
    <row r="34" spans="1:11">
      <c r="A34" s="108"/>
      <c r="B34" s="108"/>
      <c r="C34" s="108"/>
      <c r="D34" s="108"/>
      <c r="E34" s="108"/>
      <c r="F34" s="108"/>
      <c r="G34" s="108"/>
      <c r="I34" s="109"/>
      <c r="K34" s="108"/>
    </row>
  </sheetData>
  <pageMargins left="0.28000000000000003" right="0.33" top="1" bottom="1" header="0.5" footer="0.5"/>
  <pageSetup scale="7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34"/>
  <sheetViews>
    <sheetView workbookViewId="0">
      <selection activeCell="H20" sqref="H20"/>
    </sheetView>
  </sheetViews>
  <sheetFormatPr defaultColWidth="9.140625" defaultRowHeight="14.25"/>
  <cols>
    <col min="1" max="1" width="9.140625" style="34" bestFit="1" customWidth="1"/>
    <col min="2" max="6" width="9.140625" style="34"/>
    <col min="7" max="7" width="17.5703125" style="34" customWidth="1"/>
    <col min="8" max="8" width="11.140625" style="34" bestFit="1" customWidth="1"/>
    <col min="9" max="9" width="38" style="87" customWidth="1"/>
    <col min="10" max="10" width="12.85546875" style="34" bestFit="1" customWidth="1"/>
    <col min="11" max="11" width="11.85546875" style="34" customWidth="1"/>
    <col min="12" max="12" width="10.140625" style="34" bestFit="1" customWidth="1"/>
    <col min="13" max="16384" width="9.140625" style="34"/>
  </cols>
  <sheetData>
    <row r="1" spans="1:16" ht="15">
      <c r="A1" s="83" t="s">
        <v>0</v>
      </c>
      <c r="B1" s="84"/>
      <c r="C1" s="84"/>
      <c r="D1" s="84"/>
      <c r="E1" s="84"/>
      <c r="F1" s="84"/>
      <c r="G1" s="84"/>
      <c r="H1" s="85"/>
      <c r="I1" s="86"/>
      <c r="J1" s="84"/>
      <c r="K1" s="84"/>
    </row>
    <row r="2" spans="1:16" ht="15">
      <c r="A2" s="83" t="s">
        <v>1</v>
      </c>
      <c r="B2" s="84"/>
      <c r="C2" s="84"/>
      <c r="D2" s="84"/>
      <c r="E2" s="84"/>
      <c r="F2" s="84"/>
      <c r="G2" s="84"/>
      <c r="H2" s="85"/>
      <c r="K2" s="88" t="str">
        <f>+'Under-Over Recovery'!J2</f>
        <v>Black Hills Power, Inc.</v>
      </c>
    </row>
    <row r="3" spans="1:16" ht="15">
      <c r="A3" s="83" t="s">
        <v>2</v>
      </c>
      <c r="B3" s="84"/>
      <c r="C3" s="84"/>
      <c r="D3" s="84"/>
      <c r="E3" s="84"/>
      <c r="F3" s="84"/>
      <c r="G3" s="84"/>
      <c r="H3" s="85"/>
      <c r="I3" s="86"/>
      <c r="J3" s="84"/>
      <c r="K3" s="88" t="str">
        <f>+'Under-Over Recovery'!J3</f>
        <v>May 31, 2026</v>
      </c>
    </row>
    <row r="4" spans="1:16" ht="15">
      <c r="A4" s="83"/>
      <c r="B4" s="84"/>
      <c r="C4" s="84"/>
      <c r="D4" s="84"/>
      <c r="E4" s="84"/>
      <c r="F4" s="84"/>
      <c r="G4" s="84"/>
      <c r="H4" s="85"/>
      <c r="I4" s="86"/>
      <c r="K4" s="84"/>
      <c r="P4" s="84"/>
    </row>
    <row r="5" spans="1:16">
      <c r="A5" s="108"/>
      <c r="B5" s="108"/>
      <c r="C5" s="108"/>
      <c r="D5" s="108"/>
      <c r="E5" s="108"/>
      <c r="F5" s="108"/>
      <c r="G5" s="108"/>
      <c r="H5" s="108"/>
      <c r="I5" s="109"/>
      <c r="J5" s="108"/>
      <c r="K5" s="108"/>
    </row>
    <row r="6" spans="1:16">
      <c r="A6" s="108"/>
      <c r="B6" s="108"/>
      <c r="C6" s="108"/>
      <c r="D6" s="108"/>
      <c r="E6" s="108"/>
      <c r="F6" s="108"/>
      <c r="G6" s="108"/>
      <c r="H6" s="108"/>
      <c r="I6" s="109"/>
      <c r="J6" s="108"/>
      <c r="K6" s="108"/>
    </row>
    <row r="7" spans="1:16">
      <c r="A7" s="108"/>
      <c r="B7" s="108"/>
      <c r="C7" s="108"/>
      <c r="D7" s="108"/>
      <c r="E7" s="108"/>
      <c r="F7" s="108"/>
      <c r="G7" s="108"/>
      <c r="H7" s="108"/>
      <c r="I7" s="109"/>
      <c r="J7" s="108"/>
      <c r="K7" s="108"/>
    </row>
    <row r="8" spans="1:16">
      <c r="A8" s="110" t="s">
        <v>31</v>
      </c>
      <c r="B8" s="108"/>
      <c r="C8" s="108"/>
      <c r="D8" s="108"/>
      <c r="E8" s="108"/>
      <c r="F8" s="108"/>
      <c r="G8" s="108"/>
      <c r="H8" s="108"/>
      <c r="I8" s="109"/>
      <c r="J8" s="108"/>
      <c r="K8" s="108"/>
    </row>
    <row r="9" spans="1:16">
      <c r="A9" s="92" t="s">
        <v>32</v>
      </c>
      <c r="B9" s="93"/>
      <c r="C9" s="84"/>
      <c r="D9" s="94"/>
      <c r="E9" s="84"/>
      <c r="F9" s="84"/>
      <c r="G9" s="84"/>
      <c r="H9" s="108"/>
      <c r="I9" s="86"/>
      <c r="J9" s="84"/>
      <c r="K9" s="84"/>
    </row>
    <row r="10" spans="1:16">
      <c r="A10" s="95">
        <v>1</v>
      </c>
      <c r="B10" s="93" t="s">
        <v>60</v>
      </c>
      <c r="C10" s="84"/>
      <c r="D10" s="94"/>
      <c r="E10" s="84"/>
      <c r="F10" s="84"/>
      <c r="G10" s="84"/>
      <c r="H10" s="85">
        <f>+'Sch. 2 - Total (old rate)'!H10</f>
        <v>1660052</v>
      </c>
      <c r="I10" s="86" t="s">
        <v>51</v>
      </c>
      <c r="J10" s="84"/>
      <c r="K10" s="84"/>
    </row>
    <row r="11" spans="1:16">
      <c r="A11" s="95">
        <v>2</v>
      </c>
      <c r="B11" s="93" t="s">
        <v>50</v>
      </c>
      <c r="C11" s="84"/>
      <c r="D11" s="94"/>
      <c r="E11" s="84"/>
      <c r="F11" s="84"/>
      <c r="G11" s="84"/>
      <c r="H11" s="85">
        <f>+'Sch. 2 - Total (old rate)'!H11</f>
        <v>296353</v>
      </c>
      <c r="I11" s="86" t="s">
        <v>115</v>
      </c>
      <c r="J11" s="84"/>
      <c r="K11" s="84"/>
    </row>
    <row r="12" spans="1:16">
      <c r="A12" s="95">
        <v>3</v>
      </c>
      <c r="B12" s="93" t="s">
        <v>53</v>
      </c>
      <c r="C12" s="84"/>
      <c r="D12" s="94"/>
      <c r="E12" s="84"/>
      <c r="F12" s="84"/>
      <c r="G12" s="84"/>
      <c r="H12" s="85">
        <f>+'Sch. 2 - Total (old rate)'!H12</f>
        <v>601062</v>
      </c>
      <c r="I12" s="86" t="s">
        <v>55</v>
      </c>
      <c r="J12" s="84"/>
      <c r="K12" s="84"/>
    </row>
    <row r="13" spans="1:16">
      <c r="A13" s="95">
        <v>4</v>
      </c>
      <c r="B13" s="93" t="s">
        <v>52</v>
      </c>
      <c r="C13" s="84"/>
      <c r="D13" s="94"/>
      <c r="E13" s="84"/>
      <c r="F13" s="84"/>
      <c r="G13" s="84"/>
      <c r="H13" s="85">
        <f>+'Sch. 2 - Total (old rate)'!H13</f>
        <v>260384</v>
      </c>
      <c r="I13" s="86" t="s">
        <v>54</v>
      </c>
      <c r="J13" s="84"/>
      <c r="K13" s="84"/>
    </row>
    <row r="14" spans="1:16">
      <c r="A14" s="95">
        <v>5</v>
      </c>
      <c r="B14" s="93" t="s">
        <v>62</v>
      </c>
      <c r="C14" s="84"/>
      <c r="D14" s="94"/>
      <c r="E14" s="84"/>
      <c r="F14" s="84"/>
      <c r="G14" s="84"/>
      <c r="H14" s="85">
        <f>+'Sch. 2 - Total (old rate)'!H14</f>
        <v>1034689</v>
      </c>
      <c r="I14" s="86" t="s">
        <v>105</v>
      </c>
      <c r="J14" s="84"/>
      <c r="K14" s="84"/>
    </row>
    <row r="15" spans="1:16">
      <c r="A15" s="95">
        <v>6</v>
      </c>
      <c r="B15" s="93" t="s">
        <v>63</v>
      </c>
      <c r="C15" s="84"/>
      <c r="D15" s="94"/>
      <c r="E15" s="84"/>
      <c r="F15" s="84"/>
      <c r="G15" s="84"/>
      <c r="H15" s="85">
        <f>+'Sch. 2 - Total (old rate)'!H15</f>
        <v>66747</v>
      </c>
      <c r="I15" s="86" t="s">
        <v>105</v>
      </c>
      <c r="J15" s="84"/>
      <c r="K15" s="84"/>
    </row>
    <row r="16" spans="1:16">
      <c r="A16" s="108"/>
      <c r="B16" s="108"/>
      <c r="C16" s="108"/>
      <c r="D16" s="108"/>
      <c r="E16" s="108"/>
      <c r="F16" s="108"/>
      <c r="G16" s="108"/>
      <c r="H16" s="108"/>
      <c r="I16" s="109"/>
      <c r="J16" s="108"/>
      <c r="K16" s="108"/>
    </row>
    <row r="17" spans="1:12" ht="15" thickBot="1">
      <c r="A17" s="95">
        <v>7</v>
      </c>
      <c r="B17" s="96" t="s">
        <v>3</v>
      </c>
      <c r="C17" s="96"/>
      <c r="D17" s="96"/>
      <c r="E17" s="96"/>
      <c r="F17" s="96"/>
      <c r="G17" s="96"/>
      <c r="H17" s="97">
        <f>H13</f>
        <v>260384</v>
      </c>
      <c r="I17" s="86" t="s">
        <v>59</v>
      </c>
      <c r="J17" s="85"/>
      <c r="K17" s="85"/>
    </row>
    <row r="18" spans="1:12">
      <c r="A18" s="95"/>
      <c r="B18" s="84"/>
      <c r="C18" s="84"/>
      <c r="D18" s="84"/>
      <c r="E18" s="84"/>
      <c r="F18" s="84"/>
      <c r="G18" s="84"/>
      <c r="H18" s="85"/>
      <c r="I18" s="86"/>
      <c r="J18" s="84"/>
      <c r="K18" s="84"/>
    </row>
    <row r="19" spans="1:12">
      <c r="A19" s="95">
        <v>8</v>
      </c>
      <c r="B19" s="84" t="str">
        <f>'Sch. 2 - BHP (old rate)'!B19</f>
        <v>Common Use AC Facility Transmission Load (2025 Actual Load)</v>
      </c>
      <c r="C19" s="84"/>
      <c r="D19" s="84"/>
      <c r="E19" s="84"/>
      <c r="F19" s="84"/>
      <c r="G19" s="84"/>
      <c r="H19" s="98">
        <f>+'CUS AC LOADS (for old rate)'!I24*1000</f>
        <v>938448.41666666674</v>
      </c>
      <c r="I19" s="86" t="s">
        <v>64</v>
      </c>
      <c r="J19" s="111"/>
    </row>
    <row r="20" spans="1:12">
      <c r="A20" s="108"/>
      <c r="B20" s="108"/>
      <c r="C20" s="108"/>
      <c r="D20" s="108"/>
      <c r="E20" s="108"/>
      <c r="F20" s="108"/>
      <c r="G20" s="112"/>
      <c r="H20" s="108"/>
      <c r="I20" s="109"/>
      <c r="J20" s="108"/>
      <c r="K20" s="108"/>
    </row>
    <row r="21" spans="1:12">
      <c r="A21" s="95">
        <v>9</v>
      </c>
      <c r="B21" s="84" t="s">
        <v>5</v>
      </c>
      <c r="C21" s="84"/>
      <c r="D21" s="84"/>
      <c r="E21" s="84"/>
      <c r="F21" s="84"/>
      <c r="G21" s="84"/>
      <c r="H21" s="100">
        <f>ROUND(H17/H19,4)</f>
        <v>0.27750000000000002</v>
      </c>
      <c r="I21" s="86" t="str">
        <f>+'Sch. 2 - BHP (old rate)'!I21</f>
        <v>$ per kW - Year   (Ln 7/ Ln 8)</v>
      </c>
      <c r="J21" s="101"/>
      <c r="K21" s="108"/>
      <c r="L21" s="116"/>
    </row>
    <row r="22" spans="1:12">
      <c r="A22" s="108"/>
      <c r="B22" s="108"/>
      <c r="C22" s="108"/>
      <c r="D22" s="108"/>
      <c r="E22" s="108"/>
      <c r="F22" s="108"/>
      <c r="G22" s="108"/>
      <c r="H22" s="113"/>
      <c r="I22" s="109"/>
      <c r="J22" s="114"/>
      <c r="K22" s="114"/>
      <c r="L22" s="104"/>
    </row>
    <row r="23" spans="1:12">
      <c r="A23" s="95">
        <v>10</v>
      </c>
      <c r="B23" s="84"/>
      <c r="C23" s="84"/>
      <c r="D23" s="84"/>
      <c r="E23" s="84"/>
      <c r="F23" s="84"/>
      <c r="G23" s="84"/>
      <c r="H23" s="100">
        <f>ROUND(H21/12,4)</f>
        <v>2.3099999999999999E-2</v>
      </c>
      <c r="I23" s="86" t="str">
        <f>+'Sch. 2 - BHP (old rate)'!I23</f>
        <v>$ per kW - Month (Ln 9 / 12)</v>
      </c>
      <c r="J23" s="101"/>
      <c r="K23" s="114"/>
      <c r="L23" s="104"/>
    </row>
    <row r="24" spans="1:12">
      <c r="A24" s="108"/>
      <c r="B24" s="108"/>
      <c r="C24" s="108"/>
      <c r="D24" s="108"/>
      <c r="E24" s="108"/>
      <c r="F24" s="108"/>
      <c r="G24" s="108"/>
      <c r="H24" s="113"/>
      <c r="I24" s="109"/>
      <c r="J24" s="108"/>
      <c r="K24" s="108"/>
    </row>
    <row r="25" spans="1:12">
      <c r="A25" s="95">
        <v>11</v>
      </c>
      <c r="B25" s="84"/>
      <c r="C25" s="84"/>
      <c r="D25" s="84"/>
      <c r="E25" s="84"/>
      <c r="F25" s="105"/>
      <c r="G25" s="84"/>
      <c r="H25" s="100">
        <f>ROUND(H21/52,4)</f>
        <v>5.3E-3</v>
      </c>
      <c r="I25" s="86" t="str">
        <f>+'Sch. 2 - BHP (old rate)'!I25</f>
        <v>$ per kW - Week (Ln 9 / 52)</v>
      </c>
      <c r="J25" s="101"/>
      <c r="K25" s="108"/>
    </row>
    <row r="26" spans="1:12">
      <c r="A26" s="108"/>
      <c r="B26" s="108"/>
      <c r="C26" s="108"/>
      <c r="D26" s="108"/>
      <c r="E26" s="108"/>
      <c r="F26" s="108"/>
      <c r="G26" s="108"/>
      <c r="H26" s="113"/>
      <c r="I26" s="109"/>
      <c r="J26" s="108"/>
      <c r="K26" s="108"/>
    </row>
    <row r="27" spans="1:12">
      <c r="A27" s="95">
        <v>12</v>
      </c>
      <c r="B27" s="84"/>
      <c r="C27" s="84"/>
      <c r="D27" s="84"/>
      <c r="E27" s="105"/>
      <c r="F27" s="84"/>
      <c r="G27" s="84"/>
      <c r="H27" s="100">
        <f>ROUND(H21/365,4)</f>
        <v>8.0000000000000004E-4</v>
      </c>
      <c r="I27" s="86" t="str">
        <f>+'Sch. 2 - BHP (old rate)'!I27</f>
        <v>$ per kW - day off peak (Ln 9 / 365)</v>
      </c>
      <c r="J27" s="101" t="s">
        <v>36</v>
      </c>
      <c r="K27" s="108"/>
    </row>
    <row r="28" spans="1:12">
      <c r="A28" s="95">
        <v>13</v>
      </c>
      <c r="B28" s="84"/>
      <c r="C28" s="84"/>
      <c r="D28" s="84"/>
      <c r="E28" s="105"/>
      <c r="F28" s="84"/>
      <c r="G28" s="84"/>
      <c r="H28" s="100">
        <f>ROUND(H21/312,4)</f>
        <v>8.9999999999999998E-4</v>
      </c>
      <c r="I28" s="86" t="str">
        <f>+'Sch. 2 - BHP (old rate)'!I28</f>
        <v>$ per kW - day on peak (Ln 9 / 312)</v>
      </c>
      <c r="J28" s="101" t="s">
        <v>119</v>
      </c>
      <c r="K28" s="108"/>
    </row>
    <row r="29" spans="1:12">
      <c r="A29" s="108"/>
      <c r="B29" s="108"/>
      <c r="C29" s="108"/>
      <c r="D29" s="108"/>
      <c r="E29" s="108"/>
      <c r="F29" s="108"/>
      <c r="G29" s="108"/>
      <c r="H29" s="108"/>
      <c r="I29" s="109"/>
      <c r="J29" s="108"/>
      <c r="K29" s="108"/>
    </row>
    <row r="30" spans="1:12">
      <c r="A30" s="95">
        <v>14</v>
      </c>
      <c r="B30" s="84"/>
      <c r="C30" s="84"/>
      <c r="D30" s="84"/>
      <c r="E30" s="84"/>
      <c r="F30" s="84"/>
      <c r="G30" s="84"/>
      <c r="H30" s="101">
        <f>ROUND((H21/8760),5)</f>
        <v>3.0000000000000001E-5</v>
      </c>
      <c r="I30" s="86" t="str">
        <f>+'Sch. 2 - BHP (old rate)'!I30</f>
        <v>$ per kW - hour off peak (Ln 9 / 8760)</v>
      </c>
      <c r="J30" s="101"/>
      <c r="K30" s="108"/>
    </row>
    <row r="31" spans="1:12">
      <c r="A31" s="95">
        <v>15</v>
      </c>
      <c r="B31" s="84"/>
      <c r="C31" s="84"/>
      <c r="D31" s="84"/>
      <c r="E31" s="84"/>
      <c r="F31" s="84"/>
      <c r="G31" s="84"/>
      <c r="H31" s="101">
        <f>ROUND((H21/4992),5)</f>
        <v>6.0000000000000002E-5</v>
      </c>
      <c r="I31" s="86" t="str">
        <f>+'Sch. 2 - BHP (old rate)'!I31</f>
        <v>$ per kW - hour on peak (Ln 9 / 4992)</v>
      </c>
      <c r="J31" s="101" t="s">
        <v>35</v>
      </c>
      <c r="K31" s="108"/>
    </row>
    <row r="32" spans="1:12">
      <c r="A32" s="108"/>
      <c r="B32" s="108"/>
      <c r="C32" s="108"/>
      <c r="D32" s="108"/>
      <c r="E32" s="108"/>
      <c r="F32" s="108"/>
      <c r="G32" s="108"/>
      <c r="H32" s="108"/>
      <c r="I32" s="109"/>
      <c r="J32" s="108"/>
      <c r="K32" s="108"/>
    </row>
    <row r="33" spans="1:11">
      <c r="A33" s="108"/>
      <c r="B33" s="108"/>
      <c r="C33" s="108"/>
      <c r="D33" s="108"/>
      <c r="E33" s="108"/>
      <c r="F33" s="108"/>
      <c r="G33" s="108"/>
      <c r="H33" s="108"/>
      <c r="I33" s="109"/>
      <c r="J33" s="108"/>
      <c r="K33" s="108"/>
    </row>
    <row r="34" spans="1:11">
      <c r="A34" s="108"/>
      <c r="B34" s="108"/>
      <c r="C34" s="108"/>
      <c r="D34" s="108"/>
      <c r="E34" s="108"/>
      <c r="F34" s="108"/>
      <c r="G34" s="108"/>
      <c r="I34" s="109"/>
      <c r="K34" s="108"/>
    </row>
  </sheetData>
  <pageMargins left="0.28000000000000003" right="0.33" top="1" bottom="1" header="0.5" footer="0.5"/>
  <pageSetup scale="7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4"/>
  <sheetViews>
    <sheetView workbookViewId="0">
      <selection activeCell="H20" sqref="H20"/>
    </sheetView>
  </sheetViews>
  <sheetFormatPr defaultColWidth="9.140625" defaultRowHeight="14.25"/>
  <cols>
    <col min="1" max="1" width="9.140625" style="34" bestFit="1" customWidth="1"/>
    <col min="2" max="6" width="9.140625" style="34"/>
    <col min="7" max="7" width="19.85546875" style="34" customWidth="1"/>
    <col min="8" max="8" width="11.140625" style="34" bestFit="1" customWidth="1"/>
    <col min="9" max="9" width="36.7109375" style="87" customWidth="1"/>
    <col min="10" max="10" width="12.85546875" style="34" bestFit="1" customWidth="1"/>
    <col min="11" max="11" width="11.85546875" style="34" customWidth="1"/>
    <col min="12" max="12" width="10.140625" style="34" bestFit="1" customWidth="1"/>
    <col min="13" max="16384" width="9.140625" style="34"/>
  </cols>
  <sheetData>
    <row r="1" spans="1:16" ht="15">
      <c r="A1" s="83" t="s">
        <v>0</v>
      </c>
      <c r="B1" s="84"/>
      <c r="C1" s="84"/>
      <c r="D1" s="84"/>
      <c r="E1" s="84"/>
      <c r="F1" s="84"/>
      <c r="G1" s="84"/>
      <c r="H1" s="85"/>
      <c r="I1" s="86"/>
      <c r="J1" s="84"/>
      <c r="K1" s="84"/>
    </row>
    <row r="2" spans="1:16" ht="15">
      <c r="A2" s="83" t="s">
        <v>1</v>
      </c>
      <c r="B2" s="84"/>
      <c r="C2" s="84"/>
      <c r="D2" s="84"/>
      <c r="E2" s="84"/>
      <c r="F2" s="84"/>
      <c r="G2" s="84"/>
      <c r="H2" s="85"/>
      <c r="K2" s="88" t="str">
        <f>+'Under-Over Recovery'!J2</f>
        <v>Black Hills Power, Inc.</v>
      </c>
    </row>
    <row r="3" spans="1:16" ht="15">
      <c r="A3" s="83" t="s">
        <v>2</v>
      </c>
      <c r="B3" s="84"/>
      <c r="C3" s="84"/>
      <c r="D3" s="84"/>
      <c r="E3" s="84"/>
      <c r="F3" s="84"/>
      <c r="G3" s="84"/>
      <c r="H3" s="85"/>
      <c r="I3" s="86"/>
      <c r="J3" s="84"/>
      <c r="K3" s="88" t="str">
        <f>+'Under-Over Recovery'!J3</f>
        <v>May 31, 2026</v>
      </c>
    </row>
    <row r="4" spans="1:16" ht="15">
      <c r="A4" s="83"/>
      <c r="B4" s="84"/>
      <c r="C4" s="84"/>
      <c r="D4" s="84"/>
      <c r="E4" s="84"/>
      <c r="F4" s="84"/>
      <c r="G4" s="84"/>
      <c r="H4" s="85"/>
      <c r="I4" s="86"/>
      <c r="K4" s="84"/>
      <c r="P4" s="84"/>
    </row>
    <row r="5" spans="1:16">
      <c r="A5" s="108"/>
      <c r="B5" s="108"/>
      <c r="C5" s="108"/>
      <c r="D5" s="108"/>
      <c r="E5" s="108"/>
      <c r="F5" s="108"/>
      <c r="G5" s="108"/>
      <c r="H5" s="108"/>
      <c r="I5" s="109"/>
      <c r="J5" s="108"/>
      <c r="K5" s="108"/>
    </row>
    <row r="6" spans="1:16">
      <c r="A6" s="108"/>
      <c r="B6" s="108"/>
      <c r="C6" s="108"/>
      <c r="D6" s="108"/>
      <c r="E6" s="108"/>
      <c r="F6" s="108"/>
      <c r="G6" s="108"/>
      <c r="H6" s="108"/>
      <c r="I6" s="109"/>
      <c r="J6" s="108"/>
      <c r="K6" s="108"/>
    </row>
    <row r="7" spans="1:16">
      <c r="A7" s="108"/>
      <c r="B7" s="108"/>
      <c r="C7" s="108"/>
      <c r="D7" s="108"/>
      <c r="E7" s="108"/>
      <c r="F7" s="108"/>
      <c r="G7" s="108"/>
      <c r="H7" s="108"/>
      <c r="I7" s="109"/>
      <c r="J7" s="108"/>
      <c r="K7" s="108"/>
    </row>
    <row r="8" spans="1:16">
      <c r="A8" s="110" t="s">
        <v>31</v>
      </c>
      <c r="B8" s="108"/>
      <c r="C8" s="108"/>
      <c r="D8" s="108"/>
      <c r="E8" s="108"/>
      <c r="F8" s="108"/>
      <c r="G8" s="108"/>
      <c r="H8" s="108"/>
      <c r="I8" s="109"/>
      <c r="J8" s="108"/>
      <c r="K8" s="108"/>
    </row>
    <row r="9" spans="1:16">
      <c r="A9" s="92" t="s">
        <v>32</v>
      </c>
      <c r="B9" s="93"/>
      <c r="C9" s="84"/>
      <c r="D9" s="94"/>
      <c r="E9" s="84"/>
      <c r="F9" s="84"/>
      <c r="G9" s="84"/>
      <c r="H9" s="108"/>
      <c r="I9" s="86"/>
      <c r="J9" s="84"/>
      <c r="K9" s="84"/>
    </row>
    <row r="10" spans="1:16">
      <c r="A10" s="95">
        <v>1</v>
      </c>
      <c r="B10" s="93" t="s">
        <v>60</v>
      </c>
      <c r="C10" s="84"/>
      <c r="D10" s="94"/>
      <c r="E10" s="84"/>
      <c r="F10" s="84"/>
      <c r="G10" s="84"/>
      <c r="H10" s="85">
        <f>+'Sch. 2 - Total (old rate)'!H10</f>
        <v>1660052</v>
      </c>
      <c r="I10" s="86" t="s">
        <v>51</v>
      </c>
      <c r="J10" s="84"/>
      <c r="K10" s="84"/>
    </row>
    <row r="11" spans="1:16">
      <c r="A11" s="95">
        <v>2</v>
      </c>
      <c r="B11" s="93" t="s">
        <v>50</v>
      </c>
      <c r="C11" s="84"/>
      <c r="D11" s="94"/>
      <c r="E11" s="84"/>
      <c r="F11" s="84"/>
      <c r="G11" s="84"/>
      <c r="H11" s="85">
        <f>+'Sch. 2 - Total (old rate)'!H11</f>
        <v>296353</v>
      </c>
      <c r="I11" s="86" t="s">
        <v>115</v>
      </c>
      <c r="J11" s="84"/>
      <c r="K11" s="84"/>
    </row>
    <row r="12" spans="1:16">
      <c r="A12" s="95">
        <v>3</v>
      </c>
      <c r="B12" s="93" t="s">
        <v>53</v>
      </c>
      <c r="C12" s="84"/>
      <c r="D12" s="94"/>
      <c r="E12" s="84"/>
      <c r="F12" s="84"/>
      <c r="G12" s="84"/>
      <c r="H12" s="85">
        <f>+'Sch. 2 - Total (old rate)'!H12</f>
        <v>601062</v>
      </c>
      <c r="I12" s="86" t="s">
        <v>55</v>
      </c>
      <c r="J12" s="84"/>
      <c r="K12" s="84"/>
    </row>
    <row r="13" spans="1:16">
      <c r="A13" s="95">
        <v>4</v>
      </c>
      <c r="B13" s="93" t="s">
        <v>52</v>
      </c>
      <c r="C13" s="84"/>
      <c r="D13" s="94"/>
      <c r="E13" s="84"/>
      <c r="F13" s="84"/>
      <c r="G13" s="84"/>
      <c r="H13" s="85">
        <f>+'Sch. 2 - Total (old rate)'!H13</f>
        <v>260384</v>
      </c>
      <c r="I13" s="86" t="s">
        <v>54</v>
      </c>
      <c r="J13" s="84"/>
      <c r="K13" s="84"/>
    </row>
    <row r="14" spans="1:16">
      <c r="A14" s="95">
        <v>5</v>
      </c>
      <c r="B14" s="93" t="s">
        <v>62</v>
      </c>
      <c r="C14" s="84"/>
      <c r="D14" s="94"/>
      <c r="E14" s="84"/>
      <c r="F14" s="84"/>
      <c r="G14" s="84"/>
      <c r="H14" s="85">
        <f>+'Sch. 2 - Total (old rate)'!H14</f>
        <v>1034689</v>
      </c>
      <c r="I14" s="86" t="s">
        <v>105</v>
      </c>
      <c r="J14" s="84"/>
      <c r="K14" s="84"/>
    </row>
    <row r="15" spans="1:16">
      <c r="A15" s="95">
        <v>6</v>
      </c>
      <c r="B15" s="93" t="s">
        <v>63</v>
      </c>
      <c r="C15" s="84"/>
      <c r="D15" s="94"/>
      <c r="E15" s="84"/>
      <c r="F15" s="84"/>
      <c r="G15" s="84"/>
      <c r="H15" s="85">
        <f>+'Sch. 2 - Total (old rate)'!H15</f>
        <v>66747</v>
      </c>
      <c r="I15" s="86" t="s">
        <v>105</v>
      </c>
      <c r="J15" s="84"/>
      <c r="K15" s="84"/>
    </row>
    <row r="16" spans="1:16">
      <c r="A16" s="108"/>
      <c r="B16" s="108"/>
      <c r="C16" s="108"/>
      <c r="D16" s="108"/>
      <c r="E16" s="108"/>
      <c r="F16" s="108"/>
      <c r="G16" s="108"/>
      <c r="H16" s="108"/>
      <c r="I16" s="109"/>
      <c r="J16" s="108"/>
      <c r="K16" s="108"/>
    </row>
    <row r="17" spans="1:12" ht="15" thickBot="1">
      <c r="A17" s="95">
        <v>7</v>
      </c>
      <c r="B17" s="96" t="s">
        <v>3</v>
      </c>
      <c r="C17" s="96"/>
      <c r="D17" s="96"/>
      <c r="E17" s="96"/>
      <c r="F17" s="96"/>
      <c r="G17" s="96"/>
      <c r="H17" s="97">
        <f>H14</f>
        <v>1034689</v>
      </c>
      <c r="I17" s="86" t="s">
        <v>65</v>
      </c>
      <c r="J17" s="85"/>
      <c r="K17" s="85"/>
    </row>
    <row r="18" spans="1:12">
      <c r="A18" s="95"/>
      <c r="B18" s="84"/>
      <c r="C18" s="84"/>
      <c r="D18" s="84"/>
      <c r="E18" s="84"/>
      <c r="F18" s="84"/>
      <c r="G18" s="84"/>
      <c r="H18" s="85"/>
      <c r="I18" s="86"/>
      <c r="J18" s="84"/>
      <c r="K18" s="84"/>
    </row>
    <row r="19" spans="1:12">
      <c r="A19" s="95">
        <v>8</v>
      </c>
      <c r="B19" s="84" t="str">
        <f>'Sch. 2 - BHP (old rate)'!B19</f>
        <v>Common Use AC Facility Transmission Load (2025 Actual Load)</v>
      </c>
      <c r="C19" s="84"/>
      <c r="D19" s="84"/>
      <c r="E19" s="84"/>
      <c r="F19" s="84"/>
      <c r="G19" s="84"/>
      <c r="H19" s="98">
        <f>+'CUS AC LOADS (for old rate)'!I24*1000</f>
        <v>938448.41666666674</v>
      </c>
      <c r="I19" s="86" t="s">
        <v>64</v>
      </c>
      <c r="J19" s="111"/>
    </row>
    <row r="20" spans="1:12">
      <c r="A20" s="108"/>
      <c r="B20" s="108"/>
      <c r="C20" s="108"/>
      <c r="D20" s="108"/>
      <c r="E20" s="108"/>
      <c r="F20" s="108"/>
      <c r="G20" s="112"/>
      <c r="H20" s="108"/>
      <c r="I20" s="109"/>
      <c r="J20" s="108"/>
      <c r="K20" s="108"/>
    </row>
    <row r="21" spans="1:12">
      <c r="A21" s="95">
        <v>9</v>
      </c>
      <c r="B21" s="84" t="s">
        <v>5</v>
      </c>
      <c r="C21" s="84"/>
      <c r="D21" s="84"/>
      <c r="E21" s="84"/>
      <c r="F21" s="84"/>
      <c r="G21" s="84"/>
      <c r="H21" s="100">
        <f>ROUND(H17/H19,4)</f>
        <v>1.1026</v>
      </c>
      <c r="I21" s="86" t="str">
        <f>+'Sch. 2 - BHP (old rate)'!I21</f>
        <v>$ per kW - Year   (Ln 7/ Ln 8)</v>
      </c>
      <c r="J21" s="101"/>
      <c r="K21" s="108"/>
      <c r="L21" s="116"/>
    </row>
    <row r="22" spans="1:12">
      <c r="A22" s="108"/>
      <c r="B22" s="108"/>
      <c r="C22" s="108"/>
      <c r="D22" s="108"/>
      <c r="E22" s="108"/>
      <c r="F22" s="108"/>
      <c r="G22" s="108"/>
      <c r="H22" s="113"/>
      <c r="I22" s="109"/>
      <c r="J22" s="114"/>
      <c r="K22" s="114"/>
      <c r="L22" s="104"/>
    </row>
    <row r="23" spans="1:12">
      <c r="A23" s="95">
        <v>10</v>
      </c>
      <c r="B23" s="84"/>
      <c r="C23" s="84"/>
      <c r="D23" s="84"/>
      <c r="E23" s="84"/>
      <c r="F23" s="84"/>
      <c r="G23" s="84"/>
      <c r="H23" s="100">
        <f>ROUND(H21/12,4)</f>
        <v>9.1899999999999996E-2</v>
      </c>
      <c r="I23" s="86" t="str">
        <f>+'Sch. 2 - BHP (old rate)'!I23</f>
        <v>$ per kW - Month (Ln 9 / 12)</v>
      </c>
      <c r="J23" s="101"/>
      <c r="K23" s="114"/>
      <c r="L23" s="104"/>
    </row>
    <row r="24" spans="1:12">
      <c r="A24" s="108"/>
      <c r="B24" s="108"/>
      <c r="C24" s="108"/>
      <c r="D24" s="108"/>
      <c r="E24" s="108"/>
      <c r="F24" s="108"/>
      <c r="G24" s="108"/>
      <c r="H24" s="113"/>
      <c r="I24" s="109"/>
      <c r="J24" s="108"/>
      <c r="K24" s="108"/>
    </row>
    <row r="25" spans="1:12">
      <c r="A25" s="95">
        <v>11</v>
      </c>
      <c r="B25" s="84"/>
      <c r="C25" s="84"/>
      <c r="D25" s="84"/>
      <c r="E25" s="84"/>
      <c r="F25" s="105"/>
      <c r="G25" s="84"/>
      <c r="H25" s="100">
        <f>ROUND(H21/52,4)</f>
        <v>2.12E-2</v>
      </c>
      <c r="I25" s="86" t="str">
        <f>+'Sch. 2 - BHP (old rate)'!I25</f>
        <v>$ per kW - Week (Ln 9 / 52)</v>
      </c>
      <c r="J25" s="101"/>
      <c r="K25" s="108"/>
    </row>
    <row r="26" spans="1:12">
      <c r="A26" s="108"/>
      <c r="B26" s="108"/>
      <c r="C26" s="108"/>
      <c r="D26" s="108"/>
      <c r="E26" s="108"/>
      <c r="F26" s="108"/>
      <c r="G26" s="108"/>
      <c r="H26" s="113"/>
      <c r="I26" s="109"/>
      <c r="J26" s="108"/>
      <c r="K26" s="108"/>
    </row>
    <row r="27" spans="1:12">
      <c r="A27" s="95">
        <v>12</v>
      </c>
      <c r="B27" s="84"/>
      <c r="C27" s="84"/>
      <c r="D27" s="84"/>
      <c r="E27" s="105"/>
      <c r="F27" s="84"/>
      <c r="G27" s="84"/>
      <c r="H27" s="100">
        <f>ROUND(H21/365,4)</f>
        <v>3.0000000000000001E-3</v>
      </c>
      <c r="I27" s="86" t="str">
        <f>+'Sch. 2 - BHP (old rate)'!I27</f>
        <v>$ per kW - day off peak (Ln 9 / 365)</v>
      </c>
      <c r="J27" s="101" t="s">
        <v>36</v>
      </c>
      <c r="K27" s="108"/>
    </row>
    <row r="28" spans="1:12">
      <c r="A28" s="95">
        <v>13</v>
      </c>
      <c r="B28" s="84"/>
      <c r="C28" s="84"/>
      <c r="D28" s="84"/>
      <c r="E28" s="105"/>
      <c r="F28" s="84"/>
      <c r="G28" s="84"/>
      <c r="H28" s="100">
        <f>ROUND(H21/312,4)</f>
        <v>3.5000000000000001E-3</v>
      </c>
      <c r="I28" s="86" t="str">
        <f>+'Sch. 2 - BHP (old rate)'!I28</f>
        <v>$ per kW - day on peak (Ln 9 / 312)</v>
      </c>
      <c r="J28" s="101" t="s">
        <v>119</v>
      </c>
      <c r="K28" s="108"/>
    </row>
    <row r="29" spans="1:12">
      <c r="A29" s="108"/>
      <c r="B29" s="108"/>
      <c r="C29" s="108"/>
      <c r="D29" s="108"/>
      <c r="E29" s="108"/>
      <c r="F29" s="108"/>
      <c r="G29" s="108"/>
      <c r="H29" s="108"/>
      <c r="I29" s="109"/>
      <c r="J29" s="108"/>
      <c r="K29" s="108"/>
    </row>
    <row r="30" spans="1:12">
      <c r="A30" s="95">
        <v>14</v>
      </c>
      <c r="B30" s="84"/>
      <c r="C30" s="84"/>
      <c r="D30" s="84"/>
      <c r="E30" s="84"/>
      <c r="F30" s="84"/>
      <c r="G30" s="84"/>
      <c r="H30" s="101">
        <f>ROUND((H21/8760),5)</f>
        <v>1.2999999999999999E-4</v>
      </c>
      <c r="I30" s="86" t="str">
        <f>+'Sch. 2 - BHP (old rate)'!I30</f>
        <v>$ per kW - hour off peak (Ln 9 / 8760)</v>
      </c>
      <c r="J30" s="101"/>
      <c r="K30" s="108"/>
    </row>
    <row r="31" spans="1:12">
      <c r="A31" s="95">
        <v>15</v>
      </c>
      <c r="B31" s="84"/>
      <c r="C31" s="84"/>
      <c r="D31" s="84"/>
      <c r="E31" s="84"/>
      <c r="F31" s="84"/>
      <c r="G31" s="84"/>
      <c r="H31" s="101">
        <f>ROUND((H21/4992),5)</f>
        <v>2.2000000000000001E-4</v>
      </c>
      <c r="I31" s="86" t="str">
        <f>+'Sch. 2 - BHP (old rate)'!I31</f>
        <v>$ per kW - hour on peak (Ln 9 / 4992)</v>
      </c>
      <c r="J31" s="101" t="s">
        <v>35</v>
      </c>
      <c r="K31" s="108"/>
    </row>
    <row r="32" spans="1:12">
      <c r="A32" s="108"/>
      <c r="B32" s="108"/>
      <c r="C32" s="108"/>
      <c r="D32" s="108"/>
      <c r="E32" s="108"/>
      <c r="F32" s="108"/>
      <c r="G32" s="108"/>
      <c r="H32" s="108"/>
      <c r="I32" s="109"/>
      <c r="J32" s="108"/>
      <c r="K32" s="108"/>
    </row>
    <row r="33" spans="1:11">
      <c r="A33" s="108"/>
      <c r="B33" s="108"/>
      <c r="C33" s="108"/>
      <c r="D33" s="108"/>
      <c r="E33" s="108"/>
      <c r="F33" s="108"/>
      <c r="G33" s="108"/>
      <c r="H33" s="108"/>
      <c r="I33" s="109"/>
      <c r="J33" s="108"/>
      <c r="K33" s="108"/>
    </row>
    <row r="34" spans="1:11">
      <c r="A34" s="108"/>
      <c r="B34" s="108"/>
      <c r="C34" s="108"/>
      <c r="D34" s="108"/>
      <c r="E34" s="108"/>
      <c r="F34" s="108"/>
      <c r="G34" s="108"/>
      <c r="I34" s="109"/>
      <c r="K34" s="108"/>
    </row>
  </sheetData>
  <pageMargins left="0.28000000000000003" right="0.33" top="1" bottom="1" header="0.5" footer="0.5"/>
  <pageSetup scale="7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34"/>
  <sheetViews>
    <sheetView workbookViewId="0">
      <selection activeCell="H20" sqref="H20"/>
    </sheetView>
  </sheetViews>
  <sheetFormatPr defaultColWidth="9.140625" defaultRowHeight="14.25"/>
  <cols>
    <col min="1" max="1" width="9.140625" style="34" bestFit="1" customWidth="1"/>
    <col min="2" max="6" width="9.140625" style="34"/>
    <col min="7" max="7" width="16.140625" style="34" customWidth="1"/>
    <col min="8" max="8" width="11.140625" style="34" bestFit="1" customWidth="1"/>
    <col min="9" max="9" width="37.28515625" style="87" customWidth="1"/>
    <col min="10" max="10" width="12.85546875" style="34" bestFit="1" customWidth="1"/>
    <col min="11" max="11" width="11.85546875" style="34" customWidth="1"/>
    <col min="12" max="12" width="10.140625" style="34" bestFit="1" customWidth="1"/>
    <col min="13" max="16384" width="9.140625" style="34"/>
  </cols>
  <sheetData>
    <row r="1" spans="1:16" ht="15">
      <c r="A1" s="83" t="s">
        <v>0</v>
      </c>
      <c r="B1" s="84"/>
      <c r="C1" s="84"/>
      <c r="D1" s="84"/>
      <c r="E1" s="84"/>
      <c r="F1" s="84"/>
      <c r="G1" s="84"/>
      <c r="H1" s="85"/>
      <c r="I1" s="86"/>
      <c r="J1" s="84"/>
      <c r="K1" s="84"/>
    </row>
    <row r="2" spans="1:16" ht="15">
      <c r="A2" s="83" t="s">
        <v>1</v>
      </c>
      <c r="B2" s="84"/>
      <c r="C2" s="84"/>
      <c r="D2" s="84"/>
      <c r="E2" s="84"/>
      <c r="F2" s="84"/>
      <c r="G2" s="84"/>
      <c r="H2" s="85"/>
      <c r="K2" s="88" t="str">
        <f>+'Under-Over Recovery'!J2</f>
        <v>Black Hills Power, Inc.</v>
      </c>
    </row>
    <row r="3" spans="1:16" ht="15">
      <c r="A3" s="83" t="s">
        <v>2</v>
      </c>
      <c r="B3" s="84"/>
      <c r="C3" s="84"/>
      <c r="D3" s="84"/>
      <c r="E3" s="84"/>
      <c r="F3" s="84"/>
      <c r="G3" s="84"/>
      <c r="H3" s="85"/>
      <c r="I3" s="86"/>
      <c r="J3" s="84"/>
      <c r="K3" s="88" t="str">
        <f>+'Under-Over Recovery'!J3</f>
        <v>May 31, 2026</v>
      </c>
    </row>
    <row r="4" spans="1:16" ht="15">
      <c r="A4" s="83"/>
      <c r="B4" s="84"/>
      <c r="C4" s="84"/>
      <c r="D4" s="84"/>
      <c r="E4" s="84"/>
      <c r="F4" s="84"/>
      <c r="G4" s="84"/>
      <c r="H4" s="85"/>
      <c r="I4" s="86"/>
      <c r="K4" s="84"/>
      <c r="P4" s="84"/>
    </row>
    <row r="5" spans="1:16">
      <c r="A5" s="108"/>
      <c r="B5" s="108"/>
      <c r="C5" s="108"/>
      <c r="D5" s="108"/>
      <c r="E5" s="108"/>
      <c r="F5" s="108"/>
      <c r="G5" s="108"/>
      <c r="H5" s="108"/>
      <c r="I5" s="109"/>
      <c r="J5" s="108"/>
      <c r="K5" s="108"/>
    </row>
    <row r="6" spans="1:16">
      <c r="A6" s="108"/>
      <c r="B6" s="108"/>
      <c r="C6" s="108"/>
      <c r="D6" s="108"/>
      <c r="E6" s="108"/>
      <c r="F6" s="108"/>
      <c r="G6" s="108"/>
      <c r="H6" s="108"/>
      <c r="I6" s="109"/>
      <c r="J6" s="108"/>
      <c r="K6" s="108"/>
    </row>
    <row r="7" spans="1:16">
      <c r="A7" s="108"/>
      <c r="B7" s="108"/>
      <c r="C7" s="108"/>
      <c r="D7" s="108"/>
      <c r="E7" s="108"/>
      <c r="F7" s="108"/>
      <c r="G7" s="108"/>
      <c r="H7" s="108"/>
      <c r="I7" s="109"/>
      <c r="J7" s="108"/>
      <c r="K7" s="108"/>
    </row>
    <row r="8" spans="1:16">
      <c r="A8" s="110" t="s">
        <v>31</v>
      </c>
      <c r="B8" s="108"/>
      <c r="C8" s="108"/>
      <c r="D8" s="108"/>
      <c r="E8" s="108"/>
      <c r="F8" s="108"/>
      <c r="G8" s="108"/>
      <c r="H8" s="108"/>
      <c r="I8" s="109"/>
      <c r="J8" s="108"/>
      <c r="K8" s="108"/>
    </row>
    <row r="9" spans="1:16">
      <c r="A9" s="92" t="s">
        <v>32</v>
      </c>
      <c r="B9" s="93"/>
      <c r="C9" s="84"/>
      <c r="D9" s="94"/>
      <c r="E9" s="84"/>
      <c r="F9" s="84"/>
      <c r="G9" s="84"/>
      <c r="H9" s="108"/>
      <c r="I9" s="86"/>
      <c r="J9" s="84"/>
      <c r="K9" s="84"/>
    </row>
    <row r="10" spans="1:16">
      <c r="A10" s="95">
        <v>1</v>
      </c>
      <c r="B10" s="93" t="s">
        <v>60</v>
      </c>
      <c r="C10" s="84"/>
      <c r="D10" s="94"/>
      <c r="E10" s="84"/>
      <c r="F10" s="84"/>
      <c r="G10" s="84"/>
      <c r="H10" s="85">
        <f>+'Sch. 2 - Total (old rate)'!H10</f>
        <v>1660052</v>
      </c>
      <c r="I10" s="86" t="s">
        <v>51</v>
      </c>
      <c r="J10" s="84"/>
      <c r="K10" s="84"/>
    </row>
    <row r="11" spans="1:16">
      <c r="A11" s="95">
        <v>2</v>
      </c>
      <c r="B11" s="93" t="s">
        <v>50</v>
      </c>
      <c r="C11" s="84"/>
      <c r="D11" s="94"/>
      <c r="E11" s="84"/>
      <c r="F11" s="84"/>
      <c r="G11" s="84"/>
      <c r="H11" s="85">
        <f>+'Sch. 2 - Total (old rate)'!H11</f>
        <v>296353</v>
      </c>
      <c r="I11" s="86" t="s">
        <v>115</v>
      </c>
      <c r="J11" s="84"/>
      <c r="K11" s="84"/>
    </row>
    <row r="12" spans="1:16">
      <c r="A12" s="95">
        <v>3</v>
      </c>
      <c r="B12" s="93" t="s">
        <v>53</v>
      </c>
      <c r="C12" s="84"/>
      <c r="D12" s="94"/>
      <c r="E12" s="84"/>
      <c r="F12" s="84"/>
      <c r="G12" s="84"/>
      <c r="H12" s="85">
        <f>+'Sch. 2 - Total (old rate)'!H12</f>
        <v>601062</v>
      </c>
      <c r="I12" s="86" t="s">
        <v>55</v>
      </c>
      <c r="J12" s="84"/>
      <c r="K12" s="84"/>
    </row>
    <row r="13" spans="1:16">
      <c r="A13" s="95">
        <v>4</v>
      </c>
      <c r="B13" s="93" t="s">
        <v>52</v>
      </c>
      <c r="C13" s="84"/>
      <c r="D13" s="94"/>
      <c r="E13" s="84"/>
      <c r="F13" s="84"/>
      <c r="G13" s="84"/>
      <c r="H13" s="85">
        <f>+'Sch. 2 - Total (old rate)'!H13</f>
        <v>260384</v>
      </c>
      <c r="I13" s="86" t="s">
        <v>54</v>
      </c>
      <c r="J13" s="84"/>
      <c r="K13" s="84"/>
    </row>
    <row r="14" spans="1:16">
      <c r="A14" s="95">
        <v>5</v>
      </c>
      <c r="B14" s="93" t="s">
        <v>62</v>
      </c>
      <c r="C14" s="84"/>
      <c r="D14" s="94"/>
      <c r="E14" s="84"/>
      <c r="F14" s="84"/>
      <c r="G14" s="84"/>
      <c r="H14" s="85">
        <f>+'Sch. 2 - Total (old rate)'!H14</f>
        <v>1034689</v>
      </c>
      <c r="I14" s="86" t="s">
        <v>105</v>
      </c>
      <c r="J14" s="84"/>
      <c r="K14" s="84"/>
    </row>
    <row r="15" spans="1:16">
      <c r="A15" s="95">
        <v>6</v>
      </c>
      <c r="B15" s="93" t="s">
        <v>63</v>
      </c>
      <c r="C15" s="84"/>
      <c r="D15" s="94"/>
      <c r="E15" s="84"/>
      <c r="F15" s="84"/>
      <c r="G15" s="84"/>
      <c r="H15" s="85">
        <f>+'Sch. 2 - Total (old rate)'!H15</f>
        <v>66747</v>
      </c>
      <c r="I15" s="86" t="s">
        <v>105</v>
      </c>
      <c r="J15" s="84"/>
      <c r="K15" s="84"/>
    </row>
    <row r="16" spans="1:16">
      <c r="A16" s="108"/>
      <c r="B16" s="108"/>
      <c r="C16" s="108"/>
      <c r="D16" s="108"/>
      <c r="E16" s="108"/>
      <c r="F16" s="108"/>
      <c r="G16" s="108"/>
      <c r="H16" s="108"/>
      <c r="I16" s="109"/>
      <c r="J16" s="108"/>
      <c r="K16" s="108"/>
    </row>
    <row r="17" spans="1:12" ht="15" thickBot="1">
      <c r="A17" s="95">
        <v>7</v>
      </c>
      <c r="B17" s="96" t="s">
        <v>3</v>
      </c>
      <c r="C17" s="96"/>
      <c r="D17" s="96"/>
      <c r="E17" s="96"/>
      <c r="F17" s="96"/>
      <c r="G17" s="96"/>
      <c r="H17" s="97">
        <f>H15</f>
        <v>66747</v>
      </c>
      <c r="I17" s="86" t="s">
        <v>66</v>
      </c>
      <c r="J17" s="85"/>
      <c r="K17" s="85"/>
    </row>
    <row r="18" spans="1:12">
      <c r="A18" s="95"/>
      <c r="B18" s="84"/>
      <c r="C18" s="84"/>
      <c r="D18" s="84"/>
      <c r="E18" s="84"/>
      <c r="F18" s="84"/>
      <c r="G18" s="84"/>
      <c r="H18" s="85"/>
      <c r="I18" s="86"/>
      <c r="J18" s="84"/>
      <c r="K18" s="84"/>
    </row>
    <row r="19" spans="1:12">
      <c r="A19" s="95">
        <v>8</v>
      </c>
      <c r="B19" s="84" t="str">
        <f>'Sch. 2 - BHP (old rate)'!B19</f>
        <v>Common Use AC Facility Transmission Load (2025 Actual Load)</v>
      </c>
      <c r="C19" s="84"/>
      <c r="D19" s="84"/>
      <c r="E19" s="84"/>
      <c r="F19" s="84"/>
      <c r="G19" s="84"/>
      <c r="H19" s="98">
        <f>+'CUS AC LOADS (for old rate)'!I24*1000</f>
        <v>938448.41666666674</v>
      </c>
      <c r="I19" s="86" t="s">
        <v>64</v>
      </c>
      <c r="J19" s="111"/>
    </row>
    <row r="20" spans="1:12">
      <c r="A20" s="108"/>
      <c r="B20" s="108"/>
      <c r="C20" s="108"/>
      <c r="D20" s="108"/>
      <c r="E20" s="108"/>
      <c r="F20" s="108"/>
      <c r="G20" s="112"/>
      <c r="H20" s="108"/>
      <c r="I20" s="109"/>
      <c r="J20" s="108"/>
      <c r="K20" s="108"/>
    </row>
    <row r="21" spans="1:12">
      <c r="A21" s="95">
        <v>9</v>
      </c>
      <c r="B21" s="84" t="s">
        <v>5</v>
      </c>
      <c r="C21" s="84"/>
      <c r="D21" s="84"/>
      <c r="E21" s="84"/>
      <c r="F21" s="84"/>
      <c r="G21" s="84"/>
      <c r="H21" s="100">
        <f>ROUND(H17/H19,4)</f>
        <v>7.1099999999999997E-2</v>
      </c>
      <c r="I21" s="86" t="str">
        <f>+'Sch. 2 - BHP (old rate)'!I21</f>
        <v>$ per kW - Year   (Ln 7/ Ln 8)</v>
      </c>
      <c r="J21" s="101"/>
      <c r="K21" s="108"/>
    </row>
    <row r="22" spans="1:12">
      <c r="A22" s="108"/>
      <c r="B22" s="108"/>
      <c r="C22" s="108"/>
      <c r="D22" s="108"/>
      <c r="E22" s="108"/>
      <c r="F22" s="108"/>
      <c r="G22" s="108"/>
      <c r="H22" s="113"/>
      <c r="I22" s="109"/>
      <c r="J22" s="114"/>
      <c r="K22" s="114"/>
      <c r="L22" s="115"/>
    </row>
    <row r="23" spans="1:12">
      <c r="A23" s="95">
        <v>10</v>
      </c>
      <c r="B23" s="84"/>
      <c r="C23" s="84"/>
      <c r="D23" s="84"/>
      <c r="E23" s="84"/>
      <c r="F23" s="84"/>
      <c r="G23" s="84"/>
      <c r="H23" s="100">
        <f>ROUND(H21/12,4)</f>
        <v>5.8999999999999999E-3</v>
      </c>
      <c r="I23" s="86" t="str">
        <f>+'Sch. 2 - BHP (old rate)'!I23</f>
        <v>$ per kW - Month (Ln 9 / 12)</v>
      </c>
      <c r="J23" s="101"/>
      <c r="K23" s="114"/>
      <c r="L23" s="104"/>
    </row>
    <row r="24" spans="1:12">
      <c r="A24" s="108"/>
      <c r="B24" s="108"/>
      <c r="C24" s="108"/>
      <c r="D24" s="108"/>
      <c r="E24" s="108"/>
      <c r="F24" s="108"/>
      <c r="G24" s="108"/>
      <c r="H24" s="113"/>
      <c r="I24" s="109"/>
      <c r="J24" s="108"/>
      <c r="K24" s="108"/>
    </row>
    <row r="25" spans="1:12">
      <c r="A25" s="95">
        <v>11</v>
      </c>
      <c r="B25" s="84"/>
      <c r="C25" s="84"/>
      <c r="D25" s="84"/>
      <c r="E25" s="84"/>
      <c r="F25" s="105"/>
      <c r="G25" s="84"/>
      <c r="H25" s="100">
        <f>ROUND(H21/52,4)</f>
        <v>1.4E-3</v>
      </c>
      <c r="I25" s="86" t="str">
        <f>+'Sch. 2 - BHP (old rate)'!I25</f>
        <v>$ per kW - Week (Ln 9 / 52)</v>
      </c>
      <c r="J25" s="101"/>
      <c r="K25" s="108"/>
    </row>
    <row r="26" spans="1:12">
      <c r="A26" s="108"/>
      <c r="B26" s="108"/>
      <c r="C26" s="108"/>
      <c r="D26" s="108"/>
      <c r="E26" s="108"/>
      <c r="F26" s="108"/>
      <c r="G26" s="108"/>
      <c r="H26" s="113"/>
      <c r="I26" s="109"/>
      <c r="J26" s="108"/>
      <c r="K26" s="108"/>
    </row>
    <row r="27" spans="1:12">
      <c r="A27" s="95">
        <v>12</v>
      </c>
      <c r="B27" s="84"/>
      <c r="C27" s="84"/>
      <c r="D27" s="84"/>
      <c r="E27" s="105"/>
      <c r="F27" s="84"/>
      <c r="G27" s="84"/>
      <c r="H27" s="100">
        <f>ROUND(H21/365,4)</f>
        <v>2.0000000000000001E-4</v>
      </c>
      <c r="I27" s="86" t="str">
        <f>+'Sch. 2 - BHP (old rate)'!I27</f>
        <v>$ per kW - day off peak (Ln 9 / 365)</v>
      </c>
      <c r="J27" s="101" t="s">
        <v>36</v>
      </c>
      <c r="K27" s="108"/>
    </row>
    <row r="28" spans="1:12">
      <c r="A28" s="95">
        <v>13</v>
      </c>
      <c r="B28" s="84"/>
      <c r="C28" s="84"/>
      <c r="D28" s="84"/>
      <c r="E28" s="105"/>
      <c r="F28" s="84"/>
      <c r="G28" s="84"/>
      <c r="H28" s="100">
        <f>ROUND(H21/312,4)</f>
        <v>2.0000000000000001E-4</v>
      </c>
      <c r="I28" s="86" t="str">
        <f>+'Sch. 2 - BHP (old rate)'!I28</f>
        <v>$ per kW - day on peak (Ln 9 / 312)</v>
      </c>
      <c r="J28" s="101" t="s">
        <v>119</v>
      </c>
      <c r="K28" s="108"/>
    </row>
    <row r="29" spans="1:12">
      <c r="A29" s="108"/>
      <c r="B29" s="108"/>
      <c r="C29" s="108"/>
      <c r="D29" s="108"/>
      <c r="E29" s="108"/>
      <c r="F29" s="108"/>
      <c r="G29" s="108"/>
      <c r="H29" s="108"/>
      <c r="I29" s="109"/>
      <c r="J29" s="108"/>
      <c r="K29" s="108"/>
    </row>
    <row r="30" spans="1:12">
      <c r="A30" s="95">
        <v>14</v>
      </c>
      <c r="B30" s="84"/>
      <c r="C30" s="84"/>
      <c r="D30" s="84"/>
      <c r="E30" s="84"/>
      <c r="F30" s="84"/>
      <c r="G30" s="84"/>
      <c r="H30" s="101">
        <f>ROUND((H21/8760),5)</f>
        <v>1.0000000000000001E-5</v>
      </c>
      <c r="I30" s="86" t="str">
        <f>+'Sch. 2 - BHP (old rate)'!I30</f>
        <v>$ per kW - hour off peak (Ln 9 / 8760)</v>
      </c>
      <c r="J30" s="101"/>
      <c r="K30" s="108"/>
    </row>
    <row r="31" spans="1:12">
      <c r="A31" s="95">
        <v>15</v>
      </c>
      <c r="B31" s="84"/>
      <c r="C31" s="84"/>
      <c r="D31" s="84"/>
      <c r="E31" s="84"/>
      <c r="F31" s="84"/>
      <c r="G31" s="84"/>
      <c r="H31" s="101">
        <f>ROUND((H21/4992),5)</f>
        <v>1.0000000000000001E-5</v>
      </c>
      <c r="I31" s="86" t="str">
        <f>+'Sch. 2 - BHP (old rate)'!I31</f>
        <v>$ per kW - hour on peak (Ln 9 / 4992)</v>
      </c>
      <c r="J31" s="101" t="s">
        <v>35</v>
      </c>
      <c r="K31" s="108"/>
    </row>
    <row r="32" spans="1:12">
      <c r="A32" s="108"/>
      <c r="B32" s="108"/>
      <c r="C32" s="108"/>
      <c r="D32" s="108"/>
      <c r="E32" s="108"/>
      <c r="F32" s="108"/>
      <c r="G32" s="108"/>
      <c r="H32" s="108"/>
      <c r="I32" s="109"/>
      <c r="J32" s="108"/>
      <c r="K32" s="108"/>
    </row>
    <row r="33" spans="1:11">
      <c r="A33" s="108"/>
      <c r="B33" s="108"/>
      <c r="C33" s="108"/>
      <c r="D33" s="108"/>
      <c r="E33" s="108"/>
      <c r="F33" s="108"/>
      <c r="G33" s="108"/>
      <c r="H33" s="108"/>
      <c r="I33" s="109"/>
      <c r="J33" s="108"/>
      <c r="K33" s="108"/>
    </row>
    <row r="34" spans="1:11">
      <c r="A34" s="108"/>
      <c r="B34" s="108"/>
      <c r="C34" s="108"/>
      <c r="D34" s="108"/>
      <c r="E34" s="108"/>
      <c r="F34" s="108"/>
      <c r="G34" s="108"/>
      <c r="I34" s="109"/>
      <c r="K34" s="108"/>
    </row>
  </sheetData>
  <pageMargins left="0.28000000000000003" right="0.33" top="1" bottom="1" header="0.5" footer="0.5"/>
  <pageSetup scale="7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34"/>
  <sheetViews>
    <sheetView workbookViewId="0">
      <selection activeCell="H20" sqref="H20"/>
    </sheetView>
  </sheetViews>
  <sheetFormatPr defaultColWidth="9.140625" defaultRowHeight="14.25"/>
  <cols>
    <col min="1" max="1" width="5.85546875" style="34" customWidth="1"/>
    <col min="2" max="2" width="11.5703125" style="34" customWidth="1"/>
    <col min="3" max="6" width="9.140625" style="34"/>
    <col min="7" max="7" width="9" style="34" customWidth="1"/>
    <col min="8" max="8" width="11.140625" style="34" bestFit="1" customWidth="1"/>
    <col min="9" max="9" width="36.85546875" style="87" customWidth="1"/>
    <col min="10" max="10" width="12.85546875" style="34" bestFit="1" customWidth="1"/>
    <col min="11" max="11" width="11.85546875" style="34" customWidth="1"/>
    <col min="12" max="12" width="10.140625" style="34" bestFit="1" customWidth="1"/>
    <col min="13" max="16384" width="9.140625" style="34"/>
  </cols>
  <sheetData>
    <row r="1" spans="1:16" ht="15">
      <c r="A1" s="83" t="s">
        <v>0</v>
      </c>
      <c r="B1" s="84"/>
      <c r="C1" s="84"/>
      <c r="D1" s="84"/>
      <c r="E1" s="84"/>
      <c r="F1" s="84"/>
      <c r="G1" s="84"/>
      <c r="H1" s="85"/>
      <c r="I1" s="86"/>
      <c r="J1" s="84"/>
      <c r="K1" s="84"/>
    </row>
    <row r="2" spans="1:16" ht="15">
      <c r="A2" s="83" t="s">
        <v>1</v>
      </c>
      <c r="B2" s="84"/>
      <c r="C2" s="84"/>
      <c r="D2" s="84"/>
      <c r="E2" s="84"/>
      <c r="F2" s="84"/>
      <c r="G2" s="84"/>
      <c r="H2" s="85"/>
      <c r="K2" s="88" t="str">
        <f>+'Under-Over Recovery'!J2</f>
        <v>Black Hills Power, Inc.</v>
      </c>
    </row>
    <row r="3" spans="1:16" ht="15">
      <c r="A3" s="83" t="s">
        <v>2</v>
      </c>
      <c r="B3" s="84"/>
      <c r="C3" s="84"/>
      <c r="D3" s="84"/>
      <c r="E3" s="84"/>
      <c r="F3" s="84"/>
      <c r="G3" s="84"/>
      <c r="H3" s="85"/>
      <c r="I3" s="86"/>
      <c r="J3" s="84"/>
      <c r="K3" s="88" t="str">
        <f>+'Under-Over Recovery'!J3</f>
        <v>May 31, 2026</v>
      </c>
    </row>
    <row r="4" spans="1:16" ht="15">
      <c r="A4" s="83"/>
      <c r="B4" s="84"/>
      <c r="C4" s="84"/>
      <c r="D4" s="84"/>
      <c r="E4" s="84"/>
      <c r="F4" s="84"/>
      <c r="G4" s="84"/>
      <c r="H4" s="85"/>
      <c r="I4" s="86"/>
      <c r="K4" s="84"/>
      <c r="P4" s="84"/>
    </row>
    <row r="5" spans="1:16">
      <c r="A5" s="89"/>
      <c r="B5" s="89"/>
      <c r="C5" s="89"/>
      <c r="D5" s="89"/>
      <c r="E5" s="89"/>
      <c r="F5" s="89"/>
      <c r="G5" s="89"/>
      <c r="H5" s="89"/>
      <c r="I5" s="90"/>
      <c r="J5" s="89"/>
      <c r="K5" s="89"/>
    </row>
    <row r="6" spans="1:16">
      <c r="A6" s="89"/>
      <c r="B6" s="89"/>
      <c r="C6" s="89"/>
      <c r="D6" s="89"/>
      <c r="E6" s="89"/>
      <c r="F6" s="89"/>
      <c r="G6" s="89"/>
      <c r="H6" s="89"/>
      <c r="I6" s="90"/>
      <c r="J6" s="89"/>
      <c r="K6" s="89"/>
    </row>
    <row r="7" spans="1:16">
      <c r="A7" s="89"/>
      <c r="B7" s="89"/>
      <c r="C7" s="89"/>
      <c r="D7" s="89"/>
      <c r="E7" s="89"/>
      <c r="F7" s="89"/>
      <c r="G7" s="89"/>
      <c r="H7" s="89"/>
      <c r="I7" s="90"/>
      <c r="J7" s="89"/>
      <c r="K7" s="89"/>
    </row>
    <row r="8" spans="1:16">
      <c r="A8" s="91" t="s">
        <v>31</v>
      </c>
      <c r="B8" s="89"/>
      <c r="C8" s="89"/>
      <c r="D8" s="89"/>
      <c r="E8" s="89"/>
      <c r="F8" s="89"/>
      <c r="G8" s="89"/>
      <c r="H8" s="89"/>
      <c r="I8" s="90"/>
      <c r="J8" s="89"/>
      <c r="K8" s="89"/>
    </row>
    <row r="9" spans="1:16">
      <c r="A9" s="92" t="s">
        <v>32</v>
      </c>
      <c r="B9" s="93"/>
      <c r="C9" s="84"/>
      <c r="D9" s="94"/>
      <c r="E9" s="84"/>
      <c r="F9" s="84"/>
      <c r="G9" s="84"/>
      <c r="H9" s="89"/>
      <c r="I9" s="86"/>
      <c r="J9" s="84"/>
      <c r="K9" s="84"/>
    </row>
    <row r="10" spans="1:16">
      <c r="A10" s="95">
        <v>1</v>
      </c>
      <c r="B10" s="93" t="s">
        <v>60</v>
      </c>
      <c r="C10" s="84"/>
      <c r="D10" s="94"/>
      <c r="E10" s="84"/>
      <c r="F10" s="84"/>
      <c r="G10" s="84"/>
      <c r="H10" s="85">
        <f>1660052</f>
        <v>1660052</v>
      </c>
      <c r="I10" s="86" t="s">
        <v>51</v>
      </c>
      <c r="J10" s="84"/>
      <c r="K10" s="84"/>
    </row>
    <row r="11" spans="1:16">
      <c r="A11" s="95">
        <v>2</v>
      </c>
      <c r="B11" s="93" t="s">
        <v>50</v>
      </c>
      <c r="C11" s="84"/>
      <c r="D11" s="94"/>
      <c r="E11" s="84"/>
      <c r="F11" s="84"/>
      <c r="G11" s="84"/>
      <c r="H11" s="85">
        <f>296353</f>
        <v>296353</v>
      </c>
      <c r="I11" s="86" t="s">
        <v>115</v>
      </c>
      <c r="J11" s="84"/>
      <c r="K11" s="84"/>
    </row>
    <row r="12" spans="1:16">
      <c r="A12" s="95">
        <v>3</v>
      </c>
      <c r="B12" s="93" t="s">
        <v>53</v>
      </c>
      <c r="C12" s="84"/>
      <c r="D12" s="94"/>
      <c r="E12" s="84"/>
      <c r="F12" s="84"/>
      <c r="G12" s="84"/>
      <c r="H12" s="85">
        <f>601062</f>
        <v>601062</v>
      </c>
      <c r="I12" s="86" t="s">
        <v>55</v>
      </c>
      <c r="J12" s="84"/>
      <c r="K12" s="84"/>
    </row>
    <row r="13" spans="1:16">
      <c r="A13" s="95">
        <v>4</v>
      </c>
      <c r="B13" s="93" t="s">
        <v>52</v>
      </c>
      <c r="C13" s="84"/>
      <c r="D13" s="94"/>
      <c r="E13" s="84"/>
      <c r="F13" s="84"/>
      <c r="G13" s="84"/>
      <c r="H13" s="85">
        <f>260384</f>
        <v>260384</v>
      </c>
      <c r="I13" s="86" t="s">
        <v>54</v>
      </c>
      <c r="J13" s="84"/>
      <c r="K13" s="84"/>
    </row>
    <row r="14" spans="1:16">
      <c r="A14" s="95">
        <v>5</v>
      </c>
      <c r="B14" s="93" t="s">
        <v>62</v>
      </c>
      <c r="C14" s="84"/>
      <c r="D14" s="94"/>
      <c r="E14" s="84"/>
      <c r="F14" s="84"/>
      <c r="G14" s="84"/>
      <c r="H14" s="85">
        <f>1034689</f>
        <v>1034689</v>
      </c>
      <c r="I14" s="86" t="s">
        <v>105</v>
      </c>
      <c r="J14" s="84"/>
      <c r="K14" s="84"/>
    </row>
    <row r="15" spans="1:16">
      <c r="A15" s="95">
        <v>6</v>
      </c>
      <c r="B15" s="93" t="s">
        <v>63</v>
      </c>
      <c r="C15" s="84"/>
      <c r="D15" s="94"/>
      <c r="E15" s="84"/>
      <c r="F15" s="84"/>
      <c r="G15" s="84"/>
      <c r="H15" s="85">
        <f>66747</f>
        <v>66747</v>
      </c>
      <c r="I15" s="86" t="s">
        <v>105</v>
      </c>
      <c r="J15" s="84"/>
      <c r="K15" s="84"/>
    </row>
    <row r="16" spans="1:16">
      <c r="A16" s="89"/>
      <c r="B16" s="89"/>
      <c r="C16" s="89"/>
      <c r="D16" s="89"/>
      <c r="E16" s="89"/>
      <c r="F16" s="89"/>
      <c r="G16" s="89"/>
      <c r="H16" s="89"/>
      <c r="I16" s="90"/>
      <c r="J16" s="89"/>
      <c r="K16" s="89"/>
    </row>
    <row r="17" spans="1:12" ht="15" thickBot="1">
      <c r="A17" s="95">
        <v>7</v>
      </c>
      <c r="B17" s="96" t="s">
        <v>3</v>
      </c>
      <c r="C17" s="96"/>
      <c r="D17" s="96"/>
      <c r="E17" s="96"/>
      <c r="F17" s="96"/>
      <c r="G17" s="96"/>
      <c r="H17" s="97">
        <f>H10+H11+H12+H13+H14+H15</f>
        <v>3919287</v>
      </c>
      <c r="I17" s="86" t="s">
        <v>120</v>
      </c>
      <c r="J17" s="85"/>
      <c r="K17" s="85"/>
    </row>
    <row r="18" spans="1:12">
      <c r="A18" s="95"/>
      <c r="B18" s="84"/>
      <c r="C18" s="84"/>
      <c r="D18" s="84"/>
      <c r="E18" s="84"/>
      <c r="F18" s="84"/>
      <c r="G18" s="84"/>
      <c r="H18" s="85"/>
      <c r="I18" s="86"/>
      <c r="J18" s="84"/>
      <c r="K18" s="84"/>
    </row>
    <row r="19" spans="1:12">
      <c r="A19" s="95">
        <v>8</v>
      </c>
      <c r="B19" s="84" t="str">
        <f>'Sch. 2 - BHP (old rate)'!B19</f>
        <v>Common Use AC Facility Transmission Load (2025 Actual Load)</v>
      </c>
      <c r="C19" s="84"/>
      <c r="D19" s="84"/>
      <c r="E19" s="84"/>
      <c r="F19" s="84"/>
      <c r="G19" s="84"/>
      <c r="H19" s="98">
        <f>+'CUS AC LOADS (for old rate)'!I24*1000</f>
        <v>938448.41666666674</v>
      </c>
      <c r="I19" s="86" t="s">
        <v>64</v>
      </c>
    </row>
    <row r="20" spans="1:12">
      <c r="A20" s="89"/>
      <c r="B20" s="89"/>
      <c r="C20" s="89"/>
      <c r="D20" s="89"/>
      <c r="E20" s="89"/>
      <c r="F20" s="89"/>
      <c r="G20" s="99"/>
      <c r="H20" s="89"/>
      <c r="I20" s="99"/>
      <c r="J20" s="89"/>
      <c r="K20" s="89"/>
    </row>
    <row r="21" spans="1:12">
      <c r="A21" s="95">
        <v>9</v>
      </c>
      <c r="B21" s="84" t="s">
        <v>5</v>
      </c>
      <c r="C21" s="84"/>
      <c r="D21" s="84"/>
      <c r="E21" s="84"/>
      <c r="F21" s="84"/>
      <c r="G21" s="84"/>
      <c r="H21" s="100">
        <f>ROUND(H17/H19,4)</f>
        <v>4.1763000000000003</v>
      </c>
      <c r="I21" s="86" t="str">
        <f>+'Sch. 2 - BHP (old rate)'!I21</f>
        <v>$ per kW - Year   (Ln 7/ Ln 8)</v>
      </c>
      <c r="J21" s="101"/>
      <c r="K21" s="89"/>
    </row>
    <row r="22" spans="1:12">
      <c r="A22" s="89"/>
      <c r="B22" s="89"/>
      <c r="C22" s="89"/>
      <c r="D22" s="89"/>
      <c r="E22" s="89"/>
      <c r="F22" s="89"/>
      <c r="G22" s="89"/>
      <c r="H22" s="102"/>
      <c r="I22" s="90"/>
      <c r="J22" s="103"/>
      <c r="K22" s="103"/>
      <c r="L22" s="104"/>
    </row>
    <row r="23" spans="1:12">
      <c r="A23" s="95">
        <v>10</v>
      </c>
      <c r="B23" s="84"/>
      <c r="C23" s="84"/>
      <c r="D23" s="84"/>
      <c r="E23" s="84"/>
      <c r="F23" s="84"/>
      <c r="G23" s="84"/>
      <c r="H23" s="100">
        <f>ROUND(H21/12,4)</f>
        <v>0.34799999999999998</v>
      </c>
      <c r="I23" s="86" t="str">
        <f>+'Sch. 2 - BHP (old rate)'!I23</f>
        <v>$ per kW - Month (Ln 9 / 12)</v>
      </c>
      <c r="J23" s="101"/>
      <c r="K23" s="103"/>
      <c r="L23" s="104"/>
    </row>
    <row r="24" spans="1:12">
      <c r="A24" s="89"/>
      <c r="B24" s="89"/>
      <c r="C24" s="89"/>
      <c r="D24" s="89"/>
      <c r="E24" s="89"/>
      <c r="F24" s="89"/>
      <c r="G24" s="89"/>
      <c r="H24" s="102"/>
      <c r="I24" s="90"/>
      <c r="J24" s="89"/>
      <c r="K24" s="89"/>
    </row>
    <row r="25" spans="1:12">
      <c r="A25" s="95">
        <v>11</v>
      </c>
      <c r="B25" s="84"/>
      <c r="C25" s="84"/>
      <c r="D25" s="84"/>
      <c r="E25" s="84"/>
      <c r="F25" s="105"/>
      <c r="G25" s="84"/>
      <c r="H25" s="100">
        <f>ROUND(H21/52,4)</f>
        <v>8.0299999999999996E-2</v>
      </c>
      <c r="I25" s="86" t="str">
        <f>+'Sch. 2 - BHP (old rate)'!I25</f>
        <v>$ per kW - Week (Ln 9 / 52)</v>
      </c>
      <c r="J25" s="101"/>
      <c r="K25" s="89"/>
    </row>
    <row r="26" spans="1:12">
      <c r="A26" s="89"/>
      <c r="B26" s="89"/>
      <c r="C26" s="89"/>
      <c r="D26" s="89"/>
      <c r="E26" s="89"/>
      <c r="F26" s="89"/>
      <c r="G26" s="89"/>
      <c r="H26" s="102"/>
      <c r="I26" s="90"/>
      <c r="J26" s="89"/>
      <c r="K26" s="89"/>
    </row>
    <row r="27" spans="1:12">
      <c r="A27" s="95">
        <v>12</v>
      </c>
      <c r="B27" s="84"/>
      <c r="C27" s="84"/>
      <c r="D27" s="84"/>
      <c r="E27" s="105"/>
      <c r="F27" s="84"/>
      <c r="G27" s="84"/>
      <c r="H27" s="100">
        <f>ROUND(H21/365,4)</f>
        <v>1.14E-2</v>
      </c>
      <c r="I27" s="86" t="str">
        <f>+'Sch. 2 - BHP (old rate)'!I27</f>
        <v>$ per kW - day off peak (Ln 9 / 365)</v>
      </c>
      <c r="J27" s="101" t="s">
        <v>36</v>
      </c>
      <c r="K27" s="89"/>
    </row>
    <row r="28" spans="1:12">
      <c r="A28" s="95">
        <v>13</v>
      </c>
      <c r="B28" s="84"/>
      <c r="C28" s="84"/>
      <c r="D28" s="84"/>
      <c r="E28" s="105"/>
      <c r="F28" s="84"/>
      <c r="G28" s="84"/>
      <c r="H28" s="100">
        <f>ROUND(H21/312,4)</f>
        <v>1.34E-2</v>
      </c>
      <c r="I28" s="86" t="str">
        <f>+'Sch. 2 - BHP (old rate)'!I28</f>
        <v>$ per kW - day on peak (Ln 9 / 312)</v>
      </c>
      <c r="J28" s="101" t="s">
        <v>119</v>
      </c>
      <c r="K28" s="89"/>
    </row>
    <row r="29" spans="1:12">
      <c r="A29" s="89"/>
      <c r="B29" s="89"/>
      <c r="C29" s="89"/>
      <c r="D29" s="89"/>
      <c r="E29" s="89"/>
      <c r="F29" s="89"/>
      <c r="G29" s="89"/>
      <c r="H29" s="89"/>
      <c r="I29" s="90"/>
      <c r="J29" s="89"/>
      <c r="K29" s="89"/>
    </row>
    <row r="30" spans="1:12">
      <c r="A30" s="95">
        <v>14</v>
      </c>
      <c r="B30" s="84"/>
      <c r="C30" s="84"/>
      <c r="D30" s="84"/>
      <c r="E30" s="84"/>
      <c r="F30" s="84"/>
      <c r="G30" s="84"/>
      <c r="H30" s="101">
        <f>ROUND(H21/8760,5)</f>
        <v>4.8000000000000001E-4</v>
      </c>
      <c r="I30" s="86" t="str">
        <f>+'Sch. 2 - BHP (old rate)'!I30</f>
        <v>$ per kW - hour off peak (Ln 9 / 8760)</v>
      </c>
      <c r="J30" s="101"/>
      <c r="K30" s="89"/>
    </row>
    <row r="31" spans="1:12">
      <c r="A31" s="95">
        <v>15</v>
      </c>
      <c r="B31" s="84"/>
      <c r="C31" s="84"/>
      <c r="D31" s="84"/>
      <c r="E31" s="84"/>
      <c r="F31" s="84"/>
      <c r="G31" s="84"/>
      <c r="H31" s="101">
        <f>ROUND((H21/4992),5)</f>
        <v>8.4000000000000003E-4</v>
      </c>
      <c r="I31" s="86" t="str">
        <f>+'Sch. 2 - BHP (old rate)'!I31</f>
        <v>$ per kW - hour on peak (Ln 9 / 4992)</v>
      </c>
      <c r="J31" s="101" t="s">
        <v>35</v>
      </c>
      <c r="K31" s="89"/>
    </row>
    <row r="32" spans="1:12">
      <c r="A32" s="89"/>
      <c r="B32" s="89"/>
      <c r="C32" s="89"/>
      <c r="D32" s="89"/>
      <c r="E32" s="89"/>
      <c r="F32" s="89"/>
      <c r="G32" s="89"/>
      <c r="H32" s="89"/>
      <c r="I32" s="90"/>
      <c r="J32" s="89"/>
      <c r="K32" s="89"/>
    </row>
    <row r="33" spans="1:11">
      <c r="A33" s="89"/>
      <c r="B33" s="89"/>
      <c r="C33" s="89"/>
      <c r="D33" s="89"/>
      <c r="E33" s="89"/>
      <c r="F33" s="89"/>
      <c r="G33" s="89"/>
      <c r="H33" s="89"/>
      <c r="I33" s="90"/>
      <c r="J33" s="89"/>
      <c r="K33" s="89"/>
    </row>
    <row r="34" spans="1:11">
      <c r="A34" s="89"/>
      <c r="B34" s="89"/>
      <c r="C34" s="89"/>
      <c r="D34" s="89"/>
      <c r="E34" s="89"/>
      <c r="F34" s="89"/>
      <c r="G34" s="89"/>
      <c r="I34" s="90"/>
      <c r="K34" s="89"/>
    </row>
  </sheetData>
  <phoneticPr fontId="2" type="noConversion"/>
  <pageMargins left="0.28000000000000003" right="0.33" top="1" bottom="1" header="0.5" footer="0.5"/>
  <pageSetup scale="83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B093573961164F905C45F61A1D6B65" ma:contentTypeVersion="3" ma:contentTypeDescription="Create a new document." ma:contentTypeScope="" ma:versionID="37bf1688a73fe7335e4608406854c1f9">
  <xsd:schema xmlns:xsd="http://www.w3.org/2001/XMLSchema" xmlns:xs="http://www.w3.org/2001/XMLSchema" xmlns:p="http://schemas.microsoft.com/office/2006/metadata/properties" xmlns:ns2="65f921e4-52a3-4603-ab85-2f3cbf5b10db" targetNamespace="http://schemas.microsoft.com/office/2006/metadata/properties" ma:root="true" ma:fieldsID="bf82b0d7d22853b9e5a4c9b4a7a06d6d" ns2:_="">
    <xsd:import namespace="65f921e4-52a3-4603-ab85-2f3cbf5b10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921e4-52a3-4603-ab85-2f3cbf5b10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278F74-E8E0-4300-AF56-CD6351172D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f921e4-52a3-4603-ab85-2f3cbf5b10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60EA58-9D1B-4AEC-A865-FA91C45D6A2C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65f921e4-52a3-4603-ab85-2f3cbf5b10db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53A4A02-3107-48B3-A6DE-80D857F9D5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Under-Over Recovery</vt:lpstr>
      <vt:lpstr>Rate - Summary</vt:lpstr>
      <vt:lpstr>Sch. 2 - BHP (old rate)</vt:lpstr>
      <vt:lpstr>Sch. 2 - Gillette(old rate)</vt:lpstr>
      <vt:lpstr>Sch. 2 - CLFP(old rate)</vt:lpstr>
      <vt:lpstr>Sch. 2 - BHW(old rate)</vt:lpstr>
      <vt:lpstr>Sch. 2 - Basin(old rate)</vt:lpstr>
      <vt:lpstr>Sch. 2 - WMPA(old rate)</vt:lpstr>
      <vt:lpstr>Sch. 2 - Total (old rate)</vt:lpstr>
      <vt:lpstr>CUS AC LOADS (for old rate)</vt:lpstr>
      <vt:lpstr>Sch. 2 - BHP</vt:lpstr>
      <vt:lpstr>Sch. 2 - Gillette</vt:lpstr>
      <vt:lpstr>Sch. 2 - CLFP</vt:lpstr>
      <vt:lpstr>Sch. 2 - BHW</vt:lpstr>
      <vt:lpstr>Sch. 2 - Basin</vt:lpstr>
      <vt:lpstr>Sch. 2 - Total</vt:lpstr>
      <vt:lpstr>CUS AC LOADS</vt:lpstr>
      <vt:lpstr>'CUS AC LOADS'!Print_Area</vt:lpstr>
      <vt:lpstr>'CUS AC LOADS (for old rate)'!Print_Area</vt:lpstr>
      <vt:lpstr>'Rate - Summary'!Print_Area</vt:lpstr>
      <vt:lpstr>'Sch. 2 - Basin'!Print_Area</vt:lpstr>
      <vt:lpstr>'Sch. 2 - Basin(old rate)'!Print_Area</vt:lpstr>
      <vt:lpstr>'Sch. 2 - BHP'!Print_Area</vt:lpstr>
      <vt:lpstr>'Sch. 2 - BHP (old rate)'!Print_Area</vt:lpstr>
      <vt:lpstr>'Sch. 2 - BHW'!Print_Area</vt:lpstr>
      <vt:lpstr>'Sch. 2 - BHW(old rate)'!Print_Area</vt:lpstr>
      <vt:lpstr>'Sch. 2 - CLFP'!Print_Area</vt:lpstr>
      <vt:lpstr>'Sch. 2 - CLFP(old rate)'!Print_Area</vt:lpstr>
      <vt:lpstr>'Sch. 2 - Gillette'!Print_Area</vt:lpstr>
      <vt:lpstr>'Sch. 2 - Gillette(old rate)'!Print_Area</vt:lpstr>
      <vt:lpstr>'Sch. 2 - Total'!Print_Area</vt:lpstr>
      <vt:lpstr>'Sch. 2 - Total (old rate)'!Print_Area</vt:lpstr>
      <vt:lpstr>'Sch. 2 - WMPA(old rate)'!Print_Area</vt:lpstr>
      <vt:lpstr>'Under-Over Recovery'!Print_Area</vt:lpstr>
    </vt:vector>
  </TitlesOfParts>
  <Company>Black Hills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swilliam</dc:creator>
  <cp:lastModifiedBy>Mack, Lori</cp:lastModifiedBy>
  <cp:lastPrinted>2016-05-31T14:43:19Z</cp:lastPrinted>
  <dcterms:created xsi:type="dcterms:W3CDTF">2008-12-08T23:28:21Z</dcterms:created>
  <dcterms:modified xsi:type="dcterms:W3CDTF">2026-05-29T17:59:50Z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0x01010069B093573961164F905C45F61A1D6B65</vt:lpwstr>
  </property>
</Properties>
</file>