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blackhillscorp.sharepoint.com/sites/RegulatoryHub-CLFPTrueUpFilings/2025 CLFP TrueUp Empty/Final Filing Package/"/>
    </mc:Choice>
  </mc:AlternateContent>
  <xr:revisionPtr revIDLastSave="10" documentId="8_{640246EE-C9F1-4F89-A495-6D17BE91A914}" xr6:coauthVersionLast="47" xr6:coauthVersionMax="47" xr10:uidLastSave="{C627D207-7EEF-4924-A32D-013D1CA453E7}"/>
  <bookViews>
    <workbookView xWindow="-120" yWindow="-120" windowWidth="29040" windowHeight="15720" tabRatio="896" xr2:uid="{13F709FD-EF46-44A0-800E-E77F8CE9E03F}"/>
  </bookViews>
  <sheets>
    <sheet name="Table of Contents" sheetId="22" r:id="rId1"/>
    <sheet name="Act Att-H" sheetId="9" r:id="rId2"/>
    <sheet name="A1-RevCred" sheetId="4" r:id="rId3"/>
    <sheet name="A2-A&amp;G" sheetId="16" r:id="rId4"/>
    <sheet name="A3-ADIT" sheetId="15" r:id="rId5"/>
    <sheet name="A3.1-EDIT-DDIT" sheetId="41" r:id="rId6"/>
    <sheet name="A3.2 EDIT-DDIT.dtl" sheetId="42" r:id="rId7"/>
    <sheet name="A4-Rate Base" sheetId="23" r:id="rId8"/>
    <sheet name="A5-Depr" sheetId="43" r:id="rId9"/>
    <sheet name="A6-Divisor" sheetId="20" r:id="rId10"/>
    <sheet name="A7-IncentPlant" sheetId="29" r:id="rId11"/>
    <sheet name="A8-Prepmts" sheetId="39" r:id="rId12"/>
    <sheet name="A9-PermDiffs" sheetId="40" r:id="rId13"/>
    <sheet name="TU-TrueUp" sheetId="21" r:id="rId14"/>
    <sheet name="Proj Att-H" sheetId="25" r:id="rId15"/>
    <sheet name="P1-Trans Plant" sheetId="26" r:id="rId16"/>
    <sheet name="P2-Exp. &amp; Rev. Credits" sheetId="27" r:id="rId17"/>
    <sheet name="P3-Divisor" sheetId="28" r:id="rId18"/>
    <sheet name="P4-IncentPlant" sheetId="30" r:id="rId19"/>
    <sheet name="P5-ADIT" sheetId="37" r:id="rId20"/>
    <sheet name="Schedule 1" sheetId="31" r:id="rId21"/>
  </sheets>
  <definedNames>
    <definedName name="__123Graph_A" localSheetId="5" hidden="1">#REF!</definedName>
    <definedName name="__123Graph_A" localSheetId="6" hidden="1">#REF!</definedName>
    <definedName name="__123Graph_A" localSheetId="11" hidden="1">#REF!</definedName>
    <definedName name="__123Graph_A" localSheetId="12" hidden="1">#REF!</definedName>
    <definedName name="__123Graph_A" localSheetId="19" hidden="1">#REF!</definedName>
    <definedName name="__123Graph_A" hidden="1">#REF!</definedName>
    <definedName name="__123Graph_A1991" localSheetId="5" hidden="1">#REF!</definedName>
    <definedName name="__123Graph_A1991" localSheetId="6" hidden="1">#REF!</definedName>
    <definedName name="__123Graph_A1991" localSheetId="11" hidden="1">#REF!</definedName>
    <definedName name="__123Graph_A1991" localSheetId="12" hidden="1">#REF!</definedName>
    <definedName name="__123Graph_A1991" localSheetId="19" hidden="1">#REF!</definedName>
    <definedName name="__123Graph_A1991" hidden="1">#REF!</definedName>
    <definedName name="__123Graph_A1992" localSheetId="5" hidden="1">#REF!</definedName>
    <definedName name="__123Graph_A1992" localSheetId="6" hidden="1">#REF!</definedName>
    <definedName name="__123Graph_A1992" localSheetId="11" hidden="1">#REF!</definedName>
    <definedName name="__123Graph_A1992" localSheetId="12" hidden="1">#REF!</definedName>
    <definedName name="__123Graph_A1992" localSheetId="19" hidden="1">#REF!</definedName>
    <definedName name="__123Graph_A1992" hidden="1">#REF!</definedName>
    <definedName name="__123Graph_A1993" localSheetId="5" hidden="1">#REF!</definedName>
    <definedName name="__123Graph_A1993" localSheetId="6" hidden="1">#REF!</definedName>
    <definedName name="__123Graph_A1993" localSheetId="11" hidden="1">#REF!</definedName>
    <definedName name="__123Graph_A1993" localSheetId="12" hidden="1">#REF!</definedName>
    <definedName name="__123Graph_A1993" localSheetId="19" hidden="1">#REF!</definedName>
    <definedName name="__123Graph_A1993" hidden="1">#REF!</definedName>
    <definedName name="__123Graph_A1994" localSheetId="5" hidden="1">#REF!</definedName>
    <definedName name="__123Graph_A1994" localSheetId="6" hidden="1">#REF!</definedName>
    <definedName name="__123Graph_A1994" localSheetId="11" hidden="1">#REF!</definedName>
    <definedName name="__123Graph_A1994" localSheetId="12" hidden="1">#REF!</definedName>
    <definedName name="__123Graph_A1994" localSheetId="19" hidden="1">#REF!</definedName>
    <definedName name="__123Graph_A1994" hidden="1">#REF!</definedName>
    <definedName name="__123Graph_A1995" localSheetId="5" hidden="1">#REF!</definedName>
    <definedName name="__123Graph_A1995" localSheetId="6" hidden="1">#REF!</definedName>
    <definedName name="__123Graph_A1995" localSheetId="11" hidden="1">#REF!</definedName>
    <definedName name="__123Graph_A1995" localSheetId="12" hidden="1">#REF!</definedName>
    <definedName name="__123Graph_A1995" localSheetId="19" hidden="1">#REF!</definedName>
    <definedName name="__123Graph_A1995" hidden="1">#REF!</definedName>
    <definedName name="__123Graph_A1996" localSheetId="5" hidden="1">#REF!</definedName>
    <definedName name="__123Graph_A1996" localSheetId="6" hidden="1">#REF!</definedName>
    <definedName name="__123Graph_A1996" localSheetId="11" hidden="1">#REF!</definedName>
    <definedName name="__123Graph_A1996" localSheetId="12" hidden="1">#REF!</definedName>
    <definedName name="__123Graph_A1996" localSheetId="19" hidden="1">#REF!</definedName>
    <definedName name="__123Graph_A1996" hidden="1">#REF!</definedName>
    <definedName name="__123Graph_ABAR" localSheetId="5" hidden="1">#REF!</definedName>
    <definedName name="__123Graph_ABAR" localSheetId="6" hidden="1">#REF!</definedName>
    <definedName name="__123Graph_ABAR" localSheetId="11" hidden="1">#REF!</definedName>
    <definedName name="__123Graph_ABAR" localSheetId="12" hidden="1">#REF!</definedName>
    <definedName name="__123Graph_ABAR" localSheetId="19" hidden="1">#REF!</definedName>
    <definedName name="__123Graph_ABAR" hidden="1">#REF!</definedName>
    <definedName name="__123Graph_B" localSheetId="5" hidden="1">#REF!</definedName>
    <definedName name="__123Graph_B" localSheetId="6" hidden="1">#REF!</definedName>
    <definedName name="__123Graph_B" localSheetId="11" hidden="1">#REF!</definedName>
    <definedName name="__123Graph_B" localSheetId="12" hidden="1">#REF!</definedName>
    <definedName name="__123Graph_B" localSheetId="19" hidden="1">#REF!</definedName>
    <definedName name="__123Graph_B" hidden="1">#REF!</definedName>
    <definedName name="__123Graph_B1991" localSheetId="5" hidden="1">#REF!</definedName>
    <definedName name="__123Graph_B1991" localSheetId="6" hidden="1">#REF!</definedName>
    <definedName name="__123Graph_B1991" localSheetId="11" hidden="1">#REF!</definedName>
    <definedName name="__123Graph_B1991" localSheetId="12" hidden="1">#REF!</definedName>
    <definedName name="__123Graph_B1991" localSheetId="19" hidden="1">#REF!</definedName>
    <definedName name="__123Graph_B1991" hidden="1">#REF!</definedName>
    <definedName name="__123Graph_B1992" localSheetId="5" hidden="1">#REF!</definedName>
    <definedName name="__123Graph_B1992" localSheetId="6" hidden="1">#REF!</definedName>
    <definedName name="__123Graph_B1992" localSheetId="11" hidden="1">#REF!</definedName>
    <definedName name="__123Graph_B1992" localSheetId="12" hidden="1">#REF!</definedName>
    <definedName name="__123Graph_B1992" localSheetId="19" hidden="1">#REF!</definedName>
    <definedName name="__123Graph_B1992" hidden="1">#REF!</definedName>
    <definedName name="__123Graph_B1993" localSheetId="5" hidden="1">#REF!</definedName>
    <definedName name="__123Graph_B1993" localSheetId="6" hidden="1">#REF!</definedName>
    <definedName name="__123Graph_B1993" localSheetId="11" hidden="1">#REF!</definedName>
    <definedName name="__123Graph_B1993" localSheetId="12" hidden="1">#REF!</definedName>
    <definedName name="__123Graph_B1993" localSheetId="19" hidden="1">#REF!</definedName>
    <definedName name="__123Graph_B1993" hidden="1">#REF!</definedName>
    <definedName name="__123Graph_B1994" localSheetId="5" hidden="1">#REF!</definedName>
    <definedName name="__123Graph_B1994" localSheetId="6" hidden="1">#REF!</definedName>
    <definedName name="__123Graph_B1994" localSheetId="11" hidden="1">#REF!</definedName>
    <definedName name="__123Graph_B1994" localSheetId="12" hidden="1">#REF!</definedName>
    <definedName name="__123Graph_B1994" localSheetId="19" hidden="1">#REF!</definedName>
    <definedName name="__123Graph_B1994" hidden="1">#REF!</definedName>
    <definedName name="__123Graph_B1995" localSheetId="5" hidden="1">#REF!</definedName>
    <definedName name="__123Graph_B1995" localSheetId="6" hidden="1">#REF!</definedName>
    <definedName name="__123Graph_B1995" localSheetId="11" hidden="1">#REF!</definedName>
    <definedName name="__123Graph_B1995" localSheetId="12" hidden="1">#REF!</definedName>
    <definedName name="__123Graph_B1995" localSheetId="19" hidden="1">#REF!</definedName>
    <definedName name="__123Graph_B1995" hidden="1">#REF!</definedName>
    <definedName name="__123Graph_B1996" localSheetId="5" hidden="1">#REF!</definedName>
    <definedName name="__123Graph_B1996" localSheetId="6" hidden="1">#REF!</definedName>
    <definedName name="__123Graph_B1996" localSheetId="11" hidden="1">#REF!</definedName>
    <definedName name="__123Graph_B1996" localSheetId="12" hidden="1">#REF!</definedName>
    <definedName name="__123Graph_B1996" localSheetId="19" hidden="1">#REF!</definedName>
    <definedName name="__123Graph_B1996" hidden="1">#REF!</definedName>
    <definedName name="__123Graph_BBAR" localSheetId="5" hidden="1">#REF!</definedName>
    <definedName name="__123Graph_BBAR" localSheetId="6" hidden="1">#REF!</definedName>
    <definedName name="__123Graph_BBAR" localSheetId="11" hidden="1">#REF!</definedName>
    <definedName name="__123Graph_BBAR" localSheetId="12" hidden="1">#REF!</definedName>
    <definedName name="__123Graph_BBAR" localSheetId="19" hidden="1">#REF!</definedName>
    <definedName name="__123Graph_BBAR" hidden="1">#REF!</definedName>
    <definedName name="__123Graph_CBAR" localSheetId="5" hidden="1">#REF!</definedName>
    <definedName name="__123Graph_CBAR" localSheetId="6" hidden="1">#REF!</definedName>
    <definedName name="__123Graph_CBAR" localSheetId="11" hidden="1">#REF!</definedName>
    <definedName name="__123Graph_CBAR" localSheetId="12" hidden="1">#REF!</definedName>
    <definedName name="__123Graph_CBAR" localSheetId="19" hidden="1">#REF!</definedName>
    <definedName name="__123Graph_CBAR" hidden="1">#REF!</definedName>
    <definedName name="__123Graph_DBAR" localSheetId="5" hidden="1">#REF!</definedName>
    <definedName name="__123Graph_DBAR" localSheetId="6" hidden="1">#REF!</definedName>
    <definedName name="__123Graph_DBAR" localSheetId="11" hidden="1">#REF!</definedName>
    <definedName name="__123Graph_DBAR" localSheetId="12" hidden="1">#REF!</definedName>
    <definedName name="__123Graph_DBAR" localSheetId="19" hidden="1">#REF!</definedName>
    <definedName name="__123Graph_DBAR" hidden="1">#REF!</definedName>
    <definedName name="__123Graph_EBAR" localSheetId="5" hidden="1">#REF!</definedName>
    <definedName name="__123Graph_EBAR" localSheetId="6" hidden="1">#REF!</definedName>
    <definedName name="__123Graph_EBAR" localSheetId="11" hidden="1">#REF!</definedName>
    <definedName name="__123Graph_EBAR" localSheetId="12" hidden="1">#REF!</definedName>
    <definedName name="__123Graph_EBAR" localSheetId="19" hidden="1">#REF!</definedName>
    <definedName name="__123Graph_EBAR" hidden="1">#REF!</definedName>
    <definedName name="__123Graph_FBAR" localSheetId="5" hidden="1">#REF!</definedName>
    <definedName name="__123Graph_FBAR" localSheetId="6" hidden="1">#REF!</definedName>
    <definedName name="__123Graph_FBAR" localSheetId="11" hidden="1">#REF!</definedName>
    <definedName name="__123Graph_FBAR" localSheetId="12" hidden="1">#REF!</definedName>
    <definedName name="__123Graph_FBAR" localSheetId="19" hidden="1">#REF!</definedName>
    <definedName name="__123Graph_FBAR" hidden="1">#REF!</definedName>
    <definedName name="__123Graph_X" localSheetId="5" hidden="1">#REF!</definedName>
    <definedName name="__123Graph_X" localSheetId="6" hidden="1">#REF!</definedName>
    <definedName name="__123Graph_X" localSheetId="11" hidden="1">#REF!</definedName>
    <definedName name="__123Graph_X" localSheetId="12" hidden="1">#REF!</definedName>
    <definedName name="__123Graph_X" localSheetId="19" hidden="1">#REF!</definedName>
    <definedName name="__123Graph_X" hidden="1">#REF!</definedName>
    <definedName name="__123Graph_X1991" localSheetId="5" hidden="1">#REF!</definedName>
    <definedName name="__123Graph_X1991" localSheetId="6" hidden="1">#REF!</definedName>
    <definedName name="__123Graph_X1991" localSheetId="11" hidden="1">#REF!</definedName>
    <definedName name="__123Graph_X1991" localSheetId="12" hidden="1">#REF!</definedName>
    <definedName name="__123Graph_X1991" localSheetId="19" hidden="1">#REF!</definedName>
    <definedName name="__123Graph_X1991" hidden="1">#REF!</definedName>
    <definedName name="__123Graph_X1992" localSheetId="5" hidden="1">#REF!</definedName>
    <definedName name="__123Graph_X1992" localSheetId="6" hidden="1">#REF!</definedName>
    <definedName name="__123Graph_X1992" localSheetId="11" hidden="1">#REF!</definedName>
    <definedName name="__123Graph_X1992" localSheetId="12" hidden="1">#REF!</definedName>
    <definedName name="__123Graph_X1992" localSheetId="19" hidden="1">#REF!</definedName>
    <definedName name="__123Graph_X1992" hidden="1">#REF!</definedName>
    <definedName name="__123Graph_X1993" localSheetId="5" hidden="1">#REF!</definedName>
    <definedName name="__123Graph_X1993" localSheetId="6" hidden="1">#REF!</definedName>
    <definedName name="__123Graph_X1993" localSheetId="11" hidden="1">#REF!</definedName>
    <definedName name="__123Graph_X1993" localSheetId="12" hidden="1">#REF!</definedName>
    <definedName name="__123Graph_X1993" localSheetId="19" hidden="1">#REF!</definedName>
    <definedName name="__123Graph_X1993" hidden="1">#REF!</definedName>
    <definedName name="__123Graph_X1994" localSheetId="5" hidden="1">#REF!</definedName>
    <definedName name="__123Graph_X1994" localSheetId="6" hidden="1">#REF!</definedName>
    <definedName name="__123Graph_X1994" localSheetId="11" hidden="1">#REF!</definedName>
    <definedName name="__123Graph_X1994" localSheetId="12" hidden="1">#REF!</definedName>
    <definedName name="__123Graph_X1994" localSheetId="19" hidden="1">#REF!</definedName>
    <definedName name="__123Graph_X1994" hidden="1">#REF!</definedName>
    <definedName name="__123Graph_X1995" localSheetId="5" hidden="1">#REF!</definedName>
    <definedName name="__123Graph_X1995" localSheetId="6" hidden="1">#REF!</definedName>
    <definedName name="__123Graph_X1995" localSheetId="11" hidden="1">#REF!</definedName>
    <definedName name="__123Graph_X1995" localSheetId="12" hidden="1">#REF!</definedName>
    <definedName name="__123Graph_X1995" localSheetId="19" hidden="1">#REF!</definedName>
    <definedName name="__123Graph_X1995" hidden="1">#REF!</definedName>
    <definedName name="__123Graph_X1996" localSheetId="5" hidden="1">#REF!</definedName>
    <definedName name="__123Graph_X1996" localSheetId="6" hidden="1">#REF!</definedName>
    <definedName name="__123Graph_X1996" localSheetId="11" hidden="1">#REF!</definedName>
    <definedName name="__123Graph_X1996" localSheetId="12" hidden="1">#REF!</definedName>
    <definedName name="__123Graph_X1996" localSheetId="19" hidden="1">#REF!</definedName>
    <definedName name="__123Graph_X1996" hidden="1">#REF!</definedName>
    <definedName name="__tet12" localSheetId="5" hidden="1">{"assumptions",#N/A,FALSE,"Scenario 1";"valuation",#N/A,FALSE,"Scenario 1"}</definedName>
    <definedName name="__tet12" localSheetId="6" hidden="1">{"assumptions",#N/A,FALSE,"Scenario 1";"valuation",#N/A,FALSE,"Scenario 1"}</definedName>
    <definedName name="__tet12" localSheetId="8" hidden="1">{"assumptions",#N/A,FALSE,"Scenario 1";"valuation",#N/A,FALSE,"Scenario 1"}</definedName>
    <definedName name="__tet12" localSheetId="19" hidden="1">{"assumptions",#N/A,FALSE,"Scenario 1";"valuation",#N/A,FALSE,"Scenario 1"}</definedName>
    <definedName name="__tet12" hidden="1">{"assumptions",#N/A,FALSE,"Scenario 1";"valuation",#N/A,FALSE,"Scenario 1"}</definedName>
    <definedName name="__tet5" localSheetId="5" hidden="1">{"assumptions",#N/A,FALSE,"Scenario 1";"valuation",#N/A,FALSE,"Scenario 1"}</definedName>
    <definedName name="__tet5" localSheetId="6" hidden="1">{"assumptions",#N/A,FALSE,"Scenario 1";"valuation",#N/A,FALSE,"Scenario 1"}</definedName>
    <definedName name="__tet5" localSheetId="8" hidden="1">{"assumptions",#N/A,FALSE,"Scenario 1";"valuation",#N/A,FALSE,"Scenario 1"}</definedName>
    <definedName name="__tet5" localSheetId="19" hidden="1">{"assumptions",#N/A,FALSE,"Scenario 1";"valuation",#N/A,FALSE,"Scenario 1"}</definedName>
    <definedName name="__tet5" hidden="1">{"assumptions",#N/A,FALSE,"Scenario 1";"valuation",#N/A,FALSE,"Scenario 1"}</definedName>
    <definedName name="_FEB01" localSheetId="5" hidden="1">{#N/A,#N/A,FALSE,"EMPPAY"}</definedName>
    <definedName name="_FEB01" localSheetId="6" hidden="1">{#N/A,#N/A,FALSE,"EMPPAY"}</definedName>
    <definedName name="_FEB01" localSheetId="8" hidden="1">{#N/A,#N/A,FALSE,"EMPPAY"}</definedName>
    <definedName name="_FEB01" localSheetId="19" hidden="1">{#N/A,#N/A,FALSE,"EMPPAY"}</definedName>
    <definedName name="_FEB01" hidden="1">{#N/A,#N/A,FALSE,"EMPPAY"}</definedName>
    <definedName name="_Fill" localSheetId="5" hidden="1">#REF!</definedName>
    <definedName name="_Fill" localSheetId="6" hidden="1">#REF!</definedName>
    <definedName name="_Fill" localSheetId="11" hidden="1">#REF!</definedName>
    <definedName name="_Fill" localSheetId="12" hidden="1">#REF!</definedName>
    <definedName name="_Fill" hidden="1">#REF!</definedName>
    <definedName name="_JAN01" localSheetId="5" hidden="1">{#N/A,#N/A,FALSE,"EMPPAY"}</definedName>
    <definedName name="_JAN01" localSheetId="6" hidden="1">{#N/A,#N/A,FALSE,"EMPPAY"}</definedName>
    <definedName name="_JAN01" localSheetId="8" hidden="1">{#N/A,#N/A,FALSE,"EMPPAY"}</definedName>
    <definedName name="_JAN01" localSheetId="19" hidden="1">{#N/A,#N/A,FALSE,"EMPPAY"}</definedName>
    <definedName name="_JAN01" hidden="1">{#N/A,#N/A,FALSE,"EMPPAY"}</definedName>
    <definedName name="_JAN2001" localSheetId="5" hidden="1">{#N/A,#N/A,FALSE,"EMPPAY"}</definedName>
    <definedName name="_JAN2001" localSheetId="6" hidden="1">{#N/A,#N/A,FALSE,"EMPPAY"}</definedName>
    <definedName name="_JAN2001" localSheetId="8" hidden="1">{#N/A,#N/A,FALSE,"EMPPAY"}</definedName>
    <definedName name="_JAN2001" localSheetId="19" hidden="1">{#N/A,#N/A,FALSE,"EMPPAY"}</definedName>
    <definedName name="_JAN2001" hidden="1">{#N/A,#N/A,FALSE,"EMPPAY"}</definedName>
    <definedName name="_Key1" localSheetId="5" hidden="1">#REF!</definedName>
    <definedName name="_Key1" localSheetId="6" hidden="1">#REF!</definedName>
    <definedName name="_Key1" localSheetId="11" hidden="1">#REF!</definedName>
    <definedName name="_Key1" localSheetId="12" hidden="1">#REF!</definedName>
    <definedName name="_Key1" hidden="1">#REF!</definedName>
    <definedName name="_Order1" hidden="1">255</definedName>
    <definedName name="_Order2" hidden="1">255</definedName>
    <definedName name="_Sort" localSheetId="5" hidden="1">#REF!</definedName>
    <definedName name="_Sort" localSheetId="6" hidden="1">#REF!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8" hidden="1">#REF!</definedName>
    <definedName name="_Sort" localSheetId="19" hidden="1">#REF!</definedName>
    <definedName name="_Sort" localSheetId="14" hidden="1">#REF!</definedName>
    <definedName name="_Sort" hidden="1">#REF!</definedName>
    <definedName name="_sort2" localSheetId="5" hidden="1">#REF!</definedName>
    <definedName name="_sort2" localSheetId="6" hidden="1">#REF!</definedName>
    <definedName name="_sort2" localSheetId="9" hidden="1">#REF!</definedName>
    <definedName name="_sort2" localSheetId="10" hidden="1">#REF!</definedName>
    <definedName name="_sort2" localSheetId="11" hidden="1">#REF!</definedName>
    <definedName name="_sort2" localSheetId="12" hidden="1">#REF!</definedName>
    <definedName name="_sort2" localSheetId="18" hidden="1">#REF!</definedName>
    <definedName name="_sort2" localSheetId="19" hidden="1">#REF!</definedName>
    <definedName name="_sort2" localSheetId="14" hidden="1">#REF!</definedName>
    <definedName name="_sort2" hidden="1">#REF!</definedName>
    <definedName name="_tet12" localSheetId="5" hidden="1">{"assumptions",#N/A,FALSE,"Scenario 1";"valuation",#N/A,FALSE,"Scenario 1"}</definedName>
    <definedName name="_tet12" localSheetId="6" hidden="1">{"assumptions",#N/A,FALSE,"Scenario 1";"valuation",#N/A,FALSE,"Scenario 1"}</definedName>
    <definedName name="_tet12" localSheetId="8" hidden="1">{"assumptions",#N/A,FALSE,"Scenario 1";"valuation",#N/A,FALSE,"Scenario 1"}</definedName>
    <definedName name="_tet12" localSheetId="19" hidden="1">{"assumptions",#N/A,FALSE,"Scenario 1";"valuation",#N/A,FALSE,"Scenario 1"}</definedName>
    <definedName name="_tet12" hidden="1">{"assumptions",#N/A,FALSE,"Scenario 1";"valuation",#N/A,FALSE,"Scenario 1"}</definedName>
    <definedName name="_tet5" localSheetId="5" hidden="1">{"assumptions",#N/A,FALSE,"Scenario 1";"valuation",#N/A,FALSE,"Scenario 1"}</definedName>
    <definedName name="_tet5" localSheetId="6" hidden="1">{"assumptions",#N/A,FALSE,"Scenario 1";"valuation",#N/A,FALSE,"Scenario 1"}</definedName>
    <definedName name="_tet5" localSheetId="8" hidden="1">{"assumptions",#N/A,FALSE,"Scenario 1";"valuation",#N/A,FALSE,"Scenario 1"}</definedName>
    <definedName name="_tet5" localSheetId="19" hidden="1">{"assumptions",#N/A,FALSE,"Scenario 1";"valuation",#N/A,FALSE,"Scenario 1"}</definedName>
    <definedName name="_tet5" hidden="1">{"assumptions",#N/A,FALSE,"Scenario 1";"valuation",#N/A,FALSE,"Scenario 1"}</definedName>
    <definedName name="a" localSheetId="5" hidden="1">{"LBO Summary",#N/A,FALSE,"Summary"}</definedName>
    <definedName name="a" localSheetId="6" hidden="1">{"LBO Summary",#N/A,FALSE,"Summary"}</definedName>
    <definedName name="a" localSheetId="8" hidden="1">{"LBO Summary",#N/A,FALSE,"Summary"}</definedName>
    <definedName name="a" localSheetId="19" hidden="1">{"LBO Summary",#N/A,FALSE,"Summary"}</definedName>
    <definedName name="a" hidden="1">{"LBO Summary",#N/A,FALSE,"Summary"}</definedName>
    <definedName name="Alignment" hidden="1">"a1"</definedName>
    <definedName name="AS2DocOpenMode" hidden="1">"AS2DocumentEdit"</definedName>
    <definedName name="CE" localSheetId="8">#REF!</definedName>
    <definedName name="CE">'Act Att-H'!$G$59</definedName>
    <definedName name="ClientMatter" hidden="1">"b1"</definedName>
    <definedName name="DA">1</definedName>
    <definedName name="Date" hidden="1">"b1"</definedName>
    <definedName name="DEC00" localSheetId="5" hidden="1">{#N/A,#N/A,FALSE,"ARREC"}</definedName>
    <definedName name="DEC00" localSheetId="6" hidden="1">{#N/A,#N/A,FALSE,"ARREC"}</definedName>
    <definedName name="DEC00" localSheetId="8" hidden="1">{#N/A,#N/A,FALSE,"ARREC"}</definedName>
    <definedName name="DEC00" localSheetId="19" hidden="1">{#N/A,#N/A,FALSE,"ARREC"}</definedName>
    <definedName name="DEC00" hidden="1">{#N/A,#N/A,FALSE,"ARREC"}</definedName>
    <definedName name="DocumentName" hidden="1">"b1"</definedName>
    <definedName name="DocumentNum" hidden="1">"a1"</definedName>
    <definedName name="FEB00" localSheetId="5" hidden="1">{#N/A,#N/A,FALSE,"ARREC"}</definedName>
    <definedName name="FEB00" localSheetId="6" hidden="1">{#N/A,#N/A,FALSE,"ARREC"}</definedName>
    <definedName name="FEB00" localSheetId="8" hidden="1">{#N/A,#N/A,FALSE,"ARREC"}</definedName>
    <definedName name="FEB00" localSheetId="19" hidden="1">{#N/A,#N/A,FALSE,"ARREC"}</definedName>
    <definedName name="FEB00" hidden="1">{#N/A,#N/A,FALSE,"ARREC"}</definedName>
    <definedName name="GP" localSheetId="8">#REF!</definedName>
    <definedName name="GP">'Act Att-H'!$G$51</definedName>
    <definedName name="Library" hidden="1">"a1"</definedName>
    <definedName name="MAY" localSheetId="5" hidden="1">{#N/A,#N/A,FALSE,"EMPPAY"}</definedName>
    <definedName name="MAY" localSheetId="6" hidden="1">{#N/A,#N/A,FALSE,"EMPPAY"}</definedName>
    <definedName name="MAY" localSheetId="8" hidden="1">{#N/A,#N/A,FALSE,"EMPPAY"}</definedName>
    <definedName name="MAY" localSheetId="19" hidden="1">{#N/A,#N/A,FALSE,"EMPPAY"}</definedName>
    <definedName name="MAY" hidden="1">{#N/A,#N/A,FALSE,"EMPPAY"}</definedName>
    <definedName name="NA">0</definedName>
    <definedName name="NP" localSheetId="8">#REF!</definedName>
    <definedName name="NP">'Act Att-H'!$G$69</definedName>
    <definedName name="_xlnm.Print_Area" localSheetId="3">'A2-A&amp;G'!$A$1:$D$38</definedName>
    <definedName name="_xlnm.Print_Area" localSheetId="5">'A3.1-EDIT-DDIT'!$A$1:$R$57</definedName>
    <definedName name="_xlnm.Print_Area" localSheetId="6">'A3.2 EDIT-DDIT.dtl'!$A$1:$I$58</definedName>
    <definedName name="_xlnm.Print_Area" localSheetId="4">'A3-ADIT'!$A$1:$F$35</definedName>
    <definedName name="_xlnm.Print_Area" localSheetId="7">'A4-Rate Base'!$A$1:$J$121</definedName>
    <definedName name="_xlnm.Print_Area" localSheetId="8">'A5-Depr'!$A$1:$H$73</definedName>
    <definedName name="_xlnm.Print_Area" localSheetId="10">'A7-IncentPlant'!$A$1:$O$48</definedName>
    <definedName name="_xlnm.Print_Area" localSheetId="11">'A8-Prepmts'!$A$1:$H$41</definedName>
    <definedName name="_xlnm.Print_Area" localSheetId="1">'Act Att-H'!$A$1:$K$279</definedName>
    <definedName name="_xlnm.Print_Area" localSheetId="15">'P1-Trans Plant'!$A$1:$AA$49</definedName>
    <definedName name="_xlnm.Print_Area" localSheetId="16">'P2-Exp. &amp; Rev. Credits'!$A$1:$F$47</definedName>
    <definedName name="_xlnm.Print_Area" localSheetId="19">'P5-ADIT'!$A$1:$J$175</definedName>
    <definedName name="_xlnm.Print_Area" localSheetId="14">'Proj Att-H'!$A$1:$K$273</definedName>
    <definedName name="_xlnm.Print_Area" localSheetId="20">'Schedule 1'!$A$1:$E$50</definedName>
    <definedName name="_xlnm.Print_Area" localSheetId="13">'TU-TrueUp'!$A$1:$I$66</definedName>
    <definedName name="_xlnm.Print_Titles" localSheetId="15">'P1-Trans Plant'!$A:$F</definedName>
    <definedName name="TE" localSheetId="8">#REF!</definedName>
    <definedName name="TE">'Act Att-H'!$I$198</definedName>
    <definedName name="test" localSheetId="5" hidden="1">{"LBO Summary",#N/A,FALSE,"Summary"}</definedName>
    <definedName name="test" localSheetId="6" hidden="1">{"LBO Summary",#N/A,FALSE,"Summary"}</definedName>
    <definedName name="test" localSheetId="8" hidden="1">{"LBO Summary",#N/A,FALSE,"Summary"}</definedName>
    <definedName name="test" localSheetId="19" hidden="1">{"LBO Summary",#N/A,FALSE,"Summary"}</definedName>
    <definedName name="test" hidden="1">{"LBO Summary",#N/A,FALSE,"Summary"}</definedName>
    <definedName name="test1" localSheetId="5" hidden="1">{"LBO Summary",#N/A,FALSE,"Summary";"Income Statement",#N/A,FALSE,"Model";"Cash Flow",#N/A,FALSE,"Model";"Balance Sheet",#N/A,FALSE,"Model";"Working Capital",#N/A,FALSE,"Model";"Pro Forma Balance Sheets",#N/A,FALSE,"PFBS";"Debt Balances",#N/A,FALSE,"Model";"Fee Schedules",#N/A,FALSE,"Model"}</definedName>
    <definedName name="test1" localSheetId="6" hidden="1">{"LBO Summary",#N/A,FALSE,"Summary";"Income Statement",#N/A,FALSE,"Model";"Cash Flow",#N/A,FALSE,"Model";"Balance Sheet",#N/A,FALSE,"Model";"Working Capital",#N/A,FALSE,"Model";"Pro Forma Balance Sheets",#N/A,FALSE,"PFBS";"Debt Balances",#N/A,FALSE,"Model";"Fee Schedules",#N/A,FALSE,"Model"}</definedName>
    <definedName name="test1" localSheetId="8" hidden="1">{"LBO Summary",#N/A,FALSE,"Summary";"Income Statement",#N/A,FALSE,"Model";"Cash Flow",#N/A,FALSE,"Model";"Balance Sheet",#N/A,FALSE,"Model";"Working Capital",#N/A,FALSE,"Model";"Pro Forma Balance Sheets",#N/A,FALSE,"PFBS";"Debt Balances",#N/A,FALSE,"Model";"Fee Schedules",#N/A,FALSE,"Model"}</definedName>
    <definedName name="test1" localSheetId="19" hidden="1">{"LBO Summary",#N/A,FALSE,"Summary";"Income Statement",#N/A,FALSE,"Model";"Cash Flow",#N/A,FALSE,"Model";"Balance Sheet",#N/A,FALSE,"Model";"Working Capital",#N/A,FALSE,"Model";"Pro Forma Balance Sheets",#N/A,FALSE,"PFBS";"Debt Balances",#N/A,FALSE,"Model";"Fee Schedules",#N/A,FALSE,"Model"}</definedName>
    <definedName name="test1" hidden="1">{"LBO Summary",#N/A,FALSE,"Summary";"Income Statement",#N/A,FALSE,"Model";"Cash Flow",#N/A,FALSE,"Model";"Balance Sheet",#N/A,FALSE,"Model";"Working Capital",#N/A,FALSE,"Model";"Pro Forma Balance Sheets",#N/A,FALSE,"PFBS";"Debt Balances",#N/A,FALSE,"Model";"Fee Schedules",#N/A,FALSE,"Model"}</definedName>
    <definedName name="test10" localSheetId="5" hidden="1">{"LBO Summary",#N/A,FALSE,"Summary";"Income Statement",#N/A,FALSE,"Model";"Cash Flow",#N/A,FALSE,"Model";"Balance Sheet",#N/A,FALSE,"Model";"Working Capital",#N/A,FALSE,"Model";"Pro Forma Balance Sheets",#N/A,FALSE,"PFBS";"Debt Balances",#N/A,FALSE,"Model";"Fee Schedules",#N/A,FALSE,"Model"}</definedName>
    <definedName name="test10" localSheetId="6" hidden="1">{"LBO Summary",#N/A,FALSE,"Summary";"Income Statement",#N/A,FALSE,"Model";"Cash Flow",#N/A,FALSE,"Model";"Balance Sheet",#N/A,FALSE,"Model";"Working Capital",#N/A,FALSE,"Model";"Pro Forma Balance Sheets",#N/A,FALSE,"PFBS";"Debt Balances",#N/A,FALSE,"Model";"Fee Schedules",#N/A,FALSE,"Model"}</definedName>
    <definedName name="test10" localSheetId="8" hidden="1">{"LBO Summary",#N/A,FALSE,"Summary";"Income Statement",#N/A,FALSE,"Model";"Cash Flow",#N/A,FALSE,"Model";"Balance Sheet",#N/A,FALSE,"Model";"Working Capital",#N/A,FALSE,"Model";"Pro Forma Balance Sheets",#N/A,FALSE,"PFBS";"Debt Balances",#N/A,FALSE,"Model";"Fee Schedules",#N/A,FALSE,"Model"}</definedName>
    <definedName name="test10" localSheetId="19" hidden="1">{"LBO Summary",#N/A,FALSE,"Summary";"Income Statement",#N/A,FALSE,"Model";"Cash Flow",#N/A,FALSE,"Model";"Balance Sheet",#N/A,FALSE,"Model";"Working Capital",#N/A,FALSE,"Model";"Pro Forma Balance Sheets",#N/A,FALSE,"PFBS";"Debt Balances",#N/A,FALSE,"Model";"Fee Schedules",#N/A,FALSE,"Model"}</definedName>
    <definedName name="test10" hidden="1">{"LBO Summary",#N/A,FALSE,"Summary";"Income Statement",#N/A,FALSE,"Model";"Cash Flow",#N/A,FALSE,"Model";"Balance Sheet",#N/A,FALSE,"Model";"Working Capital",#N/A,FALSE,"Model";"Pro Forma Balance Sheets",#N/A,FALSE,"PFBS";"Debt Balances",#N/A,FALSE,"Model";"Fee Schedules",#N/A,FALSE,"Model"}</definedName>
    <definedName name="test11" localSheetId="5" hidden="1">{"LBO Summary",#N/A,FALSE,"Summary"}</definedName>
    <definedName name="test11" localSheetId="6" hidden="1">{"LBO Summary",#N/A,FALSE,"Summary"}</definedName>
    <definedName name="test11" localSheetId="8" hidden="1">{"LBO Summary",#N/A,FALSE,"Summary"}</definedName>
    <definedName name="test11" localSheetId="19" hidden="1">{"LBO Summary",#N/A,FALSE,"Summary"}</definedName>
    <definedName name="test11" hidden="1">{"LBO Summary",#N/A,FALSE,"Summary"}</definedName>
    <definedName name="test12" localSheetId="5" hidden="1">{"assumptions",#N/A,FALSE,"Scenario 1";"valuation",#N/A,FALSE,"Scenario 1"}</definedName>
    <definedName name="test12" localSheetId="6" hidden="1">{"assumptions",#N/A,FALSE,"Scenario 1";"valuation",#N/A,FALSE,"Scenario 1"}</definedName>
    <definedName name="test12" localSheetId="8" hidden="1">{"assumptions",#N/A,FALSE,"Scenario 1";"valuation",#N/A,FALSE,"Scenario 1"}</definedName>
    <definedName name="test12" localSheetId="19" hidden="1">{"assumptions",#N/A,FALSE,"Scenario 1";"valuation",#N/A,FALSE,"Scenario 1"}</definedName>
    <definedName name="test12" hidden="1">{"assumptions",#N/A,FALSE,"Scenario 1";"valuation",#N/A,FALSE,"Scenario 1"}</definedName>
    <definedName name="test13" localSheetId="5" hidden="1">{"LBO Summary",#N/A,FALSE,"Summary"}</definedName>
    <definedName name="test13" localSheetId="6" hidden="1">{"LBO Summary",#N/A,FALSE,"Summary"}</definedName>
    <definedName name="test13" localSheetId="8" hidden="1">{"LBO Summary",#N/A,FALSE,"Summary"}</definedName>
    <definedName name="test13" localSheetId="19" hidden="1">{"LBO Summary",#N/A,FALSE,"Summary"}</definedName>
    <definedName name="test13" hidden="1">{"LBO Summary",#N/A,FALSE,"Summary"}</definedName>
    <definedName name="test14" localSheetId="5" hidden="1">{"LBO Summary",#N/A,FALSE,"Summary";"Income Statement",#N/A,FALSE,"Model";"Cash Flow",#N/A,FALSE,"Model";"Balance Sheet",#N/A,FALSE,"Model";"Working Capital",#N/A,FALSE,"Model";"Pro Forma Balance Sheets",#N/A,FALSE,"PFBS";"Debt Balances",#N/A,FALSE,"Model";"Fee Schedules",#N/A,FALSE,"Model"}</definedName>
    <definedName name="test14" localSheetId="6" hidden="1">{"LBO Summary",#N/A,FALSE,"Summary";"Income Statement",#N/A,FALSE,"Model";"Cash Flow",#N/A,FALSE,"Model";"Balance Sheet",#N/A,FALSE,"Model";"Working Capital",#N/A,FALSE,"Model";"Pro Forma Balance Sheets",#N/A,FALSE,"PFBS";"Debt Balances",#N/A,FALSE,"Model";"Fee Schedules",#N/A,FALSE,"Model"}</definedName>
    <definedName name="test14" localSheetId="8" hidden="1">{"LBO Summary",#N/A,FALSE,"Summary";"Income Statement",#N/A,FALSE,"Model";"Cash Flow",#N/A,FALSE,"Model";"Balance Sheet",#N/A,FALSE,"Model";"Working Capital",#N/A,FALSE,"Model";"Pro Forma Balance Sheets",#N/A,FALSE,"PFBS";"Debt Balances",#N/A,FALSE,"Model";"Fee Schedules",#N/A,FALSE,"Model"}</definedName>
    <definedName name="test14" localSheetId="19" hidden="1">{"LBO Summary",#N/A,FALSE,"Summary";"Income Statement",#N/A,FALSE,"Model";"Cash Flow",#N/A,FALSE,"Model";"Balance Sheet",#N/A,FALSE,"Model";"Working Capital",#N/A,FALSE,"Model";"Pro Forma Balance Sheets",#N/A,FALSE,"PFBS";"Debt Balances",#N/A,FALSE,"Model";"Fee Schedules",#N/A,FALSE,"Model"}</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localSheetId="5" hidden="1">{"LBO Summary",#N/A,FALSE,"Summary";"Income Statement",#N/A,FALSE,"Model";"Cash Flow",#N/A,FALSE,"Model";"Balance Sheet",#N/A,FALSE,"Model";"Working Capital",#N/A,FALSE,"Model";"Pro Forma Balance Sheets",#N/A,FALSE,"PFBS";"Debt Balances",#N/A,FALSE,"Model";"Fee Schedules",#N/A,FALSE,"Model"}</definedName>
    <definedName name="test15" localSheetId="6" hidden="1">{"LBO Summary",#N/A,FALSE,"Summary";"Income Statement",#N/A,FALSE,"Model";"Cash Flow",#N/A,FALSE,"Model";"Balance Sheet",#N/A,FALSE,"Model";"Working Capital",#N/A,FALSE,"Model";"Pro Forma Balance Sheets",#N/A,FALSE,"PFBS";"Debt Balances",#N/A,FALSE,"Model";"Fee Schedules",#N/A,FALSE,"Model"}</definedName>
    <definedName name="test15" localSheetId="8" hidden="1">{"LBO Summary",#N/A,FALSE,"Summary";"Income Statement",#N/A,FALSE,"Model";"Cash Flow",#N/A,FALSE,"Model";"Balance Sheet",#N/A,FALSE,"Model";"Working Capital",#N/A,FALSE,"Model";"Pro Forma Balance Sheets",#N/A,FALSE,"PFBS";"Debt Balances",#N/A,FALSE,"Model";"Fee Schedules",#N/A,FALSE,"Model"}</definedName>
    <definedName name="test15" localSheetId="19"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localSheetId="5" hidden="1">{"LBO Summary",#N/A,FALSE,"Summary";"Income Statement",#N/A,FALSE,"Model";"Cash Flow",#N/A,FALSE,"Model";"Balance Sheet",#N/A,FALSE,"Model";"Working Capital",#N/A,FALSE,"Model";"Pro Forma Balance Sheets",#N/A,FALSE,"PFBS";"Debt Balances",#N/A,FALSE,"Model";"Fee Schedules",#N/A,FALSE,"Model"}</definedName>
    <definedName name="test16" localSheetId="6" hidden="1">{"LBO Summary",#N/A,FALSE,"Summary";"Income Statement",#N/A,FALSE,"Model";"Cash Flow",#N/A,FALSE,"Model";"Balance Sheet",#N/A,FALSE,"Model";"Working Capital",#N/A,FALSE,"Model";"Pro Forma Balance Sheets",#N/A,FALSE,"PFBS";"Debt Balances",#N/A,FALSE,"Model";"Fee Schedules",#N/A,FALSE,"Model"}</definedName>
    <definedName name="test16" localSheetId="8" hidden="1">{"LBO Summary",#N/A,FALSE,"Summary";"Income Statement",#N/A,FALSE,"Model";"Cash Flow",#N/A,FALSE,"Model";"Balance Sheet",#N/A,FALSE,"Model";"Working Capital",#N/A,FALSE,"Model";"Pro Forma Balance Sheets",#N/A,FALSE,"PFBS";"Debt Balances",#N/A,FALSE,"Model";"Fee Schedules",#N/A,FALSE,"Model"}</definedName>
    <definedName name="test16" localSheetId="19"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2" localSheetId="5" hidden="1">{"LBO Summary",#N/A,FALSE,"Summary"}</definedName>
    <definedName name="test2" localSheetId="6" hidden="1">{"LBO Summary",#N/A,FALSE,"Summary"}</definedName>
    <definedName name="test2" localSheetId="8" hidden="1">{"LBO Summary",#N/A,FALSE,"Summary"}</definedName>
    <definedName name="test2" localSheetId="19" hidden="1">{"LBO Summary",#N/A,FALSE,"Summary"}</definedName>
    <definedName name="test2" hidden="1">{"LBO Summary",#N/A,FALSE,"Summary"}</definedName>
    <definedName name="test4" localSheetId="5" hidden="1">{"assumptions",#N/A,FALSE,"Scenario 1";"valuation",#N/A,FALSE,"Scenario 1"}</definedName>
    <definedName name="test4" localSheetId="6" hidden="1">{"assumptions",#N/A,FALSE,"Scenario 1";"valuation",#N/A,FALSE,"Scenario 1"}</definedName>
    <definedName name="test4" localSheetId="8" hidden="1">{"assumptions",#N/A,FALSE,"Scenario 1";"valuation",#N/A,FALSE,"Scenario 1"}</definedName>
    <definedName name="test4" localSheetId="19" hidden="1">{"assumptions",#N/A,FALSE,"Scenario 1";"valuation",#N/A,FALSE,"Scenario 1"}</definedName>
    <definedName name="test4" hidden="1">{"assumptions",#N/A,FALSE,"Scenario 1";"valuation",#N/A,FALSE,"Scenario 1"}</definedName>
    <definedName name="test6" localSheetId="5" hidden="1">{"LBO Summary",#N/A,FALSE,"Summary"}</definedName>
    <definedName name="test6" localSheetId="6" hidden="1">{"LBO Summary",#N/A,FALSE,"Summary"}</definedName>
    <definedName name="test6" localSheetId="8" hidden="1">{"LBO Summary",#N/A,FALSE,"Summary"}</definedName>
    <definedName name="test6" localSheetId="19" hidden="1">{"LBO Summary",#N/A,FALSE,"Summary"}</definedName>
    <definedName name="test6" hidden="1">{"LBO Summary",#N/A,FALSE,"Summary"}</definedName>
    <definedName name="TextRefCopyRangeCount" hidden="1">1</definedName>
    <definedName name="Time" hidden="1">"b1"</definedName>
    <definedName name="TP" localSheetId="8">#REF!</definedName>
    <definedName name="TP">'Act Att-H'!$I$179</definedName>
    <definedName name="Typist" hidden="1">"b1"</definedName>
    <definedName name="Value" localSheetId="5" hidden="1">{"assumptions",#N/A,FALSE,"Scenario 1";"valuation",#N/A,FALSE,"Scenario 1"}</definedName>
    <definedName name="Value" localSheetId="6" hidden="1">{"assumptions",#N/A,FALSE,"Scenario 1";"valuation",#N/A,FALSE,"Scenario 1"}</definedName>
    <definedName name="Value" localSheetId="8" hidden="1">{"assumptions",#N/A,FALSE,"Scenario 1";"valuation",#N/A,FALSE,"Scenario 1"}</definedName>
    <definedName name="Value" localSheetId="19" hidden="1">{"assumptions",#N/A,FALSE,"Scenario 1";"valuation",#N/A,FALSE,"Scenario 1"}</definedName>
    <definedName name="Value" hidden="1">{"assumptions",#N/A,FALSE,"Scenario 1";"valuation",#N/A,FALSE,"Scenario 1"}</definedName>
    <definedName name="Version" hidden="1">"a1"</definedName>
    <definedName name="WCLTD">'Act Att-H'!$I$228</definedName>
    <definedName name="wrn.ARREC." localSheetId="5" hidden="1">{#N/A,#N/A,FALSE,"ARREC"}</definedName>
    <definedName name="wrn.ARREC." localSheetId="6" hidden="1">{#N/A,#N/A,FALSE,"ARREC"}</definedName>
    <definedName name="wrn.ARREC." localSheetId="8" hidden="1">{#N/A,#N/A,FALSE,"ARREC"}</definedName>
    <definedName name="wrn.ARREC." localSheetId="19" hidden="1">{#N/A,#N/A,FALSE,"ARREC"}</definedName>
    <definedName name="wrn.ARREC." hidden="1">{#N/A,#N/A,FALSE,"ARREC"}</definedName>
    <definedName name="wrn.CP._.Demand." localSheetId="5" hidden="1">{"Retail CP pg1",#N/A,FALSE,"FACTOR3";"Retail CP pg2",#N/A,FALSE,"FACTOR3";"Retail CP pg3",#N/A,FALSE,"FACTOR3"}</definedName>
    <definedName name="wrn.CP._.Demand." localSheetId="6" hidden="1">{"Retail CP pg1",#N/A,FALSE,"FACTOR3";"Retail CP pg2",#N/A,FALSE,"FACTOR3";"Retail CP pg3",#N/A,FALSE,"FACTOR3"}</definedName>
    <definedName name="wrn.CP._.Demand." localSheetId="8" hidden="1">{"Retail CP pg1",#N/A,FALSE,"FACTOR3";"Retail CP pg2",#N/A,FALSE,"FACTOR3";"Retail CP pg3",#N/A,FALSE,"FACTOR3"}</definedName>
    <definedName name="wrn.CP._.Demand." localSheetId="19" hidden="1">{"Retail CP pg1",#N/A,FALSE,"FACTOR3";"Retail CP pg2",#N/A,FALSE,"FACTOR3";"Retail CP pg3",#N/A,FALSE,"FACTOR3"}</definedName>
    <definedName name="wrn.CP._.Demand." hidden="1">{"Retail CP pg1",#N/A,FALSE,"FACTOR3";"Retail CP pg2",#N/A,FALSE,"FACTOR3";"Retail CP pg3",#N/A,FALSE,"FACTOR3"}</definedName>
    <definedName name="wrn.CP._.Demand2." localSheetId="5" hidden="1">{"Retail CP pg1",#N/A,FALSE,"FACTOR3";"Retail CP pg2",#N/A,FALSE,"FACTOR3";"Retail CP pg3",#N/A,FALSE,"FACTOR3"}</definedName>
    <definedName name="wrn.CP._.Demand2." localSheetId="6" hidden="1">{"Retail CP pg1",#N/A,FALSE,"FACTOR3";"Retail CP pg2",#N/A,FALSE,"FACTOR3";"Retail CP pg3",#N/A,FALSE,"FACTOR3"}</definedName>
    <definedName name="wrn.CP._.Demand2." localSheetId="8" hidden="1">{"Retail CP pg1",#N/A,FALSE,"FACTOR3";"Retail CP pg2",#N/A,FALSE,"FACTOR3";"Retail CP pg3",#N/A,FALSE,"FACTOR3"}</definedName>
    <definedName name="wrn.CP._.Demand2." localSheetId="19" hidden="1">{"Retail CP pg1",#N/A,FALSE,"FACTOR3";"Retail CP pg2",#N/A,FALSE,"FACTOR3";"Retail CP pg3",#N/A,FALSE,"FACTOR3"}</definedName>
    <definedName name="wrn.CP._.Demand2." hidden="1">{"Retail CP pg1",#N/A,FALSE,"FACTOR3";"Retail CP pg2",#N/A,FALSE,"FACTOR3";"Retail CP pg3",#N/A,FALSE,"FACTOR3"}</definedName>
    <definedName name="wrn.EMPPAY." localSheetId="5" hidden="1">{#N/A,#N/A,FALSE,"EMPPAY"}</definedName>
    <definedName name="wrn.EMPPAY." localSheetId="6" hidden="1">{#N/A,#N/A,FALSE,"EMPPAY"}</definedName>
    <definedName name="wrn.EMPPAY." localSheetId="8" hidden="1">{#N/A,#N/A,FALSE,"EMPPAY"}</definedName>
    <definedName name="wrn.EMPPAY." localSheetId="19" hidden="1">{#N/A,#N/A,FALSE,"EMPPAY"}</definedName>
    <definedName name="wrn.EMPPAY." hidden="1">{#N/A,#N/A,FALSE,"EMPPAY"}</definedName>
    <definedName name="wrn.IPO._.Valuation." localSheetId="5" hidden="1">{"assumptions",#N/A,FALSE,"Scenario 1";"valuation",#N/A,FALSE,"Scenario 1"}</definedName>
    <definedName name="wrn.IPO._.Valuation." localSheetId="6" hidden="1">{"assumptions",#N/A,FALSE,"Scenario 1";"valuation",#N/A,FALSE,"Scenario 1"}</definedName>
    <definedName name="wrn.IPO._.Valuation." localSheetId="8" hidden="1">{"assumptions",#N/A,FALSE,"Scenario 1";"valuation",#N/A,FALSE,"Scenario 1"}</definedName>
    <definedName name="wrn.IPO._.Valuation." localSheetId="19" hidden="1">{"assumptions",#N/A,FALSE,"Scenario 1";"valuation",#N/A,FALSE,"Scenario 1"}</definedName>
    <definedName name="wrn.IPO._.Valuation." hidden="1">{"assumptions",#N/A,FALSE,"Scenario 1";"valuation",#N/A,FALSE,"Scenario 1"}</definedName>
    <definedName name="wrn.LBO._.Summary." localSheetId="5" hidden="1">{"LBO Summary",#N/A,FALSE,"Summary"}</definedName>
    <definedName name="wrn.LBO._.Summary." localSheetId="6" hidden="1">{"LBO Summary",#N/A,FALSE,"Summary"}</definedName>
    <definedName name="wrn.LBO._.Summary." localSheetId="8" hidden="1">{"LBO Summary",#N/A,FALSE,"Summary"}</definedName>
    <definedName name="wrn.LBO._.Summary." localSheetId="19" hidden="1">{"LBO Summary",#N/A,FALSE,"Summary"}</definedName>
    <definedName name="wrn.LBO._.Summary." hidden="1">{"LBO Summary",#N/A,FALSE,"Summary"}</definedName>
    <definedName name="wrn.Print._.All._.Pages." localSheetId="5" hidden="1">{"LBO Summary",#N/A,FALSE,"Summary";"Income Statement",#N/A,FALSE,"Model";"Cash Flow",#N/A,FALSE,"Model";"Balance Sheet",#N/A,FALSE,"Model";"Working Capital",#N/A,FALSE,"Model";"Pro Forma Balance Sheets",#N/A,FALSE,"PFBS";"Debt Balances",#N/A,FALSE,"Model";"Fee Schedules",#N/A,FALSE,"Model"}</definedName>
    <definedName name="wrn.Print._.All._.Pages." localSheetId="6" hidden="1">{"LBO Summary",#N/A,FALSE,"Summary";"Income Statement",#N/A,FALSE,"Model";"Cash Flow",#N/A,FALSE,"Model";"Balance Sheet",#N/A,FALSE,"Model";"Working Capital",#N/A,FALSE,"Model";"Pro Forma Balance Sheets",#N/A,FALSE,"PFBS";"Debt Balances",#N/A,FALSE,"Model";"Fee Schedules",#N/A,FALSE,"Model"}</definedName>
    <definedName name="wrn.Print._.All._.Pages." localSheetId="8" hidden="1">{"LBO Summary",#N/A,FALSE,"Summary";"Income Statement",#N/A,FALSE,"Model";"Cash Flow",#N/A,FALSE,"Model";"Balance Sheet",#N/A,FALSE,"Model";"Working Capital",#N/A,FALSE,"Model";"Pro Forma Balance Sheets",#N/A,FALSE,"PFBS";"Debt Balances",#N/A,FALSE,"Model";"Fee Schedules",#N/A,FALSE,"Model"}</definedName>
    <definedName name="wrn.Print._.All._.Pages." localSheetId="19"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S" localSheetId="8">#REF!</definedName>
    <definedName name="WS">'Act Att-H'!$I$207</definedName>
    <definedName name="xx" localSheetId="5" hidden="1">{#N/A,#N/A,FALSE,"EMPPAY"}</definedName>
    <definedName name="xx" localSheetId="6" hidden="1">{#N/A,#N/A,FALSE,"EMPPAY"}</definedName>
    <definedName name="xx" localSheetId="8" hidden="1">{#N/A,#N/A,FALSE,"EMPPAY"}</definedName>
    <definedName name="xx" localSheetId="19" hidden="1">{#N/A,#N/A,FALSE,"EMPPAY"}</definedName>
    <definedName name="xx" hidden="1">{#N/A,#N/A,FALSE,"EMPPAY"}</definedName>
    <definedName name="Z_5C332329_7D4E_4C16_8567_CAD656F9D2F1_.wvu.PrintArea" localSheetId="13" hidden="1">'TU-TrueUp'!$A$2:$N$65</definedName>
    <definedName name="Z_5C332329_7D4E_4C16_8567_CAD656F9D2F1_.wvu.PrintTitles" localSheetId="13" hidden="1">'TU-TrueUp'!$2:$4</definedName>
    <definedName name="Z_F04A2B9A_C6FE_4FEB_AD1E_2CF9AC309BE4_.wvu.PrintArea" localSheetId="7" hidden="1">'A4-Rate Base'!$A$1:$R$115</definedName>
    <definedName name="Z_F04A2B9A_C6FE_4FEB_AD1E_2CF9AC309BE4_.wvu.PrintArea" localSheetId="10" hidden="1">'A7-IncentPlant'!$A$1:$L$129</definedName>
    <definedName name="Z_F04A2B9A_C6FE_4FEB_AD1E_2CF9AC309BE4_.wvu.PrintArea" localSheetId="18" hidden="1">'P4-IncentPlant'!$A$1:$L$135</definedName>
    <definedName name="Z_FAA8FFD9_C96B_4A1B_8B9E_B863FD90DDBA_.wvu.PrintArea" localSheetId="15" hidden="1">'P1-Trans Plant'!$A$1:$AN$46</definedName>
    <definedName name="Z_FAA8FFD9_C96B_4A1B_8B9E_B863FD90DDBA_.wvu.PrintArea" localSheetId="17" hidden="1">'P3-Divisor'!$A$1:$O$30</definedName>
    <definedName name="Z_FAA8FFD9_C96B_4A1B_8B9E_B863FD90DDBA_.wvu.PrintTitles" localSheetId="15" hidden="1">'P1-Trans Plant'!$A:$F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6" i="9" l="1"/>
  <c r="J23" i="23" l="1"/>
  <c r="D228" i="9" l="1"/>
  <c r="I216" i="9"/>
  <c r="H17" i="41" l="1"/>
  <c r="N30" i="4" l="1"/>
  <c r="N29" i="4"/>
  <c r="N28" i="4"/>
  <c r="N27" i="4"/>
  <c r="D206" i="9" l="1"/>
  <c r="D132" i="9"/>
  <c r="D109" i="9" l="1"/>
  <c r="A41" i="31" l="1"/>
  <c r="A40" i="31"/>
  <c r="A39" i="31"/>
  <c r="A38" i="31"/>
  <c r="A37" i="31"/>
  <c r="A36" i="31"/>
  <c r="A35" i="31"/>
  <c r="A34" i="31"/>
  <c r="A33" i="31"/>
  <c r="A32" i="31"/>
  <c r="A31" i="31"/>
  <c r="A30" i="31"/>
  <c r="A29" i="31"/>
  <c r="A28" i="31"/>
  <c r="A27" i="31"/>
  <c r="A26" i="31"/>
  <c r="A25" i="31"/>
  <c r="D24" i="31"/>
  <c r="A24" i="31"/>
  <c r="A23" i="31"/>
  <c r="D22" i="31"/>
  <c r="A22" i="31"/>
  <c r="A21" i="31"/>
  <c r="A20" i="31"/>
  <c r="A19" i="31"/>
  <c r="A18" i="31"/>
  <c r="A17" i="31"/>
  <c r="A16" i="31"/>
  <c r="D15" i="31"/>
  <c r="A15" i="31"/>
  <c r="A14" i="31"/>
  <c r="A13" i="31"/>
  <c r="A12" i="31"/>
  <c r="A11" i="31"/>
  <c r="A10" i="31"/>
  <c r="A9" i="31"/>
  <c r="A3" i="31"/>
  <c r="A173" i="37"/>
  <c r="A172" i="37"/>
  <c r="A171" i="37"/>
  <c r="A170" i="37"/>
  <c r="A169" i="37"/>
  <c r="A168" i="37"/>
  <c r="A167" i="37"/>
  <c r="A166" i="37"/>
  <c r="A164" i="37"/>
  <c r="F163" i="37"/>
  <c r="A163" i="37"/>
  <c r="F162" i="37"/>
  <c r="A162" i="37"/>
  <c r="F161" i="37"/>
  <c r="A161" i="37"/>
  <c r="F160" i="37"/>
  <c r="A160" i="37"/>
  <c r="F159" i="37"/>
  <c r="A159" i="37"/>
  <c r="F158" i="37"/>
  <c r="A158" i="37"/>
  <c r="F157" i="37"/>
  <c r="A157" i="37"/>
  <c r="F156" i="37"/>
  <c r="A156" i="37"/>
  <c r="F155" i="37"/>
  <c r="A155" i="37"/>
  <c r="F154" i="37"/>
  <c r="A154" i="37"/>
  <c r="F153" i="37"/>
  <c r="A153" i="37"/>
  <c r="F152" i="37"/>
  <c r="A152" i="37"/>
  <c r="A151" i="37"/>
  <c r="A150" i="37"/>
  <c r="A149" i="37"/>
  <c r="A147" i="37"/>
  <c r="A146" i="37"/>
  <c r="A143" i="37"/>
  <c r="A142" i="37"/>
  <c r="A141" i="37"/>
  <c r="F140" i="37"/>
  <c r="A140" i="37"/>
  <c r="A139" i="37"/>
  <c r="A138" i="37"/>
  <c r="J137" i="37"/>
  <c r="F137" i="37"/>
  <c r="A137" i="37"/>
  <c r="F136" i="37"/>
  <c r="B136" i="37"/>
  <c r="A136" i="37"/>
  <c r="J135" i="37"/>
  <c r="J136" i="37" s="1"/>
  <c r="J138" i="37" s="1"/>
  <c r="J140" i="37" s="1"/>
  <c r="D71" i="25" s="1"/>
  <c r="A135" i="37"/>
  <c r="J134" i="37"/>
  <c r="F134" i="37"/>
  <c r="A134" i="37"/>
  <c r="J133" i="37"/>
  <c r="F133" i="37"/>
  <c r="A133" i="37"/>
  <c r="A132" i="37"/>
  <c r="I130" i="37"/>
  <c r="H130" i="37"/>
  <c r="A130" i="37"/>
  <c r="J129" i="37"/>
  <c r="I129" i="37"/>
  <c r="F129" i="37"/>
  <c r="A129" i="37"/>
  <c r="J128" i="37"/>
  <c r="I128" i="37"/>
  <c r="F128" i="37"/>
  <c r="A128" i="37"/>
  <c r="J127" i="37"/>
  <c r="I127" i="37"/>
  <c r="F127" i="37"/>
  <c r="A127" i="37"/>
  <c r="J126" i="37"/>
  <c r="I126" i="37"/>
  <c r="F126" i="37"/>
  <c r="A126" i="37"/>
  <c r="J125" i="37"/>
  <c r="I125" i="37"/>
  <c r="F125" i="37"/>
  <c r="A125" i="37"/>
  <c r="J124" i="37"/>
  <c r="I124" i="37"/>
  <c r="F124" i="37"/>
  <c r="A124" i="37"/>
  <c r="J123" i="37"/>
  <c r="I123" i="37"/>
  <c r="F123" i="37"/>
  <c r="A123" i="37"/>
  <c r="J122" i="37"/>
  <c r="I122" i="37"/>
  <c r="F122" i="37"/>
  <c r="A122" i="37"/>
  <c r="J121" i="37"/>
  <c r="I121" i="37"/>
  <c r="F121" i="37"/>
  <c r="A121" i="37"/>
  <c r="J120" i="37"/>
  <c r="I120" i="37"/>
  <c r="F120" i="37"/>
  <c r="A120" i="37"/>
  <c r="J119" i="37"/>
  <c r="I119" i="37"/>
  <c r="F119" i="37"/>
  <c r="A119" i="37"/>
  <c r="J118" i="37"/>
  <c r="I118" i="37"/>
  <c r="F118" i="37"/>
  <c r="A118" i="37"/>
  <c r="A117" i="37"/>
  <c r="A116" i="37"/>
  <c r="A115" i="37"/>
  <c r="A113" i="37"/>
  <c r="A112" i="37"/>
  <c r="A109" i="37"/>
  <c r="A108" i="37"/>
  <c r="A107" i="37"/>
  <c r="A106" i="37"/>
  <c r="A105" i="37"/>
  <c r="A104" i="37"/>
  <c r="J103" i="37"/>
  <c r="A103" i="37"/>
  <c r="A102" i="37"/>
  <c r="A101" i="37"/>
  <c r="A100" i="37"/>
  <c r="A99" i="37"/>
  <c r="J98" i="37"/>
  <c r="A98" i="37"/>
  <c r="I96" i="37"/>
  <c r="H96" i="37"/>
  <c r="A96" i="37"/>
  <c r="J95" i="37"/>
  <c r="I95" i="37"/>
  <c r="F95" i="37"/>
  <c r="A95" i="37"/>
  <c r="J94" i="37"/>
  <c r="I94" i="37"/>
  <c r="F94" i="37"/>
  <c r="A94" i="37"/>
  <c r="J93" i="37"/>
  <c r="I93" i="37"/>
  <c r="F93" i="37"/>
  <c r="A93" i="37"/>
  <c r="J92" i="37"/>
  <c r="I92" i="37"/>
  <c r="F92" i="37"/>
  <c r="A92" i="37"/>
  <c r="J91" i="37"/>
  <c r="I91" i="37"/>
  <c r="F91" i="37"/>
  <c r="A91" i="37"/>
  <c r="J90" i="37"/>
  <c r="I90" i="37"/>
  <c r="F90" i="37"/>
  <c r="A90" i="37"/>
  <c r="J89" i="37"/>
  <c r="I89" i="37"/>
  <c r="F89" i="37"/>
  <c r="A89" i="37"/>
  <c r="J88" i="37"/>
  <c r="I88" i="37"/>
  <c r="F88" i="37"/>
  <c r="A88" i="37"/>
  <c r="J87" i="37"/>
  <c r="I87" i="37"/>
  <c r="F87" i="37"/>
  <c r="A87" i="37"/>
  <c r="J86" i="37"/>
  <c r="I86" i="37"/>
  <c r="F86" i="37"/>
  <c r="A86" i="37"/>
  <c r="J85" i="37"/>
  <c r="I85" i="37"/>
  <c r="F85" i="37"/>
  <c r="A85" i="37"/>
  <c r="J84" i="37"/>
  <c r="I84" i="37"/>
  <c r="F84" i="37"/>
  <c r="A84" i="37"/>
  <c r="A83" i="37"/>
  <c r="A82" i="37"/>
  <c r="A81" i="37"/>
  <c r="A79" i="37"/>
  <c r="A78" i="37"/>
  <c r="A75" i="37"/>
  <c r="A74" i="37"/>
  <c r="A73" i="37"/>
  <c r="J72" i="37"/>
  <c r="A72" i="37"/>
  <c r="A71" i="37"/>
  <c r="J70" i="37"/>
  <c r="A70" i="37"/>
  <c r="J69" i="37"/>
  <c r="F69" i="37"/>
  <c r="A69" i="37"/>
  <c r="J68" i="37"/>
  <c r="F68" i="37"/>
  <c r="B68" i="37"/>
  <c r="A68" i="37"/>
  <c r="A67" i="37"/>
  <c r="J66" i="37"/>
  <c r="F66" i="37"/>
  <c r="A66" i="37"/>
  <c r="J65" i="37"/>
  <c r="F65" i="37"/>
  <c r="A65" i="37"/>
  <c r="A64" i="37"/>
  <c r="I62" i="37"/>
  <c r="H62" i="37"/>
  <c r="A62" i="37"/>
  <c r="J61" i="37"/>
  <c r="I61" i="37"/>
  <c r="F61" i="37"/>
  <c r="A61" i="37"/>
  <c r="J60" i="37"/>
  <c r="I60" i="37"/>
  <c r="F60" i="37"/>
  <c r="A60" i="37"/>
  <c r="J59" i="37"/>
  <c r="I59" i="37"/>
  <c r="F59" i="37"/>
  <c r="A59" i="37"/>
  <c r="J58" i="37"/>
  <c r="I58" i="37"/>
  <c r="F58" i="37"/>
  <c r="A58" i="37"/>
  <c r="J57" i="37"/>
  <c r="I57" i="37"/>
  <c r="F57" i="37"/>
  <c r="A57" i="37"/>
  <c r="J56" i="37"/>
  <c r="I56" i="37"/>
  <c r="F56" i="37"/>
  <c r="A56" i="37"/>
  <c r="J55" i="37"/>
  <c r="I55" i="37"/>
  <c r="F55" i="37"/>
  <c r="A55" i="37"/>
  <c r="J54" i="37"/>
  <c r="I54" i="37"/>
  <c r="F54" i="37"/>
  <c r="A54" i="37"/>
  <c r="J53" i="37"/>
  <c r="I53" i="37"/>
  <c r="F53" i="37"/>
  <c r="A53" i="37"/>
  <c r="J52" i="37"/>
  <c r="I52" i="37"/>
  <c r="F52" i="37"/>
  <c r="A52" i="37"/>
  <c r="J51" i="37"/>
  <c r="I51" i="37"/>
  <c r="F51" i="37"/>
  <c r="A51" i="37"/>
  <c r="J50" i="37"/>
  <c r="I50" i="37"/>
  <c r="F50" i="37"/>
  <c r="A50" i="37"/>
  <c r="A49" i="37"/>
  <c r="A48" i="37"/>
  <c r="A47" i="37"/>
  <c r="A45" i="37"/>
  <c r="A44" i="37"/>
  <c r="A41" i="37"/>
  <c r="A40" i="37"/>
  <c r="A39" i="37"/>
  <c r="J32" i="37"/>
  <c r="A31" i="37"/>
  <c r="A30" i="37"/>
  <c r="A29" i="37"/>
  <c r="A28" i="37"/>
  <c r="A27" i="37"/>
  <c r="J26" i="37"/>
  <c r="A26" i="37"/>
  <c r="I24" i="37"/>
  <c r="H24" i="37"/>
  <c r="A24" i="37"/>
  <c r="J23" i="37"/>
  <c r="I23" i="37"/>
  <c r="F23" i="37"/>
  <c r="A23" i="37"/>
  <c r="J22" i="37"/>
  <c r="I22" i="37"/>
  <c r="F22" i="37"/>
  <c r="A22" i="37"/>
  <c r="J21" i="37"/>
  <c r="I21" i="37"/>
  <c r="F21" i="37"/>
  <c r="A21" i="37"/>
  <c r="J20" i="37"/>
  <c r="I20" i="37"/>
  <c r="F20" i="37"/>
  <c r="A20" i="37"/>
  <c r="J19" i="37"/>
  <c r="I19" i="37"/>
  <c r="F19" i="37"/>
  <c r="A19" i="37"/>
  <c r="J18" i="37"/>
  <c r="I18" i="37"/>
  <c r="F18" i="37"/>
  <c r="A18" i="37"/>
  <c r="J17" i="37"/>
  <c r="I17" i="37"/>
  <c r="F17" i="37"/>
  <c r="A17" i="37"/>
  <c r="J16" i="37"/>
  <c r="I16" i="37"/>
  <c r="F16" i="37"/>
  <c r="A16" i="37"/>
  <c r="J15" i="37"/>
  <c r="I15" i="37"/>
  <c r="F15" i="37"/>
  <c r="A15" i="37"/>
  <c r="J14" i="37"/>
  <c r="I14" i="37"/>
  <c r="F14" i="37"/>
  <c r="A14" i="37"/>
  <c r="J13" i="37"/>
  <c r="I13" i="37"/>
  <c r="F13" i="37"/>
  <c r="A13" i="37"/>
  <c r="J12" i="37"/>
  <c r="I12" i="37"/>
  <c r="F12" i="37"/>
  <c r="A12" i="37"/>
  <c r="A11" i="37"/>
  <c r="A10" i="37"/>
  <c r="A9" i="37"/>
  <c r="A7" i="37"/>
  <c r="O45" i="30"/>
  <c r="N45" i="30"/>
  <c r="L45" i="30"/>
  <c r="K45" i="30"/>
  <c r="J45" i="30"/>
  <c r="H45" i="30"/>
  <c r="E45" i="30"/>
  <c r="C45" i="30"/>
  <c r="M44" i="30"/>
  <c r="I44" i="30"/>
  <c r="D44" i="30"/>
  <c r="O42" i="30"/>
  <c r="N42" i="30"/>
  <c r="M42" i="30"/>
  <c r="K42" i="30"/>
  <c r="J42" i="30"/>
  <c r="I42" i="30"/>
  <c r="E42" i="30"/>
  <c r="D42" i="30"/>
  <c r="C42" i="30"/>
  <c r="A42" i="30"/>
  <c r="O41" i="30"/>
  <c r="N41" i="30"/>
  <c r="M41" i="30"/>
  <c r="K41" i="30"/>
  <c r="J41" i="30"/>
  <c r="I41" i="30"/>
  <c r="E41" i="30"/>
  <c r="D41" i="30"/>
  <c r="C41" i="30"/>
  <c r="A41" i="30"/>
  <c r="O40" i="30"/>
  <c r="N40" i="30"/>
  <c r="M40" i="30"/>
  <c r="K40" i="30"/>
  <c r="J40" i="30"/>
  <c r="I40" i="30"/>
  <c r="E40" i="30"/>
  <c r="D40" i="30"/>
  <c r="C40" i="30"/>
  <c r="A40" i="30"/>
  <c r="O39" i="30"/>
  <c r="N39" i="30"/>
  <c r="M39" i="30"/>
  <c r="K39" i="30"/>
  <c r="J39" i="30"/>
  <c r="I39" i="30"/>
  <c r="E39" i="30"/>
  <c r="D39" i="30"/>
  <c r="C39" i="30"/>
  <c r="A39" i="30"/>
  <c r="O38" i="30"/>
  <c r="N38" i="30"/>
  <c r="M38" i="30"/>
  <c r="K38" i="30"/>
  <c r="J38" i="30"/>
  <c r="I38" i="30"/>
  <c r="E38" i="30"/>
  <c r="D38" i="30"/>
  <c r="C38" i="30"/>
  <c r="A38" i="30"/>
  <c r="O37" i="30"/>
  <c r="N37" i="30"/>
  <c r="M37" i="30"/>
  <c r="K37" i="30"/>
  <c r="J37" i="30"/>
  <c r="I37" i="30"/>
  <c r="E37" i="30"/>
  <c r="D37" i="30"/>
  <c r="C37" i="30"/>
  <c r="A37" i="30"/>
  <c r="O36" i="30"/>
  <c r="N36" i="30"/>
  <c r="M36" i="30"/>
  <c r="K36" i="30"/>
  <c r="J36" i="30"/>
  <c r="I36" i="30"/>
  <c r="E36" i="30"/>
  <c r="D36" i="30"/>
  <c r="C36" i="30"/>
  <c r="A36" i="30"/>
  <c r="O35" i="30"/>
  <c r="N35" i="30"/>
  <c r="M35" i="30"/>
  <c r="K35" i="30"/>
  <c r="J35" i="30"/>
  <c r="I35" i="30"/>
  <c r="E35" i="30"/>
  <c r="D35" i="30"/>
  <c r="C35" i="30"/>
  <c r="A35" i="30"/>
  <c r="O34" i="30"/>
  <c r="N34" i="30"/>
  <c r="M34" i="30"/>
  <c r="K34" i="30"/>
  <c r="J34" i="30"/>
  <c r="I34" i="30"/>
  <c r="E34" i="30"/>
  <c r="D34" i="30"/>
  <c r="C34" i="30"/>
  <c r="A34" i="30"/>
  <c r="O33" i="30"/>
  <c r="N33" i="30"/>
  <c r="M33" i="30"/>
  <c r="K33" i="30"/>
  <c r="J33" i="30"/>
  <c r="I33" i="30"/>
  <c r="E33" i="30"/>
  <c r="D33" i="30"/>
  <c r="C33" i="30"/>
  <c r="A33" i="30"/>
  <c r="O32" i="30"/>
  <c r="N32" i="30"/>
  <c r="M32" i="30"/>
  <c r="K32" i="30"/>
  <c r="J32" i="30"/>
  <c r="I32" i="30"/>
  <c r="E32" i="30"/>
  <c r="D32" i="30"/>
  <c r="C32" i="30"/>
  <c r="A32" i="30"/>
  <c r="O31" i="30"/>
  <c r="N31" i="30"/>
  <c r="M31" i="30"/>
  <c r="K31" i="30"/>
  <c r="J31" i="30"/>
  <c r="I31" i="30"/>
  <c r="E31" i="30"/>
  <c r="D31" i="30"/>
  <c r="C31" i="30"/>
  <c r="A31" i="30"/>
  <c r="O30" i="30"/>
  <c r="N30" i="30"/>
  <c r="M30" i="30"/>
  <c r="K30" i="30"/>
  <c r="J30" i="30"/>
  <c r="I30" i="30"/>
  <c r="E30" i="30"/>
  <c r="D30" i="30"/>
  <c r="C30" i="30"/>
  <c r="A30" i="30"/>
  <c r="O29" i="30"/>
  <c r="N29" i="30"/>
  <c r="M29" i="30"/>
  <c r="K29" i="30"/>
  <c r="J29" i="30"/>
  <c r="I29" i="30"/>
  <c r="E29" i="30"/>
  <c r="D29" i="30"/>
  <c r="C29" i="30"/>
  <c r="A29" i="30"/>
  <c r="O28" i="30"/>
  <c r="N28" i="30"/>
  <c r="M28" i="30"/>
  <c r="K28" i="30"/>
  <c r="J28" i="30"/>
  <c r="I28" i="30"/>
  <c r="E28" i="30"/>
  <c r="D28" i="30"/>
  <c r="C28" i="30"/>
  <c r="A28" i="30"/>
  <c r="O27" i="30"/>
  <c r="N27" i="30"/>
  <c r="M27" i="30"/>
  <c r="K27" i="30"/>
  <c r="J27" i="30"/>
  <c r="I27" i="30"/>
  <c r="E27" i="30"/>
  <c r="D27" i="30"/>
  <c r="C27" i="30"/>
  <c r="A27" i="30"/>
  <c r="O26" i="30"/>
  <c r="N26" i="30"/>
  <c r="M26" i="30"/>
  <c r="K26" i="30"/>
  <c r="J26" i="30"/>
  <c r="I26" i="30"/>
  <c r="E26" i="30"/>
  <c r="D26" i="30"/>
  <c r="C26" i="30"/>
  <c r="A26" i="30"/>
  <c r="O25" i="30"/>
  <c r="N25" i="30"/>
  <c r="M25" i="30"/>
  <c r="K25" i="30"/>
  <c r="J25" i="30"/>
  <c r="I25" i="30"/>
  <c r="E25" i="30"/>
  <c r="D25" i="30"/>
  <c r="C25" i="30"/>
  <c r="A25" i="30"/>
  <c r="O24" i="30"/>
  <c r="N24" i="30"/>
  <c r="M24" i="30"/>
  <c r="K24" i="30"/>
  <c r="J24" i="30"/>
  <c r="I24" i="30"/>
  <c r="E24" i="30"/>
  <c r="D24" i="30"/>
  <c r="C24" i="30"/>
  <c r="A24" i="30"/>
  <c r="O23" i="30"/>
  <c r="N23" i="30"/>
  <c r="M23" i="30"/>
  <c r="K23" i="30"/>
  <c r="J23" i="30"/>
  <c r="I23" i="30"/>
  <c r="E23" i="30"/>
  <c r="D23" i="30"/>
  <c r="C23" i="30"/>
  <c r="A23" i="30"/>
  <c r="O22" i="30"/>
  <c r="N22" i="30"/>
  <c r="M22" i="30"/>
  <c r="K22" i="30"/>
  <c r="J22" i="30"/>
  <c r="I22" i="30"/>
  <c r="E22" i="30"/>
  <c r="D22" i="30"/>
  <c r="C22" i="30"/>
  <c r="A22" i="30"/>
  <c r="O21" i="30"/>
  <c r="N21" i="30"/>
  <c r="M21" i="30"/>
  <c r="K21" i="30"/>
  <c r="J21" i="30"/>
  <c r="I21" i="30"/>
  <c r="E21" i="30"/>
  <c r="D21" i="30"/>
  <c r="C21" i="30"/>
  <c r="A21" i="30"/>
  <c r="O20" i="30"/>
  <c r="N20" i="30"/>
  <c r="M20" i="30"/>
  <c r="K20" i="30"/>
  <c r="J20" i="30"/>
  <c r="I20" i="30"/>
  <c r="E20" i="30"/>
  <c r="D20" i="30"/>
  <c r="C20" i="30"/>
  <c r="A20" i="30"/>
  <c r="O19" i="30"/>
  <c r="N19" i="30"/>
  <c r="M19" i="30"/>
  <c r="K19" i="30"/>
  <c r="J19" i="30"/>
  <c r="I19" i="30"/>
  <c r="E19" i="30"/>
  <c r="D19" i="30"/>
  <c r="C19" i="30"/>
  <c r="A19" i="30"/>
  <c r="A14" i="30"/>
  <c r="A13" i="30"/>
  <c r="A12" i="30"/>
  <c r="A11" i="30"/>
  <c r="A10" i="30"/>
  <c r="A9" i="30"/>
  <c r="A8" i="30"/>
  <c r="A3" i="30"/>
  <c r="D22" i="28"/>
  <c r="D21" i="28"/>
  <c r="D20" i="28"/>
  <c r="D19" i="28"/>
  <c r="G18" i="28"/>
  <c r="G17" i="28"/>
  <c r="G16" i="28"/>
  <c r="G15" i="28"/>
  <c r="G14" i="28"/>
  <c r="G13" i="28"/>
  <c r="G12" i="28"/>
  <c r="G11" i="28"/>
  <c r="A40" i="27"/>
  <c r="D39" i="27"/>
  <c r="A39" i="27"/>
  <c r="D38" i="27"/>
  <c r="A38" i="27"/>
  <c r="D37" i="27"/>
  <c r="A37" i="27"/>
  <c r="D36" i="27"/>
  <c r="A36" i="27"/>
  <c r="A35" i="27"/>
  <c r="D34" i="27"/>
  <c r="A34" i="27"/>
  <c r="D33" i="27"/>
  <c r="A33" i="27"/>
  <c r="A28" i="27"/>
  <c r="D27" i="27"/>
  <c r="A27" i="27"/>
  <c r="D26" i="27"/>
  <c r="A26" i="27"/>
  <c r="D25" i="27"/>
  <c r="A24" i="27"/>
  <c r="D23" i="27"/>
  <c r="F23" i="27" s="1"/>
  <c r="D111" i="25" s="1"/>
  <c r="A23" i="27"/>
  <c r="A22" i="27"/>
  <c r="A21" i="27"/>
  <c r="A20" i="27"/>
  <c r="D19" i="27"/>
  <c r="A19" i="27"/>
  <c r="D18" i="27"/>
  <c r="A18" i="27"/>
  <c r="D17" i="27"/>
  <c r="A17" i="27"/>
  <c r="D16" i="27"/>
  <c r="A16" i="27"/>
  <c r="A3" i="27"/>
  <c r="A44" i="26"/>
  <c r="A43" i="26"/>
  <c r="W42" i="26"/>
  <c r="R42" i="26"/>
  <c r="Q42" i="26"/>
  <c r="P42" i="26"/>
  <c r="O42" i="26"/>
  <c r="N42" i="26"/>
  <c r="Z41" i="26"/>
  <c r="W41" i="26"/>
  <c r="Q41" i="26"/>
  <c r="O41" i="26"/>
  <c r="K41" i="26"/>
  <c r="A41" i="26"/>
  <c r="Z40" i="26"/>
  <c r="W40" i="26"/>
  <c r="Q40" i="26"/>
  <c r="O40" i="26"/>
  <c r="K40" i="26"/>
  <c r="A40" i="26"/>
  <c r="Z39" i="26"/>
  <c r="W39" i="26"/>
  <c r="Q39" i="26"/>
  <c r="O39" i="26"/>
  <c r="K39" i="26"/>
  <c r="A39" i="26"/>
  <c r="Z38" i="26"/>
  <c r="W38" i="26"/>
  <c r="Q38" i="26"/>
  <c r="O38" i="26"/>
  <c r="K38" i="26"/>
  <c r="A38" i="26"/>
  <c r="Z37" i="26"/>
  <c r="W37" i="26"/>
  <c r="Q37" i="26"/>
  <c r="O37" i="26"/>
  <c r="K37" i="26"/>
  <c r="A37" i="26"/>
  <c r="Z36" i="26"/>
  <c r="W36" i="26"/>
  <c r="Q36" i="26"/>
  <c r="O36" i="26"/>
  <c r="K36" i="26"/>
  <c r="A36" i="26"/>
  <c r="Z35" i="26"/>
  <c r="W35" i="26"/>
  <c r="Q35" i="26"/>
  <c r="O35" i="26"/>
  <c r="K35" i="26"/>
  <c r="A35" i="26"/>
  <c r="Z34" i="26"/>
  <c r="W34" i="26"/>
  <c r="Q34" i="26"/>
  <c r="O34" i="26"/>
  <c r="K34" i="26"/>
  <c r="A34" i="26"/>
  <c r="Z33" i="26"/>
  <c r="W33" i="26"/>
  <c r="Q33" i="26"/>
  <c r="O33" i="26"/>
  <c r="K33" i="26"/>
  <c r="A33" i="26"/>
  <c r="Z32" i="26"/>
  <c r="W32" i="26"/>
  <c r="Q32" i="26"/>
  <c r="O32" i="26"/>
  <c r="K32" i="26"/>
  <c r="A32" i="26"/>
  <c r="Z31" i="26"/>
  <c r="W31" i="26"/>
  <c r="Q31" i="26"/>
  <c r="O31" i="26"/>
  <c r="K31" i="26"/>
  <c r="A31" i="26"/>
  <c r="Z30" i="26"/>
  <c r="W30" i="26"/>
  <c r="Q30" i="26"/>
  <c r="O30" i="26"/>
  <c r="K30" i="26"/>
  <c r="A30" i="26"/>
  <c r="U29" i="26"/>
  <c r="R29" i="26"/>
  <c r="P29" i="26"/>
  <c r="O29" i="26"/>
  <c r="N29" i="26"/>
  <c r="K29" i="26"/>
  <c r="A29" i="26"/>
  <c r="U28" i="26"/>
  <c r="R28" i="26"/>
  <c r="P28" i="26"/>
  <c r="O28" i="26"/>
  <c r="N28" i="26"/>
  <c r="K28" i="26"/>
  <c r="A28" i="26"/>
  <c r="U27" i="26"/>
  <c r="R27" i="26"/>
  <c r="P27" i="26"/>
  <c r="O27" i="26"/>
  <c r="N27" i="26"/>
  <c r="K27" i="26"/>
  <c r="A27" i="26"/>
  <c r="U26" i="26"/>
  <c r="R26" i="26"/>
  <c r="P26" i="26"/>
  <c r="O26" i="26"/>
  <c r="N26" i="26"/>
  <c r="K26" i="26"/>
  <c r="A26" i="26"/>
  <c r="U25" i="26"/>
  <c r="R25" i="26"/>
  <c r="P25" i="26"/>
  <c r="O25" i="26"/>
  <c r="N25" i="26"/>
  <c r="K25" i="26"/>
  <c r="H25" i="26"/>
  <c r="D25" i="26" s="1"/>
  <c r="A25" i="26"/>
  <c r="U24" i="26"/>
  <c r="R24" i="26"/>
  <c r="P24" i="26"/>
  <c r="O24" i="26"/>
  <c r="N24" i="26"/>
  <c r="K24" i="26"/>
  <c r="A24" i="26"/>
  <c r="U23" i="26"/>
  <c r="R23" i="26"/>
  <c r="P23" i="26"/>
  <c r="O23" i="26"/>
  <c r="N23" i="26"/>
  <c r="K23" i="26"/>
  <c r="A23" i="26"/>
  <c r="U22" i="26"/>
  <c r="R22" i="26"/>
  <c r="P22" i="26"/>
  <c r="O22" i="26"/>
  <c r="N22" i="26"/>
  <c r="K22" i="26"/>
  <c r="A22" i="26"/>
  <c r="U21" i="26"/>
  <c r="R21" i="26"/>
  <c r="P21" i="26"/>
  <c r="O21" i="26"/>
  <c r="N21" i="26"/>
  <c r="K21" i="26"/>
  <c r="A21" i="26"/>
  <c r="U20" i="26"/>
  <c r="R20" i="26"/>
  <c r="P20" i="26"/>
  <c r="O20" i="26"/>
  <c r="N20" i="26"/>
  <c r="K20" i="26"/>
  <c r="A20" i="26"/>
  <c r="U19" i="26"/>
  <c r="R19" i="26"/>
  <c r="P19" i="26"/>
  <c r="O19" i="26"/>
  <c r="N19" i="26"/>
  <c r="K19" i="26"/>
  <c r="A19" i="26"/>
  <c r="U18" i="26"/>
  <c r="R18" i="26"/>
  <c r="P18" i="26"/>
  <c r="O18" i="26"/>
  <c r="N18" i="26"/>
  <c r="K18" i="26"/>
  <c r="A18" i="26"/>
  <c r="J14" i="26"/>
  <c r="H14" i="26"/>
  <c r="H39" i="26" s="1"/>
  <c r="D39" i="26" s="1"/>
  <c r="B3" i="26"/>
  <c r="A3" i="28" s="1"/>
  <c r="C237" i="25"/>
  <c r="K234" i="25"/>
  <c r="I231" i="25"/>
  <c r="G225" i="25"/>
  <c r="D224" i="25"/>
  <c r="G224" i="25" s="1"/>
  <c r="D223" i="25"/>
  <c r="G223" i="25" s="1"/>
  <c r="I219" i="25"/>
  <c r="I218" i="25"/>
  <c r="I216" i="25"/>
  <c r="I213" i="25"/>
  <c r="I211" i="25"/>
  <c r="D207" i="25"/>
  <c r="D206" i="25"/>
  <c r="D205" i="25"/>
  <c r="D201" i="25"/>
  <c r="G201" i="25" s="1"/>
  <c r="D200" i="25"/>
  <c r="D199" i="25"/>
  <c r="G199" i="25" s="1"/>
  <c r="D198" i="25"/>
  <c r="D197" i="25"/>
  <c r="I180" i="25"/>
  <c r="I172" i="25"/>
  <c r="I171" i="25"/>
  <c r="C165" i="25"/>
  <c r="G162" i="25"/>
  <c r="I159" i="25"/>
  <c r="D143" i="25"/>
  <c r="D148" i="25" s="1"/>
  <c r="D142" i="25"/>
  <c r="D138" i="25"/>
  <c r="F129" i="25"/>
  <c r="D123" i="25"/>
  <c r="I123" i="25" s="1"/>
  <c r="D122" i="25"/>
  <c r="B122" i="25"/>
  <c r="D121" i="25"/>
  <c r="D120" i="25"/>
  <c r="B119" i="25"/>
  <c r="F112" i="25"/>
  <c r="F110" i="25"/>
  <c r="F109" i="25"/>
  <c r="C98" i="25"/>
  <c r="K95" i="25"/>
  <c r="I92" i="25"/>
  <c r="F82" i="25"/>
  <c r="D82" i="25"/>
  <c r="I76" i="25"/>
  <c r="D76" i="25"/>
  <c r="I75" i="25"/>
  <c r="D75" i="25"/>
  <c r="I74" i="25"/>
  <c r="D69" i="25"/>
  <c r="I66" i="25"/>
  <c r="D66" i="25"/>
  <c r="B63" i="25"/>
  <c r="D62" i="25"/>
  <c r="B61" i="25"/>
  <c r="F57" i="25"/>
  <c r="D57" i="25"/>
  <c r="B57" i="25"/>
  <c r="D56" i="25"/>
  <c r="F55" i="25"/>
  <c r="B55" i="25"/>
  <c r="D51" i="25"/>
  <c r="D50" i="25"/>
  <c r="C42" i="25"/>
  <c r="K39" i="25"/>
  <c r="I36" i="25"/>
  <c r="A58" i="21"/>
  <c r="A57" i="21"/>
  <c r="A56" i="21"/>
  <c r="A53" i="21"/>
  <c r="H51" i="21"/>
  <c r="A51" i="21"/>
  <c r="A50" i="21"/>
  <c r="A49" i="21"/>
  <c r="A48" i="21"/>
  <c r="A47" i="21"/>
  <c r="H44" i="21"/>
  <c r="A44" i="21"/>
  <c r="A43" i="21"/>
  <c r="A42" i="21"/>
  <c r="A41" i="21"/>
  <c r="A37" i="21"/>
  <c r="A33" i="21"/>
  <c r="A32" i="21"/>
  <c r="H31" i="21"/>
  <c r="A31" i="21"/>
  <c r="A30" i="21"/>
  <c r="A29" i="21"/>
  <c r="A28" i="21"/>
  <c r="A27" i="21"/>
  <c r="A26" i="21"/>
  <c r="A23" i="21"/>
  <c r="A22" i="21"/>
  <c r="A21" i="21"/>
  <c r="A20" i="21"/>
  <c r="A17" i="21"/>
  <c r="A16" i="21"/>
  <c r="A15" i="21"/>
  <c r="A14" i="21"/>
  <c r="A13" i="21"/>
  <c r="A12" i="21"/>
  <c r="C11" i="21"/>
  <c r="A11" i="21"/>
  <c r="B10" i="21"/>
  <c r="A10" i="21"/>
  <c r="A9" i="21"/>
  <c r="A8" i="21"/>
  <c r="A3" i="21"/>
  <c r="F11" i="40"/>
  <c r="G11" i="40" s="1"/>
  <c r="F9" i="40"/>
  <c r="G9" i="40" s="1"/>
  <c r="A3" i="40"/>
  <c r="E33" i="39"/>
  <c r="G31" i="39"/>
  <c r="H31" i="39" s="1"/>
  <c r="G30" i="39"/>
  <c r="H30" i="39" s="1"/>
  <c r="G29" i="39"/>
  <c r="H29" i="39" s="1"/>
  <c r="G28" i="39"/>
  <c r="H28" i="39" s="1"/>
  <c r="G27" i="39"/>
  <c r="H27" i="39" s="1"/>
  <c r="G26" i="39"/>
  <c r="H26" i="39" s="1"/>
  <c r="G21" i="39"/>
  <c r="H21" i="39" s="1"/>
  <c r="G20" i="39"/>
  <c r="H20" i="39" s="1"/>
  <c r="G19" i="39"/>
  <c r="H19" i="39" s="1"/>
  <c r="G18" i="39"/>
  <c r="H18" i="39" s="1"/>
  <c r="H17" i="39"/>
  <c r="H14" i="39"/>
  <c r="H13" i="39"/>
  <c r="A3" i="39"/>
  <c r="N42" i="29"/>
  <c r="M42" i="29"/>
  <c r="J42" i="29"/>
  <c r="I42" i="29"/>
  <c r="E42" i="29"/>
  <c r="D42" i="29"/>
  <c r="C42" i="29"/>
  <c r="A42" i="29"/>
  <c r="N41" i="29"/>
  <c r="M41" i="29"/>
  <c r="J41" i="29"/>
  <c r="I41" i="29"/>
  <c r="E41" i="29"/>
  <c r="D41" i="29"/>
  <c r="C41" i="29"/>
  <c r="A41" i="29"/>
  <c r="N40" i="29"/>
  <c r="M40" i="29"/>
  <c r="J40" i="29"/>
  <c r="I40" i="29"/>
  <c r="E40" i="29"/>
  <c r="D40" i="29"/>
  <c r="C40" i="29"/>
  <c r="A40" i="29"/>
  <c r="N39" i="29"/>
  <c r="M39" i="29"/>
  <c r="J39" i="29"/>
  <c r="I39" i="29"/>
  <c r="E39" i="29"/>
  <c r="D39" i="29"/>
  <c r="C39" i="29"/>
  <c r="A39" i="29"/>
  <c r="N38" i="29"/>
  <c r="M38" i="29"/>
  <c r="J38" i="29"/>
  <c r="I38" i="29"/>
  <c r="E38" i="29"/>
  <c r="D38" i="29"/>
  <c r="C38" i="29"/>
  <c r="A38" i="29"/>
  <c r="N37" i="29"/>
  <c r="M37" i="29"/>
  <c r="J37" i="29"/>
  <c r="I37" i="29"/>
  <c r="E37" i="29"/>
  <c r="D37" i="29"/>
  <c r="C37" i="29"/>
  <c r="A37" i="29"/>
  <c r="N36" i="29"/>
  <c r="M36" i="29"/>
  <c r="J36" i="29"/>
  <c r="I36" i="29"/>
  <c r="E36" i="29"/>
  <c r="D36" i="29"/>
  <c r="C36" i="29"/>
  <c r="A36" i="29"/>
  <c r="N35" i="29"/>
  <c r="M35" i="29"/>
  <c r="J35" i="29"/>
  <c r="I35" i="29"/>
  <c r="E35" i="29"/>
  <c r="D35" i="29"/>
  <c r="C35" i="29"/>
  <c r="A35" i="29"/>
  <c r="N34" i="29"/>
  <c r="M34" i="29"/>
  <c r="J34" i="29"/>
  <c r="I34" i="29"/>
  <c r="E34" i="29"/>
  <c r="D34" i="29"/>
  <c r="C34" i="29"/>
  <c r="A34" i="29"/>
  <c r="N33" i="29"/>
  <c r="M33" i="29"/>
  <c r="J33" i="29"/>
  <c r="I33" i="29"/>
  <c r="E33" i="29"/>
  <c r="D33" i="29"/>
  <c r="C33" i="29"/>
  <c r="A33" i="29"/>
  <c r="N32" i="29"/>
  <c r="M32" i="29"/>
  <c r="J32" i="29"/>
  <c r="I32" i="29"/>
  <c r="E32" i="29"/>
  <c r="D32" i="29"/>
  <c r="C32" i="29"/>
  <c r="A32" i="29"/>
  <c r="N31" i="29"/>
  <c r="M31" i="29"/>
  <c r="J31" i="29"/>
  <c r="I31" i="29"/>
  <c r="E31" i="29"/>
  <c r="D31" i="29"/>
  <c r="C31" i="29"/>
  <c r="A31" i="29"/>
  <c r="N30" i="29"/>
  <c r="M30" i="29"/>
  <c r="J30" i="29"/>
  <c r="I30" i="29"/>
  <c r="E30" i="29"/>
  <c r="D30" i="29"/>
  <c r="C30" i="29"/>
  <c r="A30" i="29"/>
  <c r="N29" i="29"/>
  <c r="M29" i="29"/>
  <c r="J29" i="29"/>
  <c r="I29" i="29"/>
  <c r="E29" i="29"/>
  <c r="D29" i="29"/>
  <c r="C29" i="29"/>
  <c r="A29" i="29"/>
  <c r="N28" i="29"/>
  <c r="M28" i="29"/>
  <c r="J28" i="29"/>
  <c r="I28" i="29"/>
  <c r="E28" i="29"/>
  <c r="D28" i="29"/>
  <c r="C28" i="29"/>
  <c r="A28" i="29"/>
  <c r="N27" i="29"/>
  <c r="M27" i="29"/>
  <c r="J27" i="29"/>
  <c r="I27" i="29"/>
  <c r="E27" i="29"/>
  <c r="D27" i="29"/>
  <c r="C27" i="29"/>
  <c r="A27" i="29"/>
  <c r="N26" i="29"/>
  <c r="M26" i="29"/>
  <c r="J26" i="29"/>
  <c r="I26" i="29"/>
  <c r="E26" i="29"/>
  <c r="D26" i="29"/>
  <c r="C26" i="29"/>
  <c r="A26" i="29"/>
  <c r="N25" i="29"/>
  <c r="M25" i="29"/>
  <c r="J25" i="29"/>
  <c r="I25" i="29"/>
  <c r="E25" i="29"/>
  <c r="D25" i="29"/>
  <c r="C25" i="29"/>
  <c r="A25" i="29"/>
  <c r="N24" i="29"/>
  <c r="M24" i="29"/>
  <c r="J24" i="29"/>
  <c r="I24" i="29"/>
  <c r="E24" i="29"/>
  <c r="D24" i="29"/>
  <c r="C24" i="29"/>
  <c r="A24" i="29"/>
  <c r="N23" i="29"/>
  <c r="M23" i="29"/>
  <c r="J23" i="29"/>
  <c r="I23" i="29"/>
  <c r="E23" i="29"/>
  <c r="D23" i="29"/>
  <c r="C23" i="29"/>
  <c r="A23" i="29"/>
  <c r="N22" i="29"/>
  <c r="M22" i="29"/>
  <c r="J22" i="29"/>
  <c r="I22" i="29"/>
  <c r="E22" i="29"/>
  <c r="D22" i="29"/>
  <c r="C22" i="29"/>
  <c r="A22" i="29"/>
  <c r="N21" i="29"/>
  <c r="M21" i="29"/>
  <c r="J21" i="29"/>
  <c r="I21" i="29"/>
  <c r="E21" i="29"/>
  <c r="D21" i="29"/>
  <c r="C21" i="29"/>
  <c r="A21" i="29"/>
  <c r="N20" i="29"/>
  <c r="M20" i="29"/>
  <c r="J20" i="29"/>
  <c r="I20" i="29"/>
  <c r="E20" i="29"/>
  <c r="D20" i="29"/>
  <c r="C20" i="29"/>
  <c r="A20" i="29"/>
  <c r="N19" i="29"/>
  <c r="J19" i="29"/>
  <c r="E19" i="29"/>
  <c r="D19" i="29"/>
  <c r="C19" i="29"/>
  <c r="A19" i="29"/>
  <c r="A14" i="29"/>
  <c r="A13" i="29"/>
  <c r="A12" i="29"/>
  <c r="A11" i="29"/>
  <c r="A10" i="29"/>
  <c r="A9" i="29"/>
  <c r="A8" i="29"/>
  <c r="A3" i="29"/>
  <c r="E20" i="20"/>
  <c r="E21" i="20" s="1"/>
  <c r="F15" i="20"/>
  <c r="F14" i="20"/>
  <c r="F13" i="20"/>
  <c r="F12" i="20"/>
  <c r="F11" i="20"/>
  <c r="F10" i="20"/>
  <c r="F9" i="20"/>
  <c r="D9" i="20"/>
  <c r="D10" i="20" s="1"/>
  <c r="D11" i="20" s="1"/>
  <c r="D12" i="20" s="1"/>
  <c r="D13" i="20" s="1"/>
  <c r="D14" i="20" s="1"/>
  <c r="D15" i="20" s="1"/>
  <c r="D16" i="20" s="1"/>
  <c r="D17" i="20" s="1"/>
  <c r="D18" i="20" s="1"/>
  <c r="D19" i="20" s="1"/>
  <c r="F8" i="20"/>
  <c r="A3" i="20"/>
  <c r="E107" i="23"/>
  <c r="E104" i="23"/>
  <c r="D104" i="23"/>
  <c r="C104" i="23"/>
  <c r="F103" i="23"/>
  <c r="F102" i="23"/>
  <c r="F101" i="23"/>
  <c r="F100" i="23"/>
  <c r="F99" i="23"/>
  <c r="F98" i="23"/>
  <c r="F97" i="23"/>
  <c r="F96" i="23"/>
  <c r="F95" i="23"/>
  <c r="F104" i="23" s="1"/>
  <c r="F94" i="23"/>
  <c r="F93" i="23"/>
  <c r="F92" i="23"/>
  <c r="F91" i="23"/>
  <c r="E84" i="23"/>
  <c r="E83" i="23"/>
  <c r="I82" i="23"/>
  <c r="H82" i="23"/>
  <c r="G82" i="23"/>
  <c r="F82" i="23"/>
  <c r="E82" i="23"/>
  <c r="D82" i="23"/>
  <c r="I81" i="23"/>
  <c r="I80" i="23"/>
  <c r="I79" i="23"/>
  <c r="I78" i="23"/>
  <c r="I77" i="23"/>
  <c r="I76" i="23"/>
  <c r="A75" i="23"/>
  <c r="I70" i="23"/>
  <c r="E34" i="39" s="1"/>
  <c r="D70" i="23"/>
  <c r="C70" i="23"/>
  <c r="H69" i="23"/>
  <c r="G69" i="23"/>
  <c r="F69" i="23"/>
  <c r="H57" i="23"/>
  <c r="G57" i="23"/>
  <c r="F57" i="23"/>
  <c r="E57" i="23"/>
  <c r="E50" i="23"/>
  <c r="E49" i="23"/>
  <c r="I46" i="23"/>
  <c r="H46" i="23"/>
  <c r="G46" i="23"/>
  <c r="F46" i="23"/>
  <c r="E46" i="23"/>
  <c r="D54" i="9" s="1"/>
  <c r="D46" i="23"/>
  <c r="C46" i="23"/>
  <c r="D86" i="9"/>
  <c r="I23" i="23"/>
  <c r="H23" i="23"/>
  <c r="D50" i="9" s="1"/>
  <c r="G23" i="23"/>
  <c r="D49" i="9" s="1"/>
  <c r="D248" i="25" s="1"/>
  <c r="F23" i="23"/>
  <c r="E23" i="23"/>
  <c r="D47" i="9" s="1"/>
  <c r="D246" i="25" s="1"/>
  <c r="D23" i="23"/>
  <c r="D46" i="9" s="1"/>
  <c r="C23" i="23"/>
  <c r="D45" i="9" s="1"/>
  <c r="E3" i="23"/>
  <c r="E85" i="23" s="1"/>
  <c r="E51" i="42"/>
  <c r="E50" i="42"/>
  <c r="D50" i="42"/>
  <c r="G49" i="42"/>
  <c r="F49" i="42"/>
  <c r="F48" i="42"/>
  <c r="G48" i="42" s="1"/>
  <c r="F47" i="42"/>
  <c r="G47" i="42" s="1"/>
  <c r="F46" i="42"/>
  <c r="G46" i="42" s="1"/>
  <c r="F45" i="42"/>
  <c r="G45" i="42" s="1"/>
  <c r="F44" i="42"/>
  <c r="G44" i="42" s="1"/>
  <c r="G43" i="42"/>
  <c r="F43" i="42"/>
  <c r="F42" i="42"/>
  <c r="G42" i="42" s="1"/>
  <c r="F41" i="42"/>
  <c r="G41" i="42" s="1"/>
  <c r="F40" i="42"/>
  <c r="G40" i="42" s="1"/>
  <c r="F39" i="42"/>
  <c r="G39" i="42" s="1"/>
  <c r="F38" i="42"/>
  <c r="G38" i="42" s="1"/>
  <c r="G37" i="42"/>
  <c r="F37" i="42"/>
  <c r="F36" i="42"/>
  <c r="G36" i="42" s="1"/>
  <c r="F35" i="42"/>
  <c r="E30" i="42"/>
  <c r="D30" i="42"/>
  <c r="G29" i="42"/>
  <c r="F29" i="42"/>
  <c r="A29" i="42"/>
  <c r="G28" i="42"/>
  <c r="F28" i="42"/>
  <c r="A28" i="42"/>
  <c r="F27" i="42"/>
  <c r="G27" i="42" s="1"/>
  <c r="A27" i="42"/>
  <c r="F26" i="42"/>
  <c r="G26" i="42" s="1"/>
  <c r="A26" i="42"/>
  <c r="F25" i="42"/>
  <c r="G25" i="42" s="1"/>
  <c r="G24" i="42"/>
  <c r="H24" i="42" s="1"/>
  <c r="F24" i="42"/>
  <c r="F23" i="42"/>
  <c r="G23" i="42" s="1"/>
  <c r="F22" i="42"/>
  <c r="E19" i="42"/>
  <c r="E32" i="42" s="1"/>
  <c r="E52" i="42" s="1"/>
  <c r="D19" i="42"/>
  <c r="D32" i="42" s="1"/>
  <c r="F18" i="42"/>
  <c r="G18" i="42" s="1"/>
  <c r="H18" i="42" s="1"/>
  <c r="I18" i="42" s="1"/>
  <c r="F17" i="42"/>
  <c r="G17" i="42" s="1"/>
  <c r="F16" i="42"/>
  <c r="G16" i="42" s="1"/>
  <c r="G15" i="42"/>
  <c r="H15" i="42" s="1"/>
  <c r="F15" i="42"/>
  <c r="B44" i="41"/>
  <c r="B43" i="41"/>
  <c r="B42" i="41"/>
  <c r="B41" i="41"/>
  <c r="B40" i="41"/>
  <c r="B39" i="41"/>
  <c r="B36" i="41"/>
  <c r="B35" i="41"/>
  <c r="I34" i="41"/>
  <c r="P33" i="41"/>
  <c r="O33" i="41"/>
  <c r="N33" i="41"/>
  <c r="M33" i="41"/>
  <c r="B33" i="41"/>
  <c r="O32" i="41"/>
  <c r="I32" i="41"/>
  <c r="G32" i="41"/>
  <c r="M32" i="41" s="1"/>
  <c r="B32" i="41"/>
  <c r="I31" i="41"/>
  <c r="O31" i="41" s="1"/>
  <c r="O34" i="41" s="1"/>
  <c r="H31" i="41"/>
  <c r="H34" i="41" s="1"/>
  <c r="G31" i="41"/>
  <c r="G34" i="41" s="1"/>
  <c r="I29" i="41"/>
  <c r="I36" i="41" s="1"/>
  <c r="H29" i="41"/>
  <c r="G29" i="41"/>
  <c r="P28" i="41"/>
  <c r="O28" i="41"/>
  <c r="N28" i="41"/>
  <c r="M28" i="41"/>
  <c r="B28" i="41"/>
  <c r="P27" i="41"/>
  <c r="O27" i="41"/>
  <c r="N27" i="41"/>
  <c r="M27" i="41"/>
  <c r="B27" i="41"/>
  <c r="O26" i="41"/>
  <c r="N26" i="41"/>
  <c r="M26" i="41"/>
  <c r="J26" i="41"/>
  <c r="P26" i="41" s="1"/>
  <c r="H32" i="41"/>
  <c r="B26" i="41"/>
  <c r="P25" i="41"/>
  <c r="O25" i="41"/>
  <c r="N25" i="41"/>
  <c r="M25" i="41"/>
  <c r="J25" i="41"/>
  <c r="B25" i="41"/>
  <c r="P24" i="41"/>
  <c r="O24" i="41"/>
  <c r="N24" i="41"/>
  <c r="M24" i="41"/>
  <c r="J24" i="41"/>
  <c r="B24" i="41"/>
  <c r="P18" i="41"/>
  <c r="O18" i="41"/>
  <c r="N18" i="41"/>
  <c r="M18" i="41"/>
  <c r="I19" i="41"/>
  <c r="N17" i="41"/>
  <c r="N19" i="41" s="1"/>
  <c r="G17" i="41"/>
  <c r="M17" i="41" s="1"/>
  <c r="M19" i="41" s="1"/>
  <c r="I15" i="41"/>
  <c r="H15" i="41"/>
  <c r="G15" i="41"/>
  <c r="P14" i="41"/>
  <c r="O14" i="41"/>
  <c r="N14" i="41"/>
  <c r="M14" i="41"/>
  <c r="B14" i="41"/>
  <c r="O13" i="41"/>
  <c r="O15" i="41" s="1"/>
  <c r="N13" i="41"/>
  <c r="N15" i="41" s="1"/>
  <c r="M13" i="41"/>
  <c r="M15" i="41" s="1"/>
  <c r="J13" i="41"/>
  <c r="P13" i="41" s="1"/>
  <c r="P15" i="41" s="1"/>
  <c r="B13" i="41"/>
  <c r="P7" i="41"/>
  <c r="O7" i="41"/>
  <c r="N7" i="41"/>
  <c r="M7" i="41"/>
  <c r="F23" i="15"/>
  <c r="F21" i="15"/>
  <c r="F20" i="15"/>
  <c r="F19" i="15"/>
  <c r="A19" i="15"/>
  <c r="A20" i="15" s="1"/>
  <c r="A21" i="15" s="1"/>
  <c r="A22" i="15" s="1"/>
  <c r="A23" i="15" s="1"/>
  <c r="A24" i="15" s="1"/>
  <c r="F15" i="15"/>
  <c r="H70" i="23" s="1"/>
  <c r="D77" i="9" s="1"/>
  <c r="F14" i="15"/>
  <c r="G70" i="23" s="1"/>
  <c r="D76" i="9" s="1"/>
  <c r="F13" i="15"/>
  <c r="F70" i="23" s="1"/>
  <c r="D75" i="9" s="1"/>
  <c r="F12" i="15"/>
  <c r="E70" i="23" s="1"/>
  <c r="D74" i="9" s="1"/>
  <c r="A12" i="15"/>
  <c r="A13" i="15" s="1"/>
  <c r="A14" i="15" s="1"/>
  <c r="A15" i="15" s="1"/>
  <c r="A3" i="15"/>
  <c r="D31" i="16"/>
  <c r="D116" i="9" s="1"/>
  <c r="D23" i="16"/>
  <c r="D114" i="9" s="1"/>
  <c r="D22" i="27" s="1"/>
  <c r="D14" i="16"/>
  <c r="D113" i="9" s="1"/>
  <c r="D21" i="27" s="1"/>
  <c r="A3" i="16"/>
  <c r="A57" i="4"/>
  <c r="A56" i="4"/>
  <c r="A55" i="4"/>
  <c r="A54" i="4"/>
  <c r="A53" i="4"/>
  <c r="A52" i="4"/>
  <c r="N51" i="4"/>
  <c r="M51" i="4"/>
  <c r="L51" i="4"/>
  <c r="K51" i="4"/>
  <c r="J51" i="4"/>
  <c r="I51" i="4"/>
  <c r="H51" i="4"/>
  <c r="G51" i="4"/>
  <c r="F51" i="4"/>
  <c r="A51" i="4"/>
  <c r="N50" i="4"/>
  <c r="M50" i="4"/>
  <c r="L50" i="4"/>
  <c r="K50" i="4"/>
  <c r="J50" i="4"/>
  <c r="I50" i="4"/>
  <c r="H50" i="4"/>
  <c r="G50" i="4"/>
  <c r="F50" i="4"/>
  <c r="A50" i="4"/>
  <c r="M49" i="4"/>
  <c r="L49" i="4"/>
  <c r="K49" i="4"/>
  <c r="J49" i="4"/>
  <c r="I49" i="4"/>
  <c r="H49" i="4"/>
  <c r="G49" i="4"/>
  <c r="F49" i="4"/>
  <c r="A49" i="4"/>
  <c r="N48" i="4"/>
  <c r="M48" i="4"/>
  <c r="M52" i="4" s="1"/>
  <c r="L48" i="4"/>
  <c r="K48" i="4"/>
  <c r="J48" i="4"/>
  <c r="I48" i="4"/>
  <c r="H48" i="4"/>
  <c r="D17" i="31" s="1"/>
  <c r="D19" i="31" s="1"/>
  <c r="G48" i="4"/>
  <c r="F48" i="4"/>
  <c r="A48" i="4"/>
  <c r="A47" i="4"/>
  <c r="A46" i="4"/>
  <c r="M45" i="4"/>
  <c r="L45" i="4"/>
  <c r="K45" i="4"/>
  <c r="J45" i="4"/>
  <c r="I45" i="4"/>
  <c r="H45" i="4"/>
  <c r="G45" i="4"/>
  <c r="F45" i="4"/>
  <c r="A45" i="4"/>
  <c r="A44" i="4"/>
  <c r="A43" i="4"/>
  <c r="A42" i="4"/>
  <c r="A41" i="4"/>
  <c r="A40" i="4"/>
  <c r="A39" i="4"/>
  <c r="A38" i="4"/>
  <c r="A37" i="4"/>
  <c r="A36" i="4"/>
  <c r="A35" i="4"/>
  <c r="A34" i="4"/>
  <c r="A33" i="4"/>
  <c r="A32" i="4"/>
  <c r="A31" i="4"/>
  <c r="A30" i="4"/>
  <c r="A29" i="4"/>
  <c r="A28" i="4"/>
  <c r="A27" i="4"/>
  <c r="N26" i="4"/>
  <c r="N49" i="4" s="1"/>
  <c r="A26" i="4"/>
  <c r="N25" i="4"/>
  <c r="A25" i="4"/>
  <c r="N24" i="4"/>
  <c r="A24" i="4"/>
  <c r="A23" i="4"/>
  <c r="A22" i="4"/>
  <c r="A21" i="4"/>
  <c r="A20" i="4"/>
  <c r="A19" i="4"/>
  <c r="A18" i="4"/>
  <c r="A17" i="4"/>
  <c r="A16" i="4"/>
  <c r="A15" i="4"/>
  <c r="A14" i="4"/>
  <c r="A13" i="4"/>
  <c r="F12" i="4"/>
  <c r="E12" i="4"/>
  <c r="A12" i="4"/>
  <c r="G11" i="4"/>
  <c r="A11" i="4"/>
  <c r="G10" i="4"/>
  <c r="A10" i="4"/>
  <c r="A9" i="4"/>
  <c r="A8" i="4"/>
  <c r="A3" i="4"/>
  <c r="D242" i="9"/>
  <c r="K239" i="9"/>
  <c r="I236" i="9"/>
  <c r="G229" i="9"/>
  <c r="G228" i="9"/>
  <c r="I225" i="9"/>
  <c r="D230" i="9" s="1"/>
  <c r="I222" i="9"/>
  <c r="I217" i="25" s="1"/>
  <c r="D213" i="9"/>
  <c r="G211" i="9"/>
  <c r="D207" i="9"/>
  <c r="G206" i="9"/>
  <c r="G204" i="9"/>
  <c r="G202" i="9"/>
  <c r="I193" i="9"/>
  <c r="I188" i="25" s="1"/>
  <c r="I192" i="9"/>
  <c r="D169" i="9"/>
  <c r="G166" i="9"/>
  <c r="I163" i="9"/>
  <c r="D142" i="9"/>
  <c r="D146" i="9" s="1"/>
  <c r="D152" i="9" s="1"/>
  <c r="D139" i="9"/>
  <c r="D40" i="27" s="1"/>
  <c r="I137" i="9"/>
  <c r="F133" i="9"/>
  <c r="D128" i="9"/>
  <c r="I127" i="9"/>
  <c r="B126" i="9"/>
  <c r="B123" i="9"/>
  <c r="I119" i="9"/>
  <c r="F116" i="9"/>
  <c r="F114" i="9"/>
  <c r="F113" i="9"/>
  <c r="D102" i="9"/>
  <c r="K99" i="9"/>
  <c r="I96" i="9"/>
  <c r="F86" i="9"/>
  <c r="D81" i="9"/>
  <c r="I81" i="9" s="1"/>
  <c r="D80" i="9"/>
  <c r="I80" i="9" s="1"/>
  <c r="I79" i="9"/>
  <c r="D79" i="9"/>
  <c r="I78" i="9"/>
  <c r="D71" i="9"/>
  <c r="I71" i="9" s="1"/>
  <c r="B68" i="9"/>
  <c r="B67" i="9"/>
  <c r="F59" i="9"/>
  <c r="D59" i="9"/>
  <c r="B59" i="9"/>
  <c r="F58" i="9"/>
  <c r="D58" i="9"/>
  <c r="B58" i="9"/>
  <c r="D57" i="9"/>
  <c r="F56" i="9"/>
  <c r="D56" i="9"/>
  <c r="B56" i="9"/>
  <c r="B65" i="9" s="1"/>
  <c r="F55" i="9"/>
  <c r="D55" i="9"/>
  <c r="B55" i="9"/>
  <c r="B64" i="9" s="1"/>
  <c r="F54" i="9"/>
  <c r="B54" i="9"/>
  <c r="B63" i="9" s="1"/>
  <c r="D48" i="9"/>
  <c r="I183" i="9" s="1"/>
  <c r="D38" i="9"/>
  <c r="K35" i="9"/>
  <c r="I32" i="9"/>
  <c r="F14" i="9"/>
  <c r="F22" i="20" l="1"/>
  <c r="I179" i="25"/>
  <c r="I181" i="25" s="1"/>
  <c r="I183" i="25" s="1"/>
  <c r="I187" i="9"/>
  <c r="I185" i="9"/>
  <c r="D247" i="25"/>
  <c r="D77" i="25"/>
  <c r="I77" i="25" s="1"/>
  <c r="D66" i="9"/>
  <c r="D256" i="25" s="1"/>
  <c r="G12" i="4"/>
  <c r="H35" i="26"/>
  <c r="D35" i="26" s="1"/>
  <c r="H24" i="26"/>
  <c r="D24" i="26" s="1"/>
  <c r="H21" i="26"/>
  <c r="D21" i="26" s="1"/>
  <c r="H32" i="26"/>
  <c r="D32" i="26" s="1"/>
  <c r="H41" i="26"/>
  <c r="D41" i="26" s="1"/>
  <c r="H20" i="26"/>
  <c r="D20" i="26" s="1"/>
  <c r="H29" i="26"/>
  <c r="D29" i="26" s="1"/>
  <c r="H38" i="26"/>
  <c r="D38" i="26" s="1"/>
  <c r="H28" i="26"/>
  <c r="D28" i="26" s="1"/>
  <c r="D68" i="9"/>
  <c r="D258" i="25" s="1"/>
  <c r="D63" i="25"/>
  <c r="D249" i="25"/>
  <c r="D67" i="9"/>
  <c r="D257" i="25" s="1"/>
  <c r="D51" i="9"/>
  <c r="D244" i="25"/>
  <c r="D64" i="9"/>
  <c r="I12" i="26"/>
  <c r="I25" i="26" s="1"/>
  <c r="E25" i="26" s="1"/>
  <c r="S25" i="26" s="1"/>
  <c r="T25" i="26" s="1"/>
  <c r="V25" i="26" s="1"/>
  <c r="I174" i="9"/>
  <c r="H31" i="26"/>
  <c r="D31" i="26" s="1"/>
  <c r="H34" i="26"/>
  <c r="D34" i="26" s="1"/>
  <c r="H37" i="26"/>
  <c r="D37" i="26" s="1"/>
  <c r="H40" i="26"/>
  <c r="D40" i="26" s="1"/>
  <c r="H19" i="26"/>
  <c r="D19" i="26" s="1"/>
  <c r="H23" i="26"/>
  <c r="D23" i="26" s="1"/>
  <c r="H27" i="26"/>
  <c r="D27" i="26" s="1"/>
  <c r="D65" i="9"/>
  <c r="D255" i="25" s="1"/>
  <c r="H18" i="26"/>
  <c r="D18" i="26" s="1"/>
  <c r="H22" i="26"/>
  <c r="D22" i="26" s="1"/>
  <c r="H26" i="26"/>
  <c r="D26" i="26" s="1"/>
  <c r="H30" i="26"/>
  <c r="D30" i="26" s="1"/>
  <c r="H33" i="26"/>
  <c r="D33" i="26" s="1"/>
  <c r="H36" i="26"/>
  <c r="D36" i="26" s="1"/>
  <c r="D60" i="9"/>
  <c r="D63" i="9"/>
  <c r="E35" i="39"/>
  <c r="F22" i="15"/>
  <c r="F24" i="15" s="1"/>
  <c r="D82" i="9" s="1"/>
  <c r="D78" i="25" s="1"/>
  <c r="D25" i="16"/>
  <c r="D24" i="27"/>
  <c r="D28" i="27" s="1"/>
  <c r="D120" i="9"/>
  <c r="D89" i="9" s="1"/>
  <c r="H40" i="41"/>
  <c r="J29" i="41"/>
  <c r="M29" i="41"/>
  <c r="N29" i="41"/>
  <c r="I40" i="41"/>
  <c r="O29" i="41"/>
  <c r="O40" i="41" s="1"/>
  <c r="J32" i="41"/>
  <c r="P32" i="41" s="1"/>
  <c r="N32" i="41"/>
  <c r="P29" i="41"/>
  <c r="P40" i="41" s="1"/>
  <c r="G36" i="41"/>
  <c r="O36" i="41"/>
  <c r="H36" i="41"/>
  <c r="J31" i="41"/>
  <c r="M31" i="41"/>
  <c r="M34" i="41" s="1"/>
  <c r="M41" i="41" s="1"/>
  <c r="G40" i="41"/>
  <c r="N31" i="41"/>
  <c r="I41" i="41"/>
  <c r="I42" i="41" s="1"/>
  <c r="J167" i="37"/>
  <c r="H152" i="37"/>
  <c r="M40" i="41"/>
  <c r="M21" i="41"/>
  <c r="N40" i="41"/>
  <c r="N21" i="41"/>
  <c r="O17" i="41"/>
  <c r="O19" i="41" s="1"/>
  <c r="O41" i="41" s="1"/>
  <c r="J15" i="41"/>
  <c r="I21" i="41"/>
  <c r="G19" i="41"/>
  <c r="G41" i="41" s="1"/>
  <c r="G42" i="41" s="1"/>
  <c r="H19" i="41"/>
  <c r="H41" i="41" s="1"/>
  <c r="H42" i="41" s="1"/>
  <c r="J17" i="41"/>
  <c r="F50" i="42"/>
  <c r="D52" i="42"/>
  <c r="F30" i="42"/>
  <c r="H38" i="42"/>
  <c r="I38" i="42"/>
  <c r="I29" i="42"/>
  <c r="H47" i="42"/>
  <c r="I47" i="42"/>
  <c r="H41" i="42"/>
  <c r="I41" i="42"/>
  <c r="H39" i="42"/>
  <c r="I39" i="42" s="1"/>
  <c r="H23" i="42"/>
  <c r="I23" i="42" s="1"/>
  <c r="H25" i="42"/>
  <c r="I25" i="42"/>
  <c r="H42" i="42"/>
  <c r="I42" i="42" s="1"/>
  <c r="G19" i="42"/>
  <c r="H16" i="42"/>
  <c r="I28" i="42"/>
  <c r="H17" i="42"/>
  <c r="I17" i="42" s="1"/>
  <c r="H26" i="42"/>
  <c r="I26" i="42" s="1"/>
  <c r="H36" i="42"/>
  <c r="I36" i="42" s="1"/>
  <c r="H48" i="42"/>
  <c r="I48" i="42" s="1"/>
  <c r="H44" i="42"/>
  <c r="I44" i="42"/>
  <c r="H27" i="42"/>
  <c r="I27" i="42" s="1"/>
  <c r="H45" i="42"/>
  <c r="I45" i="42" s="1"/>
  <c r="H29" i="42"/>
  <c r="I15" i="42"/>
  <c r="H28" i="42"/>
  <c r="F19" i="42"/>
  <c r="F32" i="42" s="1"/>
  <c r="F52" i="42" s="1"/>
  <c r="H37" i="42"/>
  <c r="I37" i="42" s="1"/>
  <c r="H40" i="42"/>
  <c r="I40" i="42" s="1"/>
  <c r="H43" i="42"/>
  <c r="I43" i="42" s="1"/>
  <c r="H46" i="42"/>
  <c r="I46" i="42" s="1"/>
  <c r="H49" i="42"/>
  <c r="I49" i="42" s="1"/>
  <c r="I24" i="42"/>
  <c r="G22" i="42"/>
  <c r="G35" i="42"/>
  <c r="H27" i="21"/>
  <c r="H29" i="21" s="1"/>
  <c r="H32" i="21" s="1"/>
  <c r="I22" i="9"/>
  <c r="G17" i="20"/>
  <c r="C20" i="28" s="1"/>
  <c r="E20" i="28" s="1"/>
  <c r="G20" i="28" s="1"/>
  <c r="G16" i="20"/>
  <c r="C19" i="28" s="1"/>
  <c r="E19" i="28" s="1"/>
  <c r="G19" i="28" s="1"/>
  <c r="G19" i="20"/>
  <c r="C22" i="28" s="1"/>
  <c r="E22" i="28" s="1"/>
  <c r="G22" i="28" s="1"/>
  <c r="G18" i="20"/>
  <c r="C21" i="28" s="1"/>
  <c r="E21" i="28" s="1"/>
  <c r="G21" i="28" s="1"/>
  <c r="J52" i="4"/>
  <c r="K52" i="4"/>
  <c r="L52" i="4"/>
  <c r="H52" i="4"/>
  <c r="G52" i="4"/>
  <c r="F52" i="4"/>
  <c r="D14" i="9"/>
  <c r="I52" i="4"/>
  <c r="N45" i="4"/>
  <c r="N52" i="4"/>
  <c r="D231" i="9"/>
  <c r="D225" i="25"/>
  <c r="D226" i="25" s="1"/>
  <c r="E223" i="25" s="1"/>
  <c r="I223" i="25" s="1"/>
  <c r="I194" i="9"/>
  <c r="I196" i="9" s="1"/>
  <c r="I220" i="25"/>
  <c r="D202" i="25"/>
  <c r="I32" i="26"/>
  <c r="E32" i="26" s="1"/>
  <c r="X32" i="26" s="1"/>
  <c r="Y32" i="26" s="1"/>
  <c r="AA32" i="26" s="1"/>
  <c r="I34" i="26"/>
  <c r="E34" i="26" s="1"/>
  <c r="X34" i="26" s="1"/>
  <c r="Y34" i="26" s="1"/>
  <c r="AA34" i="26" s="1"/>
  <c r="D208" i="25"/>
  <c r="G206" i="25" s="1"/>
  <c r="G197" i="25"/>
  <c r="G247" i="25"/>
  <c r="I247" i="25" s="1"/>
  <c r="G120" i="25"/>
  <c r="I120" i="25" s="1"/>
  <c r="G56" i="25"/>
  <c r="I56" i="25" s="1"/>
  <c r="G113" i="25"/>
  <c r="G50" i="25"/>
  <c r="I50" i="25" s="1"/>
  <c r="G256" i="25"/>
  <c r="E200" i="25"/>
  <c r="G200" i="25" s="1"/>
  <c r="E51" i="23"/>
  <c r="G124" i="9" l="1"/>
  <c r="I124" i="9" s="1"/>
  <c r="G57" i="9"/>
  <c r="I57" i="9" s="1"/>
  <c r="G117" i="9"/>
  <c r="I117" i="9" s="1"/>
  <c r="E205" i="9"/>
  <c r="G205" i="9" s="1"/>
  <c r="G48" i="9"/>
  <c r="I48" i="9" s="1"/>
  <c r="I66" i="9" s="1"/>
  <c r="I256" i="25"/>
  <c r="D44" i="26"/>
  <c r="I24" i="26"/>
  <c r="E24" i="26" s="1"/>
  <c r="S24" i="26" s="1"/>
  <c r="T24" i="26" s="1"/>
  <c r="V24" i="26" s="1"/>
  <c r="I37" i="26"/>
  <c r="E37" i="26" s="1"/>
  <c r="X37" i="26" s="1"/>
  <c r="Y37" i="26" s="1"/>
  <c r="AA37" i="26" s="1"/>
  <c r="I33" i="26"/>
  <c r="E33" i="26" s="1"/>
  <c r="X33" i="26" s="1"/>
  <c r="Y33" i="26" s="1"/>
  <c r="AA33" i="26" s="1"/>
  <c r="I29" i="26"/>
  <c r="E29" i="26" s="1"/>
  <c r="S29" i="26" s="1"/>
  <c r="T29" i="26" s="1"/>
  <c r="V29" i="26" s="1"/>
  <c r="I23" i="26"/>
  <c r="E23" i="26" s="1"/>
  <c r="S23" i="26" s="1"/>
  <c r="T23" i="26" s="1"/>
  <c r="V23" i="26" s="1"/>
  <c r="I40" i="26"/>
  <c r="E40" i="26" s="1"/>
  <c r="X40" i="26" s="1"/>
  <c r="Y40" i="26" s="1"/>
  <c r="AA40" i="26" s="1"/>
  <c r="I21" i="26"/>
  <c r="E21" i="26" s="1"/>
  <c r="S21" i="26" s="1"/>
  <c r="T21" i="26" s="1"/>
  <c r="V21" i="26" s="1"/>
  <c r="I28" i="26"/>
  <c r="E28" i="26" s="1"/>
  <c r="S28" i="26" s="1"/>
  <c r="T28" i="26" s="1"/>
  <c r="V28" i="26" s="1"/>
  <c r="H44" i="26"/>
  <c r="D49" i="25" s="1"/>
  <c r="I170" i="25"/>
  <c r="I177" i="9"/>
  <c r="I179" i="9" s="1"/>
  <c r="I38" i="26"/>
  <c r="E38" i="26" s="1"/>
  <c r="X38" i="26" s="1"/>
  <c r="Y38" i="26" s="1"/>
  <c r="AA38" i="26" s="1"/>
  <c r="I41" i="26"/>
  <c r="E41" i="26" s="1"/>
  <c r="X41" i="26" s="1"/>
  <c r="Y41" i="26" s="1"/>
  <c r="AA41" i="26" s="1"/>
  <c r="I20" i="26"/>
  <c r="E20" i="26" s="1"/>
  <c r="S20" i="26" s="1"/>
  <c r="T20" i="26" s="1"/>
  <c r="V20" i="26" s="1"/>
  <c r="I35" i="26"/>
  <c r="E35" i="26" s="1"/>
  <c r="X35" i="26" s="1"/>
  <c r="Y35" i="26" s="1"/>
  <c r="AA35" i="26" s="1"/>
  <c r="I22" i="26"/>
  <c r="E22" i="26" s="1"/>
  <c r="S22" i="26" s="1"/>
  <c r="T22" i="26" s="1"/>
  <c r="V22" i="26" s="1"/>
  <c r="I39" i="26"/>
  <c r="E39" i="26" s="1"/>
  <c r="X39" i="26" s="1"/>
  <c r="Y39" i="26" s="1"/>
  <c r="AA39" i="26" s="1"/>
  <c r="I30" i="26"/>
  <c r="E30" i="26" s="1"/>
  <c r="X30" i="26" s="1"/>
  <c r="I31" i="26"/>
  <c r="E31" i="26" s="1"/>
  <c r="X31" i="26" s="1"/>
  <c r="Y31" i="26" s="1"/>
  <c r="AA31" i="26" s="1"/>
  <c r="I36" i="26"/>
  <c r="E36" i="26" s="1"/>
  <c r="X36" i="26" s="1"/>
  <c r="Y36" i="26" s="1"/>
  <c r="AA36" i="26" s="1"/>
  <c r="I19" i="26"/>
  <c r="E19" i="26" s="1"/>
  <c r="S19" i="26" s="1"/>
  <c r="T19" i="26" s="1"/>
  <c r="V19" i="26" s="1"/>
  <c r="I18" i="26"/>
  <c r="E18" i="26" s="1"/>
  <c r="S18" i="26" s="1"/>
  <c r="T18" i="26" s="1"/>
  <c r="V18" i="26" s="1"/>
  <c r="I26" i="26"/>
  <c r="E26" i="26" s="1"/>
  <c r="S26" i="26" s="1"/>
  <c r="T26" i="26" s="1"/>
  <c r="V26" i="26" s="1"/>
  <c r="I27" i="26"/>
  <c r="E27" i="26" s="1"/>
  <c r="S27" i="26" s="1"/>
  <c r="T27" i="26" s="1"/>
  <c r="V27" i="26" s="1"/>
  <c r="D253" i="25"/>
  <c r="D69" i="9"/>
  <c r="N34" i="41"/>
  <c r="M36" i="41"/>
  <c r="M42" i="41"/>
  <c r="J34" i="41"/>
  <c r="J36" i="41" s="1"/>
  <c r="P31" i="41"/>
  <c r="P34" i="41" s="1"/>
  <c r="P36" i="41" s="1"/>
  <c r="O42" i="41"/>
  <c r="J19" i="41"/>
  <c r="J41" i="41" s="1"/>
  <c r="P17" i="41"/>
  <c r="P19" i="41" s="1"/>
  <c r="P43" i="41"/>
  <c r="I83" i="9" s="1"/>
  <c r="H21" i="41"/>
  <c r="J21" i="41"/>
  <c r="J40" i="41"/>
  <c r="H153" i="37"/>
  <c r="I152" i="37"/>
  <c r="O21" i="41"/>
  <c r="G21" i="41"/>
  <c r="H19" i="42"/>
  <c r="I16" i="42"/>
  <c r="I19" i="42"/>
  <c r="H35" i="42"/>
  <c r="H50" i="42" s="1"/>
  <c r="G50" i="42"/>
  <c r="I35" i="42"/>
  <c r="I50" i="42" s="1"/>
  <c r="H22" i="42"/>
  <c r="H30" i="42" s="1"/>
  <c r="G30" i="42"/>
  <c r="G32" i="42" s="1"/>
  <c r="G52" i="42" s="1"/>
  <c r="I22" i="42"/>
  <c r="I30" i="42" s="1"/>
  <c r="G23" i="28"/>
  <c r="G24" i="28" s="1"/>
  <c r="D14" i="25"/>
  <c r="I14" i="25" s="1"/>
  <c r="E229" i="9"/>
  <c r="I229" i="9" s="1"/>
  <c r="E230" i="9"/>
  <c r="E228" i="9"/>
  <c r="I228" i="9" s="1"/>
  <c r="I62" i="25"/>
  <c r="E224" i="25"/>
  <c r="I224" i="25" s="1"/>
  <c r="E225" i="25"/>
  <c r="I225" i="25" s="1"/>
  <c r="J18" i="26" l="1"/>
  <c r="G13" i="9"/>
  <c r="C106" i="23"/>
  <c r="C107" i="23" s="1"/>
  <c r="G55" i="9"/>
  <c r="I55" i="9" s="1"/>
  <c r="I197" i="9"/>
  <c r="I198" i="9" s="1"/>
  <c r="I10" i="4"/>
  <c r="J10" i="4" s="1"/>
  <c r="G14" i="9"/>
  <c r="I14" i="9" s="1"/>
  <c r="G8" i="39"/>
  <c r="H8" i="39" s="1"/>
  <c r="G25" i="39"/>
  <c r="H25" i="39" s="1"/>
  <c r="G9" i="39"/>
  <c r="H9" i="39" s="1"/>
  <c r="G86" i="9"/>
  <c r="I86" i="9" s="1"/>
  <c r="G123" i="9"/>
  <c r="I123" i="9" s="1"/>
  <c r="E203" i="9"/>
  <c r="G203" i="9" s="1"/>
  <c r="G207" i="9" s="1"/>
  <c r="I207" i="9" s="1"/>
  <c r="G24" i="39"/>
  <c r="H24" i="39" s="1"/>
  <c r="G46" i="9"/>
  <c r="I46" i="9" s="1"/>
  <c r="I43" i="26"/>
  <c r="E43" i="26"/>
  <c r="D119" i="25" s="1"/>
  <c r="I173" i="25"/>
  <c r="I175" i="25" s="1"/>
  <c r="D245" i="25"/>
  <c r="D250" i="25" s="1"/>
  <c r="D52" i="25"/>
  <c r="N41" i="41"/>
  <c r="N42" i="41" s="1"/>
  <c r="D148" i="9" s="1"/>
  <c r="N36" i="41"/>
  <c r="J152" i="37"/>
  <c r="I153" i="37"/>
  <c r="H154" i="37"/>
  <c r="J43" i="41"/>
  <c r="D83" i="9" s="1"/>
  <c r="D84" i="9" s="1"/>
  <c r="J166" i="37"/>
  <c r="J42" i="41"/>
  <c r="P41" i="41"/>
  <c r="P42" i="41" s="1"/>
  <c r="P21" i="41"/>
  <c r="H32" i="42"/>
  <c r="H52" i="42" s="1"/>
  <c r="I32" i="42"/>
  <c r="I52" i="42" s="1"/>
  <c r="I26" i="25"/>
  <c r="D32" i="31"/>
  <c r="I226" i="25"/>
  <c r="D139" i="25" s="1"/>
  <c r="I230" i="9"/>
  <c r="I231" i="9" s="1"/>
  <c r="D143" i="9" s="1"/>
  <c r="M11" i="29"/>
  <c r="I11" i="29"/>
  <c r="M11" i="30"/>
  <c r="O47" i="30" s="1"/>
  <c r="I11" i="30"/>
  <c r="K47" i="30" s="1"/>
  <c r="T42" i="26"/>
  <c r="V42" i="26" s="1"/>
  <c r="J101" i="37" s="1"/>
  <c r="S42" i="26"/>
  <c r="F18" i="26"/>
  <c r="J19" i="26"/>
  <c r="Y30" i="26"/>
  <c r="X42" i="26"/>
  <c r="D124" i="25"/>
  <c r="I64" i="9" l="1"/>
  <c r="G245" i="25"/>
  <c r="G55" i="25"/>
  <c r="I192" i="25"/>
  <c r="G70" i="25"/>
  <c r="G119" i="25"/>
  <c r="I119" i="25" s="1"/>
  <c r="G49" i="25"/>
  <c r="I49" i="25" s="1"/>
  <c r="G82" i="25"/>
  <c r="I82" i="25" s="1"/>
  <c r="E198" i="25"/>
  <c r="G198" i="25" s="1"/>
  <c r="G202" i="25" s="1"/>
  <c r="I202" i="25" s="1"/>
  <c r="F12" i="40"/>
  <c r="G12" i="40" s="1"/>
  <c r="F16" i="40"/>
  <c r="G16" i="40" s="1"/>
  <c r="F14" i="40"/>
  <c r="G14" i="40" s="1"/>
  <c r="G58" i="9"/>
  <c r="I58" i="9" s="1"/>
  <c r="G15" i="39"/>
  <c r="H15" i="39" s="1"/>
  <c r="F15" i="40"/>
  <c r="G15" i="40" s="1"/>
  <c r="G132" i="9"/>
  <c r="I132" i="9" s="1"/>
  <c r="I211" i="9"/>
  <c r="K211" i="9" s="1"/>
  <c r="G23" i="39"/>
  <c r="H23" i="39" s="1"/>
  <c r="G11" i="39"/>
  <c r="H11" i="39" s="1"/>
  <c r="G10" i="39"/>
  <c r="H10" i="39" s="1"/>
  <c r="G111" i="9"/>
  <c r="I111" i="9" s="1"/>
  <c r="F10" i="40"/>
  <c r="G10" i="40" s="1"/>
  <c r="G16" i="39"/>
  <c r="H16" i="39" s="1"/>
  <c r="G115" i="9"/>
  <c r="I115" i="9" s="1"/>
  <c r="F8" i="40"/>
  <c r="G8" i="40" s="1"/>
  <c r="G49" i="9"/>
  <c r="I49" i="9" s="1"/>
  <c r="G125" i="9"/>
  <c r="I125" i="9" s="1"/>
  <c r="D106" i="23"/>
  <c r="D107" i="23" s="1"/>
  <c r="F107" i="23" s="1"/>
  <c r="G116" i="9"/>
  <c r="I116" i="9" s="1"/>
  <c r="G22" i="39"/>
  <c r="H22" i="39" s="1"/>
  <c r="G12" i="39"/>
  <c r="H12" i="39" s="1"/>
  <c r="G113" i="9"/>
  <c r="I113" i="9" s="1"/>
  <c r="G133" i="9"/>
  <c r="I133" i="9" s="1"/>
  <c r="G90" i="9"/>
  <c r="G109" i="9"/>
  <c r="I109" i="9" s="1"/>
  <c r="G110" i="9"/>
  <c r="I110" i="9" s="1"/>
  <c r="G108" i="9"/>
  <c r="I108" i="9" s="1"/>
  <c r="G114" i="9"/>
  <c r="I114" i="9" s="1"/>
  <c r="D144" i="25"/>
  <c r="D149" i="25" s="1"/>
  <c r="I149" i="25" s="1"/>
  <c r="D153" i="9"/>
  <c r="I153" i="9" s="1"/>
  <c r="P44" i="41"/>
  <c r="J174" i="37" s="1"/>
  <c r="J153" i="37"/>
  <c r="J27" i="37"/>
  <c r="J168" i="37"/>
  <c r="J169" i="37" s="1"/>
  <c r="H155" i="37"/>
  <c r="I154" i="37"/>
  <c r="J154" i="37" s="1"/>
  <c r="K33" i="29"/>
  <c r="K19" i="29"/>
  <c r="K23" i="29"/>
  <c r="K40" i="29"/>
  <c r="K36" i="29"/>
  <c r="K30" i="29"/>
  <c r="K25" i="29"/>
  <c r="K32" i="29"/>
  <c r="K31" i="29"/>
  <c r="K20" i="29"/>
  <c r="K27" i="29"/>
  <c r="K24" i="29"/>
  <c r="K21" i="29"/>
  <c r="K37" i="29"/>
  <c r="K42" i="29"/>
  <c r="K39" i="29"/>
  <c r="K26" i="29"/>
  <c r="K22" i="29"/>
  <c r="K38" i="29"/>
  <c r="K41" i="29"/>
  <c r="K35" i="29"/>
  <c r="K34" i="29"/>
  <c r="K29" i="29"/>
  <c r="K28" i="29"/>
  <c r="F47" i="30"/>
  <c r="I229" i="25" s="1"/>
  <c r="O39" i="29"/>
  <c r="O23" i="29"/>
  <c r="O36" i="29"/>
  <c r="O26" i="29"/>
  <c r="O32" i="29"/>
  <c r="O22" i="29"/>
  <c r="O33" i="29"/>
  <c r="F33" i="29" s="1"/>
  <c r="O25" i="29"/>
  <c r="O30" i="29"/>
  <c r="O28" i="29"/>
  <c r="O35" i="29"/>
  <c r="O34" i="29"/>
  <c r="O20" i="29"/>
  <c r="O42" i="29"/>
  <c r="O29" i="29"/>
  <c r="O37" i="29"/>
  <c r="O21" i="29"/>
  <c r="O19" i="29"/>
  <c r="O38" i="29"/>
  <c r="O41" i="29"/>
  <c r="O24" i="29"/>
  <c r="O40" i="29"/>
  <c r="O31" i="29"/>
  <c r="O27" i="29"/>
  <c r="J20" i="26"/>
  <c r="F19" i="26"/>
  <c r="AA30" i="26"/>
  <c r="AA42" i="26" s="1"/>
  <c r="Y42" i="26"/>
  <c r="F29" i="29" l="1"/>
  <c r="F20" i="29"/>
  <c r="F19" i="29"/>
  <c r="F36" i="29"/>
  <c r="F28" i="29"/>
  <c r="F24" i="29"/>
  <c r="G111" i="25"/>
  <c r="I111" i="25" s="1"/>
  <c r="G51" i="25"/>
  <c r="I51" i="25" s="1"/>
  <c r="I206" i="25"/>
  <c r="K206" i="25" s="1"/>
  <c r="G248" i="25"/>
  <c r="G112" i="25"/>
  <c r="G57" i="25"/>
  <c r="I57" i="25" s="1"/>
  <c r="G107" i="25"/>
  <c r="G121" i="25" s="1"/>
  <c r="G109" i="25"/>
  <c r="G126" i="9"/>
  <c r="I126" i="9" s="1"/>
  <c r="I128" i="9" s="1"/>
  <c r="G118" i="9"/>
  <c r="I118" i="9" s="1"/>
  <c r="I120" i="9" s="1"/>
  <c r="I89" i="9" s="1"/>
  <c r="G59" i="9"/>
  <c r="I59" i="9" s="1"/>
  <c r="I60" i="9" s="1"/>
  <c r="I11" i="4"/>
  <c r="J11" i="4" s="1"/>
  <c r="J12" i="4" s="1"/>
  <c r="D13" i="9" s="1"/>
  <c r="G50" i="9"/>
  <c r="I50" i="9" s="1"/>
  <c r="H33" i="39"/>
  <c r="D86" i="25"/>
  <c r="I86" i="25" s="1"/>
  <c r="D90" i="9"/>
  <c r="I245" i="25"/>
  <c r="G254" i="25"/>
  <c r="I67" i="9"/>
  <c r="J34" i="37"/>
  <c r="H156" i="37"/>
  <c r="I155" i="37"/>
  <c r="J29" i="37"/>
  <c r="J31" i="37" s="1"/>
  <c r="J33" i="37" s="1"/>
  <c r="J28" i="37"/>
  <c r="D72" i="25" s="1"/>
  <c r="F39" i="29"/>
  <c r="F27" i="29"/>
  <c r="F34" i="29"/>
  <c r="F35" i="29"/>
  <c r="F31" i="29"/>
  <c r="F41" i="29"/>
  <c r="F38" i="29"/>
  <c r="F25" i="29"/>
  <c r="F32" i="29"/>
  <c r="F22" i="29"/>
  <c r="I234" i="9" s="1"/>
  <c r="F30" i="29"/>
  <c r="F26" i="29"/>
  <c r="F40" i="29"/>
  <c r="F42" i="29"/>
  <c r="F23" i="29"/>
  <c r="F37" i="29"/>
  <c r="F21" i="29"/>
  <c r="F20" i="26"/>
  <c r="J21" i="26"/>
  <c r="I121" i="25" l="1"/>
  <c r="G128" i="25"/>
  <c r="G129" i="25" s="1"/>
  <c r="G257" i="25"/>
  <c r="I257" i="25" s="1"/>
  <c r="I248" i="25"/>
  <c r="I90" i="9"/>
  <c r="G249" i="25"/>
  <c r="G114" i="25"/>
  <c r="G122" i="25" s="1"/>
  <c r="I122" i="25" s="1"/>
  <c r="D91" i="9"/>
  <c r="I91" i="9" s="1"/>
  <c r="I92" i="9" s="1"/>
  <c r="D87" i="25"/>
  <c r="I87" i="25" s="1"/>
  <c r="I52" i="25"/>
  <c r="I63" i="25"/>
  <c r="I51" i="9"/>
  <c r="G51" i="9" s="1"/>
  <c r="I68" i="9"/>
  <c r="I69" i="9" s="1"/>
  <c r="I13" i="9"/>
  <c r="I17" i="9" s="1"/>
  <c r="D13" i="25"/>
  <c r="I13" i="25" s="1"/>
  <c r="I17" i="25" s="1"/>
  <c r="J35" i="37"/>
  <c r="D73" i="25" s="1"/>
  <c r="I73" i="25" s="1"/>
  <c r="J155" i="37"/>
  <c r="I156" i="37"/>
  <c r="H157" i="37"/>
  <c r="F21" i="26"/>
  <c r="J22" i="26"/>
  <c r="G258" i="25" l="1"/>
  <c r="I258" i="25" s="1"/>
  <c r="I249" i="25"/>
  <c r="I250" i="25" s="1"/>
  <c r="G250" i="25" s="1"/>
  <c r="D92" i="9"/>
  <c r="D94" i="9" s="1"/>
  <c r="D158" i="9" s="1"/>
  <c r="D151" i="9" s="1"/>
  <c r="D12" i="27"/>
  <c r="G69" i="9"/>
  <c r="G82" i="9"/>
  <c r="I82" i="9" s="1"/>
  <c r="G75" i="9"/>
  <c r="I75" i="9" s="1"/>
  <c r="F13" i="40"/>
  <c r="G13" i="40" s="1"/>
  <c r="G17" i="40" s="1"/>
  <c r="D149" i="9" s="1"/>
  <c r="G74" i="9"/>
  <c r="I74" i="9" s="1"/>
  <c r="G152" i="9"/>
  <c r="I152" i="9" s="1"/>
  <c r="G135" i="9"/>
  <c r="I135" i="9" s="1"/>
  <c r="I139" i="9" s="1"/>
  <c r="G76" i="9"/>
  <c r="I76" i="9" s="1"/>
  <c r="G77" i="9"/>
  <c r="I77" i="9" s="1"/>
  <c r="I124" i="25"/>
  <c r="J156" i="37"/>
  <c r="H158" i="37"/>
  <c r="I157" i="37"/>
  <c r="J157" i="37" s="1"/>
  <c r="J23" i="26"/>
  <c r="F22" i="26"/>
  <c r="I84" i="9" l="1"/>
  <c r="I94" i="9" s="1"/>
  <c r="I158" i="9" s="1"/>
  <c r="I151" i="9" s="1"/>
  <c r="G78" i="25"/>
  <c r="I78" i="25" s="1"/>
  <c r="G71" i="25"/>
  <c r="I71" i="25" s="1"/>
  <c r="G148" i="25"/>
  <c r="I148" i="25" s="1"/>
  <c r="G69" i="25"/>
  <c r="I69" i="25" s="1"/>
  <c r="G72" i="25"/>
  <c r="I72" i="25" s="1"/>
  <c r="G131" i="25"/>
  <c r="J99" i="37"/>
  <c r="J100" i="37" s="1"/>
  <c r="J102" i="37" s="1"/>
  <c r="J104" i="37" s="1"/>
  <c r="J106" i="37" s="1"/>
  <c r="D70" i="25" s="1"/>
  <c r="I70" i="25" s="1"/>
  <c r="D150" i="9"/>
  <c r="D145" i="25"/>
  <c r="E37" i="27"/>
  <c r="E38" i="27"/>
  <c r="E24" i="27"/>
  <c r="E36" i="27"/>
  <c r="E18" i="27"/>
  <c r="E25" i="27"/>
  <c r="E33" i="27"/>
  <c r="E16" i="27"/>
  <c r="E17" i="27"/>
  <c r="E21" i="27"/>
  <c r="E22" i="27"/>
  <c r="E39" i="27"/>
  <c r="E26" i="27"/>
  <c r="E34" i="27"/>
  <c r="E27" i="27"/>
  <c r="E19" i="27"/>
  <c r="I158" i="37"/>
  <c r="H159" i="37"/>
  <c r="J24" i="26"/>
  <c r="F23" i="26"/>
  <c r="D146" i="25" l="1"/>
  <c r="D150" i="25" s="1"/>
  <c r="I150" i="25" s="1"/>
  <c r="D154" i="9"/>
  <c r="I159" i="37"/>
  <c r="H160" i="37"/>
  <c r="J158" i="37"/>
  <c r="F24" i="26"/>
  <c r="J25" i="26"/>
  <c r="I154" i="9" l="1"/>
  <c r="I155" i="9" s="1"/>
  <c r="I160" i="9" s="1"/>
  <c r="I10" i="9" s="1"/>
  <c r="I19" i="9" s="1"/>
  <c r="D155" i="9"/>
  <c r="D160" i="9" s="1"/>
  <c r="H161" i="37"/>
  <c r="I160" i="37"/>
  <c r="J159" i="37"/>
  <c r="J26" i="26"/>
  <c r="F25" i="26"/>
  <c r="D25" i="9" l="1"/>
  <c r="D26" i="9" s="1"/>
  <c r="H21" i="21"/>
  <c r="H23" i="21" s="1"/>
  <c r="J160" i="37"/>
  <c r="H162" i="37"/>
  <c r="I161" i="37"/>
  <c r="J27" i="26"/>
  <c r="F26" i="26"/>
  <c r="H53" i="21" l="1"/>
  <c r="H37" i="21"/>
  <c r="H56" i="21" s="1"/>
  <c r="D27" i="9"/>
  <c r="D29" i="9" s="1"/>
  <c r="D31" i="9" s="1"/>
  <c r="J161" i="37"/>
  <c r="H163" i="37"/>
  <c r="I162" i="37"/>
  <c r="J162" i="37" s="1"/>
  <c r="F27" i="26"/>
  <c r="J28" i="26"/>
  <c r="D28" i="9" l="1"/>
  <c r="D30" i="9" s="1"/>
  <c r="D25" i="31"/>
  <c r="D26" i="31" s="1"/>
  <c r="D27" i="31" s="1"/>
  <c r="D29" i="31" s="1"/>
  <c r="D35" i="31" s="1"/>
  <c r="H57" i="21"/>
  <c r="H58" i="21" s="1"/>
  <c r="I19" i="25" s="1"/>
  <c r="I163" i="37"/>
  <c r="H164" i="37"/>
  <c r="J29" i="26"/>
  <c r="F28" i="26"/>
  <c r="D37" i="31" l="1"/>
  <c r="D36" i="31"/>
  <c r="J163" i="37"/>
  <c r="J170" i="37" s="1"/>
  <c r="J171" i="37" s="1"/>
  <c r="J173" i="37" s="1"/>
  <c r="J175" i="37" s="1"/>
  <c r="D79" i="25" s="1"/>
  <c r="I164" i="37"/>
  <c r="J30" i="26"/>
  <c r="F29" i="26"/>
  <c r="D39" i="31" l="1"/>
  <c r="D41" i="31" s="1"/>
  <c r="D38" i="31"/>
  <c r="D40" i="31" s="1"/>
  <c r="I79" i="25"/>
  <c r="I80" i="25" s="1"/>
  <c r="D80" i="25"/>
  <c r="F30" i="26"/>
  <c r="J31" i="26"/>
  <c r="F31" i="26" l="1"/>
  <c r="J32" i="26"/>
  <c r="J33" i="26" l="1"/>
  <c r="F32" i="26"/>
  <c r="J34" i="26" l="1"/>
  <c r="F33" i="26"/>
  <c r="F34" i="26" l="1"/>
  <c r="J35" i="26"/>
  <c r="F35" i="26" l="1"/>
  <c r="J36" i="26"/>
  <c r="J37" i="26" l="1"/>
  <c r="F36" i="26"/>
  <c r="J38" i="26" l="1"/>
  <c r="F37" i="26"/>
  <c r="F38" i="26" l="1"/>
  <c r="J39" i="26"/>
  <c r="F39" i="26" l="1"/>
  <c r="J40" i="26"/>
  <c r="J41" i="26" l="1"/>
  <c r="F40" i="26"/>
  <c r="F41" i="26" l="1"/>
  <c r="F44" i="26" s="1"/>
  <c r="J44" i="26"/>
  <c r="D55" i="25" s="1"/>
  <c r="D58" i="25" l="1"/>
  <c r="D61" i="25"/>
  <c r="I55" i="25"/>
  <c r="I58" i="25" l="1"/>
  <c r="I61" i="25"/>
  <c r="I64" i="25" s="1"/>
  <c r="F13" i="27" s="1"/>
  <c r="D43" i="27" s="1"/>
  <c r="E47" i="27" s="1"/>
  <c r="D254" i="25"/>
  <c r="D64" i="25"/>
  <c r="F33" i="27" l="1"/>
  <c r="F22" i="27"/>
  <c r="D110" i="25" s="1"/>
  <c r="F18" i="27"/>
  <c r="D106" i="25" s="1"/>
  <c r="F24" i="27"/>
  <c r="D112" i="25" s="1"/>
  <c r="I112" i="25" s="1"/>
  <c r="F39" i="27"/>
  <c r="F17" i="27"/>
  <c r="D105" i="25" s="1"/>
  <c r="F36" i="27"/>
  <c r="D131" i="25" s="1"/>
  <c r="I131" i="25" s="1"/>
  <c r="F38" i="27"/>
  <c r="D133" i="25" s="1"/>
  <c r="I133" i="25" s="1"/>
  <c r="F25" i="27"/>
  <c r="D113" i="25" s="1"/>
  <c r="I113" i="25" s="1"/>
  <c r="F21" i="27"/>
  <c r="D109" i="25" s="1"/>
  <c r="I109" i="25" s="1"/>
  <c r="F34" i="27"/>
  <c r="D129" i="25" s="1"/>
  <c r="I129" i="25" s="1"/>
  <c r="F16" i="27"/>
  <c r="F26" i="27"/>
  <c r="D114" i="25" s="1"/>
  <c r="I114" i="25" s="1"/>
  <c r="F19" i="27"/>
  <c r="D107" i="25" s="1"/>
  <c r="I107" i="25" s="1"/>
  <c r="F37" i="27"/>
  <c r="D132" i="25" s="1"/>
  <c r="F27" i="27"/>
  <c r="D115" i="25" s="1"/>
  <c r="I115" i="25" s="1"/>
  <c r="D259" i="25"/>
  <c r="I254" i="25"/>
  <c r="I259" i="25" s="1"/>
  <c r="G259" i="25" l="1"/>
  <c r="G64" i="25" s="1"/>
  <c r="D104" i="25"/>
  <c r="I187" i="25" s="1"/>
  <c r="F28" i="27"/>
  <c r="D116" i="25" s="1"/>
  <c r="D128" i="25"/>
  <c r="F40" i="27"/>
  <c r="I189" i="25" l="1"/>
  <c r="I191" i="25" s="1"/>
  <c r="I193" i="25" s="1"/>
  <c r="D135" i="25"/>
  <c r="I128" i="25"/>
  <c r="I135" i="25" s="1"/>
  <c r="D85" i="25"/>
  <c r="D88" i="25" s="1"/>
  <c r="D90" i="25" s="1"/>
  <c r="D154" i="25" s="1"/>
  <c r="D147" i="25" s="1"/>
  <c r="D151" i="25" s="1"/>
  <c r="D156" i="25" l="1"/>
  <c r="G106" i="25"/>
  <c r="I106" i="25" s="1"/>
  <c r="G110" i="25"/>
  <c r="I110" i="25" s="1"/>
  <c r="G105" i="25"/>
  <c r="I105" i="25" s="1"/>
  <c r="G104" i="25"/>
  <c r="I104" i="25" s="1"/>
  <c r="I116" i="25" l="1"/>
  <c r="I85" i="25" s="1"/>
  <c r="I88" i="25" s="1"/>
  <c r="I90" i="25" s="1"/>
  <c r="I154" i="25" s="1"/>
  <c r="I147" i="25" s="1"/>
  <c r="I151" i="25" s="1"/>
  <c r="I156" i="25" s="1"/>
  <c r="I10" i="25" s="1"/>
  <c r="I21" i="25" s="1"/>
  <c r="D29" i="25" l="1"/>
  <c r="I23" i="25"/>
  <c r="D31" i="25" l="1"/>
  <c r="D30" i="25"/>
  <c r="D33" i="25" l="1"/>
  <c r="D35" i="25" s="1"/>
  <c r="D32" i="25"/>
  <c r="D34" i="25" s="1"/>
</calcChain>
</file>

<file path=xl/sharedStrings.xml><?xml version="1.0" encoding="utf-8"?>
<sst xmlns="http://schemas.openxmlformats.org/spreadsheetml/2006/main" count="2690" uniqueCount="1441">
  <si>
    <t>Cheyenne Light, Fuel &amp; Power ("CLFP")</t>
  </si>
  <si>
    <t>Transmission Formula Rate Template</t>
  </si>
  <si>
    <t>Table of Contents</t>
  </si>
  <si>
    <t>Page 1 of 1</t>
  </si>
  <si>
    <t>Overview</t>
  </si>
  <si>
    <t>The formula is calculated in two steps.  The first step is to fill out the A tabs, and the Actual Attachment H tab with data from the previous year's Form 1 information.  This information is used to update the formulas in the Actual Net Rev Req tab to calculate the Actual Revenue Requirement (Actual ATRR) for the previous year.  The results of this calculation are presented to the customers for review in June of each year.</t>
  </si>
  <si>
    <t>The TU (True-up) tab uses the revenue requirement from the Actual Attachment H tab and compares it to the revenue requirement from the Projected Attachment H tab that customers were billed for the same period.  Interest is added to the difference and the amount is added to the Projected Attachment H tab via the True Up Adjustment line.</t>
  </si>
  <si>
    <t>The projected O&amp;M and plant balances are calculated on the P Tabs.  These sheets feed into the Projected Attachment H tab for determining the Projected Annual Transmission Revenue Requirement.  The CLFP tariff rates are calculated based on the CLFP Revenue Requirements and the specific point-to-point charges are shown on the same tab. The projected rates are posted to the customers for review in September of each year.</t>
  </si>
  <si>
    <t>Cells highlighted in yellow are data input cells, however, some cells may reference the results from other worksheets in the formula.  Such cell references  may change from year to year requiring manual adjustment of the reference or the direct entry of the proper value.</t>
  </si>
  <si>
    <t>Cells highlighted in green signify that the data is sourced from other worksheets in the formula and that the reference is static.</t>
  </si>
  <si>
    <t xml:space="preserve">                                                                                      </t>
  </si>
  <si>
    <t>Tab</t>
  </si>
  <si>
    <t>Schedule/Worksheet Designation</t>
  </si>
  <si>
    <t>Description</t>
  </si>
  <si>
    <t>Date to be Posted</t>
  </si>
  <si>
    <t>Act Att-H</t>
  </si>
  <si>
    <t>Actual Attachment H</t>
  </si>
  <si>
    <t>Actual Annual Transmission Revenue Requirements for most recent calendar year</t>
  </si>
  <si>
    <t>June</t>
  </si>
  <si>
    <t>A1-RevCred</t>
  </si>
  <si>
    <t>Worksheet A1</t>
  </si>
  <si>
    <t>Actual revenue credits</t>
  </si>
  <si>
    <t>A2-A&amp;G</t>
  </si>
  <si>
    <t>Worksheet A2</t>
  </si>
  <si>
    <t>Actual A&amp;G Expense supporting data</t>
  </si>
  <si>
    <t>A3-ADIT</t>
  </si>
  <si>
    <t>Worksheet A3</t>
  </si>
  <si>
    <t>Actual Accumulated Deferred Income Tax data</t>
  </si>
  <si>
    <t>A3.1-EDIT-DDIT</t>
  </si>
  <si>
    <t>Worksheet A3.1</t>
  </si>
  <si>
    <t>Annual Excess and Deficient Accumulated Deferred Income Tax</t>
  </si>
  <si>
    <t>A3.2-EDIT-DDIT.dtl</t>
  </si>
  <si>
    <t>Worksheet A3.2</t>
  </si>
  <si>
    <t>Excess and Deficient Accumulated Deferred Income Tax Remeasurement</t>
  </si>
  <si>
    <t>After tax rate change</t>
  </si>
  <si>
    <t>A4-Rate Base</t>
  </si>
  <si>
    <t>Worksheet A4</t>
  </si>
  <si>
    <t>Actual Rate Base data</t>
  </si>
  <si>
    <t>A5-Depr</t>
  </si>
  <si>
    <t>Worksheet A5</t>
  </si>
  <si>
    <t>Actual Depreciation Rates</t>
  </si>
  <si>
    <t>A6-Divisor</t>
  </si>
  <si>
    <t>Worksheet A6</t>
  </si>
  <si>
    <t>Actual Transmission Load Data for Calculating Rate Divisors</t>
  </si>
  <si>
    <t>A7-IncentPlant</t>
  </si>
  <si>
    <t>Worksheet A7</t>
  </si>
  <si>
    <t>Actual Incentive Plant</t>
  </si>
  <si>
    <t>A8-Prepmts</t>
  </si>
  <si>
    <t>Worksheet A8</t>
  </si>
  <si>
    <t>Prepayments</t>
  </si>
  <si>
    <t>A9-PermDiffs</t>
  </si>
  <si>
    <t>Worksheet A9</t>
  </si>
  <si>
    <t>Permanent Differences</t>
  </si>
  <si>
    <t>TU (True-up)</t>
  </si>
  <si>
    <t>Worksheet TU</t>
  </si>
  <si>
    <t>True-up Adjustment and Interest Calculation</t>
  </si>
  <si>
    <t>June, Sep</t>
  </si>
  <si>
    <t>Proj Att-H</t>
  </si>
  <si>
    <t>Projected Attachment H</t>
  </si>
  <si>
    <t>Projected Annual Transmission Revenue Requirements for next calendar year</t>
  </si>
  <si>
    <t>Sep</t>
  </si>
  <si>
    <t>P1-Trans Plant</t>
  </si>
  <si>
    <t>Worksheet P1</t>
  </si>
  <si>
    <t>Projected transmission plant for next calendar year</t>
  </si>
  <si>
    <t>P2-Exp. &amp; Rev. Credits</t>
  </si>
  <si>
    <t>Worksheet P2</t>
  </si>
  <si>
    <t>Projected expenses and revenue credits for next calendar year</t>
  </si>
  <si>
    <t>P3-Trans. Network Load</t>
  </si>
  <si>
    <t>Worksheet P3</t>
  </si>
  <si>
    <t>Projected transmission load for next calendar year</t>
  </si>
  <si>
    <t>P4-IncentPlant</t>
  </si>
  <si>
    <t>Worksheet P4</t>
  </si>
  <si>
    <t>Projected Incentive Plant</t>
  </si>
  <si>
    <t>P5-ADIT</t>
  </si>
  <si>
    <t>Worksheet P5</t>
  </si>
  <si>
    <t>Projected Accumulated Deferred Income Tax data</t>
  </si>
  <si>
    <t>Schedule 1</t>
  </si>
  <si>
    <t>Ancillary Services, Schedule No. 1 - Scheduling System Control and Dispatch Service</t>
  </si>
  <si>
    <t>Page 1</t>
  </si>
  <si>
    <t xml:space="preserve">Formula Rate - Non-Levelized </t>
  </si>
  <si>
    <t>Rate Formula Template</t>
  </si>
  <si>
    <t>Utilizing FERC Form 1 Data</t>
  </si>
  <si>
    <t>Cheyenne Light, Fuel &amp; Power</t>
  </si>
  <si>
    <t>Line</t>
  </si>
  <si>
    <t>Allocated</t>
  </si>
  <si>
    <t>No.</t>
  </si>
  <si>
    <t>Amount</t>
  </si>
  <si>
    <t>GROSS REVENUE REQUIREMENT  (page 3, line 31)</t>
  </si>
  <si>
    <t xml:space="preserve"> </t>
  </si>
  <si>
    <t xml:space="preserve">REVENUE CREDITS </t>
  </si>
  <si>
    <t>(Note S)</t>
  </si>
  <si>
    <t>Total</t>
  </si>
  <si>
    <t>Allocator</t>
  </si>
  <si>
    <t xml:space="preserve">  Account No. 454</t>
  </si>
  <si>
    <t>(Worksheet A1, line 6)</t>
  </si>
  <si>
    <t>TP</t>
  </si>
  <si>
    <t xml:space="preserve">  Account No. 456.1</t>
  </si>
  <si>
    <t>(Worksheet A1, line 42, col (b) )</t>
  </si>
  <si>
    <t>Held for Future Use</t>
  </si>
  <si>
    <t>TOTAL REVENUE CREDITS  (sum lines 2-5)</t>
  </si>
  <si>
    <t>NET REVENUE REQUIREMENT</t>
  </si>
  <si>
    <t>(line 1 minus line 6)</t>
  </si>
  <si>
    <t xml:space="preserve">DIVISOR </t>
  </si>
  <si>
    <t xml:space="preserve">   Divisor (kW)</t>
  </si>
  <si>
    <t>(Worksheet A6, Line 14)</t>
  </si>
  <si>
    <t>RATES</t>
  </si>
  <si>
    <t xml:space="preserve">   Annual</t>
  </si>
  <si>
    <t>/kW-year</t>
  </si>
  <si>
    <t xml:space="preserve">   Monthly</t>
  </si>
  <si>
    <t>12 months/year</t>
  </si>
  <si>
    <t>/kW-month</t>
  </si>
  <si>
    <t xml:space="preserve">   Weekly</t>
  </si>
  <si>
    <t>52 weeks/year</t>
  </si>
  <si>
    <t>/kW-week</t>
  </si>
  <si>
    <t xml:space="preserve">   Daily On-Peak</t>
  </si>
  <si>
    <t>6 days/week</t>
  </si>
  <si>
    <t>/kW-day</t>
  </si>
  <si>
    <t xml:space="preserve">   Daily Off-Peak</t>
  </si>
  <si>
    <t>7 days/week</t>
  </si>
  <si>
    <t xml:space="preserve">   Hourly On-Peak</t>
  </si>
  <si>
    <t>16 hours/day</t>
  </si>
  <si>
    <t>/MW-hour</t>
  </si>
  <si>
    <t xml:space="preserve">   Hourly Off-Peak</t>
  </si>
  <si>
    <t>24 hours/day</t>
  </si>
  <si>
    <t>Page 2</t>
  </si>
  <si>
    <t xml:space="preserve">     Rate Formula Template</t>
  </si>
  <si>
    <t xml:space="preserve"> Utilizing FERC Form 1 Data</t>
  </si>
  <si>
    <t>(1)</t>
  </si>
  <si>
    <t>(2)</t>
  </si>
  <si>
    <t>(3)</t>
  </si>
  <si>
    <t>(4)</t>
  </si>
  <si>
    <t>(5)</t>
  </si>
  <si>
    <t>Form No. 1</t>
  </si>
  <si>
    <t>Transmission</t>
  </si>
  <si>
    <t>Page, Line, Col.</t>
  </si>
  <si>
    <t>Company Total</t>
  </si>
  <si>
    <t xml:space="preserve">                  Allocator</t>
  </si>
  <si>
    <t>(Col 3 times Col 4)</t>
  </si>
  <si>
    <t>RATE BASE: (Note A, V)</t>
  </si>
  <si>
    <t>GROSS PLANT IN SERVICE     (Note A)</t>
  </si>
  <si>
    <t xml:space="preserve">  Production</t>
  </si>
  <si>
    <t>Worksheet A4, Page 1, Line 14, Col. (b)</t>
  </si>
  <si>
    <t>NA</t>
  </si>
  <si>
    <t xml:space="preserve">  Transmission</t>
  </si>
  <si>
    <t>Worksheet A4, Page 1, Line 14, Col. (c)</t>
  </si>
  <si>
    <t xml:space="preserve">  Distribution</t>
  </si>
  <si>
    <t>Worksheet A4, Page 1, Line 14, Col. (d)</t>
  </si>
  <si>
    <t>3a</t>
  </si>
  <si>
    <t xml:space="preserve">  Energy Storage Plant</t>
  </si>
  <si>
    <t>Worksheet A4, Page 1, Line 14, Col. (e)</t>
  </si>
  <si>
    <t>ES</t>
  </si>
  <si>
    <t xml:space="preserve">  General &amp; Intangible</t>
  </si>
  <si>
    <t>Worksheet A4, Page 1, Line 14, Col. (f)</t>
  </si>
  <si>
    <t>W/S</t>
  </si>
  <si>
    <t xml:space="preserve">  Common</t>
  </si>
  <si>
    <t>Worksheet A4, Page 1, Line 14, Col. (g)</t>
  </si>
  <si>
    <t>CE</t>
  </si>
  <si>
    <t>TOTAL GROSS PLANT</t>
  </si>
  <si>
    <t>(Sum of Lines 1 through 5)</t>
  </si>
  <si>
    <t>GP=</t>
  </si>
  <si>
    <t>ACCUMULATED DEPRECIATION   (Note A)</t>
  </si>
  <si>
    <t>Worksheet A4, Page 1, Line 28, Col. (d)</t>
  </si>
  <si>
    <t xml:space="preserve">Worksheet A4, Page 1, Line 28, Col. (e)  </t>
  </si>
  <si>
    <t>Worksheet A4, Page 1, Line 28, Col. (f)</t>
  </si>
  <si>
    <t>9a</t>
  </si>
  <si>
    <t xml:space="preserve">Worksheet A4, Page 1, Line 28, Col. (c) </t>
  </si>
  <si>
    <t>Worksheet A4, Page 1, Line 28, Col. (g)</t>
  </si>
  <si>
    <t>Worksheet A4, Page 1, Line 28, Col. (h)</t>
  </si>
  <si>
    <t>TOTAL ACCUM. DEPRECIATION</t>
  </si>
  <si>
    <t>(Sum of Lines 7 through 11)</t>
  </si>
  <si>
    <t xml:space="preserve">NET PLANT IN SERVICE  </t>
  </si>
  <si>
    <t>(Line 1 - Line 7)</t>
  </si>
  <si>
    <t>(Line 2 - Line 8)</t>
  </si>
  <si>
    <t>(Line 3 - Line 9)</t>
  </si>
  <si>
    <t>15a</t>
  </si>
  <si>
    <t>(Line 3a - Line 9a)</t>
  </si>
  <si>
    <t>(Line 4 - Line 10)</t>
  </si>
  <si>
    <t>(Line 5 - Line 11)</t>
  </si>
  <si>
    <t xml:space="preserve">TOTAL NET PLANT </t>
  </si>
  <si>
    <t>(Sum of Lines 13 through 17)</t>
  </si>
  <si>
    <t>NP=</t>
  </si>
  <si>
    <t>18a</t>
  </si>
  <si>
    <t xml:space="preserve">  CWIP Approved by FERC Order</t>
  </si>
  <si>
    <t>Worksheet A4, Page 1, Line 14, Col. (h)  (Notes Q, Z)</t>
  </si>
  <si>
    <t>ADJUSTMENTS TO RATE BASE (Note V)</t>
  </si>
  <si>
    <t xml:space="preserve">  Account No. 281 </t>
  </si>
  <si>
    <t>Worksheet A4, Page 2, Line 14, Col. (d) (Note F)</t>
  </si>
  <si>
    <t>GP</t>
  </si>
  <si>
    <t xml:space="preserve">  Account No. 282</t>
  </si>
  <si>
    <t>Worksheet A4, Page 2, Line 14, Col. (e) (Note F)</t>
  </si>
  <si>
    <t xml:space="preserve">  Account No. 283 </t>
  </si>
  <si>
    <t>Worksheet A4, Page 2, Line 14, Col. (f) (Note F)</t>
  </si>
  <si>
    <t xml:space="preserve">  Account No. 190 </t>
  </si>
  <si>
    <t>Worksheet A4, Page 2, Line 14, Col. (g) (Note F)</t>
  </si>
  <si>
    <t xml:space="preserve">  Account No. 255 (enter Zero)</t>
  </si>
  <si>
    <t>Note B</t>
  </si>
  <si>
    <t>23a</t>
  </si>
  <si>
    <t xml:space="preserve">  Unamortized Regulatory Asset </t>
  </si>
  <si>
    <t>Worksheet A4, Page 2, Line 14, Col. (b) (Notes P,Z)</t>
  </si>
  <si>
    <t>23b</t>
  </si>
  <si>
    <t xml:space="preserve">  Unamortized Abandoned Plant  </t>
  </si>
  <si>
    <t>Worksheet A4, Page 2, Line 14, Col. (c) (Notes U, N and Z)</t>
  </si>
  <si>
    <t>23c</t>
  </si>
  <si>
    <t xml:space="preserve">  Unfunded Reserves</t>
  </si>
  <si>
    <t>Worksheet A4, Page 2, Line 22, Col. (h)  (Note R)</t>
  </si>
  <si>
    <t xml:space="preserve">  FAS 109 Adjustment</t>
  </si>
  <si>
    <t>Worksheet A3, Page 1, Line 14</t>
  </si>
  <si>
    <t xml:space="preserve">  Net Excess/Deficient Deferred Income Taxes Transmission Only</t>
  </si>
  <si>
    <r>
      <t>Worksheet A3.1, Line 358, Col</t>
    </r>
    <r>
      <rPr>
        <sz val="10"/>
        <color theme="1"/>
        <rFont val="Times New Roman"/>
        <family val="1"/>
      </rPr>
      <t xml:space="preserve"> (e) &amp;</t>
    </r>
    <r>
      <rPr>
        <sz val="10"/>
        <rFont val="Times New Roman"/>
        <family val="1"/>
      </rPr>
      <t xml:space="preserve"> (j)</t>
    </r>
  </si>
  <si>
    <t xml:space="preserve">TOTAL ADJUSTMENTS </t>
  </si>
  <si>
    <t>(Sum of Lines 19 - 25)</t>
  </si>
  <si>
    <t xml:space="preserve">LAND HELD FOR FUTURE USE </t>
  </si>
  <si>
    <t>Worksheet A4, Page 1, Line 14, Col. (i) (Note G)</t>
  </si>
  <si>
    <t xml:space="preserve">WORKING CAPITAL </t>
  </si>
  <si>
    <t>(Note H)</t>
  </si>
  <si>
    <t xml:space="preserve">  Cash Working Capital</t>
  </si>
  <si>
    <t>1/8*(Page 3, Line 8)</t>
  </si>
  <si>
    <t xml:space="preserve">  Materials &amp; Supplies </t>
  </si>
  <si>
    <t xml:space="preserve">Worksheet A4, Page 3, Line 17, Col. (e ) </t>
  </si>
  <si>
    <t>TE</t>
  </si>
  <si>
    <t xml:space="preserve">  Prepayments (Account 165)</t>
  </si>
  <si>
    <t xml:space="preserve">Worksheet A8, Page 1, Line 210, Col. (f) </t>
  </si>
  <si>
    <t>TOTAL WORKING CAPITAL</t>
  </si>
  <si>
    <t>(Sum of Lines 28 through 30)</t>
  </si>
  <si>
    <t>RATE BASE</t>
  </si>
  <si>
    <t>(Sum lines 18, 26, 27, &amp; 31)</t>
  </si>
  <si>
    <t>Page 3</t>
  </si>
  <si>
    <t xml:space="preserve">O&amp;M  </t>
  </si>
  <si>
    <t xml:space="preserve">  Transmission </t>
  </si>
  <si>
    <t>321.112.b</t>
  </si>
  <si>
    <t xml:space="preserve">     Less Account 561.1-561.3</t>
  </si>
  <si>
    <t>321.85-87.b</t>
  </si>
  <si>
    <t>2a</t>
  </si>
  <si>
    <t xml:space="preserve">     Less Account 565</t>
  </si>
  <si>
    <t>321.96.b</t>
  </si>
  <si>
    <t xml:space="preserve">  A&amp;G</t>
  </si>
  <si>
    <t>323.197.b</t>
  </si>
  <si>
    <t xml:space="preserve">     Adjustments to A&amp;G</t>
  </si>
  <si>
    <t xml:space="preserve">     Less EPRI &amp; Reg. Comm. Exp. &amp; Non-safety  Ad.  (Note I)</t>
  </si>
  <si>
    <t>Worksheet A2 Line 5</t>
  </si>
  <si>
    <t>5a</t>
  </si>
  <si>
    <t xml:space="preserve">     Plus Transmission Related Reg. Comm. Exp.</t>
  </si>
  <si>
    <t>Worksheet A2 Line 14</t>
  </si>
  <si>
    <t>5b</t>
  </si>
  <si>
    <t xml:space="preserve">     Plus: PBOP Actual Cash Outlay</t>
  </si>
  <si>
    <t>(Note J)</t>
  </si>
  <si>
    <t>5c</t>
  </si>
  <si>
    <t xml:space="preserve">     Less: PBOP Net Periodic Expense</t>
  </si>
  <si>
    <t>Worksheet A2 Line 22</t>
  </si>
  <si>
    <t>5d</t>
  </si>
  <si>
    <t xml:space="preserve">  Energy Storage</t>
  </si>
  <si>
    <t>320.xx.x</t>
  </si>
  <si>
    <t>356</t>
  </si>
  <si>
    <t xml:space="preserve">  Transmission Lease Payments</t>
  </si>
  <si>
    <t>(Note W)</t>
  </si>
  <si>
    <t>DA</t>
  </si>
  <si>
    <t>TOTAL O&amp;M  (sum lines 1, 3, 5a, 5b, 6, 7 less lines 2, 2a, 5, 5c)</t>
  </si>
  <si>
    <t>DEPRECIATION AND AMORTIZATION EXPENSE (Note A)</t>
  </si>
  <si>
    <t>336.7.f</t>
  </si>
  <si>
    <t>Energy Storage</t>
  </si>
  <si>
    <t>336.xx.x</t>
  </si>
  <si>
    <t xml:space="preserve">  General &amp; Intangible </t>
  </si>
  <si>
    <t>336.10.f &amp; 336.1.f</t>
  </si>
  <si>
    <t>336.11.f</t>
  </si>
  <si>
    <t>11a</t>
  </si>
  <si>
    <t xml:space="preserve">  Amortization of Abandoned Plant</t>
  </si>
  <si>
    <t xml:space="preserve">(Note N) </t>
  </si>
  <si>
    <t xml:space="preserve">TOTAL DEPRECIATION </t>
  </si>
  <si>
    <t>(Sum of Lines 9 through 11a)</t>
  </si>
  <si>
    <t>TAXES OTHER THAN INCOME TAXES  (Note D)</t>
  </si>
  <si>
    <t xml:space="preserve">  LABOR RELATED</t>
  </si>
  <si>
    <t xml:space="preserve">          Payroll</t>
  </si>
  <si>
    <t>262-263.l</t>
  </si>
  <si>
    <t xml:space="preserve">          Highway and vehicle</t>
  </si>
  <si>
    <t xml:space="preserve">  PLANT RELATED</t>
  </si>
  <si>
    <t xml:space="preserve">         Property</t>
  </si>
  <si>
    <t xml:space="preserve">         Gross Receipts</t>
  </si>
  <si>
    <t xml:space="preserve">  Other (Note AA)</t>
  </si>
  <si>
    <t>Intentionally left blank</t>
  </si>
  <si>
    <t xml:space="preserve">TOTAL OTHER TAXES </t>
  </si>
  <si>
    <t>(Sum of Lines 13 through 19)</t>
  </si>
  <si>
    <t xml:space="preserve">INCOME TAXES          </t>
  </si>
  <si>
    <t>(Note K)</t>
  </si>
  <si>
    <t xml:space="preserve">     T=1 - {[(1 - SIT) * (1 - FIT)] / (1 - SIT * FIT * p)} =</t>
  </si>
  <si>
    <t xml:space="preserve">     CIT=(T/(1-T)) * (1-(WCLTD/R)) =</t>
  </si>
  <si>
    <t xml:space="preserve">       where WCLTD=(page 3, line 27) and R= (page 3, line 30)</t>
  </si>
  <si>
    <t xml:space="preserve">       and FIT, SIT &amp; p are as given in Note K.</t>
  </si>
  <si>
    <t xml:space="preserve">      1 / (1 - T)  = (from line 21)</t>
  </si>
  <si>
    <t>Amortized Investment Tax Credit (266.8f)</t>
  </si>
  <si>
    <t>266.8.f</t>
  </si>
  <si>
    <t>24a</t>
  </si>
  <si>
    <t>Amortization of Excess/Deficient Deferred Income Taxes Transmission only (Net)</t>
  </si>
  <si>
    <t>Worksheet A3.1, Line 357, Col. (h) (Note X)</t>
  </si>
  <si>
    <t>24aa</t>
  </si>
  <si>
    <t>Permanent Differences  Transmission only</t>
  </si>
  <si>
    <t>Worksheet A9, Line 10, Col (e )  (Notes T, Y)</t>
  </si>
  <si>
    <t>24b</t>
  </si>
  <si>
    <t>Tax Effect of Permanent Differences</t>
  </si>
  <si>
    <t>(Line 21 times Line 24aa) (Notes T, Y)</t>
  </si>
  <si>
    <t xml:space="preserve">Income Tax Calculation </t>
  </si>
  <si>
    <t>(Line 22 times Line 28)</t>
  </si>
  <si>
    <t>ITC Adjustment</t>
  </si>
  <si>
    <t>(Line 23 times Line 24)</t>
  </si>
  <si>
    <t>26a</t>
  </si>
  <si>
    <t>Excess/Deficient Deferred Income Tax Adjustment (Net)</t>
  </si>
  <si>
    <t>(Line 23 times Line 24a)</t>
  </si>
  <si>
    <t>26b</t>
  </si>
  <si>
    <t>Permanent Differences Tax Adjustment</t>
  </si>
  <si>
    <t>(Line 23 times Line 24b)</t>
  </si>
  <si>
    <t>Total Income Taxes</t>
  </si>
  <si>
    <t>(Sum of Lines 25 and 26b less lines 26, 26a )</t>
  </si>
  <si>
    <t xml:space="preserve">RETURN </t>
  </si>
  <si>
    <t xml:space="preserve">  Rate Base * Rate of Return plus Incentive Return</t>
  </si>
  <si>
    <t>(Page 2, Line 32 x Page 4, Line 31, Col. (5)) + Page 4, Line 32</t>
  </si>
  <si>
    <t>REV. REQUIREMENT</t>
  </si>
  <si>
    <t>(Sum of Lines 8, 12, 20, 27, 28)</t>
  </si>
  <si>
    <t>Page 4</t>
  </si>
  <si>
    <t>SUPPORTING CALCULATIONS AND NOTES</t>
  </si>
  <si>
    <t>TRANSMISSION PLANT INCLUDED IN RATES</t>
  </si>
  <si>
    <t>Total transmission plant</t>
  </si>
  <si>
    <t>(Page 2, Line 2, Column 3)</t>
  </si>
  <si>
    <t xml:space="preserve">Less transmission plant excluded from Wholesale Rates </t>
  </si>
  <si>
    <t>(Note L)</t>
  </si>
  <si>
    <t xml:space="preserve">Less transmission plant included in OATT Ancillary Services </t>
  </si>
  <si>
    <t>(Note M)</t>
  </si>
  <si>
    <t xml:space="preserve">Transmission plant included in Wholesale Rates  </t>
  </si>
  <si>
    <t>(Line 1 less Lines 2 &amp; 3)</t>
  </si>
  <si>
    <t xml:space="preserve">Percentage of transmission plant included in Wholesale Rates </t>
  </si>
  <si>
    <t xml:space="preserve"> (Line 4 divided by Line 1)</t>
  </si>
  <si>
    <t>TP=</t>
  </si>
  <si>
    <t>ENERGY STORAGE PLANT INCLUDED IN RATES</t>
  </si>
  <si>
    <t>Total energy storage in transmission plant</t>
  </si>
  <si>
    <t>(Page 2, Line 3a, Column 3)</t>
  </si>
  <si>
    <t>Less energy storage plant exlcluded from Wholesale Rates</t>
  </si>
  <si>
    <t>(Note BB)</t>
  </si>
  <si>
    <t>Energy storage in transmission plant included in Wholesale Rates</t>
  </si>
  <si>
    <t>(Line 5a less Line 5b)</t>
  </si>
  <si>
    <t>Percentage of transmission plant included in Wholesale Rates</t>
  </si>
  <si>
    <t>(Line 5c divided by Line 5a)</t>
  </si>
  <si>
    <t>ES=</t>
  </si>
  <si>
    <t xml:space="preserve">TRANSMISSION EXPENSES </t>
  </si>
  <si>
    <t xml:space="preserve">Total transmission expenses  </t>
  </si>
  <si>
    <t>(Page 3, Line 1, column 3)</t>
  </si>
  <si>
    <t xml:space="preserve">Less transmission expenses included in OATT Ancillary Services </t>
  </si>
  <si>
    <t>(Note E)</t>
  </si>
  <si>
    <t>Included transmission expenses</t>
  </si>
  <si>
    <t>(Line 6 less Line 7)</t>
  </si>
  <si>
    <t xml:space="preserve">% of transmission expenses after adjustment  </t>
  </si>
  <si>
    <t>(Line 8 divided by Line 6)</t>
  </si>
  <si>
    <t xml:space="preserve">% of transmission plant included in wholesale Rates  </t>
  </si>
  <si>
    <t>(Line 5)</t>
  </si>
  <si>
    <t>% of transmission expenses included in wholesale Rates</t>
  </si>
  <si>
    <t>(Line 9 times Line 10)</t>
  </si>
  <si>
    <t>TE=</t>
  </si>
  <si>
    <t>WAGES &amp; SALARY ALLOCATOR   (W&amp;S)</t>
  </si>
  <si>
    <t>Form 1 Reference</t>
  </si>
  <si>
    <t>$</t>
  </si>
  <si>
    <t>Allocation</t>
  </si>
  <si>
    <t>354.20.b</t>
  </si>
  <si>
    <t>354.21.b</t>
  </si>
  <si>
    <t>354.23.b</t>
  </si>
  <si>
    <t>14a</t>
  </si>
  <si>
    <t>354.xx.x</t>
  </si>
  <si>
    <t xml:space="preserve">  Other</t>
  </si>
  <si>
    <t>354.24, 25, 26.b</t>
  </si>
  <si>
    <t>($ / Allocation)</t>
  </si>
  <si>
    <t xml:space="preserve">  Total  </t>
  </si>
  <si>
    <t>(Sum of Lines 12-15)</t>
  </si>
  <si>
    <t>=</t>
  </si>
  <si>
    <t>WS</t>
  </si>
  <si>
    <t xml:space="preserve">COMMON PLANT ALLOCATOR  (CE) </t>
  </si>
  <si>
    <t>% Electric</t>
  </si>
  <si>
    <t>W&amp;S Allocator</t>
  </si>
  <si>
    <t xml:space="preserve">  Electric</t>
  </si>
  <si>
    <t>200.3.c</t>
  </si>
  <si>
    <t>(line 17 / line 20)</t>
  </si>
  <si>
    <t>(line 16)</t>
  </si>
  <si>
    <t xml:space="preserve">  Gas</t>
  </si>
  <si>
    <t>201.3.d</t>
  </si>
  <si>
    <t>*</t>
  </si>
  <si>
    <t xml:space="preserve">201.3.x </t>
  </si>
  <si>
    <t>(Sum of Lines 17-19)</t>
  </si>
  <si>
    <t>RETURN (R)</t>
  </si>
  <si>
    <t>Long Term Interest</t>
  </si>
  <si>
    <t>117, Column c, lines 62+63+64-65-66+67 less line 37 (Note CC)</t>
  </si>
  <si>
    <t>Preferred Dividends</t>
  </si>
  <si>
    <t>118.29.c (positive number)</t>
  </si>
  <si>
    <t>Development of Common Stock:</t>
  </si>
  <si>
    <t>Proprietary Capital</t>
  </si>
  <si>
    <t>112.16.c</t>
  </si>
  <si>
    <t xml:space="preserve">Less Preferred Stock </t>
  </si>
  <si>
    <t xml:space="preserve">(Line 29) </t>
  </si>
  <si>
    <t xml:space="preserve">Less Account 216.1 </t>
  </si>
  <si>
    <t xml:space="preserve">112.12.c  </t>
  </si>
  <si>
    <t>Less Account 219</t>
  </si>
  <si>
    <t xml:space="preserve">112.15.c  </t>
  </si>
  <si>
    <t>Common Stock</t>
  </si>
  <si>
    <t>(Line 23 less lines 24, 25, 26)</t>
  </si>
  <si>
    <t>Cost</t>
  </si>
  <si>
    <t>%</t>
  </si>
  <si>
    <t>(Notes C &amp; O)</t>
  </si>
  <si>
    <t>Weighted</t>
  </si>
  <si>
    <t xml:space="preserve">  Long Term Debt</t>
  </si>
  <si>
    <t xml:space="preserve"> 112, sum of  18.c through 21.c less 233.2.f</t>
  </si>
  <si>
    <t>=WCLTD</t>
  </si>
  <si>
    <t xml:space="preserve">  Preferred Stock </t>
  </si>
  <si>
    <t>112.3.c</t>
  </si>
  <si>
    <t xml:space="preserve">  Common Stock </t>
  </si>
  <si>
    <t>Line 27</t>
  </si>
  <si>
    <t xml:space="preserve">Total </t>
  </si>
  <si>
    <t>(Sum of Lines 28-30)</t>
  </si>
  <si>
    <t>=R</t>
  </si>
  <si>
    <t>Incentive Return</t>
  </si>
  <si>
    <t>Worksheet A7, Column (e )</t>
  </si>
  <si>
    <t>Page 5</t>
  </si>
  <si>
    <t>General Note:   References to pages in this formulary rate are indicated as:  (page#, line#, col.#)</t>
  </si>
  <si>
    <t>References to data from FERC Form 1 are indicated as:   #.y.x  (page, line, column)</t>
  </si>
  <si>
    <t>Note</t>
  </si>
  <si>
    <t>Letter</t>
  </si>
  <si>
    <t>A</t>
  </si>
  <si>
    <t>Plant in Service, Accumulated Depreciation, and Depreciation Expense amounts exclude Asset Retirement Obligation amounts unless authorized by FERC.</t>
  </si>
  <si>
    <t>B</t>
  </si>
  <si>
    <t xml:space="preserve">The Company has elected and applied the second option for accounting for investment tax credits (“ITC”) under Internal Revenue Code 46(f) and the regulations thereunder to apply a cost of service adjustment to reduce tax expense no more rapidly than ratably.    Under option 2, there is no rate base reduction for the unamortized balance of the ITC.  </t>
  </si>
  <si>
    <t>C</t>
  </si>
  <si>
    <t xml:space="preserve">Debt cost rate = long-term interest (line 21) / long term debt (line 28).  Preferred cost rate = preferred dividends (line 22) / preferred outstanding (line 29).   ROE will be supported in the original filing and no change in ROE may be made absent a filing with FERC.  </t>
  </si>
  <si>
    <t>D</t>
  </si>
  <si>
    <t xml:space="preserve">Includes only FICA, unemployment, highway, property, and other assessments charged in the current year.  Taxes related to income are excluded.  Gross receipts taxes are not included in transmission revenue requirement in the Rate Formula Template. </t>
  </si>
  <si>
    <t>E</t>
  </si>
  <si>
    <r>
      <t>Removes dollar amount of transmission expenses included in the OATT ancillary services rates, including Account Nos. 561.1, 561.2,</t>
    </r>
    <r>
      <rPr>
        <b/>
        <sz val="10"/>
        <rFont val="Times New Roman"/>
        <family val="1"/>
      </rPr>
      <t xml:space="preserve"> </t>
    </r>
    <r>
      <rPr>
        <sz val="10"/>
        <rFont val="Times New Roman"/>
        <family val="1"/>
      </rPr>
      <t xml:space="preserve"> and 561.3.</t>
    </r>
  </si>
  <si>
    <t>F</t>
  </si>
  <si>
    <t xml:space="preserve">The balances in Accounts 190, 281, 282 and 283, "are adjusted on Line 24 by the amounts in contra accounts identified as regulatory assets or liabilities related to FASB 106 or 109.  Balance of Account 255 is reduced by prior flow throughs and excluded if the utility chose to utilize amortization of tax credits against taxable income.   </t>
  </si>
  <si>
    <t>G</t>
  </si>
  <si>
    <t>Amounts included here are those recorded in Account 105, and limited to transmission-related land.</t>
  </si>
  <si>
    <t>H</t>
  </si>
  <si>
    <t>Cash Working Capital assigned to transmission is one-eighth of O&amp;M allocated to transmission at Page 3, Line 8, Column 5.    Prepayments are the electric related prepayments booked to Account No. 165; the total is reported on Page 111 Line 57 in the Form 1.</t>
  </si>
  <si>
    <t>I</t>
  </si>
  <si>
    <t xml:space="preserve">EPRI Annual Membership Dues listed in Form 1 at 335.1.b, all Regulatory Commission Expenses itemized at 351.h, and non-safety-related advertising included in Account 930.1.  </t>
  </si>
  <si>
    <t>J</t>
  </si>
  <si>
    <t>Transmission Depreciation rates and ROE are fixed amounts that can be changed only through a Section 205 filing.  The revenue requirement includes the PBOP actual cash outlay (defined as actual benefit payments for the year net of participant contributions plus administrative expenses) and excludes the accrued amount.</t>
  </si>
  <si>
    <t>K</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</si>
  <si>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t>
  </si>
  <si>
    <t xml:space="preserve">         Inputs Required:</t>
  </si>
  <si>
    <t>FIT =</t>
  </si>
  <si>
    <t xml:space="preserve">  (Federal Income Tax Rate)</t>
  </si>
  <si>
    <t>SIT=</t>
  </si>
  <si>
    <t xml:space="preserve">  (State Income Tax Rate or Composite SIT)</t>
  </si>
  <si>
    <t>p =</t>
  </si>
  <si>
    <t xml:space="preserve">  (percent of federal income tax deductible for state purposes)</t>
  </si>
  <si>
    <t>L</t>
  </si>
  <si>
    <t xml:space="preserve">Removes transmission plant determined by Commission order to be state-jurisdictional according to the seven-factor test (until Form 1 balances are adjusted to reflect application of seven-factor test) and also removes any transmission plant where the costs of the transmission plant have been direct assigned to a large load Cheyenne Light retail customer for purposes of complying with state retail tariff requirements and/or state statutes. Cheyenne Light will post a work-paper on OASIS identifying  excluded plant. The workpaper will be posted with the annual true-up and the projection. </t>
  </si>
  <si>
    <t>M</t>
  </si>
  <si>
    <t>Removes dollar amount of transmission plant included in the development of OATT ancillary services rates and generation step-up facilities, which are deemed to be included in OATT ancillary services.  For these purposes, generation step-up   facilities are those facilities at a generator substation on which there is no through-flow when the generator is shut down.</t>
  </si>
  <si>
    <t>N</t>
  </si>
  <si>
    <t>Unamortized Abandoned Plant and Amortization of Abandoned Plant will be zero until the Commission accepts or approves recovery of the cost of each abandoned plant and its applicable allocation factor.  Utility must submit a Section 205 filing to recover the cost of each abandoned plant.</t>
  </si>
  <si>
    <t>O</t>
  </si>
  <si>
    <t xml:space="preserve">ROE will be supported in the original filing and no change in ROE may be made absent a filing with FERC.  </t>
  </si>
  <si>
    <t>P</t>
  </si>
  <si>
    <t>Recovery of any regulatory assets and the respective allocators requires authorization from the Commission.</t>
  </si>
  <si>
    <t>Q</t>
  </si>
  <si>
    <t>AFUDC ceases when CWIP is recovered in rate base.  No CWIP will be included in rate base on line 18a absent FERC authorization.</t>
  </si>
  <si>
    <t>R</t>
  </si>
  <si>
    <t xml:space="preserve">Unfunded Reserves are customer contributed capital such as when employee vacation expense is accrued but not yet incurred.  </t>
  </si>
  <si>
    <t>S</t>
  </si>
  <si>
    <t>The revenues credited do not include gross receipts taxes, ancillary service revenues, or revenues associated with facilities the costs of which are not recovered under this Rate Formula Template (e.g., direct assignment facilities and GSUs).</t>
  </si>
  <si>
    <t>T</t>
  </si>
  <si>
    <t>The Tax Effect of Permanent Differences captures the differences in the income taxes due under the Federal and State calculations and the income taxes calculated in Attachment H that are not the result of a timing difference.</t>
  </si>
  <si>
    <t>U</t>
  </si>
  <si>
    <t>Page 2 Line 23b includes any unamortized balances related to the recovery of abandoned plant costs approved by FERC under a separate docket.  Page 3, Line 11a ncludes the Amortization expense of Commission-approved abandonment costs.  The details of the amounts are shown in the workpapers required pursuant to the Projected Net Revenue Requirement and Annual True-up Procedures.</t>
  </si>
  <si>
    <t>V</t>
  </si>
  <si>
    <t xml:space="preserve">Calculate using 13 month average balance, reconciling to FERC Form No. 1 by Page, Line, and Column as shown in Worksheet A4 for inputs on page 2 of 5 above, except ADIT, page 2, lines 19-22, which is on Worksheet A3. </t>
  </si>
  <si>
    <t>W</t>
  </si>
  <si>
    <t>If applicable, a separate workpaper will be provided and posted with other supporting documentation.</t>
  </si>
  <si>
    <t>X</t>
  </si>
  <si>
    <t>Includes the amortization of any excess/deficient deferred income taxes resulting from changes to income tax laws, income tax rates (including changes in apportionment) and other actions taken by a taxing authority.  The amortization of excess or deficient deferred income taxes will, respectively, reduce or increase tax expense by the amortization amount multiplied by (1/(1-T)).</t>
  </si>
  <si>
    <t>Y</t>
  </si>
  <si>
    <t>Includes the annual income tax cost or benefits due to permanent differences or differences between the amount of expenses or revenues recognized in one period for ratemaking purposes and the amounts recognized for income tax purposes which do not reverse in one or more other periods, including the cost of income taxes on the Allowance for Other Funds Used During Construction.  T multiplied by the amount of permanent differences and depreciation expense associated with Allowance for Other Funds Used During Construction will increase or decrease tax expense by the amount of the expense or benefit included on line 24b multiplied by (1/(1-T)).</t>
  </si>
  <si>
    <t>Z</t>
  </si>
  <si>
    <t>The allocator used will be in accordance with the FERC order authorizing the inclusion of these items in the formula rate.</t>
  </si>
  <si>
    <t>AA</t>
  </si>
  <si>
    <t>If Cheyenne Light includes a new item in the category designated “Other” in line 18 of Attachment H and populates an appropriate allocator, it will provide a justification of what has been included in that “Other” category and justification for its choice of allocator at the first opportunity under its protocols whether that is in its posting of its Projected Net Revenue Requirement, its Informational Filing with FERC or its posting of its Annual True-Up as those times are set in the protocols.  In addition, if a customer acting pursuant to the formal challenge process under the protocols challenges inclusion of a new item in the category designated “Other" in line 18 of Attachment H or in response to the allocator Cheyenne Light utilizes or if FERC institutes a FPA 206 in response to Cheyenne Light’s inclusion of a new item in the category designated “Other" in line 18 of Attachment H or in response to the allocator Cheyenne Light utilizes, Cheyenne Light while not required to make a FPA section 205 filing for such change(s), shall bear a FPA Section 205 burden to show that its inclusion of a new item in the category designated "Other" in line 18 of Attachment H and the associated allocator results in a just and reasonable allocation of costs to OATT Transmission Service.  The foregoing disclosure obligations and retention of burden applies only in the instances described in this note.</t>
  </si>
  <si>
    <t>BB</t>
  </si>
  <si>
    <t>Removes energy storage plant not recovered in transmission rates as demonstrated on supporting workpaper or footnote to the FERC Form 1, if applicable.</t>
  </si>
  <si>
    <t>CC</t>
  </si>
  <si>
    <t>For FERC account no. 419, the Company reviews all entries and identifies and removes those that are related to balancing accounts for state rate adjustment mechanisms. A supporting workpaper will be posted with the annual true-up and the projection.</t>
  </si>
  <si>
    <t>Revenue Credits</t>
  </si>
  <si>
    <t>Line #</t>
  </si>
  <si>
    <t>ACCOUNT 454 (RENT FROM ELECTRIC PROPERTY)  (Note A)</t>
  </si>
  <si>
    <t>FERC Acct</t>
  </si>
  <si>
    <t>Adjustments</t>
  </si>
  <si>
    <t>Adjd Total</t>
  </si>
  <si>
    <t>(a)</t>
  </si>
  <si>
    <t>(b)</t>
  </si>
  <si>
    <t>(c)</t>
  </si>
  <si>
    <t>(d)</t>
  </si>
  <si>
    <t>(e )</t>
  </si>
  <si>
    <t>454- Rent From Electric Property</t>
  </si>
  <si>
    <t>Rental Income on Transmission Facilities</t>
  </si>
  <si>
    <t>Rental Income on Other Facilities</t>
  </si>
  <si>
    <t>Total 454</t>
  </si>
  <si>
    <t>ACCOUNT 456.1 (OTHER ELECTRIC REVENUES) (Note B)</t>
  </si>
  <si>
    <t xml:space="preserve">Sched, </t>
  </si>
  <si>
    <t>Reactive</t>
  </si>
  <si>
    <t xml:space="preserve">Netwk &amp; </t>
  </si>
  <si>
    <t>System</t>
  </si>
  <si>
    <t xml:space="preserve">Supply &amp; </t>
  </si>
  <si>
    <t>Regul</t>
  </si>
  <si>
    <t xml:space="preserve">Interco. </t>
  </si>
  <si>
    <t>Suppl</t>
  </si>
  <si>
    <t>PTP</t>
  </si>
  <si>
    <t>Network</t>
  </si>
  <si>
    <t xml:space="preserve">Control &amp; </t>
  </si>
  <si>
    <t>Voltage</t>
  </si>
  <si>
    <t>and</t>
  </si>
  <si>
    <t>Energy</t>
  </si>
  <si>
    <t xml:space="preserve">Spinning </t>
  </si>
  <si>
    <t>Trans</t>
  </si>
  <si>
    <t>Transm</t>
  </si>
  <si>
    <t>Dispatch</t>
  </si>
  <si>
    <t>Control</t>
  </si>
  <si>
    <t>Freq</t>
  </si>
  <si>
    <t>Imbal</t>
  </si>
  <si>
    <t>Reserve</t>
  </si>
  <si>
    <t xml:space="preserve">Total of </t>
  </si>
  <si>
    <t xml:space="preserve">Service </t>
  </si>
  <si>
    <t xml:space="preserve">Divisor  </t>
  </si>
  <si>
    <t>Sched 7 &amp; 8</t>
  </si>
  <si>
    <t>Sched 9</t>
  </si>
  <si>
    <t>Sched 1</t>
  </si>
  <si>
    <t>Sched 2</t>
  </si>
  <si>
    <t>Sched 3</t>
  </si>
  <si>
    <t>Sched 4</t>
  </si>
  <si>
    <t>Sched 5</t>
  </si>
  <si>
    <t>Sched 6</t>
  </si>
  <si>
    <t xml:space="preserve">Type </t>
  </si>
  <si>
    <t>Type</t>
  </si>
  <si>
    <t>KW</t>
  </si>
  <si>
    <t>Items</t>
  </si>
  <si>
    <t>(e)</t>
  </si>
  <si>
    <t>(f)</t>
  </si>
  <si>
    <t>(g)</t>
  </si>
  <si>
    <t>(h)</t>
  </si>
  <si>
    <t>(i)</t>
  </si>
  <si>
    <t>(j)</t>
  </si>
  <si>
    <t>Summarized by Type:</t>
  </si>
  <si>
    <t>Credit</t>
  </si>
  <si>
    <t>Divisor</t>
  </si>
  <si>
    <t>Ancillary</t>
  </si>
  <si>
    <t>Other</t>
  </si>
  <si>
    <t>Revenue Types:</t>
  </si>
  <si>
    <t>Ancillary services includes regulation &amp; frequency, control &amp; dispatch, voltage control, reactive, spinning reserve, and scheduling.</t>
  </si>
  <si>
    <t>Load associated with these revenues are included in the formula divisor.</t>
  </si>
  <si>
    <t>Revenue credit because the load is not included in divisor.</t>
  </si>
  <si>
    <t>Notes</t>
  </si>
  <si>
    <t>Includes income related only to transmission facilities, such as pole attachments, rentals and special use.</t>
  </si>
  <si>
    <t>PTP Revenue credits from Line 42, Column (b) populate Actual Attachment H, page 1, line 3; Schedule 1 Revenue credits populate Schedule 1, page 1, line 10.</t>
  </si>
  <si>
    <t>Administrative and General Expenses</t>
  </si>
  <si>
    <t>Item</t>
  </si>
  <si>
    <t>EPRI Annual Membership Dues</t>
  </si>
  <si>
    <t>335.1.b</t>
  </si>
  <si>
    <t>Regulatory Commission Expenses</t>
  </si>
  <si>
    <t>323.189.b</t>
  </si>
  <si>
    <t>Account No. 930.1</t>
  </si>
  <si>
    <t>323.191.b</t>
  </si>
  <si>
    <t xml:space="preserve">Less Safety Related Advertising </t>
  </si>
  <si>
    <t>Company Records (Note A)</t>
  </si>
  <si>
    <t>4a</t>
  </si>
  <si>
    <t>Lobbying Expense</t>
  </si>
  <si>
    <t>Company Records</t>
  </si>
  <si>
    <t>4b</t>
  </si>
  <si>
    <t>Penalties</t>
  </si>
  <si>
    <t>EPRI &amp; Reg. Comm. Exp. &amp; Non-safety Ad.</t>
  </si>
  <si>
    <t>(Sum of Lines 1-3, 4a, 4b) less Line 4)</t>
  </si>
  <si>
    <t>Transmission Related Regulatory Expense</t>
  </si>
  <si>
    <t>Reserved for use in the event of transmission rate filings</t>
  </si>
  <si>
    <t>Company Records (Note C)</t>
  </si>
  <si>
    <t>FERC annual charges - transmission only</t>
  </si>
  <si>
    <t>350.b</t>
  </si>
  <si>
    <t xml:space="preserve">Transmission Related Regulatory Expense   </t>
  </si>
  <si>
    <t>PBOP Net Periodic expense</t>
  </si>
  <si>
    <t>Account No. 920</t>
  </si>
  <si>
    <t>Company Records (Note B)</t>
  </si>
  <si>
    <t>Account No. 926</t>
  </si>
  <si>
    <t>(Note D)</t>
  </si>
  <si>
    <t>For FERC account no. 930.1, the Company reviews all entries and identifies those that are safety related advertising.</t>
  </si>
  <si>
    <t>For FERC account nos. 920 and 926, the Company reviews all entries and identifies the PBOP Net Periodic expenses to be removed from A&amp;G.</t>
  </si>
  <si>
    <t>Limited to Transmission-related regulatory expenses itemized from total amounts on FERC Form No. 1 page 351.</t>
  </si>
  <si>
    <t>The amount is the the net periodic expense and not the actual cash outlay.</t>
  </si>
  <si>
    <t>Accumulated Deferred Income Taxes</t>
  </si>
  <si>
    <t>BOY Balance</t>
  </si>
  <si>
    <t>EOY Balance</t>
  </si>
  <si>
    <t>(Note A)</t>
  </si>
  <si>
    <t>(Note B)</t>
  </si>
  <si>
    <t>Ref</t>
  </si>
  <si>
    <t>Average Balance</t>
  </si>
  <si>
    <t xml:space="preserve">  Account No. 281 (enter negative)</t>
  </si>
  <si>
    <t>272.2.b &amp; 273.2.k</t>
  </si>
  <si>
    <t xml:space="preserve">  Account No. 282 (enter negative)</t>
  </si>
  <si>
    <t>274 - 275 Footnote Line 7, b &amp; k</t>
  </si>
  <si>
    <t xml:space="preserve">  Account No. 283 (enter negative)</t>
  </si>
  <si>
    <t>276 - 277 Footnote Line 10, b &amp; k</t>
  </si>
  <si>
    <t>234 Footnote Line 13, b &amp; c</t>
  </si>
  <si>
    <t>FAS 109 (Note E)</t>
  </si>
  <si>
    <t>FAS 109 Adjustment to ADIT</t>
  </si>
  <si>
    <t>FAS 109 AFUDC Equity in Plant</t>
  </si>
  <si>
    <t>232.1.b &amp; 232.1.f</t>
  </si>
  <si>
    <t>Reg Liability FAS 109 ITC (enter negative)</t>
  </si>
  <si>
    <t>278.1.b &amp; 278.1.f</t>
  </si>
  <si>
    <t>Reg Liability Retiree HC (enter negative)</t>
  </si>
  <si>
    <t>Federal Income Tax Rate</t>
  </si>
  <si>
    <t>FAS 109 Adjustment to ADIT for Attachment H</t>
  </si>
  <si>
    <t>Notes:</t>
  </si>
  <si>
    <t>Beginning of Year ("BOY") balance is end of previous year balance per FERC Form No. 1.</t>
  </si>
  <si>
    <t>End of Year ("EOY") balance is  end of current year balance per FERC Form No. 1.</t>
  </si>
  <si>
    <t>Reserved</t>
  </si>
  <si>
    <t>The effect of the FAS 109 Adjustment to ADIT is to remove deferred taxes included in accounts 190 and 283 that are non-ratemaking in nature.</t>
  </si>
  <si>
    <t>Accumulated Excess / Deficient Deferred Income Taxes ("EDIT"/"DDIT") (Note A, H)</t>
  </si>
  <si>
    <t>Actuals - For the 12 months ended 12/31/XXXX</t>
  </si>
  <si>
    <t>(a1)</t>
  </si>
  <si>
    <t>(a2)</t>
  </si>
  <si>
    <t>(a3)</t>
  </si>
  <si>
    <t>(k)</t>
  </si>
  <si>
    <t>(l)</t>
  </si>
  <si>
    <t>Line No.</t>
  </si>
  <si>
    <t>Item (Note A1)</t>
  </si>
  <si>
    <t>Vintage</t>
  </si>
  <si>
    <t>Account</t>
  </si>
  <si>
    <t xml:space="preserve">Form No. 1 Page (Note I)  </t>
  </si>
  <si>
    <t>BOY Balance (Note B)</t>
  </si>
  <si>
    <t>Current Period Amortization (Note C)</t>
  </si>
  <si>
    <t>Current Period Other Activity (Note D)</t>
  </si>
  <si>
    <t>EOY Balance (Note E)</t>
  </si>
  <si>
    <t>Allocator (Note F)</t>
  </si>
  <si>
    <t>BOY Allocated Amount</t>
  </si>
  <si>
    <t>Current Amortization Allocated</t>
  </si>
  <si>
    <t>Current Period Other Activity Allocated</t>
  </si>
  <si>
    <t>EOY Allocated Amount</t>
  </si>
  <si>
    <t>Prorated (Yes/No) (Note G)</t>
  </si>
  <si>
    <t>Amort Period or Method</t>
  </si>
  <si>
    <t>NON PLANT DDIT/(EDIT)</t>
  </si>
  <si>
    <t>Total Non-Protected Non-Property - DDIT</t>
  </si>
  <si>
    <t>2017 TCJA</t>
  </si>
  <si>
    <t>2017 NP</t>
  </si>
  <si>
    <t>Yes</t>
  </si>
  <si>
    <t>5 years Straight Line</t>
  </si>
  <si>
    <t>…</t>
  </si>
  <si>
    <t>Total Non Plant Non-Protected DDIT/(EDIT)</t>
  </si>
  <si>
    <t>Deferred Tax Liability Non Plant</t>
  </si>
  <si>
    <t>Total Deferred Tax Offset Non Plant</t>
  </si>
  <si>
    <t>Total Non Plant Non-Protected DDIT/(EDIT) (Net of Tax Gross Up)</t>
  </si>
  <si>
    <t>PLANT DDIT/(EDIT)</t>
  </si>
  <si>
    <t>Total Protected Property - EDIT</t>
  </si>
  <si>
    <t>ARAM</t>
  </si>
  <si>
    <t>Total Non-Protected Property - EDIT</t>
  </si>
  <si>
    <t>Total Protected Property - DDIT-NOL</t>
  </si>
  <si>
    <t>Total Regulatory Liability- EDFIT Tax Reform of 1986</t>
  </si>
  <si>
    <t>1986 TRA</t>
  </si>
  <si>
    <t>Reverse South Georgia</t>
  </si>
  <si>
    <t>Total Plant DDIT/(EDIT)</t>
  </si>
  <si>
    <t>Deferred Tax Asset Plant</t>
  </si>
  <si>
    <t>Deferred Tax Liability Plant</t>
  </si>
  <si>
    <t>Total Deferred Tax Offset Plant</t>
  </si>
  <si>
    <t>Total Plant DDIT/(EDIT) (Net of Tax Gross Up)</t>
  </si>
  <si>
    <t>TOTALS</t>
  </si>
  <si>
    <t>Total Excess/Deficient Deferred Income Taxes (Note I)</t>
  </si>
  <si>
    <t>Total Deferred Tax Offset</t>
  </si>
  <si>
    <t>Total Excess/Deficient Deferred Income Taxes (Net of Tax Gross Up) (Note J)</t>
  </si>
  <si>
    <t>Total Excess/Deficient Deferred Income Taxes Annual Average</t>
  </si>
  <si>
    <t>Weighted Average EDIT/DDIT Net Plant Allocator</t>
  </si>
  <si>
    <t>Upon a tax rate change, the Company remeasures its deferred tax assets and liabilities to the new applicable corporate tax rate. The result of this remeasurement is a change in the deferred taxes recorded in accounts 190, 282 and 283 with a corresponding change in regulatory assets or liabilities to reflect the impact to customers.  The remeasurement is effectuated mathematically by taking the ADIT balance before the tax rate change and dividing by the prior tax rate to arrive at gross timing differences.  Next, the new tax rate is applied against the balance of gross timing differences.  The difference in the two results is reclassified from ADIT to regulatory assets/liabilities for deficient/excess ADIT.  Accounts 182.3 Regulatory Asset for deficient ADIT and 254 Regulatory Liability for excess ADIT are presented grossed-up for tax purposes as is the amortization. Cheyenne Light would follow the process described above to remeasure ADIT balance (increase or decrease) due to any future income tax rate change.  See Wkpr A3.2 EDIT-DDIT.dtl for detailed derivation.   The FERC Form No. 1  reference in column (a3) will be populated beginning for the twelve months ended December 31, 2021 (2021 FERC Form 1).</t>
  </si>
  <si>
    <t>A1</t>
  </si>
  <si>
    <t>The determination of an item as "Protected" versus "Non-Protected" has been and will be made in accordance with applicable tax code and regulations.</t>
  </si>
  <si>
    <t>Beginning of Year ("BOY") balance is end of Prior Year balance reflected on FERC Form No. 1 p.232/278</t>
  </si>
  <si>
    <t>DDIT or EDIT is reduced in the current period under the prescribed  amortization method to account 410.1, Provision for Deferred Income Taxes, Utility Operating Income and 411.1, Provision for Deferred Income Taxes—Credit, Utility Operating Income, respectively.</t>
  </si>
  <si>
    <t>Includes the impact of tax rate changes enacted during the period.</t>
  </si>
  <si>
    <t>End of Year ("EOY") balance is the end of Current Year balance reflected on FERC Form No. 1. p.232/278. For year end 2018, the FERC Form No.1 balance was adjusted to account for the removal of gas utility specific balances. After 2018, those balances will not be reported in the FERC Form 1.</t>
  </si>
  <si>
    <t xml:space="preserve">The "2017 NP" allocator applied to EDIT resulting from the 2017 Tax Cuts and Jobs Act must remain fixed and will not be updated each year.   Cheyenne Light’s intent is to maintain the same functional breakdown of the Excess Deferred Income Tax flow-back amounts that are to be established initially in Docket Nos. ER19-697-000 and EL19-41-000 for EDIT arising from the 2017 Tax Cuts and Jobs Act.  In the event the Company populates the data enterable fields for future income tax changes, the Company will support its chosen allocation factor for EDIT or DDIT as just and reasonable in its annual update following a change in tax rates.  </t>
  </si>
  <si>
    <t xml:space="preserve">With respect to Projected Transmission Rate filings, each EDIT/DDIT Item must be categorized into balances that require proration and those that do not.  EDIT/DDIT items with a "Plant" Explanation code are generally subject to proration treatment consistent with the proration treatment of plant related ADIT in Account 282.  </t>
  </si>
  <si>
    <t xml:space="preserve">In the event the Company populates the data enterable fields for future income tax changes, the Company will support the data entered as just and reasonable in its annual update following a change in tax rates.  </t>
  </si>
  <si>
    <t xml:space="preserve"> Prior to 2021, Cheyenne Light net its regulatory assets and regulatory liabilities related to deficient deferred income taxes and excess deferred taxes in account 254 or associated subaccounts.  Beginning in 2021, regulatory assets for deficient deferred income taxes are in account 182.3 and regulatory liabilities for excess deferred income taxes are in account 254.  In addition, prior to 2019, Company Records would need to be used to determine the net excess deferred income taxes as Cheyenne Light had gas and electric operations, in 2019 Cheyenne Light no longer had gas operations and gas operations were no longer included in the FF1.   All amounts are intended to be exclusive of any non-electric balances for years prior to 2019.</t>
  </si>
  <si>
    <t xml:space="preserve">The net amortization of the regulatory liability for excess deferred income taxes in Account 254 and the associated deferred tax asset in Account 190 is a positive number.  The net amortization of the regulatory asset for deficient deferred income taxes in account 182.3 and the associated deferred tax liability in Account 283 is a negative number.  The net amortization of excess deferred income taxes reduces income tax expense by the net amortization amount multiplied by (1/(1-T)) on Attachment H.  The Excess or Deficient ADIT are amortized to Accounts 410.1 / 411.1.  </t>
  </si>
  <si>
    <t>(Excess)/Deficient Deferred Income Taxes - FERC Order 864 Worksheet -- Tax Rate Change</t>
  </si>
  <si>
    <t>Actuals - For the 12 months ended 12/31/yyyy</t>
  </si>
  <si>
    <t xml:space="preserve">Prior Year:
</t>
  </si>
  <si>
    <t>New Tax</t>
  </si>
  <si>
    <t>New Rate:</t>
  </si>
  <si>
    <t>Tax Gross Up Factor:</t>
  </si>
  <si>
    <t>(Col 1)</t>
  </si>
  <si>
    <t>(Col 2)</t>
  </si>
  <si>
    <t>(Col 3)</t>
  </si>
  <si>
    <t>(Col 4)</t>
  </si>
  <si>
    <t>(Col 5)</t>
  </si>
  <si>
    <t>(Col 6)</t>
  </si>
  <si>
    <t>(Col 7)</t>
  </si>
  <si>
    <t>(Col 8)</t>
  </si>
  <si>
    <t>New Tax Rate Adjustment Calculation</t>
  </si>
  <si>
    <t>(C3)xNew Rate</t>
  </si>
  <si>
    <t>= (C4) - (C5)</t>
  </si>
  <si>
    <t>= (C6) * Tax Gross Up Factor</t>
  </si>
  <si>
    <t>= (C6) - (C7)</t>
  </si>
  <si>
    <r>
      <rPr>
        <b/>
        <u/>
        <sz val="10"/>
        <color theme="1"/>
        <rFont val="Times New Roman"/>
        <family val="1"/>
      </rPr>
      <t>Line</t>
    </r>
  </si>
  <si>
    <t>Accumulated (Taxable) / Deductible Book-to-Tax Differences</t>
  </si>
  <si>
    <t>Accumulated DIT Balances at Prior Tax Rate</t>
  </si>
  <si>
    <t>Accumulated DIT Balance at New Tax Rate</t>
  </si>
  <si>
    <t>(Excess) Deficient Def. Taxes at New Tax Rate</t>
  </si>
  <si>
    <t>(Excess) Deficient Def. Taxes with Tax Gross Up 182.3 / 254 Acct (Note A)</t>
  </si>
  <si>
    <t>Deferred Tax Offset (Note B)</t>
  </si>
  <si>
    <t>Protected - Property</t>
  </si>
  <si>
    <t>Method/Life</t>
  </si>
  <si>
    <t>Cost of Removal</t>
  </si>
  <si>
    <t>Federal NOL</t>
  </si>
  <si>
    <t>Non-Protected - Property</t>
  </si>
  <si>
    <t>Mixed Service Costs</t>
  </si>
  <si>
    <t>Capitalized Interest</t>
  </si>
  <si>
    <t>Tax Repair Deduction</t>
  </si>
  <si>
    <t>Ordinary &amp; Necessary Business Deductions</t>
  </si>
  <si>
    <t>Research and Development Tax Deductions</t>
  </si>
  <si>
    <t>Section 481A Adjustments</t>
  </si>
  <si>
    <t>Contributions in Aid of Construction</t>
  </si>
  <si>
    <t>Total Property Related  (= L99 + L199)</t>
  </si>
  <si>
    <t>Non-protected - Non-Property </t>
  </si>
  <si>
    <t>Employee Benefits</t>
  </si>
  <si>
    <t>Bad Debt Reserve</t>
  </si>
  <si>
    <t>PUC Fees</t>
  </si>
  <si>
    <t>Executive Incentive Plan ST</t>
  </si>
  <si>
    <t>Executive Incentive Plan LT</t>
  </si>
  <si>
    <t>Reaquired Bond Gain</t>
  </si>
  <si>
    <t>Workman's Compensation</t>
  </si>
  <si>
    <t>Accrued Vacation</t>
  </si>
  <si>
    <t>Retiree Healthcare</t>
  </si>
  <si>
    <t>Line Extension Deposits</t>
  </si>
  <si>
    <t>Reg Power Plant Maintenance</t>
  </si>
  <si>
    <t>Reaquired Bond Loss</t>
  </si>
  <si>
    <t>Prepaid Expenses</t>
  </si>
  <si>
    <t>Deferred Rate Case</t>
  </si>
  <si>
    <t>Total Non-Property Related</t>
  </si>
  <si>
    <t>Grand Total   (= L 200 + L 400)</t>
  </si>
  <si>
    <t xml:space="preserve">Positive figures represent deficient deferred income tax regulatory assets, whereas negative figures represent excess deferred income tax regulatory liabilities.  The Company presents the accounts grossed up for taxes with an offsetting deferred tax item to reflect the gross up.  
 </t>
  </si>
  <si>
    <t xml:space="preserve">The deferred tax offset may be an asset or liability depending on the character of the regulatory item.  A regulatory liability is a temporary difference for which a deferred tax asset is recognized in Account 190. A regulatory asset is a temporary difference for which a deferred tax liability is recognized in account 283. </t>
  </si>
  <si>
    <t>Rate Base Worksheet</t>
  </si>
  <si>
    <t>Page 1 of 3</t>
  </si>
  <si>
    <t xml:space="preserve">Gross Plant In Service </t>
  </si>
  <si>
    <t>CWIP</t>
  </si>
  <si>
    <t>LHFFU</t>
  </si>
  <si>
    <t>Line No</t>
  </si>
  <si>
    <t>Month</t>
  </si>
  <si>
    <t>Production</t>
  </si>
  <si>
    <t>Distribution</t>
  </si>
  <si>
    <t>Energy Storage Plant</t>
  </si>
  <si>
    <t>General &amp; Intangible</t>
  </si>
  <si>
    <t>Common</t>
  </si>
  <si>
    <t>CWIP (Note C)</t>
  </si>
  <si>
    <t>Land Held for Future Use</t>
  </si>
  <si>
    <t>FN1 Reference for Dec</t>
  </si>
  <si>
    <t>205.46.g (Note J)</t>
  </si>
  <si>
    <t>207.58.g (Note J)</t>
  </si>
  <si>
    <t>207.75.g (Note J)</t>
  </si>
  <si>
    <t>207.xx.x (Note J)</t>
  </si>
  <si>
    <t>201.8.e,f,g, 205.5.g &amp; 207.99.g (Notes I &amp; J)</t>
  </si>
  <si>
    <t>201.8.h (Note J)</t>
  </si>
  <si>
    <t>216.x.b</t>
  </si>
  <si>
    <t>214.x.d</t>
  </si>
  <si>
    <t>December Prior Year</t>
  </si>
  <si>
    <t>January</t>
  </si>
  <si>
    <t>February</t>
  </si>
  <si>
    <t xml:space="preserve">March </t>
  </si>
  <si>
    <t>April</t>
  </si>
  <si>
    <t>May</t>
  </si>
  <si>
    <t>July</t>
  </si>
  <si>
    <t xml:space="preserve">August </t>
  </si>
  <si>
    <t>September</t>
  </si>
  <si>
    <t>October</t>
  </si>
  <si>
    <t>November</t>
  </si>
  <si>
    <t xml:space="preserve">December </t>
  </si>
  <si>
    <t xml:space="preserve">Average of the 13 Monthly Balances </t>
  </si>
  <si>
    <t xml:space="preserve">Accumulated Depreciation </t>
  </si>
  <si>
    <t>reserved</t>
  </si>
  <si>
    <t>219.xx.x (Notes J &amp; K)</t>
  </si>
  <si>
    <t>219.20-24.c (Notes J &amp; K)</t>
  </si>
  <si>
    <t>219.25.c (Notes J &amp; K)</t>
  </si>
  <si>
    <t>219.26.c (Notes J &amp; K)</t>
  </si>
  <si>
    <t>201.14.e,f,g, 219.28.c &amp; 200.21.c (Notes I, J &amp; K)</t>
  </si>
  <si>
    <t>201.14.h (Notes J &amp; K)</t>
  </si>
  <si>
    <t>Page 2 of 3</t>
  </si>
  <si>
    <t>Adjustments to Rate Base</t>
  </si>
  <si>
    <t xml:space="preserve">Unamortized Regulatory Asset </t>
  </si>
  <si>
    <t xml:space="preserve">Unamortized Abandoned Plant  </t>
  </si>
  <si>
    <t xml:space="preserve">Account No. 281
Accumulated Deferred Income Taxes </t>
  </si>
  <si>
    <t xml:space="preserve">Account No. 282
Accumulated Deferred Income Taxes </t>
  </si>
  <si>
    <t xml:space="preserve">Account No. 283
Accumulated Deferred Income Taxes </t>
  </si>
  <si>
    <t xml:space="preserve">Account No. 190
Accumulated Deferred Income Taxes </t>
  </si>
  <si>
    <t>Account No. 165
Prepayments</t>
  </si>
  <si>
    <t>Notes A &amp; E</t>
  </si>
  <si>
    <t>Notes B &amp; F</t>
  </si>
  <si>
    <t>Note D</t>
  </si>
  <si>
    <t>Average of the 13 Monthly Balances -</t>
  </si>
  <si>
    <t>(Except ADIT which is average of Beg. &amp; End Balances)</t>
  </si>
  <si>
    <t>Unfunded Reserves    (Note G)</t>
  </si>
  <si>
    <t>List of all reserves:</t>
  </si>
  <si>
    <t>Amount 
(Enter the negative of amount reflected in the Cheyenne Light Form 1)</t>
  </si>
  <si>
    <t xml:space="preserve">Enter 1 if NOT in a trust or reserved account, enter zero (0) if included in a trust or reserved account </t>
  </si>
  <si>
    <t>Enter 1 if the accrual account is included in the formula rate, enter zero (0) if the accrual account is NOT included in the formula rate</t>
  </si>
  <si>
    <t xml:space="preserve">Enter the percentage paid for by customers, 1 less the percent associated with an offsetting liability on the balance sheet </t>
  </si>
  <si>
    <t xml:space="preserve">Allocation (Plant or Labor Allocator) </t>
  </si>
  <si>
    <t>Amount Allocated, col. (c) x col. (d) x col. (e) x col. (f) x col. (g)</t>
  </si>
  <si>
    <t>Reserve 1</t>
  </si>
  <si>
    <t>Reserve 2</t>
  </si>
  <si>
    <t>Reserve 3</t>
  </si>
  <si>
    <t>Reserve 4</t>
  </si>
  <si>
    <t>Page 3 of 3</t>
  </si>
  <si>
    <t>Materials &amp; Supplies</t>
  </si>
  <si>
    <t>Deferred Tax Items</t>
  </si>
  <si>
    <t xml:space="preserve">  Materials &amp; Supplies: Transmission Plant</t>
  </si>
  <si>
    <t xml:space="preserve">  Materials &amp; Supplies: Stores Expense Undistributed</t>
  </si>
  <si>
    <t xml:space="preserve">  Materials &amp; Supplies: Construction</t>
  </si>
  <si>
    <t xml:space="preserve">  Materials &amp; Supplies</t>
  </si>
  <si>
    <t>227.8.c</t>
  </si>
  <si>
    <t>227.16.c</t>
  </si>
  <si>
    <t>227.5.c</t>
  </si>
  <si>
    <t>Total (Note E)</t>
  </si>
  <si>
    <t>Allocator Value (Note H)</t>
  </si>
  <si>
    <t>Avg of 13 Month Balances - Allocated</t>
  </si>
  <si>
    <t>Recovery of any regulatory asset (project-specific regulatory asset or start-up regulatory asset) is limited to such regulatory assets authorized by FERC.</t>
  </si>
  <si>
    <t>Recovery of abandoned plant is limited to any abandoned plant recovery authorized by FERC.</t>
  </si>
  <si>
    <t xml:space="preserve">Includes only CWIP authorized by the Commission for inclusion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reconcile the project-specific CWIP balances to the total Account 107 CWIP balance reported on p. 216.b of the FERC Form 1.   The demonstration in (iii) above will show that monthly debits and credits do not contain entries for AFUDC for each CWIP project in ratebase. </t>
  </si>
  <si>
    <t>Balances are from Worksheet A3-ADIT.</t>
  </si>
  <si>
    <t xml:space="preserve">Recovery of any project-specific regulatory assets requires authorization from the Commission.  </t>
  </si>
  <si>
    <r>
      <rPr>
        <sz val="10"/>
        <rFont val="Times New Roman"/>
        <family val="1"/>
      </rPr>
      <t xml:space="preserve">Unamortized Abandoned Plant and Amortization of Abandoned Plant will be zero until the Commission accepts or approves recovery of the cost of abandoned plant. </t>
    </r>
    <r>
      <rPr>
        <strike/>
        <sz val="10"/>
        <rFont val="Times New Roman"/>
        <family val="1"/>
      </rPr>
      <t xml:space="preserve"> </t>
    </r>
  </si>
  <si>
    <t>The Formula Rate shall include a credit to rate base for all unfunded reserves (funds collected from customers that (1) have not been set aside in a trust, escrow or restricted account; (2) whose balance are collected from customers through cost accruals to accounts that are recovered under the Formula Rate; and (3) exclude the portion of any balance offset by a balance sheet account).  Each unfunded reserve will be included on lines 16+ above.  The allocator in Col. (g) will be the same allocator used in the formula for the cost accruals to the account that is recovered under the Formula Rate.  Reserves can be created by capital contributions from customers, by debiting the reserve and crediting a liability, or a combination of customer capital contribution and offsetting liability.  Only the portion of a reserve that was created by customer contributions should be a reduction to rate base.   For reserves that be created partially through customer contributions and partially by an offsetting liability, enter in column (f) the percentage of the reserve that was contributed by customers.</t>
  </si>
  <si>
    <t>Materials &amp; Supplies are split into three line items to be allocated: Transmission Plant (TP) for M&amp;S directly associated with Transmission; Wages and Salaries (WS) for Undistributed M&amp;S or not associated with Transmission or Construction; and Not Applicable (NA) for M&amp;S associated with Construction.</t>
  </si>
  <si>
    <t xml:space="preserve">General &amp; Intangible plant includes Plant that is owned by Black Hills Service Company that is allocated to Cheyenne Light based on Black Hills Service Company's Cost Allocation Manual.  </t>
  </si>
  <si>
    <t>Figures are the FERC Form No. 1 totals less the ARO balances.</t>
  </si>
  <si>
    <t>Figures are sourced from the corresponding footnote on the FERC Form 1.</t>
  </si>
  <si>
    <t>Depreciation Rates</t>
  </si>
  <si>
    <t>Plant Type</t>
  </si>
  <si>
    <t>Rates</t>
  </si>
  <si>
    <t>Transmission Plant (Note A)</t>
  </si>
  <si>
    <t>TRANSMISSION LAND</t>
  </si>
  <si>
    <t>TRANSMISSION LAND RIGHTS</t>
  </si>
  <si>
    <t xml:space="preserve">TRANSMISSION STRUCTURES AND IMPROVEMENTS         </t>
  </si>
  <si>
    <t xml:space="preserve">TRANSMISSION LAND IMPROVEMENTS         </t>
  </si>
  <si>
    <t xml:space="preserve">TRANSMISSION SUB-STATION EQUIPMENT                   </t>
  </si>
  <si>
    <t>TRANSMISSION STATION EQUIPMENT - GSU - WYGEN II - CONVERTIBLE ASSETS</t>
  </si>
  <si>
    <t>TRANSMISSION STATION EQUIPMENT - GSU - CPGS COMBINED CYCLE</t>
  </si>
  <si>
    <t>TRANSMISSION STATION EQUIPMENT - GSU - CPGS SIMPLE CYCLE</t>
  </si>
  <si>
    <t>TRANSMISSION POLES AND FIXTURES</t>
  </si>
  <si>
    <t>TRANSMISSION TOWERS AND FIXTURES</t>
  </si>
  <si>
    <t>TRANSMISSION OVERHEAD CONDUCTORS</t>
  </si>
  <si>
    <t>TOTAL TRANSMISSION PLANT</t>
  </si>
  <si>
    <t>General Plant</t>
  </si>
  <si>
    <t>GENERAL LAND</t>
  </si>
  <si>
    <t xml:space="preserve">GENERAL STRUCTURES AND IMPROVEMENTS             </t>
  </si>
  <si>
    <t>GENERAL STRUCTURES AND IMPROVEMENTS - COMMON</t>
  </si>
  <si>
    <t>GENERAL LAND IMPROVEMENTS</t>
  </si>
  <si>
    <t>GENERAL LAND IMPROVEMENTS - COMMON</t>
  </si>
  <si>
    <t xml:space="preserve">OFFICE FURNITURE AND EQUIPMENT          </t>
  </si>
  <si>
    <t xml:space="preserve">COMPUTER HARDWARE                       </t>
  </si>
  <si>
    <t xml:space="preserve">COMPUTER SOFTWARE                       </t>
  </si>
  <si>
    <t>COMPUTER SOFTWARE - COMMON</t>
  </si>
  <si>
    <t>TRANSPORTATION EQUIPMENT - SUBUNIT</t>
  </si>
  <si>
    <t>TRANSPORTATION EQUIPMENT-LIGHT TRUCKS</t>
  </si>
  <si>
    <t>TRANSPORTATION EQUIPMENT-LIGHT TRUCKS - COMMON</t>
  </si>
  <si>
    <t>TRANSPORTATION EQUIPMENT-MEDIUM TRUCKS</t>
  </si>
  <si>
    <t>TRANSPORTATION EQUIPMENT-HEAVY TRUCKS</t>
  </si>
  <si>
    <t>TRANSPORTATION EQUIPMENT-TRAILERS</t>
  </si>
  <si>
    <t xml:space="preserve">STORES EQUIPMENT               </t>
  </si>
  <si>
    <t>TOOLS, SHOP AND GARAGE EQUIPMENT</t>
  </si>
  <si>
    <t xml:space="preserve">LABORATORY EQUIPMENT           </t>
  </si>
  <si>
    <t>POWER OPERATED EQUIPMENT</t>
  </si>
  <si>
    <t xml:space="preserve">COMMUNICATION EQUIPMENT        </t>
  </si>
  <si>
    <t>COMMUNICATION EQUIPMENT - TOWERS</t>
  </si>
  <si>
    <t>MISCELLANEOUS EQUIPMENT</t>
  </si>
  <si>
    <t xml:space="preserve">    TOTAL GENERAL PLANT </t>
  </si>
  <si>
    <t>Intangible Plant</t>
  </si>
  <si>
    <t>ORGANIZATION</t>
  </si>
  <si>
    <t>INTANGIBLES MISCELLANEOUS</t>
  </si>
  <si>
    <t>TOTAL INTANGIBLE PLANT</t>
  </si>
  <si>
    <t>Black Hills Service Company Plant</t>
  </si>
  <si>
    <t>General Plant - Electric</t>
  </si>
  <si>
    <t xml:space="preserve">STRUCTURES AND IMPROVEMENTS             </t>
  </si>
  <si>
    <t>TRANSPORTATION EQUIPMENT</t>
  </si>
  <si>
    <t xml:space="preserve">  TOTAL COMMUNICATION EQUIPMENT</t>
  </si>
  <si>
    <t xml:space="preserve">  TOTAL COMMUNICATION EQUIPMENT -TOWERS</t>
  </si>
  <si>
    <t>General Plant - Common</t>
  </si>
  <si>
    <t>STRUCTURES AND IMPROVEMENTS</t>
  </si>
  <si>
    <t xml:space="preserve">TRANSPORTATION EQUIPMENT </t>
  </si>
  <si>
    <t>TOTAL COMMUNICATION EQUIPMENT</t>
  </si>
  <si>
    <t>The depreciation/amortization rates included in this worksheet were approved by FERC and cannot be changed by Cheyenne Light without an FPA 205 filing.</t>
  </si>
  <si>
    <t>Divisor - Network Transmission Load</t>
  </si>
  <si>
    <t>Year</t>
  </si>
  <si>
    <t>Transmission System Peak Load (kW) (Note A)</t>
  </si>
  <si>
    <t>Avg. Transmission Network Load for Jan-Aug (kW)</t>
  </si>
  <si>
    <t>Percentage of Avg. Jan -Aug Load (Note B)</t>
  </si>
  <si>
    <t>March</t>
  </si>
  <si>
    <t>August</t>
  </si>
  <si>
    <t>December</t>
  </si>
  <si>
    <t>12-CP</t>
  </si>
  <si>
    <t>Average</t>
  </si>
  <si>
    <t>Source: Form 1 page 400.1-15.b</t>
  </si>
  <si>
    <t xml:space="preserve">Carried forward for use in Worksheet P3, Column b. </t>
  </si>
  <si>
    <t>Incentive Plant Worksheet</t>
  </si>
  <si>
    <t>Incentive Projects</t>
  </si>
  <si>
    <t>Note C</t>
  </si>
  <si>
    <t>Project:</t>
  </si>
  <si>
    <t>Proj. ID</t>
  </si>
  <si>
    <t>Deprec. Rate:</t>
  </si>
  <si>
    <t>ROE Adder</t>
  </si>
  <si>
    <t>Weighted ROE Adder:</t>
  </si>
  <si>
    <t>Beginning Year:</t>
  </si>
  <si>
    <t>Beginning Amt</t>
  </si>
  <si>
    <t>Depreciation</t>
  </si>
  <si>
    <t>Net Plant</t>
  </si>
  <si>
    <t>Incentive Ret</t>
  </si>
  <si>
    <t>Accumulated Depreciation</t>
  </si>
  <si>
    <t>Incentive Ret
(Net Plant * Weighted ROE Adder)</t>
  </si>
  <si>
    <t>(c )</t>
  </si>
  <si>
    <t>(d )</t>
  </si>
  <si>
    <t>(f )</t>
  </si>
  <si>
    <t>(g )</t>
  </si>
  <si>
    <t>(h )</t>
  </si>
  <si>
    <t>(i )</t>
  </si>
  <si>
    <t>(j )</t>
  </si>
  <si>
    <t>(k )</t>
  </si>
  <si>
    <t>(l )</t>
  </si>
  <si>
    <t>(m )</t>
  </si>
  <si>
    <t>Special depreciation rates may be utilized for specific incentive transmission projects if approved by the FERC.</t>
  </si>
  <si>
    <t>Incentive ROE requires authorization by the Commission</t>
  </si>
  <si>
    <t>Applies only to projects authorized by the Commission.  The source of the information is the Company Records.</t>
  </si>
  <si>
    <t>The Accumulated Depreciation for Year 1 will reflect the prorated amount of depreciation for the months that the project is in service.</t>
  </si>
  <si>
    <t>Prepaid Item (Note B)</t>
  </si>
  <si>
    <t>13 Month Average Balance
(Note C)</t>
  </si>
  <si>
    <t>Allocation Factor</t>
  </si>
  <si>
    <t>Allocated Amount</t>
  </si>
  <si>
    <t>WECC Dues</t>
  </si>
  <si>
    <t>Reliability Dues</t>
  </si>
  <si>
    <t xml:space="preserve"> Reliability Dues</t>
  </si>
  <si>
    <t>Auto Policy 17/18</t>
  </si>
  <si>
    <t>Insurance Auto policy</t>
  </si>
  <si>
    <t>Workers Compensation</t>
  </si>
  <si>
    <t>Workers Compensation policy</t>
  </si>
  <si>
    <t>Terrorism</t>
  </si>
  <si>
    <t>Insurance Terrorism Policy - General</t>
  </si>
  <si>
    <t>Terrorism-CPGS</t>
  </si>
  <si>
    <t>Insurance Terrorism Policy - Specific Asset</t>
  </si>
  <si>
    <t>Property Insurance-CPGS</t>
  </si>
  <si>
    <t>Property Insurance Policy - Specific Asset</t>
  </si>
  <si>
    <t>Property Insurance</t>
  </si>
  <si>
    <t>Property Insurance Policy - General</t>
  </si>
  <si>
    <t>EAM Enterpise Storage</t>
  </si>
  <si>
    <t>Data Storage - General</t>
  </si>
  <si>
    <t>Prepaid Coal</t>
  </si>
  <si>
    <t>Timing of Coal payments vs. received according to contract</t>
  </si>
  <si>
    <t>Total from A4-Rate Base</t>
  </si>
  <si>
    <t>Variance</t>
  </si>
  <si>
    <t>To Actual Attachment H, page 2, line 30</t>
  </si>
  <si>
    <t>If Cheyenne Light includes a new prepayment and allocator on one of the reserved lines that are data enterable fields, it will provide a description of its justification for inclusion of the prepayment and choice of allocator at the first opportunity under its protocols whether that is in its posting of its Projected Net Revenue Requirement, its Informational Filing with FERC or its posting of its Annual True-Up as those times are set in the protocols.  Cheyenne Light’s support must include a showing that the prepayment is of an expense that is included in the costs allocated to OATT transmission service in the given year, that the amount is properly recorded in Account 165, and that the allocation method proposed for the prepayment amount matches the allocation method for the expense in the cost-of-service.  In addition, if a customer acting pursuant to the formal challenge process under the protocols challenges inclusion of a new prepayment and/or prepayment allocator or if FERC institutes a FPA 206 in response to Cheyenne Light including a new prepayment and/or prepayment allocator, Cheyenne Light while not required to make a FPA section 205 filing for such change(s), shall bear a FPA Section 205 burden to show that its inclusion of the new prepayment and choice of allocator results in a just and reasonable allocation of costs to OATT Transmission Service.  The foregoing disclosure obligations and retention of burden applies only in the instances described in this note.</t>
  </si>
  <si>
    <t>The total of the 13 month average of the individual items will match the 13 month average calculated on A4-Rate Base, page 2 line 14 column (h).  The variance between A8 and A4 will be $0.</t>
  </si>
  <si>
    <t>Annual Cost</t>
  </si>
  <si>
    <t>Club Dues-Electric</t>
  </si>
  <si>
    <t>Lobbying-Electric</t>
  </si>
  <si>
    <t>Meals and Entertainment-Electric</t>
  </si>
  <si>
    <t>Penalties-Electric</t>
  </si>
  <si>
    <t>Pension Equity Plan Life Insurance - Electric</t>
  </si>
  <si>
    <t>Equity AFUDC Perm-Electric</t>
  </si>
  <si>
    <t>Transportation/Parking</t>
  </si>
  <si>
    <t>Non Deductible Insurance</t>
  </si>
  <si>
    <t>Non Deductible Compensation</t>
  </si>
  <si>
    <t>Note A</t>
  </si>
  <si>
    <t>To Actual Attachment H, page 2, line 24aa</t>
  </si>
  <si>
    <t>True-Up Adjustment</t>
  </si>
  <si>
    <t>Timeline</t>
  </si>
  <si>
    <t>Step</t>
  </si>
  <si>
    <t>Action</t>
  </si>
  <si>
    <t>Oct</t>
  </si>
  <si>
    <t>Year 0</t>
  </si>
  <si>
    <t>CLFP populates the formula rate using projected costs for Year 1</t>
  </si>
  <si>
    <t>Post results of Step 1</t>
  </si>
  <si>
    <t>Jan</t>
  </si>
  <si>
    <t>Year 1</t>
  </si>
  <si>
    <t>Results of Step 2 go into effect.</t>
  </si>
  <si>
    <t>CLFP populates the formula rate using projected costs for Year 2</t>
  </si>
  <si>
    <t>Post results of Step 4</t>
  </si>
  <si>
    <t>Year 2</t>
  </si>
  <si>
    <t>Results of Step 5 go into effect.</t>
  </si>
  <si>
    <t>Jun</t>
  </si>
  <si>
    <t>CLFP populates the formula rate using actual costs for Year 1</t>
  </si>
  <si>
    <t>Calculate  the difference between the formula rate calculated in Step 7 and Step 1</t>
  </si>
  <si>
    <t>Post results from Step 7 and Step 8</t>
  </si>
  <si>
    <t>CLFP populates the formula rate using projected costs for Year 3, including true-up adjustment for Year 1</t>
  </si>
  <si>
    <t>Post results of Step 10</t>
  </si>
  <si>
    <t>Rev Req Comparison</t>
  </si>
  <si>
    <t>Total Rev. Req.</t>
  </si>
  <si>
    <t>Actual Revenue Requirements from Step 7</t>
  </si>
  <si>
    <t>Originally Projected Revenue Requirements from Step 1 (Note E)</t>
  </si>
  <si>
    <t>True-up Amount (before Volume Revenue Adjustment &amp; interest)</t>
  </si>
  <si>
    <t>(line 13 - line 14)</t>
  </si>
  <si>
    <t>Volume Comparison</t>
  </si>
  <si>
    <t>Divisor for Actual Rate Year from Step 7</t>
  </si>
  <si>
    <t>kW</t>
  </si>
  <si>
    <t>Divisor for Originally Projected Rate Year from Step 1</t>
  </si>
  <si>
    <t>Difference in Volume</t>
  </si>
  <si>
    <t>(line 18 - line 17)</t>
  </si>
  <si>
    <t>Originally Projected Rev Req Rate</t>
  </si>
  <si>
    <t>(line 14 / line 18)</t>
  </si>
  <si>
    <t>$/kW</t>
  </si>
  <si>
    <t>Volume Revenue Adjustment</t>
  </si>
  <si>
    <t>(line 19 x line 21)</t>
  </si>
  <si>
    <t>Prior Period Adjustment</t>
  </si>
  <si>
    <t>Prior Period Adjustment (Note F)</t>
  </si>
  <si>
    <t>True-up Amount including Volume Revenue Adjustment (before interest)</t>
  </si>
  <si>
    <t>(line 15+22+23a)</t>
  </si>
  <si>
    <t>Interest Calculation</t>
  </si>
  <si>
    <t>Short term Interest Rate</t>
  </si>
  <si>
    <t>Avg. Ann Short Term Int</t>
  </si>
  <si>
    <t>Other Interest Exp.(Acct. 431)</t>
  </si>
  <si>
    <t>Notes Payable (Acct. 231) Sum of the Daily amounts (Note C)</t>
  </si>
  <si>
    <t>No. of Days</t>
  </si>
  <si>
    <t>Annual Short-term Int Rate</t>
  </si>
  <si>
    <t>(line 25 / line 26 * line 27 / 2)</t>
  </si>
  <si>
    <t>FERC Qtr Int. Rate (Note A)</t>
  </si>
  <si>
    <t>Qtr 3 (Previous Year)</t>
  </si>
  <si>
    <t>Qtr 4 (Previous Year)</t>
  </si>
  <si>
    <t>Qtr 1 (Current Year)</t>
  </si>
  <si>
    <t>Qtr 2 (Current Year)</t>
  </si>
  <si>
    <t xml:space="preserve">Average of the last 4 quarters </t>
  </si>
  <si>
    <t>(Lines 29-32 / 4)</t>
  </si>
  <si>
    <t>Interest Rate Used for True-up adjustment (Note D)</t>
  </si>
  <si>
    <t>Total True-up</t>
  </si>
  <si>
    <t>Amount from Line 24</t>
  </si>
  <si>
    <t>Interest on True-up Amount  ( [Average Interest Rate / 12 months]*24 months)</t>
  </si>
  <si>
    <t>Total True-up Adjustment</t>
  </si>
  <si>
    <t>Interest rates posted by FERC</t>
  </si>
  <si>
    <t>Reserved for future use</t>
  </si>
  <si>
    <t>Sum of the daily short-term borrowings is supplied from the Finance Department.</t>
  </si>
  <si>
    <t>Use the lower of Short Term Interest Rate and FERC Interest Rate if the True-up Amount is greater than or equal to zero. Use FERC Interest Rate if the True-up Amount is less than zero.</t>
  </si>
  <si>
    <t>Enter the Projected Revenue Requirement for the Actual period without a true-up adjustment.</t>
  </si>
  <si>
    <t xml:space="preserve">Prior Period Adjustment, if any, is calculated to the same timing basis as balance of true up (i.e. before interest applied on lines 15 and 22).  Work-papers for the Prior Period Adjustment calculation will be included in supporting documentation.  Cheyenne Light will only use the Prior Period Adjustment in the following circumstances and only if the error discovered would have impacted Cheyenne Light’s calculation of the True-Up Amount in a prior Rate Year: (1) Cheyenne Light discovers a error in a previously filed FERC Form 1 (filed outside the current Rate Year), (2) discovers an error in books and records actually used to populate an input in the formula rate and the discovery is outside the current Rate Year, or (3) Cheyenne Light is required by applicable law, a court or regulatory body to correct an error outside the current Rate Year.  If an error falls within one of these three categories and negatively impacted customers in Cheyenne Light’s calculation of a prior Rate Year’s True-Up Amount, Cheyenne Light will re-calculate the True-Up Amount for affected years.  </t>
  </si>
  <si>
    <t xml:space="preserve">Estimated - For the 12 months ended </t>
  </si>
  <si>
    <t>GROSS REVENUE REQUIREMENT  (page 3, line 29)</t>
  </si>
  <si>
    <t>Act Att-H, page 1 line 2</t>
  </si>
  <si>
    <t>Act Att-H, page 1 line 3</t>
  </si>
  <si>
    <t>6a</t>
  </si>
  <si>
    <t xml:space="preserve">Total True Up Amount </t>
  </si>
  <si>
    <t>Worksheet TU, line 37</t>
  </si>
  <si>
    <t>(line 1 minus line 6 plus line 6a)</t>
  </si>
  <si>
    <t>7a</t>
  </si>
  <si>
    <t>Net Revenue Requirement without True Up Adjustment</t>
  </si>
  <si>
    <t>(line 7 minus line 6a)</t>
  </si>
  <si>
    <t>Worksheet P3, Line 15</t>
  </si>
  <si>
    <t xml:space="preserve">RATE BASE: </t>
  </si>
  <si>
    <t xml:space="preserve">GROSS PLANT IN SERVICE     </t>
  </si>
  <si>
    <t>Worksheet P1, Line 29, Column (f)</t>
  </si>
  <si>
    <t xml:space="preserve"> 1a</t>
  </si>
  <si>
    <t>Worksheet A4, Page 1, Line 13, Column (e)</t>
  </si>
  <si>
    <t>Worksheet A4, Page 1, Line 13, Column (f)</t>
  </si>
  <si>
    <t>(Sum Lines 1 through 2)</t>
  </si>
  <si>
    <t xml:space="preserve">ACCUMULATED DEPRECIATION </t>
  </si>
  <si>
    <t>Worksheet P1, Line 29, Column (h)</t>
  </si>
  <si>
    <t xml:space="preserve"> 4a</t>
  </si>
  <si>
    <t>Worksheet A4, Page 1, Line 27, Column (c)</t>
  </si>
  <si>
    <r>
      <rPr>
        <sz val="10"/>
        <rFont val="Times New Roman"/>
        <family val="1"/>
      </rPr>
      <t>Worksheet A4, Page 1, Line 27, Column</t>
    </r>
    <r>
      <rPr>
        <sz val="10"/>
        <color rgb="FFFF0000"/>
        <rFont val="Times New Roman"/>
        <family val="1"/>
      </rPr>
      <t xml:space="preserve"> </t>
    </r>
    <r>
      <rPr>
        <sz val="10"/>
        <rFont val="Times New Roman"/>
        <family val="1"/>
      </rPr>
      <t>(g )</t>
    </r>
  </si>
  <si>
    <t>(Sum Lines 4 through 5)</t>
  </si>
  <si>
    <t>(Line 1 - Line 4)</t>
  </si>
  <si>
    <t xml:space="preserve"> 7a</t>
  </si>
  <si>
    <t>(Line 1a - Line 4a)</t>
  </si>
  <si>
    <t>(Line 2 - Line 5)</t>
  </si>
  <si>
    <t>(Sum Lines 7 through 8)</t>
  </si>
  <si>
    <t>NP</t>
  </si>
  <si>
    <t xml:space="preserve">ADJUSTMENTS TO RATE BASE </t>
  </si>
  <si>
    <t>Worksheet P5, Page 2, Line 55, Column H</t>
  </si>
  <si>
    <t xml:space="preserve">  Account No. 282 (Transmission only)</t>
  </si>
  <si>
    <t>Worksheet P5, Page 3, Line 82, Column H</t>
  </si>
  <si>
    <t xml:space="preserve">  Account No. 283</t>
  </si>
  <si>
    <t>Worksheet P5, Page 4, Line 109, Column H</t>
  </si>
  <si>
    <t>Worksheet P5, Page 1, Line 21, Column H</t>
  </si>
  <si>
    <t xml:space="preserve"> Account No. 190 for Tax Gross Up Offset on Excess Deferred Income Taxes</t>
  </si>
  <si>
    <t>Worksheet P5, Page 1, Line 28, Column H</t>
  </si>
  <si>
    <t xml:space="preserve">  Account No. 255 (enter zero)</t>
  </si>
  <si>
    <t>Worksheet A4, Page 2, Line 13, Column (b) (Note B)</t>
  </si>
  <si>
    <t>Worksheet A4, Page 2, Line 13, Column (c) (Note B)</t>
  </si>
  <si>
    <t xml:space="preserve">  Unfunded Reserves (enter negative)</t>
  </si>
  <si>
    <t>Actual Attachment H, Page 2, Line 23c</t>
  </si>
  <si>
    <t>Actual Attachment H, Page 2, Line 24</t>
  </si>
  <si>
    <t>Net Excess/Deficient Deferred Income Taxes (Note C) Transmission only</t>
  </si>
  <si>
    <t>Worksheet P5, Page 5, Line 137, Column H</t>
  </si>
  <si>
    <t>(Sum of Lines 11 - 20)</t>
  </si>
  <si>
    <t xml:space="preserve">Worksheet A4, Page 1, Line 13, Col. (i) </t>
  </si>
  <si>
    <t xml:space="preserve">  CWC  </t>
  </si>
  <si>
    <t xml:space="preserve">Worksheet A8, Page 1, Line 210 , Col. (f) </t>
  </si>
  <si>
    <t xml:space="preserve">RATE BASE </t>
  </si>
  <si>
    <t xml:space="preserve">Worksheet P2, Column 5, Line 3 </t>
  </si>
  <si>
    <t xml:space="preserve">     Less Account 561</t>
  </si>
  <si>
    <t>Worksheet P2, Column 5, Line 4</t>
  </si>
  <si>
    <t>Worksheet P2, Column 5, Line 5</t>
  </si>
  <si>
    <t>Worksheet P2, Column 5, Line 6</t>
  </si>
  <si>
    <t xml:space="preserve">     Less EPRI &amp; Reg. Comm. Exp. &amp; Non-safety  Ad</t>
  </si>
  <si>
    <t>Worksheet P2, Column 5, Line 8</t>
  </si>
  <si>
    <t>Worksheet P2, Column 5, Line 9</t>
  </si>
  <si>
    <t>Worksheet P2, Column 5, Line 10</t>
  </si>
  <si>
    <t>Worksheet P2, Column 5, Line 11</t>
  </si>
  <si>
    <t xml:space="preserve">Energy Storage </t>
  </si>
  <si>
    <t>Worksheet P2, Column 5, Line 11a</t>
  </si>
  <si>
    <t>Worksheet P2, Column 5, Line 12</t>
  </si>
  <si>
    <t>Worksheet P2, Column 5, Line 13</t>
  </si>
  <si>
    <t>TOTAL O&amp;M  (sum lines 1, 3, 5a, 5b, 5d, 6, 7 less lines 2, 2a,  5, 5c)</t>
  </si>
  <si>
    <t xml:space="preserve">DEPRECIATION AND AMORTIZATION EXPENSE </t>
  </si>
  <si>
    <t>Worksheet P1, Line 28, Column (c)</t>
  </si>
  <si>
    <t>Actual Attachment H, Page 3, Line 9a</t>
  </si>
  <si>
    <t>Actual Attachment H, Page 3, Line 10</t>
  </si>
  <si>
    <t>Actual Attachment H, Page 3, Line 11</t>
  </si>
  <si>
    <t>Actual Attachment H, Page 3, Line 11a (Note B)</t>
  </si>
  <si>
    <t xml:space="preserve">TAXES OTHER THAN INCOME TAXES </t>
  </si>
  <si>
    <t>Worksheet P2, Column 5, Line 15</t>
  </si>
  <si>
    <t>Worksheet P2, Column 5, Line 16</t>
  </si>
  <si>
    <t>Worksheet P2, Column 5, Line 18</t>
  </si>
  <si>
    <t>Worksheet P2, Column 5, Line 19</t>
  </si>
  <si>
    <t>Worksheet P2, Column 5, Line 20</t>
  </si>
  <si>
    <t xml:space="preserve">       and FIT, SIT &amp; p are as given in Note A.</t>
  </si>
  <si>
    <t>Actual Attachment H, Page 3, Line 24</t>
  </si>
  <si>
    <t>Net Amortization of Excess/Deficient Deferred Income Taxes Transmission only</t>
  </si>
  <si>
    <t>Actual Attachment H, Page 3, Line 24a</t>
  </si>
  <si>
    <t>Actual Attachment H, Page 3, Line 24aa</t>
  </si>
  <si>
    <t>Actual Attachment H, Page 3, Line 24b</t>
  </si>
  <si>
    <t xml:space="preserve">Net Excess/Deficient Deferred Income Tax Adjustment </t>
  </si>
  <si>
    <t xml:space="preserve">  Rate Base * Rate of Return + Incentive Return</t>
  </si>
  <si>
    <t>(Page 2, Line 27 x Page 4, Line 31, Col. (5)) + Page 4, Line 32</t>
  </si>
  <si>
    <t>Actual Attachment H, Page 4, Line 1</t>
  </si>
  <si>
    <t>Actual Attachment H, Page 4, Line 2</t>
  </si>
  <si>
    <t>Actual Attachment H, Page 4, Line 3</t>
  </si>
  <si>
    <t>Actual Attachment H, Page 4, Line 5a</t>
  </si>
  <si>
    <t>Actual Attachment H, Page 4, Line 5b</t>
  </si>
  <si>
    <t>Actual Attachment H, Page 4, Line 7</t>
  </si>
  <si>
    <t xml:space="preserve">Percentage of transmission expenses after adjustment  </t>
  </si>
  <si>
    <t xml:space="preserve">Percentage of transmission plant included in wholesale Rates  </t>
  </si>
  <si>
    <t>Percentage of transmission expenses included in wholesale Rates</t>
  </si>
  <si>
    <t>Reference</t>
  </si>
  <si>
    <t>Actual Attachment H, Page 4, Line 12</t>
  </si>
  <si>
    <t>Actual Attachment H, Page 4, Line 13</t>
  </si>
  <si>
    <t>Actual Attachment H, Page 4, Line 14</t>
  </si>
  <si>
    <t>Actual Attachment H, Page 4, Line 14a</t>
  </si>
  <si>
    <t>Actual Attachment H, Page 4, Line 15</t>
  </si>
  <si>
    <t>Actual Attachment H, Page 4, Line 17</t>
  </si>
  <si>
    <t>Actual Attachment H, Page 4, Line 18</t>
  </si>
  <si>
    <t>Actual Attachment H, Page 4, Line 19</t>
  </si>
  <si>
    <t>Actual Attachment H, Page 4, Line 21</t>
  </si>
  <si>
    <t>Actual Attachment H, Page 4, Line 22</t>
  </si>
  <si>
    <t>Actual Attachment H, Page 4, Line 23</t>
  </si>
  <si>
    <t>Actual Attachment H, Page 4, Line 24</t>
  </si>
  <si>
    <t>Actual Attachment H, Page 4, Line 25</t>
  </si>
  <si>
    <t>Actual Attachment H, Page 4, Line 26</t>
  </si>
  <si>
    <t>(Line 23 less Lines 24, 25, 26)</t>
  </si>
  <si>
    <t>Actual Attachment H, Page 4, Line 28</t>
  </si>
  <si>
    <t>Actual Attachment H, Page 4, Line 29</t>
  </si>
  <si>
    <t>Actual Attachment H, Page 4, Line 30</t>
  </si>
  <si>
    <t>Worksheet P4, Line 35, Column (e )</t>
  </si>
  <si>
    <t xml:space="preserve">GROSS PLANT ALLOCATOR  (GP) </t>
  </si>
  <si>
    <t>Actual Attachment H, Page 2, Column 3 Line 1</t>
  </si>
  <si>
    <t>Page 2, Column 3, Line 1</t>
  </si>
  <si>
    <t>Actual Attachment H, Page 2, Column 3 Line 3</t>
  </si>
  <si>
    <t>Actual Attachment H, Page 2, Column 3 Line 3a</t>
  </si>
  <si>
    <t>Actual Attachment H, Page 2, Column 3 Line 4</t>
  </si>
  <si>
    <t>Actual Attachment H, Page 2, Column 3 Line 5</t>
  </si>
  <si>
    <t>(Sum of Lines 1-5)</t>
  </si>
  <si>
    <t xml:space="preserve">NET PLANT ALLOCATOR  (NP) </t>
  </si>
  <si>
    <t>Actual Attachment H, Page 2, Column 3 Line 13</t>
  </si>
  <si>
    <t>Page 2, Column 3, Line 7</t>
  </si>
  <si>
    <t>Actual Attachment H, Page 2, Column 3 Line 15</t>
  </si>
  <si>
    <t>Actual Attachment H, Page 2, Column 3 Line 15a</t>
  </si>
  <si>
    <t>Actual Attachment H, Page 2, Column 3 Line 16</t>
  </si>
  <si>
    <t>Actual Attachment H, Page 2, Column 3 Line 17</t>
  </si>
  <si>
    <t>(Sum of Lines 7-11)</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</si>
  <si>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t>
  </si>
  <si>
    <t>The Balance reflecting any amortization for the year is calculated using the proration method shown on Worksheet P5-ADIT.</t>
  </si>
  <si>
    <t>Page 60 of 68</t>
  </si>
  <si>
    <t>Projected Transmission Plant</t>
  </si>
  <si>
    <t>Page 1 of 4</t>
  </si>
  <si>
    <t>Page 2 of 4</t>
  </si>
  <si>
    <t>Page 3 of 4</t>
  </si>
  <si>
    <t>Page 4 of 4</t>
  </si>
  <si>
    <t>Total Projected Plant</t>
  </si>
  <si>
    <t>Projected Plant</t>
  </si>
  <si>
    <t>Rate Year -1</t>
  </si>
  <si>
    <t>Rate Year</t>
  </si>
  <si>
    <t>Plant</t>
  </si>
  <si>
    <t>Tax  Depreciation</t>
  </si>
  <si>
    <t xml:space="preserve"> Tax Depreciation on Plant</t>
  </si>
  <si>
    <t>Projected</t>
  </si>
  <si>
    <t>Accumulated</t>
  </si>
  <si>
    <t>Incremental</t>
  </si>
  <si>
    <t>Rate</t>
  </si>
  <si>
    <t>Depreciation on Additions</t>
  </si>
  <si>
    <t>Balances as of Ending Rate Year -2</t>
  </si>
  <si>
    <t>Tax Deprec</t>
  </si>
  <si>
    <t>Book</t>
  </si>
  <si>
    <t>Timing</t>
  </si>
  <si>
    <t>#</t>
  </si>
  <si>
    <t>&amp;Year</t>
  </si>
  <si>
    <t>Gross Plant</t>
  </si>
  <si>
    <t>Accum. Dep.</t>
  </si>
  <si>
    <t>Plant Additions</t>
  </si>
  <si>
    <t>Plant in Service</t>
  </si>
  <si>
    <t>Accrual (Note A)</t>
  </si>
  <si>
    <t>Additions</t>
  </si>
  <si>
    <t>Difference</t>
  </si>
  <si>
    <t>Tax Rate</t>
  </si>
  <si>
    <t>ADIT</t>
  </si>
  <si>
    <t>.</t>
  </si>
  <si>
    <t>a</t>
  </si>
  <si>
    <t>b</t>
  </si>
  <si>
    <t>c</t>
  </si>
  <si>
    <t>d</t>
  </si>
  <si>
    <t>e</t>
  </si>
  <si>
    <t>f</t>
  </si>
  <si>
    <t>g</t>
  </si>
  <si>
    <t>h</t>
  </si>
  <si>
    <t>i</t>
  </si>
  <si>
    <t>j</t>
  </si>
  <si>
    <t>k</t>
  </si>
  <si>
    <t>l</t>
  </si>
  <si>
    <t>m</t>
  </si>
  <si>
    <t>n</t>
  </si>
  <si>
    <t>o</t>
  </si>
  <si>
    <t>p</t>
  </si>
  <si>
    <t>q</t>
  </si>
  <si>
    <t>r</t>
  </si>
  <si>
    <t>s</t>
  </si>
  <si>
    <t>t</t>
  </si>
  <si>
    <t>u</t>
  </si>
  <si>
    <t>v</t>
  </si>
  <si>
    <t>w</t>
  </si>
  <si>
    <t>x</t>
  </si>
  <si>
    <t>y</t>
  </si>
  <si>
    <t>27a</t>
  </si>
  <si>
    <t>12 Mon Tot</t>
  </si>
  <si>
    <t>13 Mon Avg</t>
  </si>
  <si>
    <t>Actual transmission depreciation expense (Actual Attachment H, page 3, line 9) divided by actual transmission plant in service (Actual Attachment H, page 2, line 2) divided by 12 months.</t>
  </si>
  <si>
    <t>Projected Expenses and Revenue Credits</t>
  </si>
  <si>
    <t>Ratio of</t>
  </si>
  <si>
    <t>Expense</t>
  </si>
  <si>
    <t>Actual</t>
  </si>
  <si>
    <t>To Net</t>
  </si>
  <si>
    <t>Costs</t>
  </si>
  <si>
    <t>(Ratio of Cost to total)</t>
  </si>
  <si>
    <t>(Ratio * Proj. Net Plant)</t>
  </si>
  <si>
    <t xml:space="preserve">Net Plant in Service </t>
  </si>
  <si>
    <t>Actual Attachment H, Page 2 Line 18</t>
  </si>
  <si>
    <t xml:space="preserve">Projected Net Plant in Service </t>
  </si>
  <si>
    <t>Projected Attachment H, Page 2, Line 9</t>
  </si>
  <si>
    <t>Operation and Maintenance Expenses</t>
  </si>
  <si>
    <t>Actual Attachment H, Page 3, Line 1</t>
  </si>
  <si>
    <t>Actual Attachment H, Page 3, Line 2</t>
  </si>
  <si>
    <t>Actual Attachment H, Page 3, Line 2a</t>
  </si>
  <si>
    <t>Actual Attachment H, Page 3, Line 3</t>
  </si>
  <si>
    <t xml:space="preserve">     Less EPRI &amp; Reg. Comm. Exp. &amp; Non-safety  Ad. </t>
  </si>
  <si>
    <t>Actual Attachment H, Page 3, Line 5</t>
  </si>
  <si>
    <t xml:space="preserve">     Plus Transmission Related Reg. Comm. Exp. </t>
  </si>
  <si>
    <t>Actual Attachment H, Page 3, Line 5a</t>
  </si>
  <si>
    <t>Actual Attachment H, Page 3, Line 5b</t>
  </si>
  <si>
    <t>Actual Attachment H, Page 3, Line 5c</t>
  </si>
  <si>
    <t>Actual Attachment H, Page 3, Line 5d</t>
  </si>
  <si>
    <t>Actual Attachment H, Page 3, Line 6</t>
  </si>
  <si>
    <t>Actual Attachment H, Page 3, Line 7</t>
  </si>
  <si>
    <t xml:space="preserve">TOTAL O&amp;M </t>
  </si>
  <si>
    <t>(Sum lines 3,6,9,10,11a,12,13 less lines 4,5,8,11)</t>
  </si>
  <si>
    <t>Other Taxes</t>
  </si>
  <si>
    <t>Actual Attachment H, Page 3, Line 13</t>
  </si>
  <si>
    <t>Actual Attachment H, Page 3, Line 14</t>
  </si>
  <si>
    <t>Actual Attachment H, Page 3, Line 16</t>
  </si>
  <si>
    <t>Actual Attachment H, Page 3, Line 17</t>
  </si>
  <si>
    <t xml:space="preserve">         Other</t>
  </si>
  <si>
    <t>Actual Attachment H, Page 3, Line 18</t>
  </si>
  <si>
    <t xml:space="preserve">         Payment in Lieu of Taxes</t>
  </si>
  <si>
    <t>Actual Attachment H, Page 3, Line 19</t>
  </si>
  <si>
    <t>Projected Other Taxes</t>
  </si>
  <si>
    <t>(Sum Lines 15-21)</t>
  </si>
  <si>
    <t>Net Plant Change %</t>
  </si>
  <si>
    <t>Use Calculated Factors in Column 4</t>
  </si>
  <si>
    <t>Maximum percentage change applied</t>
  </si>
  <si>
    <t>Use Maximum Percentage Change</t>
  </si>
  <si>
    <t>Minimum percentage change applied</t>
  </si>
  <si>
    <t>Use Minimum Percentage Change</t>
  </si>
  <si>
    <t>Result:</t>
  </si>
  <si>
    <t xml:space="preserve">Worksheet P3 </t>
  </si>
  <si>
    <t>Projected Divisor - Network Transmission Load</t>
  </si>
  <si>
    <t>Transmission Network Load</t>
  </si>
  <si>
    <t>Monthly Transmission Network Load as Percentage of the Average Total Network Load of Jan-Aug (Worksheet A6)</t>
  </si>
  <si>
    <t>Avg Monthly Transmission Network Load  for Jan-Aug                   (Col e, line 2-9)</t>
  </si>
  <si>
    <t>Estimated Monthly Transmission Network Load for Sep-Dec                       ( Col. b  * c)</t>
  </si>
  <si>
    <t>Actual Load  for Jan-Aug</t>
  </si>
  <si>
    <t>Projected Transmission Network Load</t>
  </si>
  <si>
    <t xml:space="preserve">Note: </t>
  </si>
  <si>
    <r>
      <t>Column b</t>
    </r>
    <r>
      <rPr>
        <sz val="10"/>
        <rFont val="Times New Roman"/>
        <family val="1"/>
      </rPr>
      <t xml:space="preserve"> is the monthly transmission network load for September, October, November and December as a percentage of the average of the monthly transmission network load values for January through August, based on monthly load values in Worksheet A6.</t>
    </r>
  </si>
  <si>
    <r>
      <t>Column c</t>
    </r>
    <r>
      <rPr>
        <sz val="10"/>
        <rFont val="Times New Roman"/>
        <family val="1"/>
      </rPr>
      <t xml:space="preserve"> is average (January thru August) of monthly transmission network load in column e.</t>
    </r>
  </si>
  <si>
    <r>
      <t xml:space="preserve">Column e </t>
    </r>
    <r>
      <rPr>
        <sz val="10"/>
        <rFont val="Times New Roman"/>
        <family val="1"/>
      </rPr>
      <t>contains actual load values from current year FERC Form 3Q page 400.1-10.b.</t>
    </r>
  </si>
  <si>
    <r>
      <t xml:space="preserve">Column f </t>
    </r>
    <r>
      <rPr>
        <sz val="10"/>
        <rFont val="Times New Roman"/>
        <family val="1"/>
      </rPr>
      <t>contains actual load values for January-August and projected load values for September - December.</t>
    </r>
  </si>
  <si>
    <t>Projected Incentive Plant Worksheet</t>
  </si>
  <si>
    <t>Deprec. Rate/Month:</t>
  </si>
  <si>
    <t>Mon/Yr</t>
  </si>
  <si>
    <t>Total Incentive Return</t>
  </si>
  <si>
    <t>(Line 5) Weighted ROE Adder times (Line 34) 13 Month Average Net Plant</t>
  </si>
  <si>
    <t>The source of the information is the Company Records.</t>
  </si>
  <si>
    <t>Page 1 of 5</t>
  </si>
  <si>
    <t>Rate Year =</t>
  </si>
  <si>
    <t>Account 190</t>
  </si>
  <si>
    <t>Days in Period</t>
  </si>
  <si>
    <t>Averaging with Proration - Projected</t>
  </si>
  <si>
    <t>Days in the Month</t>
  </si>
  <si>
    <t>Number of Days Prorated</t>
  </si>
  <si>
    <t>Total Days in Future Portion of Test Period</t>
  </si>
  <si>
    <t>Proration Amount (C / D)</t>
  </si>
  <si>
    <t>Projected Monthly Activity</t>
  </si>
  <si>
    <t>Prorated Projected Monthly Activity (E x F)</t>
  </si>
  <si>
    <t>Prorated Projected Balance (Cumulative Sum of G)</t>
  </si>
  <si>
    <t>December 31st balance Prorated Items</t>
  </si>
  <si>
    <t>Total Account 190 Beginning Balance</t>
  </si>
  <si>
    <t>Worksheet A3, Ln 5, Col (d)</t>
  </si>
  <si>
    <t>Amount of Tax Gross Up Offset on EDIT</t>
  </si>
  <si>
    <t>(Line 128 * - Actual Composite tax rate)</t>
  </si>
  <si>
    <t>Account 190 Not Including EDIT Tax Gross Up</t>
  </si>
  <si>
    <t>(Line 19 - Line 20)</t>
  </si>
  <si>
    <t>Beginning Balance of Account 190 for EDIT Tax Gross Up Offset</t>
  </si>
  <si>
    <t>(Line 20)</t>
  </si>
  <si>
    <t>Activity for Year prior to Rate Year</t>
  </si>
  <si>
    <t>Ending Balance of Account 190 for EDIT Tax Gross Up Offset</t>
  </si>
  <si>
    <t>Line 22 + Line 23</t>
  </si>
  <si>
    <t>Ending Balance of Prorated items</t>
  </si>
  <si>
    <t>(Line 17, Col H)</t>
  </si>
  <si>
    <t>Amount for Attachment H before Allocation</t>
  </si>
  <si>
    <t>Line 24 + Line 25</t>
  </si>
  <si>
    <t>Weighted Average EDIT/DDIT Net Plant Allocation Factor</t>
  </si>
  <si>
    <t>Worksheet A3.1, Ln. 359 Col (j)</t>
  </si>
  <si>
    <t>Amount for Attachment H</t>
  </si>
  <si>
    <t>Line 26 * Line 27</t>
  </si>
  <si>
    <t>Page 2 of 5</t>
  </si>
  <si>
    <t>Account 281</t>
  </si>
  <si>
    <t>Beginning Balance (Enter Negative)</t>
  </si>
  <si>
    <t>272.b</t>
  </si>
  <si>
    <t>Less non Prorated Items</t>
  </si>
  <si>
    <t>Beginning Balance of Prorated items</t>
  </si>
  <si>
    <t>Ending Balance</t>
  </si>
  <si>
    <t>273.k</t>
  </si>
  <si>
    <t>(Line 53)</t>
  </si>
  <si>
    <t>Page 3 of 5</t>
  </si>
  <si>
    <t>Account 282</t>
  </si>
  <si>
    <t>December 31st balance Prorated Items From Latest FF1</t>
  </si>
  <si>
    <t>Worksheet A3, Column d, Line 3</t>
  </si>
  <si>
    <t>Allocation Factor "GP"</t>
  </si>
  <si>
    <t>Projected Attachment H, Page 5, Line 6</t>
  </si>
  <si>
    <t>Allocated December 31st Balance Transmission Items</t>
  </si>
  <si>
    <t>(Line 74 * Line 75)</t>
  </si>
  <si>
    <t>Worksheet P1, Page 3, Column t, Line 27a</t>
  </si>
  <si>
    <t>Beginning Balance</t>
  </si>
  <si>
    <t>(Line 76 + Line 77)</t>
  </si>
  <si>
    <t>(Line 72, Col H)</t>
  </si>
  <si>
    <t>Prorated Balance of Rate Year</t>
  </si>
  <si>
    <t>(Line 78 + Line 79)</t>
  </si>
  <si>
    <t>(Line 80)</t>
  </si>
  <si>
    <t>Page 4 of 5</t>
  </si>
  <si>
    <t>Account 283</t>
  </si>
  <si>
    <t>276.b</t>
  </si>
  <si>
    <t>Worksheet A3, Pg 1, Col D, Line 4</t>
  </si>
  <si>
    <t>Page 5 of 5</t>
  </si>
  <si>
    <t>Net of Account 254 &amp; 182.3</t>
  </si>
  <si>
    <t>Beginning Balance of Rate Year -1</t>
  </si>
  <si>
    <t>Worksheet A3.1, Ln 355 Col (e)</t>
  </si>
  <si>
    <t>Worksheet A3.1, Ln 355 Col (c)</t>
  </si>
  <si>
    <t>Ending Balance of Rate Year -1</t>
  </si>
  <si>
    <t>Line 128 + Line 129</t>
  </si>
  <si>
    <t xml:space="preserve">Beginning Balance of Rate Year </t>
  </si>
  <si>
    <t>Line 130</t>
  </si>
  <si>
    <t>(Line 126, Col H)</t>
  </si>
  <si>
    <t>Line 131 + Line 132</t>
  </si>
  <si>
    <t>Line 133</t>
  </si>
  <si>
    <t>Worksheet A3.1, Ln 359 Col (j)</t>
  </si>
  <si>
    <t>Line 135 * Line 136</t>
  </si>
  <si>
    <t>Revenue Requirement</t>
  </si>
  <si>
    <t>Total Load Dispatch and Scheduling (Account 561)</t>
  </si>
  <si>
    <t>321.85-92.b</t>
  </si>
  <si>
    <t>Less:  Scheduling, System Control &amp; Dispatch Services (Account 561.4)</t>
  </si>
  <si>
    <t>321.88.b</t>
  </si>
  <si>
    <t>Less: Reliability, Planning and Standards Development (Account 561.5)</t>
  </si>
  <si>
    <t>321.89.b</t>
  </si>
  <si>
    <t>Less: Transmission Service Studies (Account 561.6)</t>
  </si>
  <si>
    <t>321.90.b</t>
  </si>
  <si>
    <t>Less: Generation Interconnection Studies (Account 561.7)</t>
  </si>
  <si>
    <t>321.91.b</t>
  </si>
  <si>
    <t>Less: Reliability, Planning &amp; Standards Development Services (Account 561.8)</t>
  </si>
  <si>
    <t>321.92.b</t>
  </si>
  <si>
    <t>Total 561 Costs for Schedule 1 Annual Rev Req</t>
  </si>
  <si>
    <t>Line 2 less Lines 3 through 7</t>
  </si>
  <si>
    <t>Less:  Schedule 1 Short Term and Non-Firm Point to Point Revenues</t>
  </si>
  <si>
    <t>Worksheet A1, Line 42, Col (d)</t>
  </si>
  <si>
    <t>Actual Schedule 1 Annual Rev Req (before True Up)</t>
  </si>
  <si>
    <t>Line 8 less Line 10</t>
  </si>
  <si>
    <t>True Up Adjustment</t>
  </si>
  <si>
    <t>Actual Revenue Requirement</t>
  </si>
  <si>
    <t>Line 8</t>
  </si>
  <si>
    <t>Originally Projected Revenue Requirement without True Up Adjustment</t>
  </si>
  <si>
    <t>Previous Filing (Note B)</t>
  </si>
  <si>
    <t>True-up Amount (before interest)</t>
  </si>
  <si>
    <t>Line 15 - Line 16</t>
  </si>
  <si>
    <t xml:space="preserve">Interest Rate on True-up Amount </t>
  </si>
  <si>
    <t>(Worksheet TU, Line 34)</t>
  </si>
  <si>
    <t>Interest on True-up Amount</t>
  </si>
  <si>
    <t>Line 17 * Line 18 * 24 / 12</t>
  </si>
  <si>
    <t>True-up Adjustment</t>
  </si>
  <si>
    <t>Line 17 + Line 19</t>
  </si>
  <si>
    <t>Net Schedule 1 Annual Rev Req</t>
  </si>
  <si>
    <t>Line 12 + Line 20 (Note A)</t>
  </si>
  <si>
    <t>(Worksheet P3, Line 15)</t>
  </si>
  <si>
    <t>Net Schedule 1 Annual Revenue Requirement projection is set to Actual amount from previous year plus Sch 1 True Up Adjustment</t>
  </si>
  <si>
    <t>Explanatory comment(s) for Originally Projected Sch 1 Rev Req without True Up Adjustment from Previous Filing:</t>
  </si>
  <si>
    <t>([Lines 49 + 52] /2)+([Lines 48 +51)/2])</t>
  </si>
  <si>
    <t>([Lines 103 + 106] /2)+([Lines 102 +105)/2])</t>
  </si>
  <si>
    <t>Actuals - For the 12 months ended 12/31/2025</t>
  </si>
  <si>
    <t>BHBE Common Use System</t>
  </si>
  <si>
    <t>Cheyenne Light Fuel and Power</t>
  </si>
  <si>
    <t>Tri State Generation &amp; Transmission</t>
  </si>
  <si>
    <t>Black Hills Power</t>
  </si>
  <si>
    <t>Transmission Credits</t>
  </si>
  <si>
    <t>Network Upgrade Credits</t>
  </si>
  <si>
    <t>OS</t>
  </si>
  <si>
    <t>AD</t>
  </si>
  <si>
    <t>FNO</t>
  </si>
  <si>
    <t>NF</t>
  </si>
  <si>
    <t>2017</t>
  </si>
  <si>
    <t>182.3</t>
  </si>
  <si>
    <t>254</t>
  </si>
  <si>
    <t>Lease</t>
  </si>
  <si>
    <t>Wygen 2 Ground Lease (Production)</t>
  </si>
  <si>
    <t>Harriman Communication tower lease (Distribution)</t>
  </si>
  <si>
    <t>Horse Creek Site Trunking System Repeater Radio (Distribution)</t>
  </si>
  <si>
    <t>Maintenance</t>
  </si>
  <si>
    <t>Maintenance - CPGS prepayment</t>
  </si>
  <si>
    <t>Wildfire Insurance</t>
  </si>
  <si>
    <t>Wildfire Insurance Policy</t>
  </si>
  <si>
    <t>AON</t>
  </si>
  <si>
    <t>Consulting Retainer</t>
  </si>
  <si>
    <t>Siemens Energy</t>
  </si>
  <si>
    <t>SF6 Circuit Breaker</t>
  </si>
  <si>
    <t>General Electric Company</t>
  </si>
  <si>
    <t>Spare Combuster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</si>
</sst>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6">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
    <numFmt numFmtId="173" formatCode="_(&quot;$&quot;* #,##0_);_(&quot;$&quot;* \(#,##0\);_(&quot;$&quot;* &quot;-&quot;??_);_(@_)"/>
    <numFmt numFmtId="174" formatCode="_(* #,##0_);_(* \(#,##0\);_(* &quot;-&quot;??_);_(@_)"/>
    <numFmt numFmtId="175" formatCode="&quot;$&quot;#,##0.0;[Red]\-&quot;$&quot;#,##0.0"/>
    <numFmt numFmtId="176" formatCode="00000"/>
    <numFmt numFmtId="177" formatCode="#,##0\ ;\(#,##0\);\-\ \ \ \ \ "/>
    <numFmt numFmtId="178" formatCode="#,##0\ ;\(#,##0\);\–\ \ \ \ \ "/>
    <numFmt numFmtId="179" formatCode="#,##0;\(#,##0\)"/>
    <numFmt numFmtId="180" formatCode="yyyymmdd"/>
    <numFmt numFmtId="181" formatCode="_([$€-2]* #,##0.00_);_([$€-2]* \(#,##0.00\);_([$€-2]* &quot;-&quot;??_)"/>
    <numFmt numFmtId="182" formatCode="_-* #,##0.0_-;\-* #,##0.0_-;_-* &quot;-&quot;??_-;_-@_-"/>
    <numFmt numFmtId="183" formatCode="#,##0.00&quot; $&quot;;\-#,##0.00&quot; $&quot;"/>
    <numFmt numFmtId="184" formatCode="000000000"/>
    <numFmt numFmtId="185" formatCode="#,##0.0_);\(#,##0.0\)"/>
    <numFmt numFmtId="186" formatCode="_-&quot;£&quot;* #,##0_-;\-&quot;£&quot;* #,##0_-;_-&quot;£&quot;* &quot;-&quot;_-;_-@_-"/>
    <numFmt numFmtId="187" formatCode="_-&quot;£&quot;* #,##0.00_-;\-&quot;£&quot;* #,##0.00_-;_-&quot;£&quot;* &quot;-&quot;??_-;_-@_-"/>
    <numFmt numFmtId="188" formatCode="0.00_)"/>
    <numFmt numFmtId="189" formatCode="00"/>
    <numFmt numFmtId="190" formatCode="0_);\(0\)"/>
    <numFmt numFmtId="191" formatCode="000\-00\-0000"/>
    <numFmt numFmtId="192" formatCode="mmm\-yyyy"/>
    <numFmt numFmtId="193" formatCode="0.0000%"/>
    <numFmt numFmtId="194" formatCode="0.0%_);\(0.0%\)"/>
    <numFmt numFmtId="195" formatCode="\•\ \ @"/>
    <numFmt numFmtId="196" formatCode="#,##0,_);\(#,##0,\)"/>
    <numFmt numFmtId="197" formatCode="0.0,_);\(0.0,\)"/>
    <numFmt numFmtId="198" formatCode="0.00,_);\(0.00,\)"/>
    <numFmt numFmtId="199" formatCode="#,##0.000_);\(#,##0.000\)"/>
    <numFmt numFmtId="200" formatCode="_._.* #,##0.0_)_%;_._.* \(#,##0.0\)_%;_._.* \ ?_)_%"/>
    <numFmt numFmtId="201" formatCode="_._.* #,##0.00_)_%;_._.* \(#,##0.00\)_%;_._.* \ ?_)_%"/>
    <numFmt numFmtId="202" formatCode="_._.* #,##0.000_)_%;_._.* \(#,##0.000\)_%;_._.* \ ?_)_%"/>
    <numFmt numFmtId="203" formatCode="_._.* #,##0.0000_)_%;_._.* \(#,##0.0000\)_%;_._.* \ ?_)_%"/>
    <numFmt numFmtId="204" formatCode="_._.&quot;$&quot;* #,##0.0_)_%;_._.&quot;$&quot;* \(#,##0.0\)_%;_._.&quot;$&quot;* \ ?_)_%"/>
    <numFmt numFmtId="205" formatCode="_._.&quot;$&quot;* #,##0.00_)_%;_._.&quot;$&quot;* \(#,##0.00\)_%;_._.&quot;$&quot;* \ ?_)_%"/>
    <numFmt numFmtId="206" formatCode="_._.&quot;$&quot;* #,##0.000_)_%;_._.&quot;$&quot;* \(#,##0.000\)_%;_._.&quot;$&quot;* \ ?_)_%"/>
    <numFmt numFmtId="207" formatCode="_._.&quot;$&quot;* #,##0.0000_)_%;_._.&quot;$&quot;* \(#,##0.0000\)_%;_._.&quot;$&quot;* \ ?_)_%"/>
    <numFmt numFmtId="208" formatCode="&quot;$&quot;#,##0,_);\(&quot;$&quot;#,##0,\)"/>
    <numFmt numFmtId="209" formatCode="&quot;$&quot;#,##0.0_);\(&quot;$&quot;#,##0.0\)"/>
    <numFmt numFmtId="210" formatCode="&quot;$&quot;0.0,_);\(&quot;$&quot;0.0,\)"/>
    <numFmt numFmtId="211" formatCode="&quot;$&quot;0.00,_);\(&quot;$&quot;0.00,\)"/>
    <numFmt numFmtId="212" formatCode="&quot;$&quot;#,##0.000_);\(&quot;$&quot;#,##0.000\)"/>
    <numFmt numFmtId="213" formatCode="#,##0.0\x_);\(#,##0.0\x\)"/>
    <numFmt numFmtId="214" formatCode="#,##0.00\x_);\(#,##0.00\x\)"/>
    <numFmt numFmtId="215" formatCode="[$€-2]\ #,##0_);\([$€-2]\ #,##0\)"/>
    <numFmt numFmtId="216" formatCode="[$€-2]\ #,##0.0_);\([$€-2]\ #,##0.0\)"/>
    <numFmt numFmtId="217" formatCode="#,##0\x;\(#,##0\x\)"/>
    <numFmt numFmtId="218" formatCode="0.0\x;\(0.0\x\)"/>
    <numFmt numFmtId="219" formatCode="#,##0.00\x;\(#,##0.00\x\)"/>
    <numFmt numFmtId="220" formatCode="#,##0.000\x;\(#,##0.000\x\)"/>
    <numFmt numFmtId="221" formatCode="0.0_);\(0.0\)"/>
    <numFmt numFmtId="222" formatCode="0%;\(0%\)"/>
    <numFmt numFmtId="223" formatCode="0.0%;\(0.0%\)"/>
    <numFmt numFmtId="224" formatCode="0.00%_);\(0.00%\)"/>
    <numFmt numFmtId="225" formatCode="0.000%_);\(0.000%\)"/>
    <numFmt numFmtId="226" formatCode="_(0_)%;\(0\)%;\ \ ?_)%"/>
    <numFmt numFmtId="227" formatCode="_._._(* 0_)%;_._.* \(0\)%;_._._(* \ ?_)%"/>
    <numFmt numFmtId="228" formatCode="0%_);\(0%\)"/>
    <numFmt numFmtId="229" formatCode="_(0.0_)%;\(0.0\)%;\ \ ?_)%"/>
    <numFmt numFmtId="230" formatCode="_._._(* 0.0_)%;_._.* \(0.0\)%;_._._(* \ ?_)%"/>
    <numFmt numFmtId="231" formatCode="_(0.00_)%;\(0.00\)%;\ \ ?_)%"/>
    <numFmt numFmtId="232" formatCode="_._._(* 0.00_)%;_._.* \(0.00\)%;_._._(* \ ?_)%"/>
    <numFmt numFmtId="233" formatCode="_(0.000_)%;\(0.000\)%;\ \ ?_)%"/>
    <numFmt numFmtId="234" formatCode="_._._(* 0.000_)%;_._.* \(0.000\)%;_._._(* \ ?_)%"/>
    <numFmt numFmtId="235" formatCode="_(0.0000_)%;\(0.0000\)%;\ \ ?_)%"/>
    <numFmt numFmtId="236" formatCode="_._._(* 0.0000_)%;_._.* \(0.0000\)%;_._._(* \ ?_)%"/>
    <numFmt numFmtId="237" formatCode="0.0%"/>
    <numFmt numFmtId="238" formatCode="_(* #,##0_);_(* \(#,##0\);_(* \ ?_)"/>
    <numFmt numFmtId="239" formatCode="_(* #,##0.0_);_(* \(#,##0.0\);_(* \ ?_)"/>
    <numFmt numFmtId="240" formatCode="_(* #,##0.00_);_(* \(#,##0.00\);_(* \ ?_)"/>
    <numFmt numFmtId="241" formatCode="_(* #,##0.000_);_(* \(#,##0.000\);_(* \ ?_)"/>
    <numFmt numFmtId="242" formatCode="_(&quot;$&quot;* #,##0_);_(&quot;$&quot;* \(#,##0\);_(&quot;$&quot;* \ ?_)"/>
    <numFmt numFmtId="243" formatCode="_(&quot;$&quot;* #,##0.0_);_(&quot;$&quot;* \(#,##0.0\);_(&quot;$&quot;* \ ?_)"/>
    <numFmt numFmtId="244" formatCode="_(&quot;$&quot;* #,##0.00_);_(&quot;$&quot;* \(#,##0.00\);_(&quot;$&quot;* \ ?_)"/>
    <numFmt numFmtId="245" formatCode="_(&quot;$&quot;* #,##0.000_);_(&quot;$&quot;* \(#,##0.000\);_(&quot;$&quot;* \ ?_)"/>
    <numFmt numFmtId="246" formatCode="0000&quot;A&quot;"/>
    <numFmt numFmtId="247" formatCode="0&quot;E&quot;"/>
    <numFmt numFmtId="248" formatCode="0000&quot;E&quot;"/>
    <numFmt numFmtId="249" formatCode="_(* #,##0.000_);_(* \(#,##0.000\);_(* &quot;-&quot;??_);_(@_)"/>
    <numFmt numFmtId="250" formatCode=";;;\(@\)"/>
    <numFmt numFmtId="251" formatCode="_(* #,##0.0_);_(* \(#,##0.0\);_(* &quot;-&quot;_0_);_(@_)"/>
    <numFmt numFmtId="252" formatCode="#,##0\ ;[Red]\(#,##0\)"/>
    <numFmt numFmtId="253" formatCode="#,##0."/>
    <numFmt numFmtId="254" formatCode="&quot; &quot;&quot;$&quot;* #,##0.00&quot;/kw  &quot;"/>
    <numFmt numFmtId="255" formatCode="_(&quot;$&quot;* #,##0.0000_);_(&quot;$&quot;* \(#,##0.0000\);_(&quot;$&quot;* &quot;-&quot;????_);_(@_)"/>
    <numFmt numFmtId="256" formatCode="m/d/yy\ h:mm"/>
    <numFmt numFmtId="257" formatCode="0."/>
    <numFmt numFmtId="258" formatCode="* #,##0&quot;  &quot;\ "/>
    <numFmt numFmtId="259" formatCode="_(&quot;N$&quot;* #,##0_);_(&quot;N$&quot;* \(#,##0\);_(&quot;N$&quot;* &quot;-&quot;_);_(@_)"/>
    <numFmt numFmtId="260" formatCode="_(&quot;N$&quot;* #,##0.00_);_(&quot;N$&quot;* \(#,##0.00\);_(&quot;N$&quot;* &quot;-&quot;??_);_(@_)"/>
    <numFmt numFmtId="261" formatCode="#,##0.0000\ ;[Red]\(#,##0.0000\)"/>
    <numFmt numFmtId="262" formatCode="_(* #,##0_);_(* \(#,##0\);_(* &quot;&quot;_);_(@_)"/>
    <numFmt numFmtId="263" formatCode="_(* 0%_);_(* \(0%\);_(* \-_%_)"/>
    <numFmt numFmtId="264" formatCode="#,##0.0\ \ \ \ ;[Red]\(#,##0.0\)\ \ "/>
    <numFmt numFmtId="265" formatCode="0.0\ \ \ \ \ \ ;[Red]\(0.0\)\ \ \ \ "/>
    <numFmt numFmtId="266" formatCode="0.0\ \ \ \ \ \ \ \ ;[Red]\(0.0\)\ \ \ \ \ \ "/>
    <numFmt numFmtId="267" formatCode="mmm\ dd\,\ yyyy"/>
    <numFmt numFmtId="268" formatCode="yyyy"/>
    <numFmt numFmtId="269" formatCode="_(* #,##0,_);_(* \(#,##0,\);_(* &quot;-   &quot;_);_(@_)"/>
    <numFmt numFmtId="270" formatCode="_(* #,##0.0,_);_(* \(#,##0.0,\);_(* &quot;-   &quot;_);_(@_)"/>
    <numFmt numFmtId="271" formatCode="_(* #,##0.00000_);_(* \(#,##0.00000\);_(* &quot;-&quot;??_);_(@_)"/>
    <numFmt numFmtId="272" formatCode="_(* #,##0.0\¢_m;[Red]_(* \-#,##0.0\¢_m;[Green]_(* 0.0\¢_m;_(@_)_%"/>
    <numFmt numFmtId="273" formatCode="_(* #,##0.00\¢_m;[Red]_(* \-#,##0.00\¢_m;[Green]_(* 0.00\¢_m;_(@_)_%"/>
    <numFmt numFmtId="274" formatCode="_(* #,##0.000\¢_m;[Red]_(* \-#,##0.000\¢_m;[Green]_(* 0.000\¢_m;_(@_)_%"/>
    <numFmt numFmtId="275" formatCode="_(_(\£* #,##0_)_%;[Red]_(\(\£* #,##0\)_%;[Green]_(_(\£* #,##0_)_%;_(@_)_%"/>
    <numFmt numFmtId="276" formatCode="_(_(\£* #,##0.0_)_%;[Red]_(\(\£* #,##0.0\)_%;[Green]_(_(\£* #,##0.0_)_%;_(@_)_%"/>
    <numFmt numFmtId="277" formatCode="_(_(\£* #,##0.00_)_%;[Red]_(\(\£* #,##0.00\)_%;[Green]_(_(\£* #,##0.00_)_%;_(@_)_%"/>
    <numFmt numFmtId="278" formatCode="_(_(\•_ #0_)_%;[Red]_(_(\•_ \-#0\)_%;[Green]_(_(\•_ #0_)_%;_(_(\•_ @_)_%"/>
    <numFmt numFmtId="279" formatCode="_(_(_•_ \•_ #0_)_%;[Red]_(_(_•_ \•_ \-#0\)_%;[Green]_(_(_•_ \•_ #0_)_%;_(_(_•_ \•_ @_)_%"/>
    <numFmt numFmtId="280" formatCode="_(_(_•_ _•_ \•_ #0_)_%;[Red]_(_(_•_ _•_ \•_ \-#0\)_%;[Green]_(_(_•_ _•_ \•_ #0_)_%;_(_(_•_ \•_ @_)_%"/>
    <numFmt numFmtId="281" formatCode="_(_(_$* #,##0.000_)_%;[Red]_(\(_$* #,##0.000\)_%;[Green]_(_(_$* #,##0.000_)_%;_(@_)_%"/>
    <numFmt numFmtId="282" formatCode="_(_(&quot;$&quot;* #,##0.0_)_%;[Red]_(\(&quot;$&quot;* #,##0.0\)_%;[Green]_(_(&quot;$&quot;* #,##0.0_)_%;_(@_)_%"/>
    <numFmt numFmtId="283" formatCode="_(_(&quot;$&quot;* #,##0.000_)_%;[Red]_(\(&quot;$&quot;* #,##0.000\)_%;[Green]_(_(&quot;$&quot;* #,##0.000_)_%;_(@_)_%"/>
    <numFmt numFmtId="284" formatCode="_(* dd\-mmm\-yy_)_%"/>
    <numFmt numFmtId="285" formatCode="_(* dd\ mmmm\ yyyy_)_%"/>
    <numFmt numFmtId="286" formatCode="_(* mmmm\ dd\,\ yyyy_)_%"/>
    <numFmt numFmtId="287" formatCode="_(* dd\.mm\.yyyy_)_%"/>
    <numFmt numFmtId="288" formatCode="_(* mm/dd/yyyy_)_%"/>
    <numFmt numFmtId="289" formatCode="m/d/yy;@"/>
    <numFmt numFmtId="290" formatCode="General_)_%"/>
    <numFmt numFmtId="291" formatCode="_(_(#0_)_%;[Red]_(_(\-#0\)_%;[Green]_(_(#0_)_%;_(_(@_)_%"/>
    <numFmt numFmtId="292" formatCode="_(_(_•_ #0_)_%;[Red]_(_(_•_ \-#0\)_%;[Green]_(_(_•_ #0_)_%;_(_(_•_ @_)_%"/>
    <numFmt numFmtId="293" formatCode="_(_(_•_ _•_ #0_)_%;[Red]_(_(_•_ _•_ \-#0\)_%;[Green]_(_(_•_ _•_ #0_)_%;_(_(_•_ _•_ @_)_%"/>
    <numFmt numFmtId="294" formatCode="_(_(_•_ _•_ _•_ #0_)_%;[Red]_(_(_•_ _•_ _•_ \-#0\)_%;[Green]_(_(_•_ _•_ _•_ #0_)_%;_(_(_•_ _•_ _•_ @_)_%"/>
    <numFmt numFmtId="295" formatCode="0.00\ \x_);\(0.00\ \x\)"/>
    <numFmt numFmtId="296" formatCode="_(* #,##0_);_(* \(#,##0\);_(* &quot;-&quot;????_);_(@_)"/>
    <numFmt numFmtId="297" formatCode="0__"/>
    <numFmt numFmtId="298" formatCode="h:mmAM/PM"/>
    <numFmt numFmtId="299" formatCode="0&quot; E&quot;"/>
    <numFmt numFmtId="300" formatCode="&quot;$&quot;#,##0.0"/>
    <numFmt numFmtId="301" formatCode="_(* #,##0.0%_);[Red]_(* \-#,##0.0%_);[Green]_(* 0.0%_);_(@_)_%"/>
    <numFmt numFmtId="302" formatCode="_(* #,##0.000%_);[Red]_(* \-#,##0.000%_);[Green]_(* 0.000%_);_(@_)_%"/>
    <numFmt numFmtId="303" formatCode="mmmm\ dd\,\ yy"/>
    <numFmt numFmtId="304" formatCode="0.0\x"/>
    <numFmt numFmtId="305" formatCode="_(* #,##0.0000_);_(* \(#,##0.0000\);_(* &quot;-&quot;??_);_(@_)"/>
    <numFmt numFmtId="306" formatCode="[$-409]mmm\-yy;@"/>
    <numFmt numFmtId="307" formatCode="_(* #,##0_);_(* \(#,##0\);_(* &quot;-&quot;?_);_(@_)"/>
    <numFmt numFmtId="308" formatCode="&quot;$&quot;#,##0.0000_);\(&quot;$&quot;#,##0.0000\)"/>
    <numFmt numFmtId="309" formatCode="_(* #,##0.0000_);_(* \(#,##0.0000\);_(* &quot;-&quot;_);_(@_)"/>
    <numFmt numFmtId="310" formatCode="\(0\)"/>
    <numFmt numFmtId="311" formatCode="_(&quot;$&quot;* #,##0.000_);_(&quot;$&quot;* \(#,##0.000\);_(&quot;$&quot;* &quot;-&quot;??_);_(@_)"/>
    <numFmt numFmtId="312" formatCode="_(&quot;$&quot;* #,##0.0000_);_(&quot;$&quot;* \(#,##0.0000\);_(&quot;$&quot;* &quot;-&quot;_);_(@_)"/>
  </numFmts>
  <fonts count="216">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10"/>
      <name val="Arial"/>
      <family val="2"/>
    </font>
    <font>
      <sz val="12"/>
      <name val="Arial MT"/>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b/>
      <sz val="12"/>
      <name val="Arial"/>
      <family val="2"/>
    </font>
    <font>
      <sz val="10"/>
      <name val="Times New Roman"/>
      <family val="1"/>
    </font>
    <font>
      <sz val="10"/>
      <name val="MS Sans Serif"/>
      <family val="2"/>
    </font>
    <font>
      <sz val="11"/>
      <color indexed="8"/>
      <name val="Calibri"/>
      <family val="2"/>
    </font>
    <font>
      <sz val="11"/>
      <color indexed="9"/>
      <name val="Calibri"/>
      <family val="2"/>
    </font>
    <font>
      <sz val="8"/>
      <name val="Helv"/>
    </font>
    <font>
      <sz val="9"/>
      <name val="AGaramond"/>
    </font>
    <font>
      <sz val="11"/>
      <color indexed="20"/>
      <name val="Calibri"/>
      <family val="2"/>
    </font>
    <font>
      <sz val="12"/>
      <name val="Tms Rmn"/>
    </font>
    <font>
      <sz val="11"/>
      <name val="Times New Roman"/>
      <family val="1"/>
    </font>
    <font>
      <sz val="8"/>
      <name val="Arial"/>
      <family val="2"/>
    </font>
    <font>
      <b/>
      <i/>
      <sz val="14"/>
      <name val="Arial"/>
      <family val="2"/>
    </font>
    <font>
      <b/>
      <sz val="14"/>
      <name val="Arial"/>
      <family val="2"/>
    </font>
    <font>
      <b/>
      <sz val="24"/>
      <name val="Arial Narrow"/>
      <family val="2"/>
    </font>
    <font>
      <b/>
      <i/>
      <sz val="12"/>
      <name val="Arial"/>
      <family val="2"/>
    </font>
    <font>
      <i/>
      <sz val="12"/>
      <name val="Arial"/>
      <family val="2"/>
    </font>
    <font>
      <i/>
      <sz val="10"/>
      <name val="Arial"/>
      <family val="2"/>
    </font>
    <font>
      <sz val="8"/>
      <color indexed="8"/>
      <name val="Arial"/>
      <family val="2"/>
    </font>
    <font>
      <i/>
      <sz val="10"/>
      <color indexed="18"/>
      <name val="Arial"/>
      <family val="2"/>
    </font>
    <font>
      <sz val="10"/>
      <color indexed="18"/>
      <name val="Arial"/>
      <family val="2"/>
    </font>
    <font>
      <i/>
      <sz val="9"/>
      <color indexed="18"/>
      <name val="Arial"/>
      <family val="2"/>
    </font>
    <font>
      <sz val="9"/>
      <color indexed="18"/>
      <name val="Arial"/>
      <family val="2"/>
    </font>
    <font>
      <b/>
      <sz val="11"/>
      <color indexed="52"/>
      <name val="Calibri"/>
      <family val="2"/>
    </font>
    <font>
      <b/>
      <sz val="11"/>
      <color indexed="9"/>
      <name val="Calibri"/>
      <family val="2"/>
    </font>
    <font>
      <sz val="8"/>
      <name val="Tahoma"/>
      <family val="2"/>
    </font>
    <font>
      <sz val="12"/>
      <name val="Helv"/>
    </font>
    <font>
      <sz val="10"/>
      <color indexed="8"/>
      <name val="Arial"/>
      <family val="2"/>
    </font>
    <font>
      <i/>
      <sz val="11"/>
      <color indexed="23"/>
      <name val="Calibri"/>
      <family val="2"/>
    </font>
    <font>
      <sz val="10"/>
      <name val="Helv"/>
    </font>
    <font>
      <sz val="9"/>
      <name val="GillSans"/>
    </font>
    <font>
      <sz val="9"/>
      <name val="GillSans Light"/>
    </font>
    <font>
      <sz val="11"/>
      <color indexed="17"/>
      <name val="Calibri"/>
      <family val="2"/>
    </font>
    <font>
      <b/>
      <u/>
      <sz val="11"/>
      <color indexed="37"/>
      <name val="Arial"/>
      <family val="2"/>
    </font>
    <font>
      <b/>
      <sz val="15"/>
      <name val="Times New Roman"/>
      <family val="1"/>
    </font>
    <font>
      <b/>
      <sz val="15"/>
      <color indexed="56"/>
      <name val="Calibri"/>
      <family val="2"/>
    </font>
    <font>
      <b/>
      <sz val="13"/>
      <color indexed="56"/>
      <name val="Calibri"/>
      <family val="2"/>
    </font>
    <font>
      <b/>
      <sz val="11"/>
      <color indexed="56"/>
      <name val="Calibri"/>
      <family val="2"/>
    </font>
    <font>
      <sz val="10"/>
      <color indexed="12"/>
      <name val="Arial"/>
      <family val="2"/>
    </font>
    <font>
      <sz val="11"/>
      <color indexed="62"/>
      <name val="Calibri"/>
      <family val="2"/>
    </font>
    <font>
      <sz val="11"/>
      <color indexed="52"/>
      <name val="Calibri"/>
      <family val="2"/>
    </font>
    <font>
      <sz val="12"/>
      <color indexed="14"/>
      <name val="Arial"/>
      <family val="2"/>
    </font>
    <font>
      <u/>
      <sz val="8"/>
      <name val="Helv"/>
    </font>
    <font>
      <sz val="11"/>
      <color indexed="60"/>
      <name val="Calibri"/>
      <family val="2"/>
    </font>
    <font>
      <sz val="8"/>
      <name val="Times New Roman"/>
      <family val="1"/>
    </font>
    <font>
      <sz val="7"/>
      <name val="Small Fonts"/>
      <family val="2"/>
    </font>
    <font>
      <b/>
      <i/>
      <sz val="16"/>
      <name val="Helv"/>
    </font>
    <font>
      <b/>
      <sz val="10"/>
      <name val="Arial"/>
      <family val="2"/>
    </font>
    <font>
      <b/>
      <sz val="11"/>
      <color indexed="63"/>
      <name val="Calibri"/>
      <family val="2"/>
    </font>
    <font>
      <b/>
      <sz val="10"/>
      <name val="MS Sans Serif"/>
      <family val="2"/>
    </font>
    <font>
      <b/>
      <i/>
      <sz val="16"/>
      <name val="Arial"/>
      <family val="2"/>
    </font>
    <font>
      <i/>
      <sz val="11"/>
      <name val="Arial"/>
      <family val="2"/>
    </font>
    <font>
      <sz val="11"/>
      <name val="Arial"/>
      <family val="2"/>
    </font>
    <font>
      <u val="singleAccounting"/>
      <sz val="10"/>
      <name val="MGaramond"/>
      <family val="1"/>
    </font>
    <font>
      <b/>
      <sz val="16"/>
      <color indexed="16"/>
      <name val="Arial"/>
      <family val="2"/>
    </font>
    <font>
      <b/>
      <sz val="10"/>
      <color indexed="16"/>
      <name val="Arial"/>
      <family val="2"/>
    </font>
    <font>
      <b/>
      <sz val="12"/>
      <color indexed="16"/>
      <name val="Arial"/>
      <family val="2"/>
    </font>
    <font>
      <sz val="7"/>
      <color indexed="16"/>
      <name val="Arial"/>
      <family val="2"/>
    </font>
    <font>
      <sz val="12"/>
      <color indexed="12"/>
      <name val="Arial MT"/>
    </font>
    <font>
      <b/>
      <sz val="11"/>
      <name val="Times New Roman"/>
      <family val="1"/>
    </font>
    <font>
      <b/>
      <sz val="18"/>
      <color indexed="56"/>
      <name val="Cambria"/>
      <family val="2"/>
    </font>
    <font>
      <b/>
      <sz val="11"/>
      <color indexed="8"/>
      <name val="Calibri"/>
      <family val="2"/>
    </font>
    <font>
      <sz val="8"/>
      <color indexed="12"/>
      <name val="Arial"/>
      <family val="2"/>
    </font>
    <font>
      <sz val="11"/>
      <color indexed="10"/>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9"/>
      <name val="Arial"/>
      <family val="2"/>
    </font>
    <font>
      <i/>
      <sz val="10"/>
      <color rgb="FF7F7F7F"/>
      <name val="Arial"/>
      <family val="2"/>
    </font>
    <font>
      <sz val="10"/>
      <color rgb="FF006100"/>
      <name val="Arial"/>
      <family val="2"/>
    </font>
    <font>
      <b/>
      <sz val="15"/>
      <color indexed="62"/>
      <name val="Calibri"/>
      <family val="2"/>
    </font>
    <font>
      <b/>
      <sz val="15"/>
      <color theme="3"/>
      <name val="Arial"/>
      <family val="2"/>
    </font>
    <font>
      <b/>
      <sz val="13"/>
      <color indexed="62"/>
      <name val="Calibri"/>
      <family val="2"/>
    </font>
    <font>
      <b/>
      <sz val="13"/>
      <color theme="3"/>
      <name val="Arial"/>
      <family val="2"/>
    </font>
    <font>
      <b/>
      <sz val="11"/>
      <color indexed="62"/>
      <name val="Calibri"/>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sz val="10"/>
      <color theme="1"/>
      <name val="Calibri"/>
      <family val="2"/>
    </font>
    <font>
      <b/>
      <sz val="10"/>
      <color rgb="FF3F3F3F"/>
      <name val="Arial"/>
      <family val="2"/>
    </font>
    <font>
      <b/>
      <sz val="18"/>
      <color indexed="62"/>
      <name val="Cambria"/>
      <family val="2"/>
    </font>
    <font>
      <b/>
      <sz val="10"/>
      <color theme="1"/>
      <name val="Arial"/>
      <family val="2"/>
    </font>
    <font>
      <sz val="10"/>
      <color rgb="FFFF0000"/>
      <name val="Arial"/>
      <family val="2"/>
    </font>
    <font>
      <sz val="10"/>
      <color indexed="12"/>
      <name val="Times New Roman"/>
      <family val="1"/>
    </font>
    <font>
      <b/>
      <sz val="10"/>
      <color indexed="8"/>
      <name val="Times New Roman"/>
      <family val="1"/>
    </font>
    <font>
      <sz val="9"/>
      <color indexed="12"/>
      <name val="Arial"/>
      <family val="2"/>
    </font>
    <font>
      <sz val="9"/>
      <name val="Times New Roman"/>
      <family val="1"/>
    </font>
    <font>
      <b/>
      <sz val="9"/>
      <name val="Arial"/>
      <family val="2"/>
    </font>
    <font>
      <u val="singleAccounting"/>
      <sz val="11"/>
      <name val="Times New Roman"/>
      <family val="1"/>
    </font>
    <font>
      <b/>
      <sz val="11"/>
      <name val="Arial"/>
      <family val="2"/>
    </font>
    <font>
      <b/>
      <sz val="10"/>
      <name val="Times New Roman"/>
      <family val="1"/>
    </font>
    <font>
      <i/>
      <sz val="8"/>
      <name val="Arial"/>
      <family val="2"/>
    </font>
    <font>
      <sz val="10"/>
      <name val="Book Antiqua"/>
      <family val="1"/>
    </font>
    <font>
      <sz val="10"/>
      <color indexed="42"/>
      <name val="Arial"/>
      <family val="2"/>
    </font>
    <font>
      <b/>
      <sz val="10"/>
      <color indexed="22"/>
      <name val="Arial"/>
      <family val="2"/>
    </font>
    <font>
      <b/>
      <sz val="10"/>
      <color indexed="12"/>
      <name val="Arial"/>
      <family val="2"/>
    </font>
    <font>
      <sz val="10"/>
      <color indexed="12"/>
      <name val="Book Antiqua"/>
      <family val="1"/>
    </font>
    <font>
      <sz val="8"/>
      <color indexed="22"/>
      <name val="Arial"/>
      <family val="2"/>
    </font>
    <font>
      <sz val="10"/>
      <color indexed="40"/>
      <name val="Arial"/>
      <family val="2"/>
    </font>
    <font>
      <sz val="10"/>
      <color indexed="8"/>
      <name val="Times New Roman"/>
      <family val="1"/>
    </font>
    <font>
      <b/>
      <sz val="9"/>
      <name val="Times New Roman"/>
      <family val="1"/>
    </font>
    <font>
      <b/>
      <sz val="10"/>
      <color indexed="10"/>
      <name val="Arial"/>
      <family val="2"/>
    </font>
    <font>
      <sz val="10"/>
      <color indexed="21"/>
      <name val="Arial"/>
      <family val="2"/>
    </font>
    <font>
      <b/>
      <sz val="8"/>
      <name val="Arial"/>
      <family val="2"/>
    </font>
    <font>
      <sz val="9"/>
      <color indexed="10"/>
      <name val="Geneva"/>
    </font>
    <font>
      <sz val="10"/>
      <name val="Geneva"/>
      <family val="2"/>
    </font>
    <font>
      <sz val="10"/>
      <name val="Tms Rmn"/>
    </font>
    <font>
      <u val="singleAccounting"/>
      <sz val="10"/>
      <name val="Times"/>
      <family val="1"/>
    </font>
    <font>
      <sz val="10"/>
      <name val="Arial Narrow"/>
      <family val="2"/>
    </font>
    <font>
      <b/>
      <i/>
      <sz val="12"/>
      <color indexed="12"/>
      <name val="Arial"/>
      <family val="2"/>
    </font>
    <font>
      <sz val="8"/>
      <name val="BERNHARD"/>
    </font>
    <font>
      <sz val="1"/>
      <color indexed="8"/>
      <name val="Courier"/>
      <family val="3"/>
    </font>
    <font>
      <sz val="9"/>
      <name val="Geneva"/>
      <family val="2"/>
    </font>
    <font>
      <sz val="12"/>
      <color indexed="12"/>
      <name val="Helv"/>
    </font>
    <font>
      <sz val="12"/>
      <name val="Garamond"/>
      <family val="1"/>
    </font>
    <font>
      <sz val="10"/>
      <color indexed="12"/>
      <name val="MS Sans Serif"/>
      <family val="2"/>
    </font>
    <font>
      <b/>
      <sz val="10"/>
      <color indexed="12"/>
      <name val="MS Sans Serif"/>
      <family val="2"/>
    </font>
    <font>
      <sz val="5.5"/>
      <name val="Small Fonts"/>
      <family val="2"/>
    </font>
    <font>
      <sz val="10"/>
      <name val="Courier"/>
      <family val="3"/>
    </font>
    <font>
      <sz val="10"/>
      <name val="Arial"/>
      <family val="2"/>
    </font>
    <font>
      <u/>
      <sz val="12"/>
      <color theme="10"/>
      <name val="Arial MT"/>
    </font>
    <font>
      <sz val="10"/>
      <name val="C Helvetica Condensed"/>
    </font>
    <font>
      <b/>
      <i/>
      <sz val="14"/>
      <name val="Tms Rmn"/>
    </font>
    <font>
      <i/>
      <sz val="16"/>
      <name val="Times New Roman"/>
      <family val="1"/>
    </font>
    <font>
      <u/>
      <sz val="10"/>
      <name val="Times New Roman"/>
      <family val="1"/>
    </font>
    <font>
      <b/>
      <i/>
      <sz val="12"/>
      <name val="Times New Roman"/>
      <family val="1"/>
    </font>
    <font>
      <sz val="10"/>
      <name val="Futura UBS Bk"/>
      <family val="2"/>
    </font>
    <font>
      <b/>
      <sz val="10"/>
      <color indexed="8"/>
      <name val="Arial"/>
      <family val="2"/>
    </font>
    <font>
      <i/>
      <sz val="8"/>
      <name val="Times New Roman"/>
      <family val="1"/>
    </font>
    <font>
      <u/>
      <sz val="7.2"/>
      <color indexed="12"/>
      <name val="Arial MT"/>
    </font>
    <font>
      <sz val="10"/>
      <color indexed="40"/>
      <name val="Times New Roman"/>
      <family val="1"/>
    </font>
    <font>
      <sz val="11"/>
      <color indexed="40"/>
      <name val="Times New Roman"/>
      <family val="1"/>
    </font>
    <font>
      <strike/>
      <sz val="10"/>
      <name val="Times New Roman"/>
      <family val="1"/>
    </font>
    <font>
      <sz val="10"/>
      <color rgb="FF000099"/>
      <name val="Times New Roman"/>
      <family val="1"/>
    </font>
    <font>
      <sz val="10"/>
      <color rgb="FF800080"/>
      <name val="Times New Roman"/>
      <family val="1"/>
    </font>
    <font>
      <u/>
      <sz val="10"/>
      <color rgb="FF800080"/>
      <name val="Times New Roman"/>
      <family val="1"/>
    </font>
    <font>
      <b/>
      <sz val="10"/>
      <color indexed="48"/>
      <name val="Times New Roman"/>
      <family val="1"/>
    </font>
    <font>
      <sz val="10"/>
      <color indexed="17"/>
      <name val="Times New Roman"/>
      <family val="1"/>
    </font>
    <font>
      <strike/>
      <sz val="10"/>
      <color indexed="53"/>
      <name val="Times New Roman"/>
      <family val="1"/>
    </font>
    <font>
      <u/>
      <sz val="10"/>
      <color indexed="17"/>
      <name val="Times New Roman"/>
      <family val="1"/>
    </font>
    <font>
      <i/>
      <sz val="10"/>
      <name val="Times New Roman"/>
      <family val="1"/>
    </font>
    <font>
      <b/>
      <sz val="16"/>
      <name val="Times New Roman"/>
      <family val="1"/>
    </font>
    <font>
      <b/>
      <sz val="12"/>
      <name val="Times New Roman"/>
      <family val="1"/>
    </font>
    <font>
      <u/>
      <sz val="12"/>
      <color indexed="12"/>
      <name val="Times New Roman"/>
      <family val="1"/>
    </font>
    <font>
      <sz val="12"/>
      <color rgb="FFFF0000"/>
      <name val="Times New Roman"/>
      <family val="1"/>
    </font>
    <font>
      <sz val="10"/>
      <color rgb="FFC00000"/>
      <name val="Times New Roman"/>
      <family val="1"/>
    </font>
    <font>
      <sz val="10"/>
      <color theme="1"/>
      <name val="Times New Roman"/>
      <family val="1"/>
    </font>
    <font>
      <sz val="10"/>
      <color indexed="9"/>
      <name val="Times New Roman"/>
      <family val="1"/>
    </font>
    <font>
      <sz val="10"/>
      <name val="Arial MT"/>
    </font>
    <font>
      <b/>
      <sz val="10"/>
      <name val="Arial MT"/>
    </font>
    <font>
      <b/>
      <u/>
      <sz val="10"/>
      <name val="Arial MT"/>
    </font>
    <font>
      <u/>
      <sz val="10"/>
      <name val="Arial MT"/>
    </font>
    <font>
      <sz val="10"/>
      <name val="Arial"/>
      <family val="2"/>
    </font>
    <font>
      <b/>
      <u/>
      <sz val="10"/>
      <name val="Times New Roman"/>
      <family val="1"/>
    </font>
    <font>
      <sz val="10"/>
      <color indexed="21"/>
      <name val="Times New Roman"/>
      <family val="1"/>
    </font>
    <font>
      <b/>
      <sz val="10"/>
      <color rgb="FF000099"/>
      <name val="Times New Roman"/>
      <family val="1"/>
    </font>
    <font>
      <sz val="10"/>
      <color rgb="FFFF0000"/>
      <name val="Times New Roman"/>
      <family val="1"/>
    </font>
    <font>
      <b/>
      <sz val="10"/>
      <color rgb="FF0000FF"/>
      <name val="Times New Roman"/>
      <family val="1"/>
    </font>
    <font>
      <b/>
      <sz val="10"/>
      <color indexed="10"/>
      <name val="Times New Roman"/>
      <family val="1"/>
    </font>
    <font>
      <sz val="10"/>
      <color indexed="10"/>
      <name val="Times New Roman"/>
      <family val="1"/>
    </font>
    <font>
      <b/>
      <sz val="10"/>
      <color indexed="12"/>
      <name val="Times New Roman"/>
      <family val="1"/>
    </font>
    <font>
      <b/>
      <i/>
      <sz val="10"/>
      <color indexed="10"/>
      <name val="Times New Roman"/>
      <family val="1"/>
    </font>
    <font>
      <b/>
      <sz val="10"/>
      <color rgb="FFFF0000"/>
      <name val="Times New Roman"/>
      <family val="1"/>
    </font>
    <font>
      <b/>
      <sz val="10"/>
      <color theme="1"/>
      <name val="Times New Roman"/>
      <family val="1"/>
    </font>
    <font>
      <i/>
      <sz val="10"/>
      <color theme="1"/>
      <name val="Times New Roman"/>
      <family val="1"/>
    </font>
    <font>
      <sz val="9.5"/>
      <name val="Times New Roman"/>
      <family val="1"/>
    </font>
    <font>
      <u/>
      <sz val="10"/>
      <color rgb="FFFF0000"/>
      <name val="Times New Roman"/>
      <family val="1"/>
    </font>
    <font>
      <strike/>
      <sz val="10"/>
      <color rgb="FFFF0000"/>
      <name val="Times New Roman"/>
      <family val="1"/>
    </font>
    <font>
      <strike/>
      <u/>
      <sz val="10"/>
      <color rgb="FFFF0000"/>
      <name val="Times New Roman"/>
      <family val="1"/>
    </font>
    <font>
      <u val="singleAccounting"/>
      <sz val="10"/>
      <color rgb="FFFF0000"/>
      <name val="Times New Roman"/>
      <family val="1"/>
    </font>
    <font>
      <b/>
      <sz val="11"/>
      <color theme="1"/>
      <name val="Times New Roman"/>
      <family val="1"/>
    </font>
    <font>
      <sz val="10"/>
      <color rgb="FF000000"/>
      <name val="Times New Roman"/>
      <family val="1"/>
    </font>
    <font>
      <strike/>
      <sz val="10"/>
      <color theme="1"/>
      <name val="Times New Roman"/>
      <family val="1"/>
    </font>
    <font>
      <b/>
      <sz val="8"/>
      <color theme="1"/>
      <name val="Arial"/>
      <family val="2"/>
    </font>
    <font>
      <sz val="12"/>
      <color theme="1"/>
      <name val="Arial MT"/>
    </font>
    <font>
      <u/>
      <sz val="10"/>
      <color theme="1"/>
      <name val="Times New Roman"/>
      <family val="1"/>
    </font>
    <font>
      <sz val="11"/>
      <color theme="1"/>
      <name val="Times New Roman"/>
      <family val="1"/>
    </font>
    <font>
      <sz val="11"/>
      <color theme="1"/>
      <name val="Calibri"/>
      <family val="2"/>
    </font>
    <font>
      <b/>
      <sz val="6"/>
      <color theme="1"/>
      <name val="Arial"/>
      <family val="2"/>
    </font>
    <font>
      <b/>
      <u/>
      <sz val="10"/>
      <color theme="1"/>
      <name val="Times New Roman"/>
      <family val="1"/>
    </font>
    <font>
      <sz val="6"/>
      <color theme="1"/>
      <name val="Arial"/>
      <family val="2"/>
    </font>
    <font>
      <sz val="9"/>
      <color theme="1"/>
      <name val="Times New Roman"/>
      <family val="1"/>
    </font>
    <font>
      <b/>
      <strike/>
      <sz val="10"/>
      <name val="Times New Roman"/>
      <family val="1"/>
    </font>
  </fonts>
  <fills count="8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gray0625"/>
    </fill>
    <fill>
      <patternFill patternType="solid">
        <fgColor indexed="13"/>
        <bgColor indexed="64"/>
      </patternFill>
    </fill>
    <fill>
      <patternFill patternType="solid">
        <fgColor indexed="54"/>
      </patternFill>
    </fill>
    <fill>
      <patternFill patternType="solid">
        <fgColor indexed="9"/>
      </patternFill>
    </fill>
    <fill>
      <patternFill patternType="solid">
        <fgColor indexed="53"/>
        <bgColor indexed="64"/>
      </patternFill>
    </fill>
    <fill>
      <patternFill patternType="solid">
        <fgColor indexed="39"/>
        <bgColor indexed="64"/>
      </patternFill>
    </fill>
    <fill>
      <patternFill patternType="solid">
        <fgColor indexed="9"/>
        <bgColor indexed="64"/>
      </patternFill>
    </fill>
    <fill>
      <patternFill patternType="solid">
        <fgColor indexed="26"/>
        <bgColor indexed="9"/>
      </patternFill>
    </fill>
    <fill>
      <patternFill patternType="solid">
        <fgColor indexed="31"/>
        <bgColor indexed="64"/>
      </patternFill>
    </fill>
    <fill>
      <patternFill patternType="solid">
        <fgColor indexed="35"/>
        <bgColor indexed="64"/>
      </patternFill>
    </fill>
    <fill>
      <patternFill patternType="lightGray"/>
    </fill>
    <fill>
      <patternFill patternType="solid">
        <fgColor indexed="31"/>
        <bgColor indexed="8"/>
      </patternFill>
    </fill>
    <fill>
      <patternFill patternType="solid">
        <fgColor indexed="43"/>
        <bgColor indexed="8"/>
      </patternFill>
    </fill>
    <fill>
      <patternFill patternType="solid">
        <fgColor indexed="42"/>
        <bgColor indexed="64"/>
      </patternFill>
    </fill>
    <fill>
      <patternFill patternType="lightGray">
        <fgColor indexed="38"/>
        <bgColor indexed="23"/>
      </patternFill>
    </fill>
    <fill>
      <patternFill patternType="solid">
        <fgColor theme="1"/>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s>
  <borders count="65">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thick">
        <color indexed="29"/>
      </bottom>
      <diagonal/>
    </border>
    <border>
      <left/>
      <right/>
      <top/>
      <bottom style="medium">
        <color indexed="49"/>
      </bottom>
      <diagonal/>
    </border>
    <border>
      <left/>
      <right/>
      <top/>
      <bottom style="medium">
        <color indexed="29"/>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thin">
        <color indexed="64"/>
      </left>
      <right/>
      <top/>
      <bottom/>
      <diagonal/>
    </border>
    <border>
      <left/>
      <right style="thin">
        <color indexed="64"/>
      </right>
      <top/>
      <bottom/>
      <diagonal/>
    </border>
    <border>
      <left/>
      <right/>
      <top/>
      <bottom style="hair">
        <color indexed="20"/>
      </bottom>
      <diagonal/>
    </border>
    <border>
      <left style="double">
        <color indexed="12"/>
      </left>
      <right style="double">
        <color indexed="12"/>
      </right>
      <top style="double">
        <color indexed="12"/>
      </top>
      <bottom style="dotted">
        <color indexed="12"/>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22"/>
      </bottom>
      <diagonal/>
    </border>
    <border>
      <left/>
      <right/>
      <top style="medium">
        <color indexed="39"/>
      </top>
      <bottom/>
      <diagonal/>
    </border>
    <border>
      <left style="medium">
        <color indexed="39"/>
      </left>
      <right/>
      <top style="medium">
        <color indexed="39"/>
      </top>
      <bottom/>
      <diagonal/>
    </border>
    <border>
      <left style="thick">
        <color indexed="12"/>
      </left>
      <right style="thick">
        <color indexed="12"/>
      </right>
      <top style="thick">
        <color indexed="12"/>
      </top>
      <bottom/>
      <diagonal/>
    </border>
    <border>
      <left style="thin">
        <color indexed="22"/>
      </left>
      <right style="thin">
        <color indexed="22"/>
      </right>
      <top style="thin">
        <color indexed="22"/>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style="thin">
        <color rgb="FF000000"/>
      </left>
      <right/>
      <top style="medium">
        <color indexed="64"/>
      </top>
      <bottom style="medium">
        <color indexed="64"/>
      </bottom>
      <diagonal/>
    </border>
    <border>
      <left/>
      <right/>
      <top style="thin">
        <color rgb="FF000000"/>
      </top>
      <bottom/>
      <diagonal/>
    </border>
    <border>
      <left/>
      <right/>
      <top style="thin">
        <color rgb="FF000000"/>
      </top>
      <bottom style="thin">
        <color rgb="FF000000"/>
      </bottom>
      <diagonal/>
    </border>
  </borders>
  <cellStyleXfs count="4701">
    <xf numFmtId="172" fontId="0" fillId="0" borderId="0" applyProtection="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37" fontId="32" fillId="0" borderId="0" applyFont="0" applyFill="0" applyBorder="0" applyAlignment="0" applyProtection="0"/>
    <xf numFmtId="37" fontId="32" fillId="0" borderId="0" applyFont="0" applyFill="0" applyBorder="0" applyAlignment="0" applyProtection="0"/>
    <xf numFmtId="38" fontId="32" fillId="0" borderId="0" applyFont="0" applyFill="0" applyBorder="0" applyAlignment="0" applyProtection="0"/>
    <xf numFmtId="37" fontId="32" fillId="0" borderId="0" applyFont="0" applyFill="0" applyBorder="0" applyAlignment="0" applyProtection="0"/>
    <xf numFmtId="37" fontId="32" fillId="0" borderId="0" applyFont="0" applyFill="0" applyBorder="0" applyAlignment="0" applyProtection="0"/>
    <xf numFmtId="38" fontId="32" fillId="0" borderId="0" applyFont="0" applyFill="0" applyBorder="0" applyAlignment="0" applyProtection="0"/>
    <xf numFmtId="37" fontId="32" fillId="0" borderId="0" applyFont="0" applyFill="0" applyBorder="0" applyAlignment="0" applyProtection="0"/>
    <xf numFmtId="38" fontId="32" fillId="0" borderId="0" applyFont="0" applyFill="0" applyBorder="0" applyAlignment="0" applyProtection="0"/>
    <xf numFmtId="37" fontId="32" fillId="0" borderId="0" applyFont="0" applyFill="0" applyBorder="0" applyAlignment="0" applyProtection="0"/>
    <xf numFmtId="0" fontId="11" fillId="0" borderId="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44" borderId="0" applyNumberFormat="0" applyBorder="0" applyAlignment="0" applyProtection="0"/>
    <xf numFmtId="0" fontId="34" fillId="45"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52" borderId="0" applyNumberFormat="0" applyBorder="0" applyAlignment="0" applyProtection="0"/>
    <xf numFmtId="38" fontId="35" fillId="0" borderId="0" applyBorder="0" applyAlignment="0"/>
    <xf numFmtId="175" fontId="31" fillId="53" borderId="16">
      <alignment horizontal="center" vertical="center"/>
    </xf>
    <xf numFmtId="176" fontId="11" fillId="0" borderId="17">
      <alignment horizontal="left"/>
    </xf>
    <xf numFmtId="0" fontId="36" fillId="0" borderId="0"/>
    <xf numFmtId="0" fontId="37" fillId="36" borderId="0" applyNumberFormat="0" applyBorder="0" applyAlignment="0" applyProtection="0"/>
    <xf numFmtId="0" fontId="38" fillId="0" borderId="0" applyNumberFormat="0" applyFill="0" applyBorder="0" applyAlignment="0" applyProtection="0"/>
    <xf numFmtId="177" fontId="39" fillId="0" borderId="1" applyNumberFormat="0" applyFill="0" applyAlignment="0" applyProtection="0">
      <alignment horizontal="center"/>
    </xf>
    <xf numFmtId="178" fontId="39" fillId="0" borderId="3" applyFill="0" applyAlignment="0" applyProtection="0">
      <alignment horizontal="center"/>
    </xf>
    <xf numFmtId="38" fontId="11" fillId="0" borderId="0">
      <alignment horizontal="right"/>
    </xf>
    <xf numFmtId="37" fontId="40" fillId="0" borderId="0" applyFill="0">
      <alignment horizontal="right"/>
    </xf>
    <xf numFmtId="37" fontId="40" fillId="0" borderId="0">
      <alignment horizontal="right"/>
    </xf>
    <xf numFmtId="0" fontId="40" fillId="0" borderId="0" applyFill="0">
      <alignment horizontal="center"/>
    </xf>
    <xf numFmtId="37" fontId="40" fillId="0" borderId="18" applyFill="0">
      <alignment horizontal="right"/>
    </xf>
    <xf numFmtId="37" fontId="40" fillId="0" borderId="0">
      <alignment horizontal="right"/>
    </xf>
    <xf numFmtId="0" fontId="41" fillId="0" borderId="0" applyFill="0">
      <alignment vertical="top"/>
    </xf>
    <xf numFmtId="0" fontId="42" fillId="0" borderId="0" applyFill="0">
      <alignment horizontal="left" vertical="top"/>
    </xf>
    <xf numFmtId="37" fontId="40" fillId="0" borderId="4" applyFill="0">
      <alignment horizontal="right"/>
    </xf>
    <xf numFmtId="0" fontId="11" fillId="0" borderId="0" applyNumberFormat="0" applyFont="0" applyAlignment="0"/>
    <xf numFmtId="0" fontId="41" fillId="0" borderId="0" applyFill="0">
      <alignment wrapText="1"/>
    </xf>
    <xf numFmtId="0" fontId="42" fillId="0" borderId="0" applyFill="0">
      <alignment horizontal="left" vertical="top" wrapText="1"/>
    </xf>
    <xf numFmtId="37" fontId="40" fillId="0" borderId="0" applyFill="0">
      <alignment horizontal="right"/>
    </xf>
    <xf numFmtId="0" fontId="43" fillId="0" borderId="0" applyNumberFormat="0" applyFont="0" applyAlignment="0">
      <alignment horizontal="center"/>
    </xf>
    <xf numFmtId="0" fontId="44" fillId="0" borderId="0" applyFill="0">
      <alignment vertical="top" wrapText="1"/>
    </xf>
    <xf numFmtId="0" fontId="30" fillId="0" borderId="0" applyFill="0">
      <alignment horizontal="left" vertical="top" wrapText="1"/>
    </xf>
    <xf numFmtId="37" fontId="40" fillId="0" borderId="0" applyFill="0">
      <alignment horizontal="right"/>
    </xf>
    <xf numFmtId="0" fontId="43" fillId="0" borderId="0" applyNumberFormat="0" applyFont="0" applyAlignment="0">
      <alignment horizontal="center"/>
    </xf>
    <xf numFmtId="0" fontId="45" fillId="0" borderId="0" applyFill="0">
      <alignment vertical="center" wrapText="1"/>
    </xf>
    <xf numFmtId="0" fontId="29" fillId="0" borderId="0">
      <alignment horizontal="left" vertical="center" wrapText="1"/>
    </xf>
    <xf numFmtId="37" fontId="40" fillId="0" borderId="0" applyFill="0">
      <alignment horizontal="right"/>
    </xf>
    <xf numFmtId="0" fontId="43" fillId="0" borderId="0" applyNumberFormat="0" applyFont="0" applyAlignment="0">
      <alignment horizontal="center"/>
    </xf>
    <xf numFmtId="0" fontId="46" fillId="0" borderId="0" applyFill="0">
      <alignment horizontal="center" vertical="center" wrapText="1"/>
    </xf>
    <xf numFmtId="0" fontId="11" fillId="0" borderId="0" applyFill="0">
      <alignment horizontal="center" vertical="center" wrapText="1"/>
    </xf>
    <xf numFmtId="37" fontId="47" fillId="0" borderId="0" applyFill="0">
      <alignment horizontal="right"/>
    </xf>
    <xf numFmtId="0" fontId="43" fillId="0" borderId="0" applyNumberFormat="0" applyFont="0" applyAlignment="0">
      <alignment horizontal="center"/>
    </xf>
    <xf numFmtId="0" fontId="48" fillId="0" borderId="0" applyFill="0">
      <alignment horizontal="center" vertical="center" wrapText="1"/>
    </xf>
    <xf numFmtId="0" fontId="49" fillId="0" borderId="0" applyFill="0">
      <alignment horizontal="center" vertical="center" wrapText="1"/>
    </xf>
    <xf numFmtId="37" fontId="47" fillId="0" borderId="0" applyFill="0">
      <alignment horizontal="right"/>
    </xf>
    <xf numFmtId="0" fontId="43" fillId="0" borderId="0" applyNumberFormat="0" applyFont="0" applyAlignment="0">
      <alignment horizontal="center"/>
    </xf>
    <xf numFmtId="0" fontId="50" fillId="0" borderId="0">
      <alignment horizontal="center" wrapText="1"/>
    </xf>
    <xf numFmtId="0" fontId="51" fillId="0" borderId="0" applyFill="0">
      <alignment horizontal="center" wrapText="1"/>
    </xf>
    <xf numFmtId="0" fontId="52" fillId="54" borderId="19" applyNumberFormat="0" applyAlignment="0" applyProtection="0"/>
    <xf numFmtId="0" fontId="53" fillId="55" borderId="20" applyNumberFormat="0" applyAlignment="0" applyProtection="0"/>
    <xf numFmtId="179" fontId="32" fillId="0" borderId="0" applyFont="0" applyFill="0" applyBorder="0" applyAlignment="0" applyProtection="0"/>
    <xf numFmtId="43" fontId="9" fillId="0" borderId="0" applyFont="0" applyFill="0" applyBorder="0" applyAlignment="0" applyProtection="0"/>
    <xf numFmtId="43" fontId="54" fillId="0" borderId="0" applyFont="0" applyFill="0" applyBorder="0" applyAlignment="0" applyProtection="0"/>
    <xf numFmtId="0" fontId="55" fillId="0" borderId="0"/>
    <xf numFmtId="44" fontId="11" fillId="0" borderId="0" applyFont="0" applyFill="0" applyBorder="0" applyAlignment="0" applyProtection="0"/>
    <xf numFmtId="180" fontId="11" fillId="0" borderId="17">
      <alignment horizontal="center"/>
    </xf>
    <xf numFmtId="181" fontId="56" fillId="0" borderId="0" applyFont="0" applyFill="0" applyBorder="0" applyAlignment="0" applyProtection="0"/>
    <xf numFmtId="0" fontId="57" fillId="0" borderId="0" applyNumberFormat="0" applyFill="0" applyBorder="0" applyAlignment="0" applyProtection="0"/>
    <xf numFmtId="182" fontId="11" fillId="0" borderId="0">
      <protection locked="0"/>
    </xf>
    <xf numFmtId="0" fontId="58" fillId="0" borderId="0"/>
    <xf numFmtId="0" fontId="59" fillId="0" borderId="0"/>
    <xf numFmtId="0" fontId="60" fillId="0" borderId="0"/>
    <xf numFmtId="0" fontId="61" fillId="37" borderId="0" applyNumberFormat="0" applyBorder="0" applyAlignment="0" applyProtection="0"/>
    <xf numFmtId="38" fontId="40" fillId="56" borderId="0" applyNumberFormat="0" applyBorder="0" applyAlignment="0" applyProtection="0"/>
    <xf numFmtId="0" fontId="62" fillId="0" borderId="0" applyNumberFormat="0" applyFill="0" applyBorder="0" applyAlignment="0" applyProtection="0"/>
    <xf numFmtId="0" fontId="30" fillId="0" borderId="21" applyNumberFormat="0" applyAlignment="0" applyProtection="0">
      <alignment horizontal="left" vertical="center"/>
    </xf>
    <xf numFmtId="0" fontId="30" fillId="0" borderId="15">
      <alignment horizontal="left" vertical="center"/>
    </xf>
    <xf numFmtId="0" fontId="63" fillId="0" borderId="0">
      <alignment horizontal="center"/>
    </xf>
    <xf numFmtId="0" fontId="64" fillId="0" borderId="22" applyNumberFormat="0" applyFill="0" applyAlignment="0" applyProtection="0"/>
    <xf numFmtId="0" fontId="65" fillId="0" borderId="23" applyNumberFormat="0" applyFill="0" applyAlignment="0" applyProtection="0"/>
    <xf numFmtId="0" fontId="66" fillId="0" borderId="24" applyNumberFormat="0" applyFill="0" applyAlignment="0" applyProtection="0"/>
    <xf numFmtId="0" fontId="66" fillId="0" borderId="0" applyNumberFormat="0" applyFill="0" applyBorder="0" applyAlignment="0" applyProtection="0"/>
    <xf numFmtId="183" fontId="11" fillId="0" borderId="0">
      <protection locked="0"/>
    </xf>
    <xf numFmtId="183" fontId="11" fillId="0" borderId="0">
      <protection locked="0"/>
    </xf>
    <xf numFmtId="0" fontId="67" fillId="0" borderId="25" applyNumberFormat="0" applyFill="0" applyAlignment="0" applyProtection="0"/>
    <xf numFmtId="10" fontId="40" fillId="57" borderId="17" applyNumberFormat="0" applyBorder="0" applyAlignment="0" applyProtection="0"/>
    <xf numFmtId="0" fontId="68" fillId="40" borderId="19" applyNumberFormat="0" applyAlignment="0" applyProtection="0"/>
    <xf numFmtId="0" fontId="40" fillId="56" borderId="0"/>
    <xf numFmtId="0" fontId="69" fillId="0" borderId="26" applyNumberFormat="0" applyFill="0" applyAlignment="0" applyProtection="0"/>
    <xf numFmtId="184" fontId="11" fillId="0" borderId="17">
      <alignment horizontal="center"/>
    </xf>
    <xf numFmtId="185" fontId="70" fillId="0" borderId="0"/>
    <xf numFmtId="17" fontId="71" fillId="0" borderId="0">
      <alignment horizontal="center"/>
    </xf>
    <xf numFmtId="186" fontId="11" fillId="0" borderId="0" applyFont="0" applyFill="0" applyBorder="0" applyAlignment="0" applyProtection="0"/>
    <xf numFmtId="187" fontId="11" fillId="0" borderId="0" applyFont="0" applyFill="0" applyBorder="0" applyAlignment="0" applyProtection="0"/>
    <xf numFmtId="0" fontId="72" fillId="58" borderId="0" applyNumberFormat="0" applyBorder="0" applyAlignment="0" applyProtection="0"/>
    <xf numFmtId="43" fontId="73" fillId="0" borderId="0" applyNumberFormat="0" applyFill="0" applyBorder="0" applyAlignment="0" applyProtection="0"/>
    <xf numFmtId="0" fontId="39" fillId="0" borderId="0" applyNumberFormat="0" applyFill="0" applyAlignment="0" applyProtection="0"/>
    <xf numFmtId="37" fontId="74" fillId="0" borderId="0"/>
    <xf numFmtId="188" fontId="75" fillId="0" borderId="0"/>
    <xf numFmtId="172" fontId="12" fillId="0" borderId="0" applyProtection="0"/>
    <xf numFmtId="0" fontId="11" fillId="0" borderId="0"/>
    <xf numFmtId="0" fontId="9" fillId="0" borderId="0"/>
    <xf numFmtId="0" fontId="54" fillId="0" borderId="0"/>
    <xf numFmtId="0" fontId="11" fillId="0" borderId="17">
      <alignment horizontal="center" wrapText="1"/>
    </xf>
    <xf numFmtId="2" fontId="11" fillId="0" borderId="17">
      <alignment horizontal="center"/>
    </xf>
    <xf numFmtId="189" fontId="76" fillId="0" borderId="17" applyFont="0">
      <alignment horizontal="center"/>
    </xf>
    <xf numFmtId="0" fontId="11" fillId="59" borderId="27" applyNumberFormat="0" applyFont="0" applyAlignment="0" applyProtection="0"/>
    <xf numFmtId="1" fontId="11" fillId="0" borderId="17">
      <alignment horizontal="center"/>
    </xf>
    <xf numFmtId="0" fontId="77" fillId="54" borderId="28" applyNumberFormat="0" applyAlignment="0" applyProtection="0"/>
    <xf numFmtId="10" fontId="11" fillId="0" borderId="0" applyFont="0" applyFill="0" applyBorder="0" applyAlignment="0" applyProtection="0"/>
    <xf numFmtId="0" fontId="32" fillId="0" borderId="0" applyNumberFormat="0" applyFont="0" applyFill="0" applyBorder="0" applyAlignment="0" applyProtection="0">
      <alignment horizontal="left"/>
    </xf>
    <xf numFmtId="15" fontId="32" fillId="0" borderId="0" applyFont="0" applyFill="0" applyBorder="0" applyAlignment="0" applyProtection="0"/>
    <xf numFmtId="4" fontId="32" fillId="0" borderId="0" applyFont="0" applyFill="0" applyBorder="0" applyAlignment="0" applyProtection="0"/>
    <xf numFmtId="0" fontId="78" fillId="0" borderId="1">
      <alignment horizontal="center"/>
    </xf>
    <xf numFmtId="3" fontId="32" fillId="0" borderId="0" applyFont="0" applyFill="0" applyBorder="0" applyAlignment="0" applyProtection="0"/>
    <xf numFmtId="0" fontId="32" fillId="60" borderId="0" applyNumberFormat="0" applyFont="0" applyBorder="0" applyAlignment="0" applyProtection="0"/>
    <xf numFmtId="37" fontId="40" fillId="56" borderId="0" applyFill="0">
      <alignment horizontal="right"/>
    </xf>
    <xf numFmtId="0" fontId="47" fillId="0" borderId="0">
      <alignment horizontal="left"/>
    </xf>
    <xf numFmtId="0" fontId="40" fillId="0" borderId="0" applyFill="0">
      <alignment horizontal="left"/>
    </xf>
    <xf numFmtId="37" fontId="40" fillId="0" borderId="3" applyFill="0">
      <alignment horizontal="right"/>
    </xf>
    <xf numFmtId="0" fontId="76" fillId="0" borderId="17" applyNumberFormat="0" applyFont="0" applyBorder="0">
      <alignment horizontal="right"/>
    </xf>
    <xf numFmtId="0" fontId="79" fillId="0" borderId="0" applyFill="0"/>
    <xf numFmtId="0" fontId="40" fillId="0" borderId="0" applyFill="0">
      <alignment horizontal="left"/>
    </xf>
    <xf numFmtId="190" fontId="40" fillId="0" borderId="3" applyFill="0">
      <alignment horizontal="right"/>
    </xf>
    <xf numFmtId="0" fontId="11" fillId="0" borderId="0" applyNumberFormat="0" applyFont="0" applyBorder="0" applyAlignment="0"/>
    <xf numFmtId="0" fontId="44" fillId="0" borderId="0" applyFill="0">
      <alignment horizontal="left" indent="1"/>
    </xf>
    <xf numFmtId="0" fontId="47" fillId="0" borderId="0" applyFill="0">
      <alignment horizontal="left"/>
    </xf>
    <xf numFmtId="37" fontId="40" fillId="0" borderId="0" applyFill="0">
      <alignment horizontal="right"/>
    </xf>
    <xf numFmtId="0" fontId="11" fillId="0" borderId="0" applyNumberFormat="0" applyFont="0" applyFill="0" applyBorder="0" applyAlignment="0"/>
    <xf numFmtId="0" fontId="44" fillId="0" borderId="0" applyFill="0">
      <alignment horizontal="left" indent="2"/>
    </xf>
    <xf numFmtId="0" fontId="40" fillId="0" borderId="0" applyFill="0">
      <alignment horizontal="left"/>
    </xf>
    <xf numFmtId="37" fontId="40" fillId="0" borderId="0" applyFill="0">
      <alignment horizontal="right"/>
    </xf>
    <xf numFmtId="0" fontId="11" fillId="0" borderId="0" applyNumberFormat="0" applyFont="0" applyBorder="0" applyAlignment="0"/>
    <xf numFmtId="0" fontId="80" fillId="0" borderId="0">
      <alignment horizontal="left" indent="3"/>
    </xf>
    <xf numFmtId="0" fontId="40" fillId="0" borderId="0" applyFill="0">
      <alignment horizontal="left"/>
    </xf>
    <xf numFmtId="37" fontId="40" fillId="0" borderId="0" applyFill="0">
      <alignment horizontal="right"/>
    </xf>
    <xf numFmtId="0" fontId="11" fillId="0" borderId="0" applyNumberFormat="0" applyFont="0" applyBorder="0" applyAlignment="0"/>
    <xf numFmtId="0" fontId="46" fillId="0" borderId="0">
      <alignment horizontal="left" indent="4"/>
    </xf>
    <xf numFmtId="0" fontId="40" fillId="0" borderId="0" applyFill="0">
      <alignment horizontal="left"/>
    </xf>
    <xf numFmtId="37" fontId="47" fillId="0" borderId="0" applyFill="0">
      <alignment horizontal="right"/>
    </xf>
    <xf numFmtId="0" fontId="11" fillId="0" borderId="0" applyNumberFormat="0" applyFont="0" applyBorder="0" applyAlignment="0"/>
    <xf numFmtId="0" fontId="48" fillId="0" borderId="0">
      <alignment horizontal="left" indent="5"/>
    </xf>
    <xf numFmtId="0" fontId="47" fillId="0" borderId="0" applyFill="0">
      <alignment horizontal="left"/>
    </xf>
    <xf numFmtId="37" fontId="47" fillId="0" borderId="0" applyFill="0">
      <alignment horizontal="right"/>
    </xf>
    <xf numFmtId="0" fontId="11" fillId="0" borderId="0" applyNumberFormat="0" applyFont="0" applyFill="0" applyBorder="0" applyAlignment="0"/>
    <xf numFmtId="0" fontId="50" fillId="0" borderId="0" applyFill="0">
      <alignment horizontal="left" indent="6"/>
    </xf>
    <xf numFmtId="0" fontId="47" fillId="0" borderId="0" applyFill="0">
      <alignment horizontal="left"/>
    </xf>
    <xf numFmtId="38" fontId="81" fillId="2" borderId="3">
      <alignment horizontal="right"/>
    </xf>
    <xf numFmtId="38" fontId="11" fillId="61" borderId="0" applyNumberFormat="0" applyFont="0" applyBorder="0" applyAlignment="0" applyProtection="0"/>
    <xf numFmtId="0" fontId="82" fillId="0" borderId="0" applyNumberFormat="0" applyAlignment="0">
      <alignment horizontal="centerContinuous"/>
    </xf>
    <xf numFmtId="0" fontId="39" fillId="0" borderId="3" applyNumberFormat="0" applyFill="0" applyAlignment="0" applyProtection="0"/>
    <xf numFmtId="37" fontId="83" fillId="0" borderId="0" applyNumberFormat="0">
      <alignment horizontal="left"/>
    </xf>
    <xf numFmtId="191" fontId="11" fillId="0" borderId="17">
      <alignment horizontal="center" wrapText="1"/>
    </xf>
    <xf numFmtId="38" fontId="32" fillId="0" borderId="0" applyFont="0" applyFill="0" applyBorder="0" applyAlignment="0" applyProtection="0"/>
    <xf numFmtId="38" fontId="32" fillId="0" borderId="0" applyFont="0" applyFill="0" applyBorder="0" applyAlignment="0" applyProtection="0"/>
    <xf numFmtId="0" fontId="11" fillId="0" borderId="0" applyNumberFormat="0" applyFill="0" applyBorder="0" applyProtection="0">
      <alignment horizontal="right" wrapText="1"/>
    </xf>
    <xf numFmtId="192" fontId="11" fillId="0" borderId="0" applyFill="0" applyBorder="0" applyAlignment="0" applyProtection="0">
      <alignment wrapText="1"/>
    </xf>
    <xf numFmtId="37" fontId="84" fillId="0" borderId="0" applyNumberFormat="0">
      <alignment horizontal="left"/>
    </xf>
    <xf numFmtId="37" fontId="85" fillId="0" borderId="0" applyNumberFormat="0">
      <alignment horizontal="left"/>
    </xf>
    <xf numFmtId="37" fontId="86" fillId="0" borderId="0" applyNumberFormat="0">
      <alignment horizontal="left"/>
    </xf>
    <xf numFmtId="185" fontId="87" fillId="0" borderId="0"/>
    <xf numFmtId="40" fontId="88" fillId="0" borderId="0"/>
    <xf numFmtId="0" fontId="89" fillId="0" borderId="0" applyNumberFormat="0" applyFill="0" applyBorder="0" applyAlignment="0" applyProtection="0"/>
    <xf numFmtId="0" fontId="90" fillId="0" borderId="29" applyNumberFormat="0" applyFill="0" applyAlignment="0" applyProtection="0"/>
    <xf numFmtId="37" fontId="40" fillId="2" borderId="0" applyNumberFormat="0" applyBorder="0" applyAlignment="0" applyProtection="0"/>
    <xf numFmtId="37" fontId="40" fillId="0" borderId="0"/>
    <xf numFmtId="3" fontId="91" fillId="0" borderId="25" applyProtection="0"/>
    <xf numFmtId="0" fontId="92" fillId="0" borderId="0" applyNumberForma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93"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93"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9" fillId="16"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93" fillId="20"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93"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93"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93" fillId="32"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93" fillId="13"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9" fillId="42"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93"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9" fillId="17"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93"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93"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93" fillId="29"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9" fillId="40"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93"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9" fillId="33"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94" fillId="14"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94"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94"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8"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94"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94" fillId="3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94"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94"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94"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94"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94"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63"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94"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94"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4" fillId="5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95"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96" fillId="8" borderId="8" applyNumberFormat="0" applyAlignment="0" applyProtection="0"/>
    <xf numFmtId="0" fontId="22" fillId="64" borderId="8" applyNumberFormat="0" applyAlignment="0" applyProtection="0"/>
    <xf numFmtId="0" fontId="22" fillId="64" borderId="8" applyNumberFormat="0" applyAlignment="0" applyProtection="0"/>
    <xf numFmtId="0" fontId="22" fillId="64" borderId="8" applyNumberFormat="0" applyAlignment="0" applyProtection="0"/>
    <xf numFmtId="0" fontId="22" fillId="64" borderId="8"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2" fillId="64" borderId="19"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97" fillId="9" borderId="11" applyNumberFormat="0" applyAlignment="0" applyProtection="0"/>
    <xf numFmtId="0" fontId="24" fillId="9" borderId="11" applyNumberFormat="0" applyAlignment="0" applyProtection="0"/>
    <xf numFmtId="0" fontId="24" fillId="9" borderId="11" applyNumberFormat="0" applyAlignment="0" applyProtection="0"/>
    <xf numFmtId="0" fontId="24" fillId="9" borderId="11" applyNumberFormat="0" applyAlignment="0" applyProtection="0"/>
    <xf numFmtId="0" fontId="24" fillId="9" borderId="11"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0" fontId="53" fillId="55" borderId="20" applyNumberFormat="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3" fillId="0" borderId="0" applyFont="0" applyFill="0" applyBorder="0" applyAlignment="0" applyProtection="0"/>
    <xf numFmtId="43" fontId="9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8"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8"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8"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100"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61" fillId="37" borderId="0" applyNumberFormat="0" applyBorder="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2"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1" fillId="0" borderId="30"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4" fillId="0" borderId="6"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5" fillId="0" borderId="31"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3" fillId="0" borderId="23"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6" fillId="0" borderId="7"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32" applyNumberFormat="0" applyFill="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7" fillId="0" borderId="0" applyNumberFormat="0" applyFill="0" applyBorder="0" applyAlignment="0" applyProtection="0">
      <alignment vertical="top"/>
      <protection locked="0"/>
    </xf>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108" fillId="7" borderId="8" applyNumberFormat="0" applyAlignment="0" applyProtection="0"/>
    <xf numFmtId="0" fontId="20" fillId="58" borderId="8" applyNumberFormat="0" applyAlignment="0" applyProtection="0"/>
    <xf numFmtId="0" fontId="20" fillId="58" borderId="8" applyNumberFormat="0" applyAlignment="0" applyProtection="0"/>
    <xf numFmtId="0" fontId="20" fillId="58" borderId="8" applyNumberFormat="0" applyAlignment="0" applyProtection="0"/>
    <xf numFmtId="0" fontId="20" fillId="58" borderId="8"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8" fillId="58" borderId="19" applyNumberFormat="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109"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110"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72" fillId="58" borderId="0" applyNumberFormat="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8"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3"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 fillId="0" borderId="0"/>
    <xf numFmtId="0" fontId="9" fillId="0" borderId="0"/>
    <xf numFmtId="0" fontId="9" fillId="0" borderId="0"/>
    <xf numFmtId="0" fontId="9"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3"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8"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3"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93" fillId="10" borderId="12"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11" fillId="59" borderId="27" applyNumberFormat="0" applyFon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112" fillId="8" borderId="9" applyNumberFormat="0" applyAlignment="0" applyProtection="0"/>
    <xf numFmtId="0" fontId="21" fillId="64" borderId="9" applyNumberFormat="0" applyAlignment="0" applyProtection="0"/>
    <xf numFmtId="0" fontId="21" fillId="64" borderId="9" applyNumberFormat="0" applyAlignment="0" applyProtection="0"/>
    <xf numFmtId="0" fontId="21" fillId="64" borderId="9" applyNumberFormat="0" applyAlignment="0" applyProtection="0"/>
    <xf numFmtId="0" fontId="21" fillId="64" borderId="9"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0" fontId="77" fillId="64" borderId="28"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9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9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9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114"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27" fillId="0" borderId="13"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0" fillId="0" borderId="34"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11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172" fontId="12" fillId="0" borderId="0" applyProtection="0"/>
    <xf numFmtId="0" fontId="31" fillId="0" borderId="0"/>
    <xf numFmtId="0" fontId="11" fillId="0" borderId="0"/>
    <xf numFmtId="194" fontId="11" fillId="65" borderId="0" applyNumberFormat="0" applyFill="0" applyBorder="0" applyAlignment="0" applyProtection="0">
      <alignment horizontal="right" vertical="center"/>
    </xf>
    <xf numFmtId="194" fontId="67" fillId="0" borderId="0" applyNumberFormat="0" applyFill="0" applyBorder="0" applyAlignment="0" applyProtection="0"/>
    <xf numFmtId="0" fontId="11" fillId="0" borderId="3" applyNumberFormat="0" applyFont="0" applyFill="0" applyAlignment="0" applyProtection="0"/>
    <xf numFmtId="195" fontId="10" fillId="0" borderId="0" applyFont="0" applyFill="0" applyBorder="0" applyAlignment="0" applyProtection="0"/>
    <xf numFmtId="37" fontId="116" fillId="0" borderId="0" applyFont="0" applyFill="0" applyBorder="0" applyAlignment="0" applyProtection="0">
      <alignment vertical="center"/>
      <protection locked="0"/>
    </xf>
    <xf numFmtId="196" fontId="31" fillId="0" borderId="0" applyFont="0" applyFill="0" applyBorder="0" applyAlignment="0" applyProtection="0"/>
    <xf numFmtId="0" fontId="117" fillId="0" borderId="0"/>
    <xf numFmtId="0" fontId="11" fillId="0" borderId="0" applyFill="0">
      <alignment horizontal="center" vertical="center" wrapText="1"/>
    </xf>
    <xf numFmtId="185" fontId="118" fillId="0" borderId="0" applyFont="0" applyFill="0" applyBorder="0" applyAlignment="0" applyProtection="0">
      <protection locked="0"/>
    </xf>
    <xf numFmtId="197" fontId="118" fillId="0" borderId="0" applyFont="0" applyFill="0" applyBorder="0" applyAlignment="0" applyProtection="0">
      <protection locked="0"/>
    </xf>
    <xf numFmtId="39" fontId="11" fillId="0" borderId="0" applyFont="0" applyFill="0" applyBorder="0" applyAlignment="0" applyProtection="0"/>
    <xf numFmtId="198" fontId="119" fillId="0" borderId="0" applyFont="0" applyFill="0" applyBorder="0" applyAlignment="0" applyProtection="0"/>
    <xf numFmtId="199" fontId="31" fillId="0" borderId="0" applyFont="0" applyFill="0" applyBorder="0" applyAlignment="0" applyProtection="0"/>
    <xf numFmtId="0" fontId="11" fillId="0" borderId="3" applyNumberFormat="0" applyFont="0" applyFill="0" applyBorder="0" applyProtection="0">
      <alignment horizontal="centerContinuous" vertical="center"/>
    </xf>
    <xf numFmtId="0" fontId="120" fillId="0" borderId="0" applyFill="0" applyBorder="0" applyProtection="0">
      <alignment horizontal="center"/>
      <protection locked="0"/>
    </xf>
    <xf numFmtId="41" fontId="93" fillId="0" borderId="0" applyFont="0" applyFill="0" applyBorder="0" applyAlignment="0" applyProtection="0"/>
    <xf numFmtId="41" fontId="9" fillId="0" borderId="0" applyFont="0" applyFill="0" applyBorder="0" applyAlignment="0" applyProtection="0"/>
    <xf numFmtId="200" fontId="39" fillId="0" borderId="0" applyFont="0" applyFill="0" applyBorder="0" applyAlignment="0" applyProtection="0"/>
    <xf numFmtId="201" fontId="121" fillId="0" borderId="0" applyFont="0" applyFill="0" applyBorder="0" applyAlignment="0" applyProtection="0"/>
    <xf numFmtId="202" fontId="121" fillId="0" borderId="0" applyFont="0" applyFill="0" applyBorder="0" applyAlignment="0" applyProtection="0"/>
    <xf numFmtId="203" fontId="122" fillId="0" borderId="0" applyFont="0" applyFill="0" applyBorder="0" applyAlignment="0" applyProtection="0">
      <protection locked="0"/>
    </xf>
    <xf numFmtId="3" fontId="11" fillId="0" borderId="0" applyFont="0" applyFill="0" applyBorder="0" applyAlignment="0" applyProtection="0"/>
    <xf numFmtId="0" fontId="42" fillId="0" borderId="0" applyFill="0" applyBorder="0" applyAlignment="0" applyProtection="0">
      <protection locked="0"/>
    </xf>
    <xf numFmtId="0" fontId="11" fillId="0" borderId="35"/>
    <xf numFmtId="204" fontId="121" fillId="0" borderId="0" applyFont="0" applyFill="0" applyBorder="0" applyAlignment="0" applyProtection="0"/>
    <xf numFmtId="205" fontId="121" fillId="0" borderId="0" applyFont="0" applyFill="0" applyBorder="0" applyAlignment="0" applyProtection="0"/>
    <xf numFmtId="206" fontId="121" fillId="0" borderId="0" applyFont="0" applyFill="0" applyBorder="0" applyAlignment="0" applyProtection="0"/>
    <xf numFmtId="207" fontId="122" fillId="0" borderId="0" applyFont="0" applyFill="0" applyBorder="0" applyAlignment="0" applyProtection="0">
      <protection locked="0"/>
    </xf>
    <xf numFmtId="5" fontId="11" fillId="0" borderId="0" applyFont="0" applyFill="0" applyBorder="0" applyAlignment="0" applyProtection="0"/>
    <xf numFmtId="5" fontId="11" fillId="0" borderId="0" applyFont="0" applyFill="0" applyBorder="0" applyAlignment="0" applyProtection="0"/>
    <xf numFmtId="208" fontId="31" fillId="0" borderId="0" applyFont="0" applyFill="0" applyBorder="0" applyAlignment="0" applyProtection="0"/>
    <xf numFmtId="209" fontId="11" fillId="0" borderId="0" applyFont="0" applyFill="0" applyBorder="0" applyAlignment="0" applyProtection="0"/>
    <xf numFmtId="210" fontId="118" fillId="0" borderId="0" applyFont="0" applyFill="0" applyBorder="0" applyAlignment="0" applyProtection="0">
      <protection locked="0"/>
    </xf>
    <xf numFmtId="7" fontId="40" fillId="0" borderId="0" applyFont="0" applyFill="0" applyBorder="0" applyAlignment="0" applyProtection="0"/>
    <xf numFmtId="211" fontId="119" fillId="0" borderId="0" applyFont="0" applyFill="0" applyBorder="0" applyAlignment="0" applyProtection="0"/>
    <xf numFmtId="212" fontId="123" fillId="0" borderId="0" applyFont="0" applyFill="0" applyBorder="0" applyAlignment="0" applyProtection="0"/>
    <xf numFmtId="0" fontId="124" fillId="66" borderId="36" applyNumberFormat="0" applyFont="0" applyFill="0" applyAlignment="0" applyProtection="0">
      <alignment horizontal="left" indent="1"/>
    </xf>
    <xf numFmtId="5" fontId="125" fillId="0" borderId="0" applyBorder="0"/>
    <xf numFmtId="209" fontId="125" fillId="0" borderId="0" applyBorder="0"/>
    <xf numFmtId="7" fontId="125" fillId="0" borderId="0" applyBorder="0"/>
    <xf numFmtId="37" fontId="125" fillId="0" borderId="0" applyBorder="0"/>
    <xf numFmtId="185" fontId="125" fillId="0" borderId="0" applyBorder="0"/>
    <xf numFmtId="213" fontId="125" fillId="0" borderId="0" applyBorder="0"/>
    <xf numFmtId="39" fontId="125" fillId="0" borderId="0" applyBorder="0"/>
    <xf numFmtId="214" fontId="125" fillId="0" borderId="0" applyBorder="0"/>
    <xf numFmtId="7" fontId="11" fillId="0" borderId="0" applyFont="0" applyFill="0" applyBorder="0" applyAlignment="0" applyProtection="0"/>
    <xf numFmtId="215" fontId="31" fillId="0" borderId="0" applyFont="0" applyFill="0" applyBorder="0" applyAlignment="0" applyProtection="0"/>
    <xf numFmtId="216" fontId="31" fillId="0" borderId="0" applyFont="0" applyFill="0" applyAlignment="0" applyProtection="0"/>
    <xf numFmtId="215" fontId="31" fillId="0" borderId="0" applyFont="0" applyFill="0" applyBorder="0" applyAlignment="0" applyProtection="0"/>
    <xf numFmtId="185" fontId="126" fillId="0" borderId="0" applyNumberFormat="0" applyFill="0" applyBorder="0" applyAlignment="0" applyProtection="0"/>
    <xf numFmtId="0" fontId="40" fillId="0" borderId="0" applyFont="0" applyFill="0" applyBorder="0" applyAlignment="0" applyProtection="0"/>
    <xf numFmtId="0" fontId="126" fillId="0" borderId="0" applyNumberFormat="0" applyFill="0" applyBorder="0" applyAlignment="0" applyProtection="0"/>
    <xf numFmtId="0" fontId="120" fillId="0" borderId="0" applyFill="0" applyAlignment="0" applyProtection="0">
      <protection locked="0"/>
    </xf>
    <xf numFmtId="0" fontId="120" fillId="0" borderId="3" applyFill="0" applyAlignment="0" applyProtection="0">
      <protection locked="0"/>
    </xf>
    <xf numFmtId="0" fontId="127" fillId="0" borderId="3" applyNumberFormat="0" applyFill="0" applyAlignment="0" applyProtection="0"/>
    <xf numFmtId="0" fontId="128" fillId="62" borderId="17" applyNumberFormat="0" applyAlignment="0" applyProtection="0"/>
    <xf numFmtId="5" fontId="129" fillId="0" borderId="0" applyBorder="0"/>
    <xf numFmtId="209" fontId="129" fillId="0" borderId="0" applyBorder="0"/>
    <xf numFmtId="7" fontId="129" fillId="0" borderId="0" applyBorder="0"/>
    <xf numFmtId="37" fontId="129" fillId="0" borderId="0" applyBorder="0"/>
    <xf numFmtId="185" fontId="129" fillId="0" borderId="0" applyBorder="0"/>
    <xf numFmtId="213" fontId="129" fillId="0" borderId="0" applyBorder="0"/>
    <xf numFmtId="39" fontId="129" fillId="0" borderId="0" applyBorder="0"/>
    <xf numFmtId="214" fontId="129" fillId="0" borderId="0" applyBorder="0"/>
    <xf numFmtId="0" fontId="130" fillId="0" borderId="37" applyNumberFormat="0" applyFont="0" applyFill="0" applyAlignment="0" applyProtection="0"/>
    <xf numFmtId="217" fontId="11" fillId="0" borderId="0" applyFont="0" applyFill="0" applyBorder="0" applyAlignment="0" applyProtection="0"/>
    <xf numFmtId="218" fontId="11" fillId="0" borderId="0" applyFont="0" applyFill="0" applyBorder="0" applyAlignment="0" applyProtection="0"/>
    <xf numFmtId="219" fontId="11" fillId="0" borderId="0" applyFont="0" applyFill="0" applyBorder="0" applyAlignment="0" applyProtection="0"/>
    <xf numFmtId="220" fontId="11" fillId="0" borderId="0" applyFont="0" applyFill="0" applyBorder="0" applyAlignment="0" applyProtection="0"/>
    <xf numFmtId="221" fontId="11" fillId="0" borderId="0" applyFont="0" applyFill="0" applyBorder="0" applyAlignment="0" applyProtection="0"/>
    <xf numFmtId="0" fontId="11" fillId="0" borderId="0"/>
    <xf numFmtId="222" fontId="11" fillId="0" borderId="0" applyFont="0" applyFill="0" applyBorder="0" applyAlignment="0" applyProtection="0"/>
    <xf numFmtId="223" fontId="98" fillId="67" borderId="0" applyFont="0" applyFill="0" applyBorder="0" applyAlignment="0" applyProtection="0"/>
    <xf numFmtId="224" fontId="98" fillId="67" borderId="0" applyFont="0" applyFill="0" applyBorder="0" applyAlignment="0" applyProtection="0"/>
    <xf numFmtId="225" fontId="11" fillId="0" borderId="0" applyFont="0" applyFill="0" applyBorder="0" applyAlignment="0" applyProtection="0"/>
    <xf numFmtId="226" fontId="121" fillId="0" borderId="0" applyFont="0" applyFill="0" applyBorder="0" applyAlignment="0" applyProtection="0"/>
    <xf numFmtId="227" fontId="39" fillId="0" borderId="0" applyFont="0" applyFill="0" applyBorder="0" applyAlignment="0" applyProtection="0"/>
    <xf numFmtId="228" fontId="11" fillId="0" borderId="0" applyFont="0" applyFill="0" applyBorder="0" applyAlignment="0" applyProtection="0"/>
    <xf numFmtId="229" fontId="121" fillId="0" borderId="0" applyFont="0" applyFill="0" applyBorder="0" applyAlignment="0" applyProtection="0"/>
    <xf numFmtId="230" fontId="39" fillId="0" borderId="0" applyFont="0" applyFill="0" applyBorder="0" applyAlignment="0" applyProtection="0"/>
    <xf numFmtId="231" fontId="121" fillId="0" borderId="0" applyFont="0" applyFill="0" applyBorder="0" applyAlignment="0" applyProtection="0"/>
    <xf numFmtId="232" fontId="39" fillId="0" borderId="0" applyFont="0" applyFill="0" applyBorder="0" applyAlignment="0" applyProtection="0"/>
    <xf numFmtId="233" fontId="121" fillId="0" borderId="0" applyFont="0" applyFill="0" applyBorder="0" applyAlignment="0" applyProtection="0"/>
    <xf numFmtId="234" fontId="39" fillId="0" borderId="0" applyFont="0" applyFill="0" applyBorder="0" applyAlignment="0" applyProtection="0"/>
    <xf numFmtId="235" fontId="122" fillId="0" borderId="0" applyFont="0" applyFill="0" applyBorder="0" applyAlignment="0" applyProtection="0">
      <protection locked="0"/>
    </xf>
    <xf numFmtId="236" fontId="39" fillId="0" borderId="0" applyFont="0" applyFill="0" applyBorder="0" applyAlignment="0" applyProtection="0"/>
    <xf numFmtId="9" fontId="11" fillId="0" borderId="0" applyFont="0" applyFill="0" applyBorder="0" applyAlignment="0" applyProtection="0"/>
    <xf numFmtId="9" fontId="31" fillId="0" borderId="0" applyFont="0" applyFill="0" applyBorder="0" applyAlignment="0" applyProtection="0"/>
    <xf numFmtId="9" fontId="93" fillId="0" borderId="0" applyFont="0" applyFill="0" applyBorder="0" applyAlignment="0" applyProtection="0"/>
    <xf numFmtId="9" fontId="9" fillId="0" borderId="0" applyFont="0" applyFill="0" applyBorder="0" applyAlignment="0" applyProtection="0"/>
    <xf numFmtId="9" fontId="125" fillId="0" borderId="0" applyBorder="0"/>
    <xf numFmtId="237" fontId="125" fillId="0" borderId="0" applyBorder="0"/>
    <xf numFmtId="10" fontId="125" fillId="0" borderId="0" applyBorder="0"/>
    <xf numFmtId="3" fontId="11" fillId="0" borderId="0">
      <alignment horizontal="left" vertical="top"/>
    </xf>
    <xf numFmtId="3" fontId="11" fillId="0" borderId="0">
      <alignment horizontal="right" vertical="top"/>
    </xf>
    <xf numFmtId="0" fontId="11" fillId="0" borderId="0" applyFill="0">
      <alignment horizontal="left" indent="4"/>
    </xf>
    <xf numFmtId="0" fontId="130" fillId="0" borderId="38" applyNumberFormat="0" applyFont="0" applyFill="0" applyAlignment="0" applyProtection="0"/>
    <xf numFmtId="0" fontId="131" fillId="0" borderId="0" applyNumberFormat="0" applyFill="0" applyBorder="0" applyAlignment="0" applyProtection="0"/>
    <xf numFmtId="0" fontId="132" fillId="0" borderId="0"/>
    <xf numFmtId="0" fontId="42" fillId="68" borderId="0"/>
    <xf numFmtId="0" fontId="11" fillId="56" borderId="35" applyNumberFormat="0" applyFont="0" applyAlignment="0"/>
    <xf numFmtId="0" fontId="130" fillId="66" borderId="0" applyNumberFormat="0" applyFont="0" applyBorder="0" applyAlignment="0" applyProtection="0"/>
    <xf numFmtId="223" fontId="133" fillId="0" borderId="15" applyNumberFormat="0" applyFont="0" applyFill="0" applyAlignment="0" applyProtection="0"/>
    <xf numFmtId="0" fontId="134" fillId="0" borderId="0" applyFill="0" applyBorder="0" applyProtection="0">
      <alignment horizontal="left" vertical="top"/>
    </xf>
    <xf numFmtId="0" fontId="11" fillId="0" borderId="4" applyNumberFormat="0" applyFont="0" applyFill="0" applyAlignment="0" applyProtection="0"/>
    <xf numFmtId="0" fontId="135" fillId="0" borderId="0" applyNumberFormat="0" applyFill="0" applyBorder="0" applyAlignment="0" applyProtection="0"/>
    <xf numFmtId="238" fontId="39" fillId="0" borderId="0" applyFont="0" applyFill="0" applyBorder="0" applyAlignment="0" applyProtection="0"/>
    <xf numFmtId="239" fontId="39" fillId="0" borderId="0" applyFont="0" applyFill="0" applyBorder="0" applyAlignment="0" applyProtection="0"/>
    <xf numFmtId="240" fontId="39" fillId="0" borderId="0" applyFont="0" applyFill="0" applyBorder="0" applyAlignment="0" applyProtection="0"/>
    <xf numFmtId="241" fontId="39" fillId="0" borderId="0" applyFont="0" applyFill="0" applyBorder="0" applyAlignment="0" applyProtection="0"/>
    <xf numFmtId="242" fontId="39" fillId="0" borderId="0" applyFont="0" applyFill="0" applyBorder="0" applyAlignment="0" applyProtection="0"/>
    <xf numFmtId="243" fontId="39" fillId="0" borderId="0" applyFont="0" applyFill="0" applyBorder="0" applyAlignment="0" applyProtection="0"/>
    <xf numFmtId="244" fontId="39" fillId="0" borderId="0" applyFont="0" applyFill="0" applyBorder="0" applyAlignment="0" applyProtection="0"/>
    <xf numFmtId="245" fontId="39" fillId="0" borderId="0" applyFont="0" applyFill="0" applyBorder="0" applyAlignment="0" applyProtection="0"/>
    <xf numFmtId="246" fontId="136" fillId="66" borderId="39" applyFont="0" applyFill="0" applyBorder="0" applyAlignment="0" applyProtection="0"/>
    <xf numFmtId="246" fontId="31" fillId="0" borderId="0" applyFont="0" applyFill="0" applyBorder="0" applyAlignment="0" applyProtection="0"/>
    <xf numFmtId="247" fontId="119" fillId="0" borderId="0" applyFont="0" applyFill="0" applyBorder="0" applyAlignment="0" applyProtection="0"/>
    <xf numFmtId="248" fontId="123" fillId="0" borderId="15" applyFont="0" applyFill="0" applyBorder="0" applyAlignment="0" applyProtection="0">
      <alignment horizontal="right"/>
      <protection locked="0"/>
    </xf>
    <xf numFmtId="0" fontId="56" fillId="0" borderId="0">
      <alignment vertical="top"/>
    </xf>
    <xf numFmtId="0" fontId="137" fillId="0" borderId="0"/>
    <xf numFmtId="0" fontId="11" fillId="0" borderId="0" applyNumberFormat="0" applyFill="0" applyBorder="0" applyAlignment="0" applyProtection="0"/>
    <xf numFmtId="0" fontId="11" fillId="0" borderId="0" applyNumberFormat="0" applyFill="0" applyBorder="0" applyAlignment="0" applyProtection="0"/>
    <xf numFmtId="175" fontId="31" fillId="53" borderId="16">
      <alignment horizontal="center" vertical="center"/>
    </xf>
    <xf numFmtId="0" fontId="138" fillId="0" borderId="0" applyNumberFormat="0" applyFont="0" applyFill="0" applyBorder="0" applyProtection="0">
      <alignment vertical="top" wrapText="1"/>
    </xf>
    <xf numFmtId="0" fontId="76" fillId="2" borderId="0" applyNumberFormat="0" applyFont="0" applyAlignment="0">
      <alignment vertical="top"/>
    </xf>
    <xf numFmtId="0" fontId="11" fillId="2" borderId="0" applyNumberFormat="0" applyFont="0" applyAlignment="0">
      <alignment vertical="top" wrapText="1"/>
    </xf>
    <xf numFmtId="249" fontId="134" fillId="0" borderId="37" applyNumberFormat="0" applyFill="0" applyBorder="0" applyAlignment="0" applyProtection="0">
      <alignment horizontal="center"/>
    </xf>
    <xf numFmtId="0" fontId="139" fillId="0" borderId="0"/>
    <xf numFmtId="250" fontId="140" fillId="0" borderId="0">
      <alignment horizontal="center" wrapText="1"/>
    </xf>
    <xf numFmtId="251" fontId="141" fillId="0" borderId="0" applyFont="0" applyFill="0" applyBorder="0" applyAlignment="0" applyProtection="0">
      <alignment vertical="center"/>
    </xf>
    <xf numFmtId="4" fontId="142" fillId="0" borderId="4" applyFont="0" applyFill="0" applyBorder="0" applyAlignment="0">
      <alignment horizontal="center"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8" fontId="40" fillId="0" borderId="0">
      <alignment horizontal="right"/>
    </xf>
    <xf numFmtId="252" fontId="138" fillId="0" borderId="0" applyFont="0" applyFill="0" applyBorder="0" applyAlignment="0" applyProtection="0"/>
    <xf numFmtId="0" fontId="143" fillId="0" borderId="0"/>
    <xf numFmtId="253" fontId="144" fillId="0" borderId="0">
      <protection locked="0"/>
    </xf>
    <xf numFmtId="171" fontId="31" fillId="0" borderId="0" applyFont="0" applyFill="0" applyBorder="0" applyAlignment="0" applyProtection="0"/>
    <xf numFmtId="171" fontId="31" fillId="0" borderId="0" applyFont="0" applyFill="0" applyBorder="0" applyAlignment="0" applyProtection="0"/>
    <xf numFmtId="4" fontId="31" fillId="0" borderId="0" applyFont="0" applyFill="0" applyBorder="0" applyAlignment="0" applyProtection="0"/>
    <xf numFmtId="4" fontId="31" fillId="0" borderId="0" applyFont="0" applyFill="0" applyBorder="0" applyAlignment="0" applyProtection="0"/>
    <xf numFmtId="4" fontId="136" fillId="0" borderId="0"/>
    <xf numFmtId="254" fontId="29" fillId="0" borderId="0">
      <protection locked="0"/>
    </xf>
    <xf numFmtId="44" fontId="141" fillId="0" borderId="0" applyFont="0" applyFill="0" applyBorder="0" applyAlignment="0" applyProtection="0"/>
    <xf numFmtId="255" fontId="14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256" fontId="11" fillId="0" borderId="0" applyFont="0" applyFill="0" applyBorder="0" applyAlignment="0" applyProtection="0">
      <alignment wrapText="1"/>
    </xf>
    <xf numFmtId="256" fontId="11" fillId="0" borderId="0" applyFont="0" applyFill="0" applyBorder="0" applyAlignment="0" applyProtection="0">
      <alignment wrapText="1"/>
    </xf>
    <xf numFmtId="16" fontId="40" fillId="0" borderId="0">
      <alignment horizontal="right"/>
    </xf>
    <xf numFmtId="15" fontId="40" fillId="0" borderId="0">
      <alignment horizontal="right"/>
    </xf>
    <xf numFmtId="257" fontId="10" fillId="0" borderId="0"/>
    <xf numFmtId="182" fontId="11" fillId="0" borderId="0">
      <protection locked="0"/>
    </xf>
    <xf numFmtId="182" fontId="11" fillId="0" borderId="0">
      <protection locked="0"/>
    </xf>
    <xf numFmtId="0" fontId="145" fillId="0" borderId="0" applyNumberFormat="0" applyFill="0" applyBorder="0" applyAlignment="0" applyProtection="0"/>
    <xf numFmtId="38" fontId="40" fillId="56" borderId="0" applyNumberFormat="0" applyBorder="0" applyAlignment="0" applyProtection="0"/>
    <xf numFmtId="183" fontId="11" fillId="0" borderId="0">
      <protection locked="0"/>
    </xf>
    <xf numFmtId="183" fontId="11" fillId="0" borderId="0">
      <protection locked="0"/>
    </xf>
    <xf numFmtId="183" fontId="11" fillId="0" borderId="0">
      <protection locked="0"/>
    </xf>
    <xf numFmtId="183" fontId="11" fillId="0" borderId="0">
      <protection locked="0"/>
    </xf>
    <xf numFmtId="10" fontId="40" fillId="57" borderId="17" applyNumberFormat="0" applyBorder="0" applyAlignment="0" applyProtection="0"/>
    <xf numFmtId="258" fontId="29" fillId="0" borderId="0">
      <alignment horizontal="center"/>
      <protection locked="0"/>
    </xf>
    <xf numFmtId="259" fontId="11" fillId="0" borderId="0" applyFont="0" applyFill="0" applyBorder="0" applyAlignment="0" applyProtection="0"/>
    <xf numFmtId="260" fontId="11" fillId="0" borderId="0" applyFont="0" applyFill="0" applyBorder="0" applyAlignment="0" applyProtection="0"/>
    <xf numFmtId="261" fontId="31" fillId="0" borderId="0"/>
    <xf numFmtId="37" fontId="146" fillId="0" borderId="0"/>
    <xf numFmtId="0" fontId="11" fillId="0" borderId="0"/>
    <xf numFmtId="0" fontId="9" fillId="0" borderId="0"/>
    <xf numFmtId="0" fontId="9" fillId="0" borderId="0"/>
    <xf numFmtId="0" fontId="9" fillId="0" borderId="0"/>
    <xf numFmtId="0" fontId="9" fillId="0" borderId="0"/>
    <xf numFmtId="0" fontId="9" fillId="0" borderId="0"/>
    <xf numFmtId="0" fontId="11" fillId="0" borderId="0"/>
    <xf numFmtId="0" fontId="11" fillId="0" borderId="0"/>
    <xf numFmtId="0" fontId="11" fillId="0" borderId="0"/>
    <xf numFmtId="0" fontId="11" fillId="0" borderId="0"/>
    <xf numFmtId="0" fontId="11" fillId="0" borderId="0"/>
    <xf numFmtId="0" fontId="56"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3" fillId="0" borderId="0"/>
    <xf numFmtId="262" fontId="11" fillId="0" borderId="0"/>
    <xf numFmtId="262" fontId="11" fillId="0" borderId="0"/>
    <xf numFmtId="263" fontId="14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48" fillId="0" borderId="40"/>
    <xf numFmtId="174" fontId="136" fillId="0" borderId="0"/>
    <xf numFmtId="3" fontId="47" fillId="0" borderId="41" applyBorder="0">
      <alignment horizontal="right" wrapText="1"/>
    </xf>
    <xf numFmtId="4" fontId="47" fillId="0" borderId="42" applyBorder="0">
      <alignment horizontal="right" wrapText="1"/>
    </xf>
    <xf numFmtId="0" fontId="11" fillId="69" borderId="28" applyNumberFormat="0" applyProtection="0">
      <alignment horizontal="left" vertical="center" indent="1"/>
    </xf>
    <xf numFmtId="4" fontId="56" fillId="70" borderId="28" applyNumberFormat="0" applyProtection="0">
      <alignment horizontal="right" vertical="center"/>
    </xf>
    <xf numFmtId="0" fontId="11" fillId="69" borderId="28" applyNumberFormat="0" applyProtection="0">
      <alignment horizontal="left" vertical="center" indent="1"/>
    </xf>
    <xf numFmtId="0" fontId="11" fillId="69" borderId="28" applyNumberFormat="0" applyProtection="0">
      <alignment horizontal="left" vertical="center" indent="1"/>
    </xf>
    <xf numFmtId="0" fontId="138" fillId="71" borderId="0" applyNumberFormat="0" applyFont="0" applyBorder="0" applyAlignment="0" applyProtection="0"/>
    <xf numFmtId="0" fontId="138" fillId="61" borderId="0" applyNumberFormat="0" applyFont="0" applyBorder="0" applyAlignment="0" applyProtection="0"/>
    <xf numFmtId="0" fontId="138" fillId="1" borderId="0" applyNumberFormat="0" applyFont="0" applyBorder="0" applyAlignment="0" applyProtection="0"/>
    <xf numFmtId="264" fontId="138" fillId="0" borderId="0" applyFont="0" applyFill="0" applyBorder="0" applyAlignment="0" applyProtection="0"/>
    <xf numFmtId="265" fontId="138" fillId="0" borderId="0" applyFont="0" applyFill="0" applyBorder="0" applyAlignment="0" applyProtection="0"/>
    <xf numFmtId="266" fontId="138" fillId="0" borderId="0" applyFont="0" applyFill="0" applyBorder="0" applyAlignment="0" applyProtection="0"/>
    <xf numFmtId="0" fontId="76" fillId="72" borderId="43" applyNumberFormat="0" applyProtection="0">
      <alignment horizontal="center" wrapText="1"/>
    </xf>
    <xf numFmtId="0" fontId="76" fillId="72" borderId="43" applyNumberFormat="0" applyProtection="0">
      <alignment horizontal="center" wrapText="1"/>
    </xf>
    <xf numFmtId="0" fontId="76" fillId="72" borderId="44" applyNumberFormat="0" applyAlignment="0" applyProtection="0">
      <alignment wrapText="1"/>
    </xf>
    <xf numFmtId="0" fontId="76" fillId="72" borderId="44" applyNumberFormat="0" applyAlignment="0" applyProtection="0">
      <alignment wrapText="1"/>
    </xf>
    <xf numFmtId="0" fontId="11" fillId="73" borderId="0" applyNumberFormat="0" applyBorder="0">
      <alignment horizontal="center" wrapText="1"/>
    </xf>
    <xf numFmtId="0" fontId="11" fillId="73" borderId="0" applyNumberFormat="0" applyBorder="0">
      <alignment horizontal="center" wrapText="1"/>
    </xf>
    <xf numFmtId="0" fontId="11" fillId="73" borderId="0" applyNumberFormat="0" applyBorder="0">
      <alignment wrapText="1"/>
    </xf>
    <xf numFmtId="0" fontId="11" fillId="73" borderId="0" applyNumberFormat="0" applyBorder="0">
      <alignment wrapText="1"/>
    </xf>
    <xf numFmtId="0" fontId="11" fillId="0" borderId="0" applyNumberFormat="0" applyFill="0" applyBorder="0" applyProtection="0">
      <alignment horizontal="right" wrapText="1"/>
    </xf>
    <xf numFmtId="0" fontId="11" fillId="0" borderId="0" applyNumberFormat="0" applyFill="0" applyBorder="0" applyProtection="0">
      <alignment horizontal="right" wrapText="1"/>
    </xf>
    <xf numFmtId="267" fontId="11" fillId="0" borderId="0" applyFill="0" applyBorder="0" applyAlignment="0" applyProtection="0">
      <alignment wrapText="1"/>
    </xf>
    <xf numFmtId="267" fontId="11" fillId="0" borderId="0" applyFill="0" applyBorder="0" applyAlignment="0" applyProtection="0">
      <alignment wrapText="1"/>
    </xf>
    <xf numFmtId="192" fontId="11" fillId="0" borderId="0" applyFill="0" applyBorder="0" applyAlignment="0" applyProtection="0">
      <alignment wrapText="1"/>
    </xf>
    <xf numFmtId="268" fontId="11" fillId="0" borderId="0" applyFill="0" applyBorder="0" applyAlignment="0" applyProtection="0">
      <alignment wrapText="1"/>
    </xf>
    <xf numFmtId="0" fontId="11" fillId="0" borderId="0" applyNumberFormat="0" applyFill="0" applyBorder="0" applyProtection="0">
      <alignment horizontal="right" wrapText="1"/>
    </xf>
    <xf numFmtId="0" fontId="11" fillId="0" borderId="0" applyNumberFormat="0" applyFill="0" applyBorder="0" applyProtection="0">
      <alignment horizontal="right" wrapText="1"/>
    </xf>
    <xf numFmtId="0" fontId="11" fillId="0" borderId="0" applyNumberFormat="0" applyFill="0" applyBorder="0">
      <alignment horizontal="right" wrapText="1"/>
    </xf>
    <xf numFmtId="0" fontId="11" fillId="0" borderId="0" applyNumberFormat="0" applyFill="0" applyBorder="0">
      <alignment horizontal="right" wrapText="1"/>
    </xf>
    <xf numFmtId="17" fontId="11" fillId="0" borderId="0" applyFill="0" applyBorder="0">
      <alignment horizontal="right" wrapText="1"/>
    </xf>
    <xf numFmtId="17" fontId="11" fillId="0" borderId="0" applyFill="0" applyBorder="0">
      <alignment horizontal="right" wrapText="1"/>
    </xf>
    <xf numFmtId="8" fontId="11" fillId="0" borderId="0" applyFill="0" applyBorder="0" applyAlignment="0" applyProtection="0">
      <alignment wrapText="1"/>
    </xf>
    <xf numFmtId="8" fontId="11" fillId="0" borderId="0" applyFill="0" applyBorder="0" applyAlignment="0" applyProtection="0">
      <alignment wrapText="1"/>
    </xf>
    <xf numFmtId="0" fontId="30" fillId="0" borderId="0" applyNumberFormat="0" applyFill="0" applyBorder="0">
      <alignment horizontal="left" wrapText="1"/>
    </xf>
    <xf numFmtId="0" fontId="30" fillId="0" borderId="0" applyNumberFormat="0" applyFill="0" applyBorder="0">
      <alignment horizontal="left" wrapText="1"/>
    </xf>
    <xf numFmtId="0" fontId="76" fillId="0" borderId="0" applyNumberFormat="0" applyFill="0" applyBorder="0">
      <alignment horizontal="center" wrapText="1"/>
    </xf>
    <xf numFmtId="0" fontId="76" fillId="0" borderId="0" applyNumberFormat="0" applyFill="0" applyBorder="0">
      <alignment horizontal="center" wrapText="1"/>
    </xf>
    <xf numFmtId="0" fontId="76" fillId="0" borderId="0" applyNumberFormat="0" applyFill="0" applyBorder="0">
      <alignment horizontal="center" wrapText="1"/>
    </xf>
    <xf numFmtId="0" fontId="76" fillId="0" borderId="0" applyNumberFormat="0" applyFill="0" applyBorder="0">
      <alignment horizontal="center" wrapText="1"/>
    </xf>
    <xf numFmtId="0" fontId="149" fillId="0" borderId="45"/>
    <xf numFmtId="0" fontId="150" fillId="0" borderId="0">
      <alignment horizontal="centerContinuous" vertical="center" wrapText="1"/>
    </xf>
    <xf numFmtId="0" fontId="138" fillId="0" borderId="0" applyNumberFormat="0" applyFont="0" applyFill="0" applyBorder="0" applyProtection="0">
      <alignment horizontal="center" wrapText="1"/>
    </xf>
    <xf numFmtId="0" fontId="138" fillId="0" borderId="0" applyNumberFormat="0" applyFont="0" applyFill="0" applyBorder="0" applyProtection="0">
      <alignment horizontal="centerContinuous" vertical="center" wrapText="1"/>
    </xf>
    <xf numFmtId="0" fontId="11" fillId="0" borderId="0"/>
    <xf numFmtId="0" fontId="11" fillId="0" borderId="0"/>
    <xf numFmtId="269" fontId="11" fillId="0" borderId="0">
      <alignment wrapText="1"/>
    </xf>
    <xf numFmtId="269" fontId="11" fillId="0" borderId="0">
      <alignment wrapText="1"/>
    </xf>
    <xf numFmtId="270" fontId="11" fillId="0" borderId="0">
      <alignment wrapText="1"/>
    </xf>
    <xf numFmtId="270" fontId="11" fillId="0" borderId="0">
      <alignment wrapText="1"/>
    </xf>
    <xf numFmtId="37" fontId="40" fillId="2" borderId="0" applyNumberFormat="0" applyBorder="0" applyAlignment="0" applyProtection="0"/>
    <xf numFmtId="37" fontId="40" fillId="0" borderId="0"/>
    <xf numFmtId="0" fontId="151" fillId="0" borderId="0"/>
    <xf numFmtId="0" fontId="138" fillId="0" borderId="0" applyNumberFormat="0" applyFont="0" applyFill="0" applyBorder="0" applyProtection="0"/>
    <xf numFmtId="0" fontId="138" fillId="0" borderId="0" applyNumberFormat="0" applyFont="0" applyFill="0" applyBorder="0" applyProtection="0">
      <alignment vertical="center"/>
    </xf>
    <xf numFmtId="0" fontId="138" fillId="0" borderId="0" applyNumberFormat="0" applyFont="0" applyFill="0" applyBorder="0" applyProtection="0">
      <alignment vertical="top"/>
    </xf>
    <xf numFmtId="0" fontId="138" fillId="0" borderId="0" applyNumberFormat="0" applyFont="0" applyFill="0" applyBorder="0" applyProtection="0">
      <alignment wrapText="1"/>
    </xf>
    <xf numFmtId="0" fontId="152" fillId="0" borderId="0"/>
    <xf numFmtId="0" fontId="152" fillId="0" borderId="0"/>
    <xf numFmtId="43" fontId="152" fillId="0" borderId="0" applyFont="0" applyFill="0" applyBorder="0" applyAlignment="0" applyProtection="0"/>
    <xf numFmtId="0" fontId="147" fillId="0" borderId="0"/>
    <xf numFmtId="172" fontId="153" fillId="0" borderId="0" applyNumberFormat="0" applyFill="0" applyBorder="0" applyAlignment="0" applyProtection="0"/>
    <xf numFmtId="9" fontId="8" fillId="0" borderId="0" applyFont="0" applyFill="0" applyBorder="0" applyAlignment="0" applyProtection="0"/>
    <xf numFmtId="0" fontId="11" fillId="0" borderId="0"/>
    <xf numFmtId="43" fontId="11" fillId="0" borderId="0" applyFont="0" applyFill="0" applyBorder="0" applyAlignment="0" applyProtection="0"/>
    <xf numFmtId="272" fontId="154" fillId="0" borderId="0" applyFont="0" applyFill="0" applyBorder="0" applyAlignment="0" applyProtection="0"/>
    <xf numFmtId="273" fontId="154" fillId="0" borderId="0" applyFont="0" applyFill="0" applyBorder="0" applyAlignment="0" applyProtection="0"/>
    <xf numFmtId="274" fontId="154" fillId="0" borderId="0" applyFont="0" applyFill="0" applyBorder="0" applyAlignment="0" applyProtection="0"/>
    <xf numFmtId="275" fontId="154" fillId="0" borderId="0" applyFont="0" applyFill="0" applyBorder="0" applyAlignment="0" applyProtection="0"/>
    <xf numFmtId="276" fontId="154" fillId="0" borderId="0" applyFont="0" applyFill="0" applyBorder="0" applyAlignment="0" applyProtection="0"/>
    <xf numFmtId="277" fontId="154" fillId="0" borderId="0" applyFont="0" applyFill="0" applyBorder="0" applyAlignment="0" applyProtection="0"/>
    <xf numFmtId="0" fontId="98" fillId="0" borderId="0"/>
    <xf numFmtId="278" fontId="154" fillId="0" borderId="0" applyFont="0" applyFill="0" applyBorder="0" applyProtection="0">
      <alignment horizontal="left"/>
    </xf>
    <xf numFmtId="279" fontId="154" fillId="0" borderId="0" applyFont="0" applyFill="0" applyBorder="0" applyProtection="0">
      <alignment horizontal="left"/>
    </xf>
    <xf numFmtId="280" fontId="154" fillId="0" borderId="0" applyFont="0" applyFill="0" applyBorder="0" applyProtection="0">
      <alignment horizontal="left"/>
    </xf>
    <xf numFmtId="0" fontId="117" fillId="0" borderId="0"/>
    <xf numFmtId="0" fontId="11"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81" fontId="15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6" fillId="0" borderId="0" applyFont="0" applyFill="0" applyBorder="0" applyAlignment="0" applyProtection="0"/>
    <xf numFmtId="37" fontId="73" fillId="0" borderId="0" applyFill="0" applyBorder="0" applyAlignment="0" applyProtection="0"/>
    <xf numFmtId="282" fontId="154" fillId="0" borderId="0" applyFont="0" applyFill="0" applyBorder="0" applyAlignment="0" applyProtection="0"/>
    <xf numFmtId="283" fontId="154" fillId="0" borderId="0" applyFont="0" applyFill="0" applyBorder="0" applyAlignment="0" applyProtection="0"/>
    <xf numFmtId="5" fontId="73" fillId="0" borderId="0" applyFill="0" applyBorder="0" applyAlignment="0" applyProtection="0"/>
    <xf numFmtId="284" fontId="154" fillId="0" borderId="0" applyFont="0" applyFill="0" applyBorder="0" applyProtection="0"/>
    <xf numFmtId="285" fontId="154" fillId="0" borderId="0" applyFont="0" applyFill="0" applyBorder="0" applyProtection="0"/>
    <xf numFmtId="286" fontId="154" fillId="0" borderId="0" applyFont="0" applyFill="0" applyBorder="0" applyAlignment="0" applyProtection="0"/>
    <xf numFmtId="287" fontId="154" fillId="0" borderId="0" applyFont="0" applyFill="0" applyBorder="0" applyAlignment="0" applyProtection="0"/>
    <xf numFmtId="288" fontId="154" fillId="0" borderId="0" applyFont="0" applyFill="0" applyBorder="0" applyAlignment="0" applyProtection="0"/>
    <xf numFmtId="289" fontId="130" fillId="0" borderId="0" applyFont="0" applyFill="0" applyBorder="0" applyAlignment="0" applyProtection="0"/>
    <xf numFmtId="0" fontId="155" fillId="0" borderId="0"/>
    <xf numFmtId="0" fontId="154" fillId="0" borderId="0" applyFont="0" applyFill="0" applyBorder="0" applyProtection="0">
      <alignment horizontal="center" wrapText="1"/>
    </xf>
    <xf numFmtId="290" fontId="154" fillId="0" borderId="0" applyFont="0" applyFill="0" applyBorder="0" applyProtection="0">
      <alignment horizontal="right"/>
    </xf>
    <xf numFmtId="291" fontId="154" fillId="0" borderId="0" applyFont="0" applyFill="0" applyBorder="0" applyProtection="0">
      <alignment horizontal="left"/>
    </xf>
    <xf numFmtId="292" fontId="154" fillId="0" borderId="0" applyFont="0" applyFill="0" applyBorder="0" applyProtection="0">
      <alignment horizontal="left"/>
    </xf>
    <xf numFmtId="293" fontId="154" fillId="0" borderId="0" applyFont="0" applyFill="0" applyBorder="0" applyProtection="0">
      <alignment horizontal="left"/>
    </xf>
    <xf numFmtId="294" fontId="154" fillId="0" borderId="0" applyFont="0" applyFill="0" applyBorder="0" applyProtection="0">
      <alignment horizontal="left"/>
    </xf>
    <xf numFmtId="0" fontId="156" fillId="0" borderId="0"/>
    <xf numFmtId="0" fontId="11" fillId="0" borderId="0" applyFont="0" applyFill="0" applyBorder="0" applyAlignment="0" applyProtection="0">
      <alignment horizontal="right"/>
    </xf>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 fillId="0" borderId="0" applyProtection="0"/>
    <xf numFmtId="172" fontId="12" fillId="0" borderId="0" applyProtection="0"/>
    <xf numFmtId="172" fontId="12" fillId="0" borderId="0" applyProtection="0"/>
    <xf numFmtId="0" fontId="11" fillId="0" borderId="0"/>
    <xf numFmtId="0" fontId="10" fillId="75" borderId="0" applyNumberFormat="0" applyFont="0" applyBorder="0" applyAlignment="0"/>
    <xf numFmtId="295" fontId="157" fillId="0" borderId="0"/>
    <xf numFmtId="222" fontId="11" fillId="0" borderId="0" applyFont="0" applyFill="0" applyBorder="0" applyAlignment="0" applyProtection="0"/>
    <xf numFmtId="222" fontId="11" fillId="0" borderId="0" applyFont="0" applyFill="0" applyBorder="0" applyAlignment="0" applyProtection="0"/>
    <xf numFmtId="222" fontId="11" fillId="0" borderId="0" applyFont="0" applyFill="0" applyBorder="0" applyAlignment="0" applyProtection="0"/>
    <xf numFmtId="296" fontId="11" fillId="0" borderId="0"/>
    <xf numFmtId="297" fontId="31" fillId="0" borderId="0"/>
    <xf numFmtId="297" fontId="31" fillId="0" borderId="0"/>
    <xf numFmtId="295" fontId="157" fillId="0" borderId="0"/>
    <xf numFmtId="0" fontId="31" fillId="0" borderId="0"/>
    <xf numFmtId="295" fontId="73" fillId="0" borderId="0"/>
    <xf numFmtId="296" fontId="11" fillId="0" borderId="0"/>
    <xf numFmtId="297" fontId="31" fillId="0" borderId="0"/>
    <xf numFmtId="297" fontId="31" fillId="0" borderId="0"/>
    <xf numFmtId="0" fontId="31" fillId="0" borderId="0"/>
    <xf numFmtId="0" fontId="31" fillId="0" borderId="0"/>
    <xf numFmtId="298" fontId="31" fillId="0" borderId="0"/>
    <xf numFmtId="170" fontId="31" fillId="0" borderId="0"/>
    <xf numFmtId="299" fontId="31" fillId="0" borderId="0"/>
    <xf numFmtId="298" fontId="31" fillId="0" borderId="0"/>
    <xf numFmtId="170" fontId="31" fillId="0" borderId="0"/>
    <xf numFmtId="268" fontId="31" fillId="0" borderId="0"/>
    <xf numFmtId="268" fontId="31" fillId="0" borderId="0"/>
    <xf numFmtId="300" fontId="31" fillId="0" borderId="0"/>
    <xf numFmtId="299" fontId="31" fillId="0" borderId="0"/>
    <xf numFmtId="169" fontId="31" fillId="0" borderId="0"/>
    <xf numFmtId="300" fontId="31" fillId="0" borderId="0"/>
    <xf numFmtId="300" fontId="31" fillId="0" borderId="0"/>
    <xf numFmtId="0" fontId="31" fillId="0" borderId="0"/>
    <xf numFmtId="222" fontId="11" fillId="0" borderId="0" applyFont="0" applyFill="0" applyBorder="0" applyAlignment="0" applyProtection="0"/>
    <xf numFmtId="222" fontId="11" fillId="0" borderId="0" applyFont="0" applyFill="0" applyBorder="0" applyAlignment="0" applyProtection="0"/>
    <xf numFmtId="222" fontId="11" fillId="0" borderId="0" applyFont="0" applyFill="0" applyBorder="0" applyAlignment="0" applyProtection="0"/>
    <xf numFmtId="295" fontId="157" fillId="0" borderId="0"/>
    <xf numFmtId="295" fontId="157" fillId="0" borderId="0"/>
    <xf numFmtId="222" fontId="11" fillId="0" borderId="0" applyFont="0" applyFill="0" applyBorder="0" applyAlignment="0" applyProtection="0"/>
    <xf numFmtId="295" fontId="157" fillId="0" borderId="0"/>
    <xf numFmtId="295" fontId="157" fillId="0" borderId="0"/>
    <xf numFmtId="298" fontId="31" fillId="0" borderId="0"/>
    <xf numFmtId="170" fontId="31" fillId="0" borderId="0"/>
    <xf numFmtId="299" fontId="31" fillId="0" borderId="0"/>
    <xf numFmtId="298" fontId="31" fillId="0" borderId="0"/>
    <xf numFmtId="170" fontId="31" fillId="0" borderId="0"/>
    <xf numFmtId="268" fontId="31" fillId="0" borderId="0"/>
    <xf numFmtId="268" fontId="31" fillId="0" borderId="0"/>
    <xf numFmtId="300" fontId="31" fillId="0" borderId="0"/>
    <xf numFmtId="299" fontId="31" fillId="0" borderId="0"/>
    <xf numFmtId="169" fontId="31" fillId="0" borderId="0"/>
    <xf numFmtId="300" fontId="31" fillId="0" borderId="0"/>
    <xf numFmtId="300" fontId="31" fillId="0" borderId="0"/>
    <xf numFmtId="301" fontId="154" fillId="0" borderId="0" applyFont="0" applyFill="0" applyBorder="0" applyAlignment="0" applyProtection="0"/>
    <xf numFmtId="302" fontId="154" fillId="0" borderId="0" applyFont="0" applyFill="0" applyBorder="0" applyAlignment="0" applyProtection="0"/>
    <xf numFmtId="9" fontId="3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194" fontId="73" fillId="0" borderId="0" applyFill="0" applyBorder="0" applyAlignment="0" applyProtection="0"/>
    <xf numFmtId="0" fontId="132" fillId="0" borderId="0"/>
    <xf numFmtId="0" fontId="158" fillId="0" borderId="1">
      <alignment horizontal="right"/>
    </xf>
    <xf numFmtId="303" fontId="123" fillId="0" borderId="0">
      <alignment horizontal="center"/>
    </xf>
    <xf numFmtId="304" fontId="159" fillId="0" borderId="0">
      <alignment horizontal="center"/>
    </xf>
    <xf numFmtId="0" fontId="56" fillId="0" borderId="0" applyNumberFormat="0" applyBorder="0" applyAlignment="0"/>
    <xf numFmtId="0" fontId="160" fillId="0" borderId="0" applyNumberFormat="0" applyBorder="0" applyAlignment="0"/>
    <xf numFmtId="0" fontId="161" fillId="0" borderId="0" applyAlignment="0">
      <alignment horizontal="centerContinuous"/>
    </xf>
    <xf numFmtId="0" fontId="162" fillId="0" borderId="0" applyNumberFormat="0" applyFill="0" applyBorder="0" applyAlignment="0" applyProtection="0">
      <alignment vertical="top"/>
      <protection locked="0"/>
    </xf>
    <xf numFmtId="172" fontId="12" fillId="0" borderId="0" applyProtection="0"/>
    <xf numFmtId="43" fontId="12" fillId="0" borderId="0" applyFont="0" applyFill="0" applyBorder="0" applyAlignment="0" applyProtection="0"/>
    <xf numFmtId="9" fontId="12" fillId="0" borderId="0" applyFont="0" applyFill="0" applyBorder="0" applyAlignment="0" applyProtection="0"/>
    <xf numFmtId="37" fontId="12" fillId="0" borderId="0" applyFont="0" applyFill="0" applyBorder="0" applyAlignment="0" applyProtection="0"/>
    <xf numFmtId="172" fontId="12" fillId="0" borderId="0" applyProtection="0"/>
    <xf numFmtId="172" fontId="12" fillId="0" borderId="0" applyProtection="0"/>
    <xf numFmtId="0" fontId="11" fillId="0" borderId="0"/>
    <xf numFmtId="0" fontId="185" fillId="0" borderId="0"/>
    <xf numFmtId="44" fontId="11" fillId="0" borderId="0" applyFont="0" applyFill="0" applyBorder="0" applyAlignment="0" applyProtection="0"/>
    <xf numFmtId="0" fontId="6" fillId="0" borderId="0"/>
    <xf numFmtId="0" fontId="29" fillId="0" borderId="0">
      <alignment vertical="top"/>
    </xf>
    <xf numFmtId="0" fontId="5" fillId="0" borderId="0"/>
    <xf numFmtId="172" fontId="12" fillId="0" borderId="0" applyProtection="0"/>
    <xf numFmtId="9" fontId="5" fillId="0" borderId="0" applyFont="0" applyFill="0" applyBorder="0" applyAlignment="0" applyProtection="0"/>
    <xf numFmtId="43" fontId="5" fillId="0" borderId="0" applyFont="0" applyFill="0" applyBorder="0" applyAlignment="0" applyProtection="0"/>
    <xf numFmtId="0" fontId="11" fillId="0" borderId="0"/>
    <xf numFmtId="0" fontId="5" fillId="0" borderId="0"/>
    <xf numFmtId="43" fontId="5" fillId="0" borderId="0" applyFont="0" applyFill="0" applyBorder="0" applyAlignment="0" applyProtection="0"/>
    <xf numFmtId="0" fontId="5" fillId="0" borderId="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3"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204" fillId="0" borderId="0"/>
    <xf numFmtId="43" fontId="2" fillId="0" borderId="0" applyFont="0" applyFill="0" applyBorder="0" applyAlignment="0" applyProtection="0"/>
    <xf numFmtId="0" fontId="1" fillId="0" borderId="0"/>
  </cellStyleXfs>
  <cellXfs count="1019">
    <xf numFmtId="172" fontId="0" fillId="0" borderId="0" xfId="0"/>
    <xf numFmtId="0" fontId="163" fillId="0" borderId="0" xfId="0" applyNumberFormat="1" applyFont="1" applyAlignment="1">
      <alignment horizontal="center"/>
    </xf>
    <xf numFmtId="172" fontId="31" fillId="0" borderId="0" xfId="0" applyFont="1"/>
    <xf numFmtId="0" fontId="31" fillId="0" borderId="0" xfId="4598" applyFont="1"/>
    <xf numFmtId="172" fontId="39" fillId="0" borderId="0" xfId="0" applyFont="1"/>
    <xf numFmtId="0" fontId="31" fillId="0" borderId="0" xfId="0" applyNumberFormat="1" applyFont="1" applyAlignment="1">
      <alignment horizontal="center"/>
    </xf>
    <xf numFmtId="172" fontId="31" fillId="0" borderId="0" xfId="0" applyFont="1" applyAlignment="1">
      <alignment horizontal="right"/>
    </xf>
    <xf numFmtId="0" fontId="123" fillId="0" borderId="0" xfId="4598" applyFont="1" applyAlignment="1">
      <alignment horizontal="centerContinuous"/>
    </xf>
    <xf numFmtId="0" fontId="31" fillId="0" borderId="0" xfId="0" applyNumberFormat="1" applyFont="1" applyAlignment="1">
      <alignment horizontal="center" wrapText="1"/>
    </xf>
    <xf numFmtId="0" fontId="123" fillId="0" borderId="0" xfId="4598" applyFont="1" applyAlignment="1">
      <alignment horizontal="center" wrapText="1"/>
    </xf>
    <xf numFmtId="172" fontId="123" fillId="0" borderId="0" xfId="0" applyFont="1" applyAlignment="1">
      <alignment horizontal="center" wrapText="1"/>
    </xf>
    <xf numFmtId="172" fontId="31" fillId="0" borderId="0" xfId="0" applyFont="1" applyAlignment="1">
      <alignment wrapText="1"/>
    </xf>
    <xf numFmtId="0" fontId="123" fillId="0" borderId="0" xfId="4598" applyFont="1" applyAlignment="1">
      <alignment horizontal="center"/>
    </xf>
    <xf numFmtId="0" fontId="123" fillId="0" borderId="0" xfId="4595" applyFont="1" applyAlignment="1">
      <alignment horizontal="center" wrapText="1"/>
    </xf>
    <xf numFmtId="172" fontId="164" fillId="0" borderId="0" xfId="0" applyFont="1"/>
    <xf numFmtId="172" fontId="163" fillId="0" borderId="0" xfId="0" applyFont="1"/>
    <xf numFmtId="0" fontId="31" fillId="0" borderId="0" xfId="4598" applyFont="1" applyAlignment="1">
      <alignment horizontal="left"/>
    </xf>
    <xf numFmtId="0" fontId="31" fillId="0" borderId="0" xfId="4598" quotePrefix="1" applyFont="1" applyAlignment="1">
      <alignment horizontal="left"/>
    </xf>
    <xf numFmtId="41" fontId="31" fillId="2" borderId="0" xfId="4598" applyNumberFormat="1" applyFont="1" applyFill="1"/>
    <xf numFmtId="0" fontId="31" fillId="0" borderId="0" xfId="4598" applyFont="1" applyAlignment="1">
      <alignment horizontal="right"/>
    </xf>
    <xf numFmtId="174" fontId="31" fillId="0" borderId="14" xfId="190" applyNumberFormat="1" applyFont="1" applyBorder="1"/>
    <xf numFmtId="37" fontId="31" fillId="0" borderId="0" xfId="4598" applyNumberFormat="1" applyFont="1"/>
    <xf numFmtId="172" fontId="31" fillId="0" borderId="0" xfId="4596" applyFont="1"/>
    <xf numFmtId="0" fontId="123" fillId="0" borderId="0" xfId="4598" applyFont="1" applyAlignment="1">
      <alignment horizontal="centerContinuous" wrapText="1"/>
    </xf>
    <xf numFmtId="41" fontId="31" fillId="76" borderId="0" xfId="4598" applyNumberFormat="1" applyFont="1" applyFill="1"/>
    <xf numFmtId="43" fontId="31" fillId="0" borderId="14" xfId="190" applyFont="1" applyBorder="1"/>
    <xf numFmtId="172" fontId="31" fillId="0" borderId="0" xfId="0" applyFont="1" applyAlignment="1">
      <alignment horizontal="center"/>
    </xf>
    <xf numFmtId="44" fontId="31" fillId="0" borderId="0" xfId="0" applyNumberFormat="1" applyFont="1"/>
    <xf numFmtId="0" fontId="31" fillId="0" borderId="0" xfId="4157" applyFont="1"/>
    <xf numFmtId="0" fontId="31" fillId="0" borderId="0" xfId="4157" applyFont="1" applyAlignment="1">
      <alignment horizontal="center"/>
    </xf>
    <xf numFmtId="3" fontId="31" fillId="0" borderId="0" xfId="4157" applyNumberFormat="1" applyFont="1" applyAlignment="1">
      <alignment horizontal="center" wrapText="1"/>
    </xf>
    <xf numFmtId="0" fontId="31" fillId="0" borderId="0" xfId="4157" applyFont="1" applyAlignment="1">
      <alignment horizontal="center" wrapText="1"/>
    </xf>
    <xf numFmtId="0" fontId="31" fillId="3" borderId="0" xfId="4157" applyFont="1" applyFill="1"/>
    <xf numFmtId="174" fontId="31" fillId="3" borderId="0" xfId="190" applyNumberFormat="1" applyFont="1" applyFill="1" applyBorder="1" applyAlignment="1">
      <alignment horizontal="center"/>
    </xf>
    <xf numFmtId="174" fontId="31" fillId="0" borderId="0" xfId="190" applyNumberFormat="1" applyFont="1" applyFill="1" applyBorder="1" applyAlignment="1">
      <alignment horizontal="center" wrapText="1"/>
    </xf>
    <xf numFmtId="174" fontId="31" fillId="3" borderId="0" xfId="190" applyNumberFormat="1" applyFont="1" applyFill="1" applyBorder="1"/>
    <xf numFmtId="172" fontId="163" fillId="3" borderId="0" xfId="0" applyFont="1" applyFill="1"/>
    <xf numFmtId="0" fontId="31" fillId="3" borderId="3" xfId="4157" applyFont="1" applyFill="1" applyBorder="1"/>
    <xf numFmtId="174" fontId="31" fillId="3" borderId="3" xfId="190" applyNumberFormat="1" applyFont="1" applyFill="1" applyBorder="1"/>
    <xf numFmtId="174" fontId="31" fillId="3" borderId="3" xfId="190" applyNumberFormat="1" applyFont="1" applyFill="1" applyBorder="1" applyAlignment="1">
      <alignment horizontal="center"/>
    </xf>
    <xf numFmtId="172" fontId="163" fillId="3" borderId="3" xfId="0" applyFont="1" applyFill="1" applyBorder="1"/>
    <xf numFmtId="174" fontId="31" fillId="0" borderId="3" xfId="190" applyNumberFormat="1" applyFont="1" applyFill="1" applyBorder="1" applyAlignment="1">
      <alignment horizontal="center" wrapText="1"/>
    </xf>
    <xf numFmtId="174" fontId="31" fillId="0" borderId="0" xfId="190" applyNumberFormat="1" applyFont="1" applyFill="1" applyBorder="1"/>
    <xf numFmtId="0" fontId="165" fillId="0" borderId="0" xfId="0" applyNumberFormat="1" applyFont="1" applyAlignment="1">
      <alignment horizontal="center"/>
    </xf>
    <xf numFmtId="172" fontId="165" fillId="0" borderId="0" xfId="0" applyFont="1" applyAlignment="1">
      <alignment horizontal="center"/>
    </xf>
    <xf numFmtId="44" fontId="165" fillId="0" borderId="0" xfId="0" applyNumberFormat="1" applyFont="1"/>
    <xf numFmtId="172" fontId="31" fillId="0" borderId="0" xfId="0" applyFont="1" applyAlignment="1">
      <alignment vertical="center" wrapText="1"/>
    </xf>
    <xf numFmtId="172" fontId="31" fillId="0" borderId="0" xfId="0" applyFont="1" applyAlignment="1">
      <alignment vertical="center"/>
    </xf>
    <xf numFmtId="0" fontId="31" fillId="0" borderId="0" xfId="0" applyNumberFormat="1" applyFont="1" applyAlignment="1">
      <alignment horizontal="center" vertical="top"/>
    </xf>
    <xf numFmtId="0" fontId="31" fillId="0" borderId="0" xfId="4228" applyFont="1" applyAlignment="1">
      <alignment vertical="top"/>
    </xf>
    <xf numFmtId="3" fontId="31" fillId="0" borderId="0" xfId="4228" applyNumberFormat="1" applyFont="1"/>
    <xf numFmtId="3" fontId="31" fillId="0" borderId="0" xfId="4597" applyNumberFormat="1" applyFont="1"/>
    <xf numFmtId="0" fontId="31" fillId="0" borderId="0" xfId="4597" applyNumberFormat="1" applyFont="1" applyAlignment="1" applyProtection="1">
      <alignment horizontal="center"/>
      <protection locked="0"/>
    </xf>
    <xf numFmtId="0" fontId="31" fillId="0" borderId="0" xfId="4597" applyNumberFormat="1" applyFont="1"/>
    <xf numFmtId="174" fontId="31" fillId="0" borderId="0" xfId="190" applyNumberFormat="1" applyFont="1" applyAlignment="1"/>
    <xf numFmtId="43" fontId="31" fillId="0" borderId="0" xfId="190" applyFont="1" applyAlignment="1">
      <alignment horizontal="center"/>
    </xf>
    <xf numFmtId="0" fontId="31" fillId="0" borderId="0" xfId="4595" applyFont="1"/>
    <xf numFmtId="3" fontId="31" fillId="0" borderId="0" xfId="4595" applyNumberFormat="1" applyFont="1"/>
    <xf numFmtId="174" fontId="31" fillId="0" borderId="0" xfId="190" applyNumberFormat="1" applyFont="1" applyFill="1" applyBorder="1" applyAlignment="1"/>
    <xf numFmtId="174" fontId="31" fillId="0" borderId="0" xfId="190" applyNumberFormat="1" applyFont="1" applyBorder="1" applyAlignment="1"/>
    <xf numFmtId="172" fontId="31" fillId="0" borderId="0" xfId="4597" applyFont="1"/>
    <xf numFmtId="164" fontId="31" fillId="0" borderId="0" xfId="4597" applyNumberFormat="1" applyFont="1" applyAlignment="1">
      <alignment horizontal="center"/>
    </xf>
    <xf numFmtId="174" fontId="31" fillId="0" borderId="0" xfId="190" applyNumberFormat="1" applyFont="1" applyFill="1" applyAlignment="1"/>
    <xf numFmtId="174" fontId="31" fillId="0" borderId="1" xfId="190" applyNumberFormat="1" applyFont="1" applyFill="1" applyBorder="1" applyAlignment="1"/>
    <xf numFmtId="271" fontId="31" fillId="0" borderId="0" xfId="190" applyNumberFormat="1" applyFont="1" applyFill="1" applyAlignment="1"/>
    <xf numFmtId="271" fontId="31" fillId="0" borderId="0" xfId="190" applyNumberFormat="1" applyFont="1" applyAlignment="1"/>
    <xf numFmtId="271" fontId="31" fillId="0" borderId="0" xfId="190" applyNumberFormat="1" applyFont="1" applyBorder="1" applyAlignment="1"/>
    <xf numFmtId="174" fontId="31" fillId="0" borderId="1" xfId="190" applyNumberFormat="1" applyFont="1" applyBorder="1" applyAlignment="1"/>
    <xf numFmtId="3" fontId="31" fillId="0" borderId="0" xfId="4597" quotePrefix="1" applyNumberFormat="1" applyFont="1" applyAlignment="1">
      <alignment horizontal="left"/>
    </xf>
    <xf numFmtId="174" fontId="31" fillId="0" borderId="14" xfId="190" applyNumberFormat="1" applyFont="1" applyFill="1" applyBorder="1" applyAlignment="1"/>
    <xf numFmtId="0" fontId="31" fillId="0" borderId="0" xfId="0" applyNumberFormat="1" applyFont="1" applyProtection="1">
      <protection locked="0"/>
    </xf>
    <xf numFmtId="174" fontId="31" fillId="0" borderId="50" xfId="190" applyNumberFormat="1" applyFont="1" applyFill="1" applyBorder="1" applyAlignment="1"/>
    <xf numFmtId="174" fontId="166" fillId="3" borderId="0" xfId="190" applyNumberFormat="1" applyFont="1" applyFill="1" applyAlignment="1"/>
    <xf numFmtId="0" fontId="31" fillId="0" borderId="0" xfId="4595" applyFont="1" applyAlignment="1" applyProtection="1">
      <alignment horizontal="center"/>
      <protection locked="0"/>
    </xf>
    <xf numFmtId="3" fontId="31" fillId="0" borderId="0" xfId="4597" applyNumberFormat="1" applyFont="1" applyAlignment="1">
      <alignment horizontal="left"/>
    </xf>
    <xf numFmtId="10" fontId="31" fillId="0" borderId="0" xfId="4597" applyNumberFormat="1" applyFont="1" applyAlignment="1">
      <alignment horizontal="left"/>
    </xf>
    <xf numFmtId="174" fontId="31" fillId="0" borderId="2" xfId="190" applyNumberFormat="1" applyFont="1" applyFill="1" applyBorder="1" applyAlignment="1"/>
    <xf numFmtId="0" fontId="31" fillId="0" borderId="0" xfId="0" applyNumberFormat="1" applyFont="1" applyAlignment="1" applyProtection="1">
      <alignment horizontal="center"/>
      <protection locked="0"/>
    </xf>
    <xf numFmtId="0" fontId="31" fillId="0" borderId="0" xfId="0" applyNumberFormat="1" applyFont="1" applyAlignment="1" applyProtection="1">
      <alignment horizontal="center" vertical="top"/>
      <protection locked="0"/>
    </xf>
    <xf numFmtId="0" fontId="31" fillId="0" borderId="0" xfId="0" applyNumberFormat="1" applyFont="1" applyAlignment="1" applyProtection="1">
      <alignment vertical="center"/>
      <protection locked="0"/>
    </xf>
    <xf numFmtId="172" fontId="31" fillId="0" borderId="0" xfId="0" applyFont="1" applyAlignment="1">
      <alignment horizontal="center" vertical="top"/>
    </xf>
    <xf numFmtId="0" fontId="31" fillId="0" borderId="0" xfId="4664" applyNumberFormat="1" applyFont="1"/>
    <xf numFmtId="0" fontId="167" fillId="0" borderId="0" xfId="0" applyNumberFormat="1" applyFont="1" applyProtection="1">
      <protection locked="0"/>
    </xf>
    <xf numFmtId="3" fontId="167" fillId="0" borderId="0" xfId="0" applyNumberFormat="1" applyFont="1"/>
    <xf numFmtId="0" fontId="167" fillId="0" borderId="0" xfId="0" applyNumberFormat="1" applyFont="1" applyAlignment="1" applyProtection="1">
      <alignment horizontal="center" vertical="top"/>
      <protection locked="0"/>
    </xf>
    <xf numFmtId="0" fontId="167" fillId="0" borderId="0" xfId="4597" applyNumberFormat="1" applyFont="1" applyAlignment="1" applyProtection="1">
      <alignment vertical="top" wrapText="1"/>
      <protection locked="0"/>
    </xf>
    <xf numFmtId="0" fontId="167" fillId="0" borderId="0" xfId="0" applyNumberFormat="1" applyFont="1" applyAlignment="1" applyProtection="1">
      <alignment vertical="top"/>
      <protection locked="0"/>
    </xf>
    <xf numFmtId="0" fontId="168" fillId="0" borderId="0" xfId="0" applyNumberFormat="1" applyFont="1" applyProtection="1">
      <protection locked="0"/>
    </xf>
    <xf numFmtId="172" fontId="167" fillId="0" borderId="0" xfId="0" applyFont="1"/>
    <xf numFmtId="172" fontId="167" fillId="0" borderId="0" xfId="0" applyFont="1" applyAlignment="1">
      <alignment horizontal="center"/>
    </xf>
    <xf numFmtId="0" fontId="167" fillId="0" borderId="0" xfId="4228" applyFont="1" applyAlignment="1">
      <alignment vertical="top" wrapText="1"/>
    </xf>
    <xf numFmtId="0" fontId="167" fillId="0" borderId="0" xfId="0" applyNumberFormat="1" applyFont="1"/>
    <xf numFmtId="172" fontId="167" fillId="0" borderId="0" xfId="0" applyFont="1" applyAlignment="1">
      <alignment horizontal="center" vertical="top"/>
    </xf>
    <xf numFmtId="0" fontId="167" fillId="0" borderId="0" xfId="4664" applyNumberFormat="1" applyFont="1"/>
    <xf numFmtId="172" fontId="167" fillId="0" borderId="0" xfId="4664" applyFont="1" applyAlignment="1">
      <alignment horizontal="center"/>
    </xf>
    <xf numFmtId="172" fontId="167" fillId="0" borderId="0" xfId="0" applyFont="1" applyAlignment="1">
      <alignment vertical="top" wrapText="1"/>
    </xf>
    <xf numFmtId="0" fontId="167" fillId="0" borderId="0" xfId="4228" applyFont="1" applyAlignment="1">
      <alignment vertical="top"/>
    </xf>
    <xf numFmtId="0" fontId="167" fillId="0" borderId="0" xfId="4597" applyNumberFormat="1" applyFont="1" applyAlignment="1" applyProtection="1">
      <alignment vertical="top"/>
      <protection locked="0"/>
    </xf>
    <xf numFmtId="170" fontId="167" fillId="0" borderId="0" xfId="4597" applyNumberFormat="1" applyFont="1" applyAlignment="1" applyProtection="1">
      <alignment vertical="top"/>
    </xf>
    <xf numFmtId="3" fontId="167" fillId="0" borderId="0" xfId="4597" applyNumberFormat="1" applyFont="1" applyAlignment="1" applyProtection="1">
      <alignment vertical="top"/>
    </xf>
    <xf numFmtId="172" fontId="167" fillId="0" borderId="0" xfId="0" applyFont="1" applyAlignment="1">
      <alignment vertical="top"/>
    </xf>
    <xf numFmtId="0" fontId="167" fillId="0" borderId="0" xfId="2138" applyFont="1" applyAlignment="1">
      <alignment vertical="center"/>
    </xf>
    <xf numFmtId="172" fontId="31" fillId="0" borderId="0" xfId="0" applyFont="1" applyProtection="1">
      <protection locked="0"/>
    </xf>
    <xf numFmtId="0" fontId="31" fillId="0" borderId="0" xfId="0" applyNumberFormat="1" applyFont="1" applyAlignment="1" applyProtection="1">
      <alignment horizontal="left"/>
      <protection locked="0"/>
    </xf>
    <xf numFmtId="0" fontId="31" fillId="0" borderId="0" xfId="0" applyNumberFormat="1" applyFont="1" applyAlignment="1" applyProtection="1">
      <alignment horizontal="right"/>
      <protection locked="0"/>
    </xf>
    <xf numFmtId="0" fontId="31" fillId="2" borderId="0" xfId="0" applyNumberFormat="1" applyFont="1" applyFill="1" applyAlignment="1" applyProtection="1">
      <alignment horizontal="right"/>
      <protection locked="0"/>
    </xf>
    <xf numFmtId="3" fontId="31" fillId="0" borderId="0" xfId="0" applyNumberFormat="1" applyFont="1" applyProtection="1">
      <protection locked="0"/>
    </xf>
    <xf numFmtId="3" fontId="31" fillId="0" borderId="0" xfId="0" applyNumberFormat="1" applyFont="1" applyAlignment="1" applyProtection="1">
      <alignment horizontal="center"/>
      <protection locked="0"/>
    </xf>
    <xf numFmtId="49" fontId="123" fillId="0" borderId="0" xfId="0" applyNumberFormat="1" applyFont="1" applyAlignment="1" applyProtection="1">
      <alignment horizontal="center"/>
      <protection locked="0"/>
    </xf>
    <xf numFmtId="49" fontId="31" fillId="0" borderId="0" xfId="0" applyNumberFormat="1" applyFont="1" applyProtection="1">
      <protection locked="0"/>
    </xf>
    <xf numFmtId="0" fontId="31" fillId="0" borderId="1" xfId="0" applyNumberFormat="1" applyFont="1" applyBorder="1" applyAlignment="1" applyProtection="1">
      <alignment horizontal="center"/>
      <protection locked="0"/>
    </xf>
    <xf numFmtId="42" fontId="31" fillId="0" borderId="0" xfId="0" applyNumberFormat="1" applyFont="1" applyProtection="1"/>
    <xf numFmtId="0" fontId="31" fillId="0" borderId="1" xfId="0" applyNumberFormat="1" applyFont="1" applyBorder="1" applyAlignment="1" applyProtection="1">
      <alignment horizontal="centerContinuous"/>
      <protection locked="0"/>
    </xf>
    <xf numFmtId="166" fontId="31" fillId="0" borderId="0" xfId="0" applyNumberFormat="1" applyFont="1" applyProtection="1"/>
    <xf numFmtId="3" fontId="31" fillId="0" borderId="0" xfId="0" applyNumberFormat="1" applyFont="1" applyProtection="1"/>
    <xf numFmtId="3" fontId="166" fillId="2" borderId="0" xfId="0" applyNumberFormat="1" applyFont="1" applyFill="1" applyProtection="1">
      <protection locked="0"/>
    </xf>
    <xf numFmtId="3" fontId="31" fillId="0" borderId="0" xfId="0" applyNumberFormat="1" applyFont="1" applyAlignment="1" applyProtection="1">
      <alignment horizontal="fill"/>
      <protection locked="0"/>
    </xf>
    <xf numFmtId="166" fontId="31" fillId="0" borderId="0" xfId="0" applyNumberFormat="1" applyFont="1" applyProtection="1">
      <protection locked="0"/>
    </xf>
    <xf numFmtId="42" fontId="31" fillId="0" borderId="14" xfId="0" applyNumberFormat="1" applyFont="1" applyBorder="1" applyAlignment="1" applyProtection="1">
      <alignment horizontal="right"/>
    </xf>
    <xf numFmtId="42" fontId="31" fillId="0" borderId="0" xfId="0" applyNumberFormat="1" applyFont="1" applyAlignment="1" applyProtection="1">
      <alignment horizontal="right"/>
      <protection locked="0"/>
    </xf>
    <xf numFmtId="0" fontId="31" fillId="0" borderId="0" xfId="0" applyNumberFormat="1" applyFont="1" applyAlignment="1" applyProtection="1">
      <alignment horizontal="right"/>
    </xf>
    <xf numFmtId="172" fontId="123" fillId="0" borderId="0" xfId="0" applyFont="1" applyAlignment="1" applyProtection="1">
      <alignment horizontal="center"/>
    </xf>
    <xf numFmtId="49" fontId="31" fillId="0" borderId="0" xfId="0" applyNumberFormat="1" applyFont="1" applyAlignment="1" applyProtection="1">
      <alignment horizontal="left"/>
      <protection locked="0"/>
    </xf>
    <xf numFmtId="49" fontId="31" fillId="0" borderId="0" xfId="0" applyNumberFormat="1" applyFont="1" applyAlignment="1" applyProtection="1">
      <alignment horizontal="center"/>
      <protection locked="0"/>
    </xf>
    <xf numFmtId="3" fontId="123" fillId="0" borderId="0" xfId="0" applyNumberFormat="1" applyFont="1" applyAlignment="1" applyProtection="1">
      <alignment horizontal="center"/>
      <protection locked="0"/>
    </xf>
    <xf numFmtId="0" fontId="123" fillId="0" borderId="0" xfId="0" applyNumberFormat="1" applyFont="1" applyAlignment="1" applyProtection="1">
      <alignment horizontal="center"/>
      <protection locked="0"/>
    </xf>
    <xf numFmtId="172" fontId="123" fillId="0" borderId="0" xfId="0" applyFont="1" applyAlignment="1" applyProtection="1">
      <alignment horizontal="center"/>
      <protection locked="0"/>
    </xf>
    <xf numFmtId="3" fontId="123" fillId="0" borderId="0" xfId="0" applyNumberFormat="1" applyFont="1" applyProtection="1">
      <protection locked="0"/>
    </xf>
    <xf numFmtId="0" fontId="123" fillId="0" borderId="0" xfId="0" applyNumberFormat="1" applyFont="1" applyProtection="1">
      <protection locked="0"/>
    </xf>
    <xf numFmtId="165" fontId="31" fillId="0" borderId="0" xfId="0" applyNumberFormat="1" applyFont="1" applyProtection="1">
      <protection locked="0"/>
    </xf>
    <xf numFmtId="165" fontId="31" fillId="0" borderId="0" xfId="0" applyNumberFormat="1" applyFont="1" applyProtection="1"/>
    <xf numFmtId="164" fontId="31" fillId="0" borderId="0" xfId="0" applyNumberFormat="1" applyFont="1" applyAlignment="1" applyProtection="1">
      <alignment horizontal="center"/>
    </xf>
    <xf numFmtId="164" fontId="31" fillId="0" borderId="0" xfId="0" applyNumberFormat="1" applyFont="1" applyAlignment="1" applyProtection="1">
      <alignment horizontal="center"/>
      <protection locked="0"/>
    </xf>
    <xf numFmtId="0" fontId="31" fillId="0" borderId="0" xfId="0" applyNumberFormat="1" applyFont="1" applyProtection="1"/>
    <xf numFmtId="172" fontId="31" fillId="0" borderId="1" xfId="0" applyFont="1" applyBorder="1" applyProtection="1">
      <protection locked="0"/>
    </xf>
    <xf numFmtId="172" fontId="31" fillId="0" borderId="0" xfId="0" applyFont="1" applyProtection="1"/>
    <xf numFmtId="171" fontId="31" fillId="0" borderId="0" xfId="0" applyNumberFormat="1" applyFont="1" applyAlignment="1" applyProtection="1">
      <alignment horizontal="left"/>
    </xf>
    <xf numFmtId="166" fontId="31" fillId="0" borderId="0" xfId="0" applyNumberFormat="1" applyFont="1" applyAlignment="1" applyProtection="1">
      <alignment horizontal="right"/>
      <protection locked="0"/>
    </xf>
    <xf numFmtId="166" fontId="31" fillId="0" borderId="0" xfId="0" applyNumberFormat="1" applyFont="1" applyAlignment="1" applyProtection="1">
      <alignment horizontal="center"/>
      <protection locked="0"/>
    </xf>
    <xf numFmtId="164" fontId="31" fillId="0" borderId="0" xfId="0" applyNumberFormat="1" applyFont="1" applyAlignment="1" applyProtection="1">
      <alignment horizontal="left"/>
      <protection locked="0"/>
    </xf>
    <xf numFmtId="10" fontId="31" fillId="0" borderId="0" xfId="0" applyNumberFormat="1" applyFont="1" applyAlignment="1" applyProtection="1">
      <alignment horizontal="right"/>
    </xf>
    <xf numFmtId="10" fontId="31" fillId="0" borderId="0" xfId="0" applyNumberFormat="1" applyFont="1" applyAlignment="1" applyProtection="1">
      <alignment horizontal="left"/>
      <protection locked="0"/>
    </xf>
    <xf numFmtId="3" fontId="31" fillId="0" borderId="0" xfId="0" applyNumberFormat="1" applyFont="1" applyAlignment="1" applyProtection="1">
      <alignment horizontal="left"/>
      <protection locked="0"/>
    </xf>
    <xf numFmtId="167" fontId="31" fillId="0" borderId="0" xfId="0" applyNumberFormat="1" applyFont="1" applyProtection="1">
      <protection locked="0"/>
    </xf>
    <xf numFmtId="0" fontId="31" fillId="0" borderId="1" xfId="0" applyNumberFormat="1" applyFont="1" applyBorder="1" applyProtection="1">
      <protection locked="0"/>
    </xf>
    <xf numFmtId="3" fontId="166" fillId="2" borderId="1" xfId="0" applyNumberFormat="1" applyFont="1" applyFill="1" applyBorder="1" applyProtection="1">
      <protection locked="0"/>
    </xf>
    <xf numFmtId="165" fontId="31" fillId="0" borderId="0" xfId="0" applyNumberFormat="1" applyFont="1" applyAlignment="1" applyProtection="1">
      <alignment horizontal="right"/>
    </xf>
    <xf numFmtId="172" fontId="169" fillId="0" borderId="0" xfId="0" applyFont="1" applyProtection="1">
      <protection locked="0"/>
    </xf>
    <xf numFmtId="3" fontId="31" fillId="2" borderId="1" xfId="0" applyNumberFormat="1" applyFont="1" applyFill="1" applyBorder="1" applyProtection="1">
      <protection locked="0"/>
    </xf>
    <xf numFmtId="173" fontId="31" fillId="0" borderId="0" xfId="1" applyNumberFormat="1" applyFont="1" applyFill="1" applyBorder="1" applyAlignment="1" applyProtection="1">
      <protection locked="0"/>
    </xf>
    <xf numFmtId="3" fontId="170" fillId="0" borderId="0" xfId="0" applyNumberFormat="1" applyFont="1" applyProtection="1">
      <protection locked="0"/>
    </xf>
    <xf numFmtId="170" fontId="31" fillId="0" borderId="0" xfId="0" applyNumberFormat="1" applyFont="1" applyProtection="1">
      <protection locked="0"/>
    </xf>
    <xf numFmtId="172" fontId="170" fillId="0" borderId="0" xfId="0" applyFont="1" applyProtection="1">
      <protection locked="0"/>
    </xf>
    <xf numFmtId="172" fontId="171" fillId="0" borderId="0" xfId="0" applyFont="1" applyProtection="1">
      <protection locked="0"/>
    </xf>
    <xf numFmtId="172" fontId="172" fillId="0" borderId="0" xfId="0" applyFont="1" applyProtection="1">
      <protection locked="0"/>
    </xf>
    <xf numFmtId="172" fontId="170" fillId="0" borderId="0" xfId="0" applyFont="1" applyAlignment="1" applyProtection="1">
      <alignment horizontal="left" wrapText="1"/>
      <protection locked="0"/>
    </xf>
    <xf numFmtId="3" fontId="31" fillId="0" borderId="1" xfId="0" applyNumberFormat="1" applyFont="1" applyBorder="1" applyProtection="1">
      <protection locked="0"/>
    </xf>
    <xf numFmtId="3" fontId="31" fillId="0" borderId="1" xfId="0" applyNumberFormat="1" applyFont="1" applyBorder="1" applyAlignment="1" applyProtection="1">
      <alignment horizontal="center"/>
      <protection locked="0"/>
    </xf>
    <xf numFmtId="4" fontId="31" fillId="0" borderId="0" xfId="0" applyNumberFormat="1" applyFont="1" applyProtection="1">
      <protection locked="0"/>
    </xf>
    <xf numFmtId="4" fontId="31" fillId="0" borderId="0" xfId="0" applyNumberFormat="1" applyFont="1" applyProtection="1"/>
    <xf numFmtId="3" fontId="31" fillId="0" borderId="1" xfId="0" applyNumberFormat="1" applyFont="1" applyBorder="1" applyProtection="1"/>
    <xf numFmtId="166" fontId="31" fillId="0" borderId="0" xfId="0" applyNumberFormat="1" applyFont="1" applyAlignment="1" applyProtection="1">
      <alignment horizontal="center"/>
    </xf>
    <xf numFmtId="170" fontId="166" fillId="2" borderId="0" xfId="0" applyNumberFormat="1" applyFont="1" applyFill="1" applyProtection="1">
      <protection locked="0"/>
    </xf>
    <xf numFmtId="42" fontId="166" fillId="2" borderId="0" xfId="0" applyNumberFormat="1" applyFont="1" applyFill="1" applyProtection="1">
      <protection locked="0"/>
    </xf>
    <xf numFmtId="0" fontId="157" fillId="0" borderId="0" xfId="0" applyNumberFormat="1" applyFont="1" applyProtection="1">
      <protection locked="0"/>
    </xf>
    <xf numFmtId="9" fontId="31" fillId="0" borderId="0" xfId="0" applyNumberFormat="1" applyFont="1" applyProtection="1"/>
    <xf numFmtId="169" fontId="31" fillId="0" borderId="0" xfId="0" applyNumberFormat="1" applyFont="1" applyProtection="1">
      <protection locked="0"/>
    </xf>
    <xf numFmtId="169" fontId="31" fillId="0" borderId="0" xfId="0" applyNumberFormat="1" applyFont="1" applyProtection="1"/>
    <xf numFmtId="3" fontId="31" fillId="0" borderId="0" xfId="0" quotePrefix="1" applyNumberFormat="1" applyFont="1" applyProtection="1">
      <protection locked="0"/>
    </xf>
    <xf numFmtId="169" fontId="31" fillId="0" borderId="1" xfId="0" applyNumberFormat="1" applyFont="1" applyBorder="1" applyProtection="1"/>
    <xf numFmtId="3" fontId="123" fillId="0" borderId="0" xfId="0" applyNumberFormat="1" applyFont="1" applyAlignment="1" applyProtection="1">
      <alignment horizontal="center"/>
    </xf>
    <xf numFmtId="0" fontId="31" fillId="0" borderId="0" xfId="0" applyNumberFormat="1" applyFont="1" applyAlignment="1" applyProtection="1">
      <alignment horizontal="left" indent="8"/>
      <protection locked="0"/>
    </xf>
    <xf numFmtId="10" fontId="31" fillId="2" borderId="0" xfId="0" applyNumberFormat="1" applyFont="1" applyFill="1" applyAlignment="1" applyProtection="1">
      <alignment vertical="top" wrapText="1"/>
      <protection locked="0"/>
    </xf>
    <xf numFmtId="174" fontId="31" fillId="74" borderId="0" xfId="4665" applyNumberFormat="1" applyFont="1" applyFill="1" applyAlignment="1"/>
    <xf numFmtId="174" fontId="166" fillId="0" borderId="0" xfId="190" applyNumberFormat="1" applyFont="1" applyFill="1" applyAlignment="1"/>
    <xf numFmtId="3" fontId="173" fillId="0" borderId="0" xfId="0" applyNumberFormat="1" applyFont="1" applyProtection="1">
      <protection locked="0"/>
    </xf>
    <xf numFmtId="43" fontId="31" fillId="0" borderId="0" xfId="4665" applyFont="1" applyFill="1" applyAlignment="1"/>
    <xf numFmtId="166" fontId="31" fillId="0" borderId="0" xfId="4665" applyNumberFormat="1" applyFont="1" applyFill="1" applyAlignment="1"/>
    <xf numFmtId="3" fontId="31" fillId="0" borderId="4" xfId="4597" applyNumberFormat="1" applyFont="1" applyBorder="1"/>
    <xf numFmtId="3" fontId="31" fillId="0" borderId="4" xfId="0" applyNumberFormat="1" applyFont="1" applyBorder="1" applyProtection="1"/>
    <xf numFmtId="0" fontId="31" fillId="0" borderId="4" xfId="0" applyNumberFormat="1" applyFont="1" applyBorder="1" applyProtection="1">
      <protection locked="0"/>
    </xf>
    <xf numFmtId="3" fontId="31" fillId="0" borderId="4" xfId="0" applyNumberFormat="1" applyFont="1" applyBorder="1" applyProtection="1">
      <protection locked="0"/>
    </xf>
    <xf numFmtId="49" fontId="31" fillId="0" borderId="4" xfId="0" applyNumberFormat="1" applyFont="1" applyBorder="1" applyProtection="1">
      <protection locked="0"/>
    </xf>
    <xf numFmtId="174" fontId="31" fillId="0" borderId="4" xfId="190" applyNumberFormat="1" applyFont="1" applyFill="1" applyBorder="1" applyAlignment="1"/>
    <xf numFmtId="3" fontId="31" fillId="0" borderId="3" xfId="0" applyNumberFormat="1" applyFont="1" applyBorder="1" applyAlignment="1" applyProtection="1">
      <alignment horizontal="center"/>
      <protection locked="0"/>
    </xf>
    <xf numFmtId="172" fontId="123" fillId="0" borderId="0" xfId="0" applyFont="1" applyAlignment="1">
      <alignment horizontal="center"/>
    </xf>
    <xf numFmtId="0" fontId="157" fillId="0" borderId="0" xfId="0" applyNumberFormat="1" applyFont="1" applyAlignment="1">
      <alignment horizontal="center"/>
    </xf>
    <xf numFmtId="0" fontId="31" fillId="0" borderId="0" xfId="4155" applyNumberFormat="1" applyFont="1" applyAlignment="1" applyProtection="1">
      <alignment horizontal="right"/>
      <protection locked="0"/>
    </xf>
    <xf numFmtId="172" fontId="10" fillId="0" borderId="0" xfId="0" applyFont="1"/>
    <xf numFmtId="172" fontId="175" fillId="0" borderId="0" xfId="0" applyFont="1"/>
    <xf numFmtId="172" fontId="10" fillId="0" borderId="0" xfId="0" applyFont="1" applyAlignment="1">
      <alignment horizontal="right"/>
    </xf>
    <xf numFmtId="172" fontId="10" fillId="0" borderId="0" xfId="0" applyFont="1" applyAlignment="1">
      <alignment vertical="top" wrapText="1"/>
    </xf>
    <xf numFmtId="172" fontId="10" fillId="3" borderId="0" xfId="0" applyFont="1" applyFill="1"/>
    <xf numFmtId="172" fontId="10" fillId="74" borderId="0" xfId="0" applyFont="1" applyFill="1"/>
    <xf numFmtId="172" fontId="10" fillId="0" borderId="0" xfId="0" applyFont="1" applyAlignment="1">
      <alignment vertical="top"/>
    </xf>
    <xf numFmtId="172" fontId="175" fillId="0" borderId="1" xfId="0" applyFont="1" applyBorder="1"/>
    <xf numFmtId="172" fontId="175" fillId="0" borderId="1" xfId="0" applyFont="1" applyBorder="1" applyAlignment="1">
      <alignment horizontal="center"/>
    </xf>
    <xf numFmtId="172" fontId="10" fillId="0" borderId="0" xfId="0" applyFont="1" applyAlignment="1">
      <alignment horizontal="center"/>
    </xf>
    <xf numFmtId="172" fontId="176" fillId="0" borderId="0" xfId="4663" applyNumberFormat="1" applyFont="1" applyFill="1" applyAlignment="1" applyProtection="1"/>
    <xf numFmtId="172" fontId="10" fillId="0" borderId="0" xfId="0" quotePrefix="1" applyFont="1" applyAlignment="1">
      <alignment horizontal="center"/>
    </xf>
    <xf numFmtId="172" fontId="10" fillId="0" borderId="0" xfId="0" applyFont="1" applyProtection="1"/>
    <xf numFmtId="172" fontId="177" fillId="0" borderId="0" xfId="0" applyFont="1"/>
    <xf numFmtId="172" fontId="10" fillId="0" borderId="0" xfId="0" quotePrefix="1" applyFont="1"/>
    <xf numFmtId="0" fontId="31" fillId="0" borderId="0" xfId="4" applyFont="1"/>
    <xf numFmtId="0" fontId="31" fillId="0" borderId="0" xfId="4" applyFont="1" applyAlignment="1">
      <alignment horizontal="right"/>
    </xf>
    <xf numFmtId="0" fontId="31" fillId="0" borderId="0" xfId="4" applyFont="1" applyAlignment="1">
      <alignment horizontal="center"/>
    </xf>
    <xf numFmtId="3" fontId="31" fillId="0" borderId="0" xfId="0" applyNumberFormat="1" applyFont="1" applyAlignment="1">
      <alignment horizontal="center"/>
    </xf>
    <xf numFmtId="3" fontId="31" fillId="0" borderId="0" xfId="0" applyNumberFormat="1" applyFont="1"/>
    <xf numFmtId="0" fontId="31" fillId="0" borderId="3" xfId="4" applyFont="1" applyBorder="1" applyAlignment="1">
      <alignment horizontal="center"/>
    </xf>
    <xf numFmtId="172" fontId="31" fillId="0" borderId="3" xfId="0" applyFont="1" applyBorder="1" applyAlignment="1">
      <alignment horizontal="center"/>
    </xf>
    <xf numFmtId="0" fontId="31" fillId="0" borderId="3" xfId="0" applyNumberFormat="1" applyFont="1" applyBorder="1" applyAlignment="1" applyProtection="1">
      <alignment horizontal="center"/>
      <protection locked="0"/>
    </xf>
    <xf numFmtId="173" fontId="166" fillId="2" borderId="0" xfId="1" applyNumberFormat="1" applyFont="1" applyFill="1" applyBorder="1"/>
    <xf numFmtId="174" fontId="31" fillId="0" borderId="0" xfId="190" applyNumberFormat="1" applyFont="1" applyFill="1"/>
    <xf numFmtId="173" fontId="31" fillId="0" borderId="14" xfId="1" applyNumberFormat="1" applyFont="1" applyFill="1" applyBorder="1"/>
    <xf numFmtId="44" fontId="31" fillId="0" borderId="0" xfId="4" applyNumberFormat="1" applyFont="1"/>
    <xf numFmtId="0" fontId="123" fillId="0" borderId="0" xfId="4" applyFont="1"/>
    <xf numFmtId="174" fontId="31" fillId="0" borderId="0" xfId="190" applyNumberFormat="1" applyFont="1"/>
    <xf numFmtId="174" fontId="31" fillId="0" borderId="4" xfId="190" applyNumberFormat="1" applyFont="1" applyFill="1" applyBorder="1"/>
    <xf numFmtId="174" fontId="123" fillId="0" borderId="0" xfId="190" applyNumberFormat="1" applyFont="1" applyFill="1"/>
    <xf numFmtId="173" fontId="31" fillId="0" borderId="0" xfId="1" applyNumberFormat="1" applyFont="1" applyFill="1" applyBorder="1"/>
    <xf numFmtId="0" fontId="157" fillId="0" borderId="0" xfId="4" applyFont="1"/>
    <xf numFmtId="9" fontId="31" fillId="0" borderId="0" xfId="4475" applyFont="1"/>
    <xf numFmtId="172" fontId="123" fillId="0" borderId="0" xfId="0" applyFont="1" applyAlignment="1">
      <alignment horizontal="right"/>
    </xf>
    <xf numFmtId="49" fontId="123" fillId="0" borderId="0" xfId="4598" applyNumberFormat="1" applyFont="1" applyAlignment="1">
      <alignment horizontal="center"/>
    </xf>
    <xf numFmtId="0" fontId="31" fillId="0" borderId="3" xfId="4" applyFont="1" applyBorder="1"/>
    <xf numFmtId="10" fontId="31" fillId="0" borderId="0" xfId="3" applyNumberFormat="1" applyFont="1" applyFill="1"/>
    <xf numFmtId="10" fontId="31" fillId="0" borderId="0" xfId="4" applyNumberFormat="1" applyFont="1"/>
    <xf numFmtId="49" fontId="123" fillId="0" borderId="0" xfId="4" applyNumberFormat="1" applyFont="1"/>
    <xf numFmtId="172" fontId="123" fillId="0" borderId="0" xfId="0" applyFont="1" applyAlignment="1" applyProtection="1">
      <alignment horizontal="center" wrapText="1"/>
      <protection locked="0"/>
    </xf>
    <xf numFmtId="172" fontId="123" fillId="0" borderId="3" xfId="0" applyFont="1" applyBorder="1" applyAlignment="1" applyProtection="1">
      <alignment horizontal="center"/>
      <protection locked="0"/>
    </xf>
    <xf numFmtId="172" fontId="123" fillId="0" borderId="3" xfId="0" applyFont="1" applyBorder="1" applyAlignment="1" applyProtection="1">
      <alignment horizontal="center" wrapText="1"/>
      <protection locked="0"/>
    </xf>
    <xf numFmtId="174" fontId="31" fillId="0" borderId="0" xfId="4665" applyNumberFormat="1" applyFont="1" applyBorder="1" applyAlignment="1">
      <alignment horizontal="center"/>
    </xf>
    <xf numFmtId="10" fontId="10" fillId="56" borderId="0" xfId="4352" applyNumberFormat="1" applyFont="1" applyFill="1" applyBorder="1"/>
    <xf numFmtId="10" fontId="31" fillId="0" borderId="0" xfId="4666" applyNumberFormat="1" applyFont="1" applyBorder="1" applyAlignment="1">
      <alignment horizontal="right"/>
    </xf>
    <xf numFmtId="172" fontId="31" fillId="0" borderId="0" xfId="0" applyFont="1" applyAlignment="1" applyProtection="1">
      <alignment horizontal="right"/>
    </xf>
    <xf numFmtId="174" fontId="31" fillId="0" borderId="0" xfId="0" applyNumberFormat="1" applyFont="1" applyProtection="1"/>
    <xf numFmtId="174" fontId="31" fillId="0" borderId="17" xfId="0" applyNumberFormat="1" applyFont="1" applyBorder="1" applyProtection="1"/>
    <xf numFmtId="10" fontId="31" fillId="0" borderId="0" xfId="3" applyNumberFormat="1" applyFont="1" applyFill="1" applyBorder="1"/>
    <xf numFmtId="0" fontId="31" fillId="0" borderId="0" xfId="4476" applyFont="1"/>
    <xf numFmtId="0" fontId="31" fillId="0" borderId="0" xfId="4476" applyFont="1" applyAlignment="1">
      <alignment horizontal="center"/>
    </xf>
    <xf numFmtId="0" fontId="31" fillId="0" borderId="0" xfId="4476" applyFont="1" applyAlignment="1">
      <alignment horizontal="right"/>
    </xf>
    <xf numFmtId="0" fontId="123" fillId="0" borderId="0" xfId="4476" applyFont="1" applyAlignment="1">
      <alignment horizontal="left"/>
    </xf>
    <xf numFmtId="0" fontId="31" fillId="0" borderId="0" xfId="4476" applyFont="1" applyAlignment="1">
      <alignment horizontal="left"/>
    </xf>
    <xf numFmtId="16" fontId="31" fillId="0" borderId="0" xfId="4476" applyNumberFormat="1" applyFont="1" applyAlignment="1">
      <alignment horizontal="center"/>
    </xf>
    <xf numFmtId="0" fontId="31" fillId="0" borderId="0" xfId="4476" applyFont="1" applyAlignment="1">
      <alignment horizontal="left" wrapText="1"/>
    </xf>
    <xf numFmtId="0" fontId="31" fillId="0" borderId="0" xfId="4476" applyFont="1" applyAlignment="1">
      <alignment wrapText="1"/>
    </xf>
    <xf numFmtId="0" fontId="123" fillId="0" borderId="1" xfId="4476" applyFont="1" applyBorder="1" applyAlignment="1">
      <alignment horizontal="center" wrapText="1"/>
    </xf>
    <xf numFmtId="174" fontId="31" fillId="0" borderId="0" xfId="190" applyNumberFormat="1" applyFont="1" applyFill="1" applyBorder="1" applyAlignment="1" applyProtection="1">
      <alignment wrapText="1"/>
    </xf>
    <xf numFmtId="173" fontId="31" fillId="0" borderId="0" xfId="4476" applyNumberFormat="1" applyFont="1"/>
    <xf numFmtId="174" fontId="178" fillId="0" borderId="0" xfId="190" applyNumberFormat="1" applyFont="1" applyFill="1" applyProtection="1"/>
    <xf numFmtId="0" fontId="179" fillId="0" borderId="0" xfId="4476" applyFont="1" applyAlignment="1">
      <alignment horizontal="center"/>
    </xf>
    <xf numFmtId="174" fontId="178" fillId="0" borderId="0" xfId="4477" applyNumberFormat="1" applyFont="1" applyFill="1" applyProtection="1"/>
    <xf numFmtId="173" fontId="31" fillId="0" borderId="0" xfId="1" applyNumberFormat="1" applyFont="1" applyFill="1" applyProtection="1"/>
    <xf numFmtId="0" fontId="123" fillId="0" borderId="3" xfId="4476" applyFont="1" applyBorder="1" applyAlignment="1">
      <alignment horizontal="left"/>
    </xf>
    <xf numFmtId="0" fontId="31" fillId="0" borderId="3" xfId="4476" applyFont="1" applyBorder="1" applyAlignment="1">
      <alignment horizontal="center"/>
    </xf>
    <xf numFmtId="0" fontId="31" fillId="0" borderId="3" xfId="4476" applyFont="1" applyBorder="1" applyAlignment="1">
      <alignment wrapText="1"/>
    </xf>
    <xf numFmtId="0" fontId="123" fillId="0" borderId="3" xfId="4476" applyFont="1" applyBorder="1" applyAlignment="1">
      <alignment horizontal="center" wrapText="1"/>
    </xf>
    <xf numFmtId="174" fontId="31" fillId="0" borderId="0" xfId="190" applyNumberFormat="1" applyFont="1" applyFill="1" applyBorder="1" applyProtection="1"/>
    <xf numFmtId="193" fontId="31" fillId="0" borderId="4" xfId="4352" applyNumberFormat="1" applyFont="1" applyBorder="1" applyAlignment="1" applyProtection="1">
      <alignment wrapText="1"/>
    </xf>
    <xf numFmtId="174" fontId="31" fillId="0" borderId="0" xfId="190" applyNumberFormat="1" applyFont="1" applyAlignment="1" applyProtection="1">
      <alignment wrapText="1"/>
    </xf>
    <xf numFmtId="0" fontId="31" fillId="0" borderId="3" xfId="4476" applyFont="1" applyBorder="1"/>
    <xf numFmtId="0" fontId="123" fillId="0" borderId="0" xfId="4476" applyFont="1" applyAlignment="1">
      <alignment horizontal="center" wrapText="1"/>
    </xf>
    <xf numFmtId="193" fontId="166" fillId="3" borderId="0" xfId="4352" applyNumberFormat="1" applyFont="1" applyFill="1" applyAlignment="1" applyProtection="1">
      <alignment wrapText="1"/>
    </xf>
    <xf numFmtId="193" fontId="31" fillId="0" borderId="4" xfId="4476" applyNumberFormat="1" applyFont="1" applyBorder="1" applyAlignment="1">
      <alignment wrapText="1"/>
    </xf>
    <xf numFmtId="193" fontId="31" fillId="0" borderId="0" xfId="4476" applyNumberFormat="1" applyFont="1" applyAlignment="1">
      <alignment wrapText="1"/>
    </xf>
    <xf numFmtId="193" fontId="31" fillId="0" borderId="0" xfId="4352" applyNumberFormat="1" applyFont="1" applyAlignment="1" applyProtection="1">
      <alignment wrapText="1"/>
    </xf>
    <xf numFmtId="42" fontId="31" fillId="0" borderId="0" xfId="4476" applyNumberFormat="1" applyFont="1" applyAlignment="1">
      <alignment horizontal="right"/>
    </xf>
    <xf numFmtId="41" fontId="31" fillId="0" borderId="0" xfId="190" applyNumberFormat="1" applyFont="1" applyFill="1" applyAlignment="1" applyProtection="1">
      <alignment horizontal="right"/>
    </xf>
    <xf numFmtId="174" fontId="31" fillId="0" borderId="0" xfId="4476" applyNumberFormat="1" applyFont="1"/>
    <xf numFmtId="0" fontId="31" fillId="0" borderId="0" xfId="4476" applyFont="1" applyAlignment="1">
      <alignment horizontal="center" vertical="top"/>
    </xf>
    <xf numFmtId="0" fontId="10" fillId="0" borderId="0" xfId="4476" applyFont="1" applyAlignment="1">
      <alignment horizontal="center"/>
    </xf>
    <xf numFmtId="0" fontId="10" fillId="0" borderId="0" xfId="4476" applyFont="1"/>
    <xf numFmtId="172" fontId="31" fillId="0" borderId="0" xfId="4667" applyNumberFormat="1" applyFont="1" applyAlignment="1"/>
    <xf numFmtId="172" fontId="31" fillId="0" borderId="0" xfId="4667" applyNumberFormat="1" applyFont="1" applyAlignment="1">
      <alignment horizontal="right"/>
    </xf>
    <xf numFmtId="0" fontId="31" fillId="0" borderId="0" xfId="4667" applyNumberFormat="1" applyFont="1" applyAlignment="1"/>
    <xf numFmtId="172" fontId="31" fillId="0" borderId="0" xfId="4667" applyNumberFormat="1" applyFont="1" applyBorder="1" applyAlignment="1"/>
    <xf numFmtId="0" fontId="31" fillId="0" borderId="0" xfId="4667" applyNumberFormat="1" applyFont="1" applyBorder="1" applyAlignment="1"/>
    <xf numFmtId="193" fontId="31" fillId="0" borderId="0" xfId="4667" applyNumberFormat="1" applyFont="1" applyAlignment="1"/>
    <xf numFmtId="172" fontId="31" fillId="0" borderId="0" xfId="4667" applyNumberFormat="1" applyFont="1" applyFill="1" applyBorder="1" applyAlignment="1"/>
    <xf numFmtId="306" fontId="39" fillId="0" borderId="0" xfId="4667" applyNumberFormat="1" applyFont="1" applyFill="1" applyAlignment="1">
      <alignment horizontal="left"/>
    </xf>
    <xf numFmtId="41" fontId="31" fillId="77" borderId="0" xfId="1" applyNumberFormat="1" applyFont="1" applyFill="1" applyAlignment="1" applyProtection="1">
      <protection locked="0"/>
    </xf>
    <xf numFmtId="173" fontId="31" fillId="0" borderId="0" xfId="1" applyNumberFormat="1" applyFont="1" applyFill="1" applyBorder="1" applyAlignment="1"/>
    <xf numFmtId="172" fontId="31" fillId="0" borderId="38" xfId="4667" applyNumberFormat="1" applyFont="1" applyBorder="1" applyAlignment="1"/>
    <xf numFmtId="172" fontId="157" fillId="0" borderId="0" xfId="4667" applyNumberFormat="1" applyFont="1" applyBorder="1" applyAlignment="1">
      <alignment horizontal="center"/>
    </xf>
    <xf numFmtId="306" fontId="31" fillId="3" borderId="0" xfId="4667" quotePrefix="1" applyNumberFormat="1" applyFont="1" applyFill="1" applyAlignment="1">
      <alignment horizontal="left"/>
    </xf>
    <xf numFmtId="42" fontId="39" fillId="0" borderId="0" xfId="4667" applyNumberFormat="1" applyFont="1" applyAlignment="1"/>
    <xf numFmtId="42" fontId="39" fillId="0" borderId="0" xfId="4667" applyNumberFormat="1" applyFont="1" applyBorder="1" applyAlignment="1"/>
    <xf numFmtId="42" fontId="39" fillId="0" borderId="38" xfId="4667" applyNumberFormat="1" applyFont="1" applyBorder="1" applyAlignment="1"/>
    <xf numFmtId="42" fontId="39" fillId="0" borderId="0" xfId="1" applyNumberFormat="1" applyFont="1" applyFill="1" applyBorder="1" applyAlignment="1"/>
    <xf numFmtId="42" fontId="31" fillId="0" borderId="38" xfId="4667" applyNumberFormat="1" applyFont="1" applyBorder="1" applyAlignment="1"/>
    <xf numFmtId="42" fontId="31" fillId="0" borderId="0" xfId="4667" applyNumberFormat="1" applyFont="1" applyBorder="1" applyAlignment="1"/>
    <xf numFmtId="306" fontId="31" fillId="0" borderId="0" xfId="4667" applyNumberFormat="1" applyFont="1" applyFill="1" applyAlignment="1">
      <alignment horizontal="left"/>
    </xf>
    <xf numFmtId="170" fontId="31" fillId="0" borderId="0" xfId="4667" applyNumberFormat="1" applyFont="1" applyAlignment="1"/>
    <xf numFmtId="172" fontId="31" fillId="0" borderId="0" xfId="4667" applyNumberFormat="1" applyFont="1" applyFill="1" applyAlignment="1"/>
    <xf numFmtId="172" fontId="157" fillId="0" borderId="0" xfId="4667" applyNumberFormat="1" applyFont="1" applyAlignment="1">
      <alignment horizontal="center"/>
    </xf>
    <xf numFmtId="172" fontId="123" fillId="0" borderId="0" xfId="4667" quotePrefix="1" applyNumberFormat="1" applyFont="1" applyFill="1" applyAlignment="1"/>
    <xf numFmtId="172" fontId="31" fillId="0" borderId="0" xfId="4667" applyNumberFormat="1" applyFont="1" applyAlignment="1">
      <alignment horizontal="center" vertical="top"/>
    </xf>
    <xf numFmtId="172" fontId="31" fillId="0" borderId="0" xfId="4667" applyNumberFormat="1" applyFont="1" applyBorder="1" applyAlignment="1">
      <alignment horizontal="center"/>
    </xf>
    <xf numFmtId="172" fontId="31" fillId="0" borderId="3" xfId="4667" applyNumberFormat="1" applyFont="1" applyFill="1" applyBorder="1"/>
    <xf numFmtId="172" fontId="31" fillId="0" borderId="0" xfId="4667" applyNumberFormat="1" applyFont="1" applyFill="1"/>
    <xf numFmtId="0" fontId="31" fillId="0" borderId="0" xfId="4667" applyNumberFormat="1" applyFont="1" applyFill="1" applyAlignment="1">
      <alignment horizontal="center"/>
    </xf>
    <xf numFmtId="172" fontId="123" fillId="0" borderId="17" xfId="4667" applyNumberFormat="1" applyFont="1" applyFill="1" applyBorder="1" applyAlignment="1">
      <alignment horizontal="center" wrapText="1"/>
    </xf>
    <xf numFmtId="172" fontId="123" fillId="0" borderId="54" xfId="4667" applyNumberFormat="1" applyFont="1" applyFill="1" applyBorder="1" applyAlignment="1">
      <alignment horizontal="center" wrapText="1"/>
    </xf>
    <xf numFmtId="172" fontId="31" fillId="0" borderId="0" xfId="0" applyFont="1" applyAlignment="1">
      <alignment horizontal="left" vertical="center" wrapText="1"/>
    </xf>
    <xf numFmtId="0" fontId="31" fillId="0" borderId="0" xfId="4228" applyFont="1" applyAlignment="1">
      <alignment horizontal="left" vertical="top" wrapText="1"/>
    </xf>
    <xf numFmtId="44" fontId="31" fillId="0" borderId="0" xfId="4" applyNumberFormat="1" applyFont="1" applyAlignment="1">
      <alignment horizontal="center"/>
    </xf>
    <xf numFmtId="10" fontId="31" fillId="0" borderId="0" xfId="4665" applyNumberFormat="1" applyFont="1" applyFill="1" applyAlignment="1">
      <alignment horizontal="center"/>
    </xf>
    <xf numFmtId="10" fontId="31" fillId="0" borderId="0" xfId="3" applyNumberFormat="1" applyFont="1" applyFill="1" applyAlignment="1">
      <alignment horizontal="center"/>
    </xf>
    <xf numFmtId="0" fontId="31" fillId="0" borderId="4" xfId="4" applyFont="1" applyBorder="1"/>
    <xf numFmtId="172" fontId="181" fillId="0" borderId="0" xfId="0" applyFont="1"/>
    <xf numFmtId="172" fontId="183" fillId="0" borderId="51" xfId="0" applyFont="1" applyBorder="1"/>
    <xf numFmtId="172" fontId="181" fillId="0" borderId="37" xfId="0" applyFont="1" applyBorder="1"/>
    <xf numFmtId="172" fontId="181" fillId="0" borderId="38" xfId="0" applyFont="1" applyBorder="1"/>
    <xf numFmtId="10" fontId="181" fillId="0" borderId="0" xfId="4352" applyNumberFormat="1" applyFont="1" applyBorder="1" applyAlignment="1"/>
    <xf numFmtId="172" fontId="182" fillId="0" borderId="53" xfId="0" applyFont="1" applyBorder="1" applyAlignment="1">
      <alignment horizontal="center"/>
    </xf>
    <xf numFmtId="172" fontId="182" fillId="0" borderId="3" xfId="0" applyFont="1" applyBorder="1" applyAlignment="1">
      <alignment horizontal="center"/>
    </xf>
    <xf numFmtId="172" fontId="181" fillId="0" borderId="3" xfId="0" applyFont="1" applyBorder="1" applyAlignment="1">
      <alignment horizontal="center"/>
    </xf>
    <xf numFmtId="172" fontId="181" fillId="0" borderId="37" xfId="0" applyFont="1" applyBorder="1" applyAlignment="1">
      <alignment horizontal="center"/>
    </xf>
    <xf numFmtId="172" fontId="181" fillId="0" borderId="0" xfId="0" applyFont="1" applyAlignment="1">
      <alignment horizontal="center"/>
    </xf>
    <xf numFmtId="172" fontId="181" fillId="0" borderId="38" xfId="0" applyFont="1" applyBorder="1" applyAlignment="1">
      <alignment horizontal="center"/>
    </xf>
    <xf numFmtId="42" fontId="181" fillId="0" borderId="0" xfId="0" applyNumberFormat="1" applyFont="1"/>
    <xf numFmtId="42" fontId="181" fillId="0" borderId="0" xfId="1" applyNumberFormat="1" applyFont="1" applyBorder="1" applyAlignment="1"/>
    <xf numFmtId="42" fontId="181" fillId="0" borderId="38" xfId="1" applyNumberFormat="1" applyFont="1" applyBorder="1" applyAlignment="1"/>
    <xf numFmtId="174" fontId="181" fillId="0" borderId="52" xfId="190" applyNumberFormat="1" applyFont="1" applyBorder="1" applyAlignment="1"/>
    <xf numFmtId="174" fontId="181" fillId="0" borderId="3" xfId="190" applyNumberFormat="1" applyFont="1" applyBorder="1" applyAlignment="1"/>
    <xf numFmtId="44" fontId="181" fillId="0" borderId="52" xfId="1" applyFont="1" applyBorder="1" applyAlignment="1">
      <alignment horizontal="right"/>
    </xf>
    <xf numFmtId="173" fontId="181" fillId="0" borderId="3" xfId="1" applyNumberFormat="1" applyFont="1" applyBorder="1" applyAlignment="1"/>
    <xf numFmtId="173" fontId="181" fillId="0" borderId="53" xfId="1" applyNumberFormat="1" applyFont="1" applyBorder="1" applyAlignment="1"/>
    <xf numFmtId="174" fontId="181" fillId="0" borderId="0" xfId="190" applyNumberFormat="1" applyFont="1" applyBorder="1" applyAlignment="1"/>
    <xf numFmtId="44" fontId="181" fillId="0" borderId="0" xfId="1" applyFont="1" applyBorder="1" applyAlignment="1">
      <alignment horizontal="right"/>
    </xf>
    <xf numFmtId="173" fontId="181" fillId="0" borderId="0" xfId="1" applyNumberFormat="1" applyFont="1" applyBorder="1" applyAlignment="1"/>
    <xf numFmtId="172" fontId="181" fillId="3" borderId="4" xfId="0" applyFont="1" applyFill="1" applyBorder="1"/>
    <xf numFmtId="172" fontId="181" fillId="3" borderId="0" xfId="0" applyFont="1" applyFill="1" applyAlignment="1">
      <alignment horizontal="center"/>
    </xf>
    <xf numFmtId="10" fontId="181" fillId="3" borderId="0" xfId="4352" applyNumberFormat="1" applyFont="1" applyFill="1" applyBorder="1" applyAlignment="1"/>
    <xf numFmtId="172" fontId="181" fillId="3" borderId="4" xfId="0" applyFont="1" applyFill="1" applyBorder="1" applyAlignment="1">
      <alignment wrapText="1"/>
    </xf>
    <xf numFmtId="0" fontId="181" fillId="3" borderId="0" xfId="4352" quotePrefix="1" applyNumberFormat="1" applyFont="1" applyFill="1" applyBorder="1" applyAlignment="1">
      <alignment horizontal="right"/>
    </xf>
    <xf numFmtId="42" fontId="181" fillId="3" borderId="37" xfId="1" applyNumberFormat="1" applyFont="1" applyFill="1" applyBorder="1" applyAlignment="1">
      <alignment horizontal="right"/>
    </xf>
    <xf numFmtId="42" fontId="181" fillId="3" borderId="0" xfId="1" applyNumberFormat="1" applyFont="1" applyFill="1" applyBorder="1" applyAlignment="1"/>
    <xf numFmtId="172" fontId="182" fillId="0" borderId="0" xfId="0" applyFont="1" applyAlignment="1">
      <alignment horizontal="center"/>
    </xf>
    <xf numFmtId="0" fontId="31" fillId="0" borderId="0" xfId="4598" applyFont="1" applyAlignment="1">
      <alignment horizontal="center"/>
    </xf>
    <xf numFmtId="44" fontId="165" fillId="0" borderId="0" xfId="0" applyNumberFormat="1" applyFont="1" applyAlignment="1">
      <alignment horizontal="center"/>
    </xf>
    <xf numFmtId="0" fontId="181" fillId="0" borderId="0" xfId="0" applyNumberFormat="1" applyFont="1" applyAlignment="1">
      <alignment horizontal="center"/>
    </xf>
    <xf numFmtId="172" fontId="181" fillId="0" borderId="0" xfId="0" applyFont="1" applyAlignment="1">
      <alignment horizontal="left"/>
    </xf>
    <xf numFmtId="172" fontId="184" fillId="0" borderId="0" xfId="0" applyFont="1" applyAlignment="1">
      <alignment horizontal="center"/>
    </xf>
    <xf numFmtId="0" fontId="181" fillId="3" borderId="0" xfId="0" applyNumberFormat="1" applyFont="1" applyFill="1" applyAlignment="1">
      <alignment horizontal="center"/>
    </xf>
    <xf numFmtId="0" fontId="165" fillId="0" borderId="0" xfId="0" applyNumberFormat="1" applyFont="1" applyProtection="1">
      <protection locked="0"/>
    </xf>
    <xf numFmtId="172" fontId="123" fillId="0" borderId="0" xfId="4667" applyNumberFormat="1" applyFont="1" applyBorder="1" applyAlignment="1"/>
    <xf numFmtId="172" fontId="31" fillId="0" borderId="37" xfId="4667" applyNumberFormat="1" applyFont="1" applyFill="1" applyBorder="1" applyAlignment="1"/>
    <xf numFmtId="41" fontId="31" fillId="77" borderId="0" xfId="1" applyNumberFormat="1" applyFont="1" applyFill="1" applyBorder="1" applyAlignment="1" applyProtection="1">
      <protection locked="0"/>
    </xf>
    <xf numFmtId="172" fontId="31" fillId="0" borderId="37" xfId="4667" applyNumberFormat="1" applyFont="1" applyBorder="1" applyAlignment="1"/>
    <xf numFmtId="172" fontId="157" fillId="0" borderId="37" xfId="4667" applyNumberFormat="1" applyFont="1" applyBorder="1" applyAlignment="1">
      <alignment horizontal="center"/>
    </xf>
    <xf numFmtId="172" fontId="182" fillId="0" borderId="0" xfId="0" applyFont="1" applyAlignment="1">
      <alignment horizontal="left"/>
    </xf>
    <xf numFmtId="42" fontId="181" fillId="78" borderId="0" xfId="0" applyNumberFormat="1" applyFont="1" applyFill="1"/>
    <xf numFmtId="172" fontId="182" fillId="0" borderId="37" xfId="0" applyFont="1" applyBorder="1" applyAlignment="1">
      <alignment horizontal="center"/>
    </xf>
    <xf numFmtId="172" fontId="182" fillId="0" borderId="52" xfId="0" applyFont="1" applyBorder="1" applyAlignment="1">
      <alignment horizontal="center"/>
    </xf>
    <xf numFmtId="42" fontId="39" fillId="0" borderId="37" xfId="4667" applyNumberFormat="1" applyFont="1" applyBorder="1" applyAlignment="1"/>
    <xf numFmtId="174" fontId="181" fillId="0" borderId="37" xfId="190" applyNumberFormat="1" applyFont="1" applyBorder="1" applyAlignment="1"/>
    <xf numFmtId="172" fontId="181" fillId="3" borderId="47" xfId="0" applyFont="1" applyFill="1" applyBorder="1"/>
    <xf numFmtId="172" fontId="182" fillId="0" borderId="38" xfId="0" applyFont="1" applyBorder="1" applyAlignment="1">
      <alignment horizontal="center"/>
    </xf>
    <xf numFmtId="174" fontId="181" fillId="0" borderId="38" xfId="190" applyNumberFormat="1" applyFont="1" applyBorder="1" applyAlignment="1"/>
    <xf numFmtId="174" fontId="181" fillId="0" borderId="53" xfId="190" applyNumberFormat="1" applyFont="1" applyBorder="1" applyAlignment="1"/>
    <xf numFmtId="44" fontId="181" fillId="0" borderId="37" xfId="1" applyFont="1" applyBorder="1" applyAlignment="1">
      <alignment horizontal="right"/>
    </xf>
    <xf numFmtId="173" fontId="181" fillId="0" borderId="38" xfId="1" applyNumberFormat="1" applyFont="1" applyBorder="1" applyAlignment="1"/>
    <xf numFmtId="172" fontId="181" fillId="0" borderId="35" xfId="0" applyFont="1" applyBorder="1"/>
    <xf numFmtId="172" fontId="123" fillId="0" borderId="0" xfId="4667" applyNumberFormat="1" applyFont="1" applyFill="1" applyAlignment="1">
      <alignment horizontal="center"/>
    </xf>
    <xf numFmtId="0" fontId="31" fillId="0" borderId="0" xfId="4671" applyFont="1"/>
    <xf numFmtId="0" fontId="31" fillId="0" borderId="0" xfId="4671" quotePrefix="1" applyFont="1"/>
    <xf numFmtId="0" fontId="31" fillId="0" borderId="0" xfId="4671" applyFont="1" applyAlignment="1">
      <alignment horizontal="center"/>
    </xf>
    <xf numFmtId="37" fontId="31" fillId="0" borderId="0" xfId="4671" applyNumberFormat="1" applyFont="1" applyAlignment="1">
      <alignment horizontal="right"/>
    </xf>
    <xf numFmtId="0" fontId="186" fillId="0" borderId="27" xfId="4671" applyFont="1" applyBorder="1"/>
    <xf numFmtId="37" fontId="31" fillId="0" borderId="0" xfId="4671" applyNumberFormat="1" applyFont="1"/>
    <xf numFmtId="0" fontId="31" fillId="0" borderId="0" xfId="4671" applyFont="1" applyAlignment="1">
      <alignment horizontal="left" indent="1"/>
    </xf>
    <xf numFmtId="5" fontId="31" fillId="0" borderId="0" xfId="4671" applyNumberFormat="1" applyFont="1"/>
    <xf numFmtId="0" fontId="31" fillId="0" borderId="0" xfId="4671" applyFont="1" applyAlignment="1">
      <alignment horizontal="left" indent="2"/>
    </xf>
    <xf numFmtId="0" fontId="132" fillId="0" borderId="0" xfId="4473" applyFont="1" applyAlignment="1">
      <alignment horizontal="left" indent="2"/>
    </xf>
    <xf numFmtId="0" fontId="186" fillId="0" borderId="0" xfId="4671" applyFont="1" applyAlignment="1">
      <alignment horizontal="left"/>
    </xf>
    <xf numFmtId="212" fontId="31" fillId="0" borderId="0" xfId="4671" applyNumberFormat="1" applyFont="1"/>
    <xf numFmtId="308" fontId="31" fillId="0" borderId="0" xfId="4671" applyNumberFormat="1" applyFont="1"/>
    <xf numFmtId="0" fontId="123" fillId="0" borderId="0" xfId="4671" applyFont="1"/>
    <xf numFmtId="0" fontId="157" fillId="0" borderId="0" xfId="4" applyFont="1" applyAlignment="1">
      <alignment horizontal="center"/>
    </xf>
    <xf numFmtId="174" fontId="31" fillId="0" borderId="0" xfId="4665" applyNumberFormat="1" applyFont="1" applyFill="1" applyAlignment="1" applyProtection="1">
      <alignment horizontal="center"/>
      <protection locked="0"/>
    </xf>
    <xf numFmtId="43" fontId="31" fillId="0" borderId="0" xfId="190" applyFont="1" applyFill="1" applyAlignment="1"/>
    <xf numFmtId="172" fontId="31" fillId="0" borderId="0" xfId="4667" applyNumberFormat="1" applyFont="1" applyFill="1" applyAlignment="1">
      <alignment horizontal="right"/>
    </xf>
    <xf numFmtId="172" fontId="123" fillId="0" borderId="0" xfId="4667" applyNumberFormat="1" applyFont="1" applyBorder="1"/>
    <xf numFmtId="172" fontId="123" fillId="0" borderId="0" xfId="4667" applyNumberFormat="1" applyFont="1" applyBorder="1" applyAlignment="1">
      <alignment horizontal="center"/>
    </xf>
    <xf numFmtId="172" fontId="31" fillId="0" borderId="0" xfId="4667" quotePrefix="1" applyNumberFormat="1" applyFont="1" applyAlignment="1">
      <alignment horizontal="center"/>
    </xf>
    <xf numFmtId="172" fontId="31" fillId="0" borderId="0" xfId="4667" quotePrefix="1" applyNumberFormat="1" applyFont="1" applyFill="1" applyAlignment="1">
      <alignment horizontal="center"/>
    </xf>
    <xf numFmtId="172" fontId="123" fillId="0" borderId="0" xfId="4667" applyNumberFormat="1" applyFont="1" applyAlignment="1"/>
    <xf numFmtId="172" fontId="123" fillId="0" borderId="0" xfId="4667" applyNumberFormat="1" applyFont="1" applyAlignment="1">
      <alignment horizontal="center"/>
    </xf>
    <xf numFmtId="172" fontId="123" fillId="0" borderId="1" xfId="4667" applyNumberFormat="1" applyFont="1" applyBorder="1" applyAlignment="1">
      <alignment horizontal="center"/>
    </xf>
    <xf numFmtId="172" fontId="123" fillId="0" borderId="1" xfId="4667" applyNumberFormat="1" applyFont="1" applyFill="1" applyBorder="1" applyAlignment="1">
      <alignment horizontal="center"/>
    </xf>
    <xf numFmtId="0" fontId="31" fillId="0" borderId="0" xfId="190" applyNumberFormat="1" applyFont="1" applyAlignment="1">
      <alignment horizontal="center"/>
    </xf>
    <xf numFmtId="170" fontId="31" fillId="0" borderId="0" xfId="190" applyNumberFormat="1" applyFont="1" applyFill="1" applyBorder="1" applyAlignment="1"/>
    <xf numFmtId="0" fontId="31" fillId="0" borderId="0" xfId="4667" applyNumberFormat="1" applyFont="1" applyAlignment="1">
      <alignment horizontal="center"/>
    </xf>
    <xf numFmtId="193" fontId="31" fillId="0" borderId="0" xfId="4667" applyNumberFormat="1" applyFont="1" applyFill="1" applyAlignment="1"/>
    <xf numFmtId="41" fontId="31" fillId="0" borderId="0" xfId="4668" applyNumberFormat="1" applyFont="1" applyProtection="1">
      <protection locked="0"/>
    </xf>
    <xf numFmtId="271" fontId="31" fillId="78" borderId="0" xfId="190" applyNumberFormat="1" applyFont="1" applyFill="1" applyAlignment="1"/>
    <xf numFmtId="41" fontId="31" fillId="0" borderId="0" xfId="4667" applyNumberFormat="1" applyFont="1" applyFill="1" applyBorder="1" applyAlignment="1"/>
    <xf numFmtId="172" fontId="31" fillId="0" borderId="4" xfId="4667" applyNumberFormat="1" applyFont="1" applyFill="1" applyBorder="1" applyAlignment="1"/>
    <xf numFmtId="173" fontId="31" fillId="0" borderId="4" xfId="1" applyNumberFormat="1" applyFont="1" applyFill="1" applyBorder="1" applyAlignment="1"/>
    <xf numFmtId="271" fontId="31" fillId="0" borderId="4" xfId="190" applyNumberFormat="1" applyFont="1" applyFill="1" applyBorder="1" applyAlignment="1"/>
    <xf numFmtId="173" fontId="31" fillId="0" borderId="0" xfId="4668" applyNumberFormat="1" applyFont="1" applyProtection="1">
      <protection locked="0"/>
    </xf>
    <xf numFmtId="0" fontId="31" fillId="0" borderId="4" xfId="4667" applyNumberFormat="1" applyFont="1" applyBorder="1" applyAlignment="1"/>
    <xf numFmtId="1" fontId="31" fillId="0" borderId="4" xfId="4668" applyNumberFormat="1" applyFont="1" applyBorder="1" applyAlignment="1" applyProtection="1">
      <alignment horizontal="left"/>
      <protection locked="0"/>
    </xf>
    <xf numFmtId="173" fontId="31" fillId="0" borderId="4" xfId="4668" applyNumberFormat="1" applyFont="1" applyBorder="1" applyProtection="1">
      <protection locked="0"/>
    </xf>
    <xf numFmtId="172" fontId="123" fillId="0" borderId="0" xfId="4669" applyFont="1" applyAlignment="1">
      <alignment horizontal="left"/>
    </xf>
    <xf numFmtId="42" fontId="31" fillId="0" borderId="0" xfId="4667" applyNumberFormat="1" applyFont="1" applyAlignment="1"/>
    <xf numFmtId="0" fontId="31" fillId="0" borderId="0" xfId="4667" applyNumberFormat="1" applyFont="1" applyFill="1" applyBorder="1" applyAlignment="1"/>
    <xf numFmtId="41" fontId="116" fillId="0" borderId="0" xfId="4668" applyNumberFormat="1" applyFont="1" applyProtection="1">
      <protection locked="0"/>
    </xf>
    <xf numFmtId="172" fontId="31" fillId="0" borderId="0" xfId="4667" applyNumberFormat="1" applyFont="1" applyFill="1" applyBorder="1" applyAlignment="1">
      <alignment horizontal="center"/>
    </xf>
    <xf numFmtId="193" fontId="31" fillId="0" borderId="0" xfId="4667" applyNumberFormat="1" applyFont="1" applyFill="1" applyBorder="1" applyAlignment="1"/>
    <xf numFmtId="42" fontId="31" fillId="0" borderId="0" xfId="4667" applyNumberFormat="1" applyFont="1" applyFill="1" applyBorder="1" applyAlignment="1"/>
    <xf numFmtId="10" fontId="31" fillId="0" borderId="0" xfId="4667" applyNumberFormat="1" applyFont="1" applyFill="1" applyBorder="1" applyAlignment="1"/>
    <xf numFmtId="41" fontId="187" fillId="0" borderId="0" xfId="4667" applyNumberFormat="1" applyFont="1" applyFill="1" applyBorder="1" applyAlignment="1"/>
    <xf numFmtId="0" fontId="31" fillId="0" borderId="0" xfId="4670" applyFont="1"/>
    <xf numFmtId="1" fontId="166" fillId="3" borderId="0" xfId="0" applyNumberFormat="1" applyFont="1" applyFill="1" applyAlignment="1" applyProtection="1">
      <alignment horizontal="center"/>
      <protection locked="0"/>
    </xf>
    <xf numFmtId="14" fontId="31" fillId="0" borderId="0" xfId="0" applyNumberFormat="1" applyFont="1" applyProtection="1">
      <protection locked="0"/>
    </xf>
    <xf numFmtId="1" fontId="31" fillId="0" borderId="0" xfId="0" applyNumberFormat="1" applyFont="1" applyAlignment="1" applyProtection="1">
      <alignment horizontal="center"/>
      <protection locked="0"/>
    </xf>
    <xf numFmtId="0" fontId="31" fillId="0" borderId="0" xfId="4" applyFont="1" applyAlignment="1">
      <alignment horizontal="center" vertical="top"/>
    </xf>
    <xf numFmtId="42" fontId="31" fillId="0" borderId="0" xfId="0" applyNumberFormat="1" applyFont="1" applyAlignment="1" applyProtection="1">
      <alignment horizontal="right"/>
    </xf>
    <xf numFmtId="0" fontId="31" fillId="0" borderId="0" xfId="0" applyNumberFormat="1" applyFont="1"/>
    <xf numFmtId="3" fontId="166" fillId="3" borderId="0" xfId="0" applyNumberFormat="1" applyFont="1" applyFill="1"/>
    <xf numFmtId="172" fontId="123" fillId="0" borderId="0" xfId="0" applyFont="1"/>
    <xf numFmtId="0" fontId="123" fillId="0" borderId="0" xfId="4" applyFont="1" applyAlignment="1">
      <alignment horizontal="center"/>
    </xf>
    <xf numFmtId="3" fontId="31" fillId="0" borderId="1" xfId="0" applyNumberFormat="1" applyFont="1" applyBorder="1" applyAlignment="1">
      <alignment horizontal="center"/>
    </xf>
    <xf numFmtId="0" fontId="123" fillId="0" borderId="1" xfId="4" applyFont="1" applyBorder="1" applyAlignment="1">
      <alignment horizontal="center"/>
    </xf>
    <xf numFmtId="0" fontId="31" fillId="0" borderId="0" xfId="4" applyFont="1" applyAlignment="1">
      <alignment horizontal="center" vertical="center"/>
    </xf>
    <xf numFmtId="174" fontId="31" fillId="74" borderId="14" xfId="4665" applyNumberFormat="1" applyFont="1" applyFill="1" applyBorder="1" applyAlignment="1"/>
    <xf numFmtId="0" fontId="189" fillId="0" borderId="0" xfId="4671" applyFont="1" applyAlignment="1">
      <alignment horizontal="center"/>
    </xf>
    <xf numFmtId="0" fontId="186" fillId="0" borderId="0" xfId="4671" applyFont="1" applyAlignment="1">
      <alignment horizontal="center"/>
    </xf>
    <xf numFmtId="37" fontId="186" fillId="0" borderId="0" xfId="4671" applyNumberFormat="1" applyFont="1" applyAlignment="1">
      <alignment horizontal="center"/>
    </xf>
    <xf numFmtId="173" fontId="166" fillId="3" borderId="0" xfId="1" applyNumberFormat="1" applyFont="1" applyFill="1" applyAlignment="1"/>
    <xf numFmtId="173" fontId="31" fillId="0" borderId="4" xfId="1" applyNumberFormat="1" applyFont="1" applyFill="1" applyBorder="1"/>
    <xf numFmtId="0" fontId="31" fillId="0" borderId="4" xfId="4671" applyFont="1" applyBorder="1" applyAlignment="1">
      <alignment horizontal="left" indent="1"/>
    </xf>
    <xf numFmtId="42" fontId="123" fillId="0" borderId="0" xfId="1" applyNumberFormat="1" applyFont="1" applyFill="1" applyBorder="1" applyAlignment="1" applyProtection="1">
      <alignment horizontal="right"/>
    </xf>
    <xf numFmtId="42" fontId="31" fillId="0" borderId="0" xfId="0" applyNumberFormat="1" applyFont="1" applyProtection="1">
      <protection locked="0"/>
    </xf>
    <xf numFmtId="42" fontId="31" fillId="0" borderId="0" xfId="4671" applyNumberFormat="1" applyFont="1"/>
    <xf numFmtId="0" fontId="31" fillId="0" borderId="0" xfId="4671" applyFont="1" applyAlignment="1">
      <alignment horizontal="left"/>
    </xf>
    <xf numFmtId="173" fontId="31" fillId="0" borderId="0" xfId="4671" applyNumberFormat="1" applyFont="1"/>
    <xf numFmtId="173" fontId="31" fillId="0" borderId="15" xfId="4671" applyNumberFormat="1" applyFont="1" applyBorder="1"/>
    <xf numFmtId="42" fontId="31" fillId="0" borderId="15" xfId="1" applyNumberFormat="1" applyFont="1" applyFill="1" applyBorder="1" applyAlignment="1" applyProtection="1">
      <alignment horizontal="right"/>
    </xf>
    <xf numFmtId="0" fontId="31" fillId="0" borderId="0" xfId="0" applyNumberFormat="1" applyFont="1" applyAlignment="1" applyProtection="1">
      <alignment vertical="top" wrapText="1"/>
      <protection locked="0"/>
    </xf>
    <xf numFmtId="0" fontId="123" fillId="0" borderId="0" xfId="4155" applyNumberFormat="1" applyFont="1" applyAlignment="1" applyProtection="1">
      <alignment horizontal="center"/>
      <protection locked="0"/>
    </xf>
    <xf numFmtId="49" fontId="123" fillId="0" borderId="0" xfId="4597" applyNumberFormat="1" applyFont="1" applyAlignment="1">
      <alignment horizontal="center"/>
    </xf>
    <xf numFmtId="173" fontId="31" fillId="0" borderId="14" xfId="4476" applyNumberFormat="1" applyFont="1" applyBorder="1"/>
    <xf numFmtId="42" fontId="123" fillId="0" borderId="15" xfId="1" applyNumberFormat="1" applyFont="1" applyFill="1" applyBorder="1" applyAlignment="1" applyProtection="1">
      <alignment horizontal="right"/>
    </xf>
    <xf numFmtId="168" fontId="31" fillId="0" borderId="0" xfId="0" applyNumberFormat="1" applyFont="1" applyProtection="1">
      <protection locked="0"/>
    </xf>
    <xf numFmtId="1" fontId="31" fillId="0" borderId="0" xfId="0" applyNumberFormat="1" applyFont="1" applyProtection="1">
      <protection locked="0"/>
    </xf>
    <xf numFmtId="172" fontId="123" fillId="0" borderId="0" xfId="0" applyFont="1" applyProtection="1">
      <protection locked="0"/>
    </xf>
    <xf numFmtId="172" fontId="190" fillId="0" borderId="0" xfId="0" applyFont="1" applyProtection="1">
      <protection locked="0"/>
    </xf>
    <xf numFmtId="172" fontId="123" fillId="0" borderId="3" xfId="0" applyFont="1" applyBorder="1" applyAlignment="1">
      <alignment horizontal="center"/>
    </xf>
    <xf numFmtId="172" fontId="31" fillId="0" borderId="3" xfId="0" applyFont="1" applyBorder="1"/>
    <xf numFmtId="172" fontId="31" fillId="0" borderId="0" xfId="0" applyFont="1" applyAlignment="1" applyProtection="1">
      <alignment wrapText="1"/>
      <protection locked="0"/>
    </xf>
    <xf numFmtId="0" fontId="132" fillId="0" borderId="0" xfId="4473" applyFont="1" applyAlignment="1">
      <alignment horizontal="center"/>
    </xf>
    <xf numFmtId="0" fontId="31" fillId="0" borderId="0" xfId="4472" applyNumberFormat="1" applyFont="1" applyFill="1" applyBorder="1" applyAlignment="1">
      <alignment horizontal="left"/>
    </xf>
    <xf numFmtId="174" fontId="31" fillId="0" borderId="0" xfId="4472" applyNumberFormat="1" applyFont="1" applyFill="1" applyBorder="1"/>
    <xf numFmtId="0" fontId="31" fillId="0" borderId="0" xfId="4472" applyNumberFormat="1" applyFont="1" applyFill="1" applyBorder="1" applyAlignment="1">
      <alignment horizontal="center"/>
    </xf>
    <xf numFmtId="174" fontId="166" fillId="2" borderId="0" xfId="4472" applyNumberFormat="1" applyFont="1" applyFill="1" applyBorder="1"/>
    <xf numFmtId="174" fontId="31" fillId="0" borderId="4" xfId="4472" applyNumberFormat="1" applyFont="1" applyFill="1" applyBorder="1"/>
    <xf numFmtId="172" fontId="31" fillId="0" borderId="4" xfId="0" applyFont="1" applyBorder="1"/>
    <xf numFmtId="172" fontId="123" fillId="0" borderId="0" xfId="0" applyFont="1" applyAlignment="1" applyProtection="1">
      <alignment horizontal="left"/>
      <protection locked="0"/>
    </xf>
    <xf numFmtId="172" fontId="31" fillId="0" borderId="0" xfId="0" applyFont="1" applyAlignment="1" applyProtection="1">
      <alignment horizontal="centerContinuous"/>
      <protection locked="0"/>
    </xf>
    <xf numFmtId="0" fontId="123" fillId="0" borderId="3" xfId="4471" applyFont="1" applyBorder="1" applyAlignment="1">
      <alignment horizontal="center"/>
    </xf>
    <xf numFmtId="172" fontId="166" fillId="2" borderId="27" xfId="0" applyFont="1" applyFill="1" applyBorder="1"/>
    <xf numFmtId="0" fontId="166" fillId="2" borderId="27" xfId="4471" applyFont="1" applyFill="1" applyBorder="1"/>
    <xf numFmtId="174" fontId="166" fillId="2" borderId="27" xfId="190" applyNumberFormat="1" applyFont="1" applyFill="1" applyBorder="1"/>
    <xf numFmtId="37" fontId="166" fillId="2" borderId="27" xfId="0" applyNumberFormat="1" applyFont="1" applyFill="1" applyBorder="1"/>
    <xf numFmtId="39" fontId="166" fillId="2" borderId="27" xfId="0" applyNumberFormat="1" applyFont="1" applyFill="1" applyBorder="1"/>
    <xf numFmtId="172" fontId="166" fillId="2" borderId="46" xfId="0" applyFont="1" applyFill="1" applyBorder="1"/>
    <xf numFmtId="37" fontId="166" fillId="2" borderId="46" xfId="0" applyNumberFormat="1" applyFont="1" applyFill="1" applyBorder="1"/>
    <xf numFmtId="37" fontId="31" fillId="0" borderId="4" xfId="0" applyNumberFormat="1" applyFont="1" applyBorder="1"/>
    <xf numFmtId="37" fontId="31" fillId="0" borderId="0" xfId="0" applyNumberFormat="1" applyFont="1"/>
    <xf numFmtId="172" fontId="186" fillId="0" borderId="0" xfId="0" applyFont="1"/>
    <xf numFmtId="174" fontId="31" fillId="0" borderId="0" xfId="0" applyNumberFormat="1" applyFont="1"/>
    <xf numFmtId="172" fontId="157" fillId="0" borderId="0" xfId="0" applyFont="1"/>
    <xf numFmtId="172" fontId="157" fillId="0" borderId="0" xfId="0" applyFont="1" applyAlignment="1">
      <alignment horizontal="center"/>
    </xf>
    <xf numFmtId="172" fontId="193" fillId="0" borderId="0" xfId="4667" applyNumberFormat="1" applyFont="1" applyAlignment="1">
      <alignment horizontal="center"/>
    </xf>
    <xf numFmtId="172" fontId="191" fillId="0" borderId="0" xfId="4667" applyNumberFormat="1" applyFont="1" applyAlignment="1">
      <alignment horizontal="center"/>
    </xf>
    <xf numFmtId="172" fontId="31" fillId="0" borderId="51" xfId="4667" applyNumberFormat="1" applyFont="1" applyBorder="1" applyAlignment="1"/>
    <xf numFmtId="172" fontId="31" fillId="0" borderId="4" xfId="4667" applyNumberFormat="1" applyFont="1" applyBorder="1" applyAlignment="1"/>
    <xf numFmtId="0" fontId="31" fillId="0" borderId="47" xfId="4667" applyNumberFormat="1" applyFont="1" applyBorder="1" applyAlignment="1"/>
    <xf numFmtId="172" fontId="31" fillId="0" borderId="37" xfId="4667" applyNumberFormat="1" applyFont="1" applyFill="1" applyBorder="1" applyAlignment="1">
      <alignment horizontal="center"/>
    </xf>
    <xf numFmtId="172" fontId="31" fillId="0" borderId="38" xfId="4667" applyNumberFormat="1" applyFont="1" applyFill="1" applyBorder="1" applyAlignment="1">
      <alignment horizontal="center"/>
    </xf>
    <xf numFmtId="172" fontId="31" fillId="0" borderId="37" xfId="4667" applyNumberFormat="1" applyFont="1" applyBorder="1" applyAlignment="1">
      <alignment horizontal="center"/>
    </xf>
    <xf numFmtId="172" fontId="31" fillId="0" borderId="38" xfId="4667" applyNumberFormat="1" applyFont="1" applyBorder="1" applyAlignment="1">
      <alignment horizontal="center"/>
    </xf>
    <xf numFmtId="172" fontId="123" fillId="0" borderId="3" xfId="4667" applyNumberFormat="1" applyFont="1" applyBorder="1" applyAlignment="1">
      <alignment horizontal="center"/>
    </xf>
    <xf numFmtId="172" fontId="31" fillId="0" borderId="56" xfId="4667" applyNumberFormat="1" applyFont="1" applyBorder="1" applyAlignment="1">
      <alignment horizontal="center"/>
    </xf>
    <xf numFmtId="172" fontId="31" fillId="0" borderId="1" xfId="4667" applyNumberFormat="1" applyFont="1" applyBorder="1" applyAlignment="1">
      <alignment horizontal="center"/>
    </xf>
    <xf numFmtId="172" fontId="31" fillId="0" borderId="57" xfId="4667" applyNumberFormat="1" applyFont="1" applyBorder="1" applyAlignment="1">
      <alignment horizontal="center"/>
    </xf>
    <xf numFmtId="164" fontId="31" fillId="0" borderId="0" xfId="4667" applyNumberFormat="1" applyFont="1" applyBorder="1" applyAlignment="1"/>
    <xf numFmtId="193" fontId="31" fillId="0" borderId="0" xfId="4352" applyNumberFormat="1" applyFont="1" applyFill="1" applyBorder="1" applyAlignment="1"/>
    <xf numFmtId="10" fontId="31" fillId="0" borderId="38" xfId="4352" quotePrefix="1" applyNumberFormat="1" applyFont="1" applyBorder="1" applyAlignment="1">
      <alignment horizontal="left"/>
    </xf>
    <xf numFmtId="193" fontId="31" fillId="0" borderId="0" xfId="4667" applyNumberFormat="1" applyFont="1" applyBorder="1" applyAlignment="1"/>
    <xf numFmtId="173" fontId="31" fillId="0" borderId="0" xfId="1" applyNumberFormat="1" applyFont="1" applyFill="1" applyBorder="1" applyAlignment="1" applyProtection="1">
      <alignment vertical="center"/>
      <protection locked="0"/>
    </xf>
    <xf numFmtId="173" fontId="31" fillId="0" borderId="0" xfId="4667" applyNumberFormat="1" applyFont="1" applyFill="1" applyBorder="1" applyAlignment="1"/>
    <xf numFmtId="42" fontId="31" fillId="56" borderId="0" xfId="4667" quotePrefix="1" applyNumberFormat="1" applyFont="1" applyFill="1" applyAlignment="1">
      <alignment horizontal="left"/>
    </xf>
    <xf numFmtId="173" fontId="116" fillId="3" borderId="37" xfId="1" applyNumberFormat="1" applyFont="1" applyFill="1" applyBorder="1" applyAlignment="1" applyProtection="1">
      <alignment vertical="center"/>
      <protection locked="0"/>
    </xf>
    <xf numFmtId="42" fontId="31" fillId="0" borderId="0" xfId="190" applyNumberFormat="1" applyFont="1" applyBorder="1" applyAlignment="1"/>
    <xf numFmtId="42" fontId="31" fillId="0" borderId="0" xfId="190" applyNumberFormat="1" applyFont="1" applyFill="1" applyBorder="1" applyAlignment="1"/>
    <xf numFmtId="42" fontId="31" fillId="0" borderId="38" xfId="190" applyNumberFormat="1" applyFont="1" applyBorder="1" applyAlignment="1"/>
    <xf numFmtId="306" fontId="31" fillId="0" borderId="0" xfId="4667" quotePrefix="1" applyNumberFormat="1" applyFont="1" applyFill="1" applyAlignment="1">
      <alignment horizontal="left"/>
    </xf>
    <xf numFmtId="170" fontId="189" fillId="0" borderId="37" xfId="4667" applyNumberFormat="1" applyFont="1" applyBorder="1" applyAlignment="1"/>
    <xf numFmtId="42" fontId="31" fillId="0" borderId="0" xfId="1" applyNumberFormat="1" applyFont="1" applyFill="1" applyBorder="1" applyAlignment="1"/>
    <xf numFmtId="172" fontId="31" fillId="0" borderId="52" xfId="4667" applyNumberFormat="1" applyFont="1" applyBorder="1" applyAlignment="1"/>
    <xf numFmtId="42" fontId="31" fillId="0" borderId="3" xfId="4667" applyNumberFormat="1" applyFont="1" applyFill="1" applyBorder="1" applyAlignment="1"/>
    <xf numFmtId="42" fontId="31" fillId="0" borderId="53" xfId="4667" applyNumberFormat="1" applyFont="1" applyBorder="1" applyAlignment="1"/>
    <xf numFmtId="41" fontId="31" fillId="0" borderId="0" xfId="4667" applyNumberFormat="1" applyFont="1" applyFill="1" applyAlignment="1"/>
    <xf numFmtId="172" fontId="192" fillId="0" borderId="0" xfId="4667" applyNumberFormat="1" applyFont="1" applyFill="1" applyAlignment="1"/>
    <xf numFmtId="172" fontId="31" fillId="0" borderId="17" xfId="4667" applyNumberFormat="1" applyFont="1" applyFill="1" applyBorder="1" applyAlignment="1">
      <alignment horizontal="center"/>
    </xf>
    <xf numFmtId="172" fontId="31" fillId="0" borderId="17" xfId="4667" quotePrefix="1" applyNumberFormat="1" applyFont="1" applyFill="1" applyBorder="1" applyAlignment="1">
      <alignment horizontal="center"/>
    </xf>
    <xf numFmtId="10" fontId="31" fillId="0" borderId="48" xfId="4352" applyNumberFormat="1" applyFont="1" applyFill="1" applyBorder="1"/>
    <xf numFmtId="10" fontId="31" fillId="56" borderId="51" xfId="4352" applyNumberFormat="1" applyFont="1" applyFill="1" applyBorder="1"/>
    <xf numFmtId="10" fontId="31" fillId="56" borderId="54" xfId="4352" applyNumberFormat="1" applyFont="1" applyFill="1" applyBorder="1"/>
    <xf numFmtId="41" fontId="116" fillId="2" borderId="49" xfId="4352" applyNumberFormat="1" applyFont="1" applyFill="1" applyBorder="1"/>
    <xf numFmtId="174" fontId="31" fillId="0" borderId="17" xfId="190" applyNumberFormat="1" applyFont="1" applyFill="1" applyBorder="1"/>
    <xf numFmtId="172" fontId="191" fillId="0" borderId="0" xfId="4667" applyNumberFormat="1" applyFont="1" applyAlignment="1"/>
    <xf numFmtId="10" fontId="31" fillId="56" borderId="37" xfId="4352" applyNumberFormat="1" applyFont="1" applyFill="1" applyBorder="1"/>
    <xf numFmtId="10" fontId="31" fillId="56" borderId="55" xfId="4352" applyNumberFormat="1" applyFont="1" applyFill="1" applyBorder="1"/>
    <xf numFmtId="10" fontId="31" fillId="56" borderId="52" xfId="4352" applyNumberFormat="1" applyFont="1" applyFill="1" applyBorder="1"/>
    <xf numFmtId="10" fontId="31" fillId="56" borderId="58" xfId="4352" applyNumberFormat="1" applyFont="1" applyFill="1" applyBorder="1"/>
    <xf numFmtId="172" fontId="192" fillId="0" borderId="0" xfId="4667" applyNumberFormat="1" applyFont="1" applyAlignment="1"/>
    <xf numFmtId="10" fontId="31" fillId="0" borderId="17" xfId="4352" applyNumberFormat="1" applyFont="1" applyFill="1" applyBorder="1"/>
    <xf numFmtId="10" fontId="31" fillId="0" borderId="58" xfId="4352" applyNumberFormat="1" applyFont="1" applyFill="1" applyBorder="1"/>
    <xf numFmtId="41" fontId="31" fillId="0" borderId="52" xfId="4352" applyNumberFormat="1" applyFont="1" applyFill="1" applyBorder="1"/>
    <xf numFmtId="307" fontId="31" fillId="0" borderId="52" xfId="4352" applyNumberFormat="1" applyFont="1" applyFill="1" applyBorder="1"/>
    <xf numFmtId="174" fontId="31" fillId="0" borderId="49" xfId="190" applyNumberFormat="1" applyFont="1" applyFill="1" applyBorder="1"/>
    <xf numFmtId="172" fontId="31" fillId="0" borderId="17" xfId="4667" applyNumberFormat="1" applyFont="1" applyFill="1" applyBorder="1" applyAlignment="1">
      <alignment horizontal="right"/>
    </xf>
    <xf numFmtId="174" fontId="31" fillId="0" borderId="17" xfId="4667" applyNumberFormat="1" applyFont="1" applyFill="1" applyBorder="1"/>
    <xf numFmtId="174" fontId="31" fillId="0" borderId="48" xfId="4667" applyNumberFormat="1" applyFont="1" applyFill="1" applyBorder="1"/>
    <xf numFmtId="174" fontId="31" fillId="0" borderId="49" xfId="4667" applyNumberFormat="1" applyFont="1" applyFill="1" applyBorder="1"/>
    <xf numFmtId="307" fontId="31" fillId="0" borderId="49" xfId="4667" applyNumberFormat="1" applyFont="1" applyFill="1" applyBorder="1"/>
    <xf numFmtId="172" fontId="31" fillId="0" borderId="0" xfId="4667" applyNumberFormat="1" applyFont="1" applyFill="1" applyAlignment="1">
      <alignment vertical="top"/>
    </xf>
    <xf numFmtId="172" fontId="31" fillId="0" borderId="0" xfId="4667" applyNumberFormat="1" applyFont="1" applyAlignment="1">
      <alignment horizontal="left" vertical="top"/>
    </xf>
    <xf numFmtId="172" fontId="123" fillId="0" borderId="0" xfId="4667" applyNumberFormat="1" applyFont="1" applyFill="1" applyAlignment="1"/>
    <xf numFmtId="172" fontId="116" fillId="0" borderId="0" xfId="4667" applyNumberFormat="1" applyFont="1" applyFill="1" applyAlignment="1"/>
    <xf numFmtId="172" fontId="116" fillId="0" borderId="0" xfId="4667" applyNumberFormat="1" applyFont="1" applyAlignment="1"/>
    <xf numFmtId="172" fontId="194" fillId="0" borderId="0" xfId="4667" applyNumberFormat="1" applyFont="1" applyFill="1" applyAlignment="1"/>
    <xf numFmtId="44" fontId="31" fillId="0" borderId="0" xfId="1" applyFont="1" applyFill="1" applyBorder="1" applyAlignment="1"/>
    <xf numFmtId="174" fontId="166" fillId="3" borderId="0" xfId="4665" applyNumberFormat="1" applyFont="1" applyFill="1" applyAlignment="1"/>
    <xf numFmtId="174" fontId="31" fillId="0" borderId="0" xfId="4665" applyNumberFormat="1" applyFont="1" applyFill="1" applyAlignment="1"/>
    <xf numFmtId="173" fontId="123" fillId="0" borderId="15" xfId="4476" applyNumberFormat="1" applyFont="1" applyBorder="1" applyAlignment="1">
      <alignment wrapText="1"/>
    </xf>
    <xf numFmtId="2" fontId="31" fillId="0" borderId="0" xfId="0" applyNumberFormat="1" applyFont="1" applyProtection="1"/>
    <xf numFmtId="165" fontId="31" fillId="0" borderId="4" xfId="0" applyNumberFormat="1" applyFont="1" applyBorder="1" applyProtection="1"/>
    <xf numFmtId="0" fontId="166" fillId="3" borderId="0" xfId="4671" applyFont="1" applyFill="1" applyAlignment="1">
      <alignment horizontal="left" indent="1"/>
    </xf>
    <xf numFmtId="0" fontId="166" fillId="3" borderId="0" xfId="4671" applyFont="1" applyFill="1" applyAlignment="1">
      <alignment horizontal="left"/>
    </xf>
    <xf numFmtId="37" fontId="166" fillId="3" borderId="0" xfId="4671" applyNumberFormat="1" applyFont="1" applyFill="1" applyAlignment="1">
      <alignment horizontal="left"/>
    </xf>
    <xf numFmtId="172" fontId="31" fillId="0" borderId="0" xfId="4667" applyNumberFormat="1" applyFont="1" applyFill="1" applyAlignment="1">
      <alignment horizontal="left" vertical="top" wrapText="1"/>
    </xf>
    <xf numFmtId="43" fontId="179" fillId="0" borderId="0" xfId="190" applyFont="1" applyBorder="1" applyAlignment="1">
      <alignment horizontal="right" vertical="center" wrapText="1"/>
    </xf>
    <xf numFmtId="43" fontId="179" fillId="0" borderId="0" xfId="190" applyFont="1" applyBorder="1" applyAlignment="1">
      <alignment vertical="center" wrapText="1"/>
    </xf>
    <xf numFmtId="174" fontId="179" fillId="0" borderId="0" xfId="190" applyNumberFormat="1" applyFont="1"/>
    <xf numFmtId="174" fontId="31" fillId="0" borderId="0" xfId="190" applyNumberFormat="1" applyFont="1" applyFill="1" applyAlignment="1">
      <alignment horizontal="center"/>
    </xf>
    <xf numFmtId="249" fontId="179" fillId="0" borderId="0" xfId="190" applyNumberFormat="1" applyFont="1"/>
    <xf numFmtId="249" fontId="179" fillId="0" borderId="0" xfId="190" applyNumberFormat="1" applyFont="1" applyBorder="1" applyAlignment="1">
      <alignment horizontal="right" vertical="center" wrapText="1"/>
    </xf>
    <xf numFmtId="49" fontId="31" fillId="0" borderId="0" xfId="4" applyNumberFormat="1" applyFont="1" applyAlignment="1">
      <alignment horizontal="center"/>
    </xf>
    <xf numFmtId="172" fontId="123" fillId="0" borderId="0" xfId="4667" applyNumberFormat="1" applyFont="1" applyFill="1" applyBorder="1" applyAlignment="1">
      <alignment horizontal="center"/>
    </xf>
    <xf numFmtId="164" fontId="116" fillId="3" borderId="37" xfId="4666" applyNumberFormat="1" applyFont="1" applyFill="1" applyBorder="1" applyAlignment="1" applyProtection="1">
      <alignment vertical="center"/>
      <protection locked="0"/>
    </xf>
    <xf numFmtId="10" fontId="31" fillId="0" borderId="52" xfId="4352" quotePrefix="1" applyNumberFormat="1" applyFont="1" applyBorder="1" applyAlignment="1">
      <alignment horizontal="center"/>
    </xf>
    <xf numFmtId="10" fontId="31" fillId="0" borderId="3" xfId="4352" quotePrefix="1" applyNumberFormat="1" applyFont="1" applyBorder="1" applyAlignment="1">
      <alignment horizontal="center"/>
    </xf>
    <xf numFmtId="172" fontId="31" fillId="0" borderId="3" xfId="4667" applyNumberFormat="1" applyFont="1" applyBorder="1" applyAlignment="1">
      <alignment horizontal="center"/>
    </xf>
    <xf numFmtId="174" fontId="31" fillId="0" borderId="4" xfId="4665" applyNumberFormat="1" applyFont="1" applyBorder="1" applyAlignment="1"/>
    <xf numFmtId="172" fontId="31" fillId="0" borderId="52" xfId="4667" applyNumberFormat="1" applyFont="1" applyBorder="1" applyAlignment="1">
      <alignment horizontal="center"/>
    </xf>
    <xf numFmtId="172" fontId="31" fillId="0" borderId="53" xfId="4667" applyNumberFormat="1" applyFont="1" applyBorder="1" applyAlignment="1">
      <alignment horizontal="center"/>
    </xf>
    <xf numFmtId="172" fontId="123" fillId="0" borderId="0" xfId="4667" applyNumberFormat="1" applyFont="1" applyFill="1" applyBorder="1" applyAlignment="1">
      <alignment horizontal="center" vertical="center"/>
    </xf>
    <xf numFmtId="172" fontId="31" fillId="0" borderId="0" xfId="4667" applyNumberFormat="1" applyFont="1" applyFill="1" applyAlignment="1">
      <alignment horizontal="center" vertical="center"/>
    </xf>
    <xf numFmtId="172" fontId="31" fillId="0" borderId="0" xfId="4667" applyNumberFormat="1" applyFont="1" applyAlignment="1">
      <alignment horizontal="center" vertical="center"/>
    </xf>
    <xf numFmtId="0" fontId="31" fillId="0" borderId="0" xfId="4667" applyNumberFormat="1" applyFont="1" applyAlignment="1">
      <alignment horizontal="center" vertical="center"/>
    </xf>
    <xf numFmtId="172" fontId="123" fillId="0" borderId="3" xfId="4667" applyNumberFormat="1" applyFont="1" applyBorder="1" applyAlignment="1">
      <alignment horizontal="center" vertical="center"/>
    </xf>
    <xf numFmtId="172" fontId="31" fillId="0" borderId="0" xfId="4667" applyNumberFormat="1" applyFont="1" applyFill="1" applyAlignment="1">
      <alignment vertical="top" wrapText="1"/>
    </xf>
    <xf numFmtId="249" fontId="179" fillId="0" borderId="0" xfId="4665" applyNumberFormat="1" applyFont="1"/>
    <xf numFmtId="172" fontId="31" fillId="0" borderId="47" xfId="4667" applyNumberFormat="1" applyFont="1" applyFill="1" applyBorder="1" applyAlignment="1">
      <alignment horizontal="center"/>
    </xf>
    <xf numFmtId="310" fontId="31" fillId="0" borderId="0" xfId="4667" applyNumberFormat="1" applyFont="1" applyAlignment="1"/>
    <xf numFmtId="172" fontId="31" fillId="3" borderId="37" xfId="4667" applyNumberFormat="1" applyFont="1" applyFill="1" applyBorder="1" applyAlignment="1">
      <alignment horizontal="right" wrapText="1"/>
    </xf>
    <xf numFmtId="44" fontId="31" fillId="0" borderId="0" xfId="1" applyFont="1" applyAlignment="1" applyProtection="1">
      <protection locked="0"/>
    </xf>
    <xf numFmtId="311" fontId="31" fillId="0" borderId="0" xfId="1" applyNumberFormat="1" applyFont="1" applyAlignment="1" applyProtection="1">
      <protection locked="0"/>
    </xf>
    <xf numFmtId="312" fontId="31" fillId="0" borderId="0" xfId="0" applyNumberFormat="1" applyFont="1" applyProtection="1">
      <protection locked="0"/>
    </xf>
    <xf numFmtId="172" fontId="31" fillId="0" borderId="51" xfId="4667" applyNumberFormat="1" applyFont="1" applyFill="1" applyBorder="1" applyAlignment="1">
      <alignment horizontal="center"/>
    </xf>
    <xf numFmtId="172" fontId="31" fillId="0" borderId="4" xfId="4667" applyNumberFormat="1" applyFont="1" applyFill="1" applyBorder="1" applyAlignment="1">
      <alignment horizontal="center"/>
    </xf>
    <xf numFmtId="174" fontId="179" fillId="0" borderId="0" xfId="4665" applyNumberFormat="1" applyFont="1" applyBorder="1" applyAlignment="1">
      <alignment horizontal="center" vertical="center" wrapText="1"/>
    </xf>
    <xf numFmtId="174" fontId="179" fillId="0" borderId="0" xfId="190" applyNumberFormat="1" applyFont="1" applyBorder="1" applyAlignment="1">
      <alignment vertical="center" wrapText="1"/>
    </xf>
    <xf numFmtId="41" fontId="31" fillId="77" borderId="4" xfId="1" applyNumberFormat="1" applyFont="1" applyFill="1" applyBorder="1" applyAlignment="1" applyProtection="1">
      <protection locked="0"/>
    </xf>
    <xf numFmtId="41" fontId="31" fillId="0" borderId="0" xfId="1" applyNumberFormat="1" applyFont="1" applyFill="1" applyAlignment="1" applyProtection="1">
      <protection locked="0"/>
    </xf>
    <xf numFmtId="41" fontId="31" fillId="0" borderId="4" xfId="1" applyNumberFormat="1" applyFont="1" applyFill="1" applyBorder="1" applyAlignment="1" applyProtection="1">
      <protection locked="0"/>
    </xf>
    <xf numFmtId="309" fontId="31" fillId="0" borderId="0" xfId="1" applyNumberFormat="1" applyFont="1" applyFill="1" applyAlignment="1" applyProtection="1">
      <protection locked="0"/>
    </xf>
    <xf numFmtId="172" fontId="31" fillId="0" borderId="47" xfId="4667" applyNumberFormat="1" applyFont="1" applyFill="1" applyBorder="1" applyAlignment="1"/>
    <xf numFmtId="174" fontId="31" fillId="0" borderId="4" xfId="4665" applyNumberFormat="1" applyFont="1" applyFill="1" applyBorder="1" applyAlignment="1"/>
    <xf numFmtId="41" fontId="166" fillId="3" borderId="0" xfId="1" applyNumberFormat="1" applyFont="1" applyFill="1" applyBorder="1" applyAlignment="1" applyProtection="1">
      <protection locked="0"/>
    </xf>
    <xf numFmtId="3" fontId="31" fillId="0" borderId="0" xfId="0" quotePrefix="1" applyNumberFormat="1" applyFont="1" applyProtection="1"/>
    <xf numFmtId="0" fontId="31" fillId="0" borderId="0" xfId="4" quotePrefix="1" applyFont="1"/>
    <xf numFmtId="172" fontId="182" fillId="0" borderId="0" xfId="0" applyFont="1"/>
    <xf numFmtId="0" fontId="31" fillId="0" borderId="0" xfId="0" applyNumberFormat="1" applyFont="1" applyAlignment="1" applyProtection="1">
      <alignment horizontal="center" vertical="top" wrapText="1"/>
      <protection locked="0"/>
    </xf>
    <xf numFmtId="172" fontId="31" fillId="0" borderId="47" xfId="0" applyFont="1" applyBorder="1"/>
    <xf numFmtId="173" fontId="31" fillId="0" borderId="17" xfId="0" applyNumberFormat="1" applyFont="1" applyBorder="1"/>
    <xf numFmtId="174" fontId="31" fillId="0" borderId="0" xfId="190" applyNumberFormat="1" applyFont="1" applyBorder="1"/>
    <xf numFmtId="174" fontId="31" fillId="0" borderId="0" xfId="190" applyNumberFormat="1" applyFont="1" applyBorder="1" applyAlignment="1">
      <alignment horizontal="right"/>
    </xf>
    <xf numFmtId="271" fontId="31" fillId="0" borderId="0" xfId="190" applyNumberFormat="1" applyFont="1" applyBorder="1"/>
    <xf numFmtId="174" fontId="31" fillId="0" borderId="15" xfId="190" applyNumberFormat="1" applyFont="1" applyBorder="1"/>
    <xf numFmtId="41" fontId="31" fillId="0" borderId="0" xfId="4598" applyNumberFormat="1" applyFont="1"/>
    <xf numFmtId="0" fontId="31" fillId="0" borderId="0" xfId="4598" applyFont="1" applyAlignment="1">
      <alignment horizontal="center" wrapText="1"/>
    </xf>
    <xf numFmtId="49" fontId="123" fillId="0" borderId="0" xfId="4" applyNumberFormat="1" applyFont="1" applyAlignment="1">
      <alignment horizontal="center"/>
    </xf>
    <xf numFmtId="0" fontId="123" fillId="0" borderId="0" xfId="4690" applyFont="1"/>
    <xf numFmtId="0" fontId="179" fillId="0" borderId="0" xfId="4690" applyFont="1"/>
    <xf numFmtId="0" fontId="179" fillId="0" borderId="0" xfId="4690" applyFont="1" applyAlignment="1">
      <alignment horizontal="right"/>
    </xf>
    <xf numFmtId="0" fontId="179" fillId="0" borderId="0" xfId="4690" applyFont="1" applyAlignment="1">
      <alignment horizontal="center"/>
    </xf>
    <xf numFmtId="0" fontId="196" fillId="0" borderId="0" xfId="4690" applyFont="1"/>
    <xf numFmtId="0" fontId="196" fillId="0" borderId="0" xfId="4690" applyFont="1" applyAlignment="1">
      <alignment vertical="center"/>
    </xf>
    <xf numFmtId="0" fontId="196" fillId="0" borderId="0" xfId="4690" applyFont="1" applyAlignment="1">
      <alignment horizontal="center" vertical="center"/>
    </xf>
    <xf numFmtId="0" fontId="196" fillId="0" borderId="0" xfId="4690" applyFont="1" applyAlignment="1">
      <alignment horizontal="center" vertical="center" wrapText="1"/>
    </xf>
    <xf numFmtId="0" fontId="196" fillId="0" borderId="54" xfId="4690" applyFont="1" applyBorder="1" applyAlignment="1">
      <alignment horizontal="center" vertical="center"/>
    </xf>
    <xf numFmtId="0" fontId="179" fillId="0" borderId="58" xfId="4690" applyFont="1" applyBorder="1" applyAlignment="1">
      <alignment horizontal="center" vertical="center" wrapText="1"/>
    </xf>
    <xf numFmtId="0" fontId="179" fillId="0" borderId="0" xfId="4690" applyFont="1" applyAlignment="1">
      <alignment horizontal="center" vertical="center" wrapText="1"/>
    </xf>
    <xf numFmtId="0" fontId="179" fillId="0" borderId="0" xfId="4690" applyFont="1" applyAlignment="1">
      <alignment horizontal="left" vertical="center"/>
    </xf>
    <xf numFmtId="15" fontId="179" fillId="0" borderId="0" xfId="4690" applyNumberFormat="1" applyFont="1" applyAlignment="1">
      <alignment vertical="center" wrapText="1"/>
    </xf>
    <xf numFmtId="174" fontId="179" fillId="0" borderId="0" xfId="4691" applyNumberFormat="1" applyFont="1" applyBorder="1" applyAlignment="1">
      <alignment horizontal="right" vertical="center" wrapText="1"/>
    </xf>
    <xf numFmtId="174" fontId="179" fillId="0" borderId="0" xfId="4691" applyNumberFormat="1" applyFont="1" applyBorder="1" applyAlignment="1">
      <alignment vertical="center" wrapText="1"/>
    </xf>
    <xf numFmtId="174" fontId="179" fillId="3" borderId="0" xfId="4692" applyNumberFormat="1" applyFont="1" applyFill="1" applyBorder="1" applyAlignment="1">
      <alignment horizontal="right" vertical="center" wrapText="1"/>
    </xf>
    <xf numFmtId="174" fontId="179" fillId="0" borderId="0" xfId="4691" applyNumberFormat="1" applyFont="1" applyFill="1" applyBorder="1" applyAlignment="1">
      <alignment horizontal="center" vertical="center" wrapText="1"/>
    </xf>
    <xf numFmtId="174" fontId="179" fillId="0" borderId="0" xfId="4692" applyNumberFormat="1" applyFont="1" applyBorder="1" applyAlignment="1">
      <alignment vertical="center" wrapText="1"/>
    </xf>
    <xf numFmtId="174" fontId="179" fillId="3" borderId="0" xfId="4692" applyNumberFormat="1" applyFont="1" applyFill="1" applyBorder="1" applyAlignment="1">
      <alignment vertical="center" wrapText="1"/>
    </xf>
    <xf numFmtId="0" fontId="179" fillId="0" borderId="4" xfId="4690" applyFont="1" applyBorder="1" applyAlignment="1">
      <alignment vertical="center" wrapText="1"/>
    </xf>
    <xf numFmtId="0" fontId="179" fillId="0" borderId="4" xfId="4690" applyFont="1" applyBorder="1" applyAlignment="1">
      <alignment horizontal="right" vertical="center" wrapText="1"/>
    </xf>
    <xf numFmtId="174" fontId="179" fillId="0" borderId="4" xfId="4691" applyNumberFormat="1" applyFont="1" applyBorder="1" applyAlignment="1">
      <alignment vertical="center" wrapText="1"/>
    </xf>
    <xf numFmtId="0" fontId="179" fillId="0" borderId="0" xfId="4690" applyFont="1" applyAlignment="1">
      <alignment vertical="center" wrapText="1"/>
    </xf>
    <xf numFmtId="0" fontId="179" fillId="0" borderId="0" xfId="4690" applyFont="1" applyAlignment="1">
      <alignment horizontal="right" vertical="center" wrapText="1"/>
    </xf>
    <xf numFmtId="0" fontId="179" fillId="0" borderId="0" xfId="4690" applyFont="1" applyAlignment="1">
      <alignment horizontal="justify" vertical="center" wrapText="1"/>
    </xf>
    <xf numFmtId="174" fontId="179" fillId="0" borderId="0" xfId="4691" applyNumberFormat="1" applyFont="1" applyFill="1" applyBorder="1" applyAlignment="1">
      <alignment vertical="center" wrapText="1"/>
    </xf>
    <xf numFmtId="174" fontId="179" fillId="0" borderId="4" xfId="4691" applyNumberFormat="1" applyFont="1" applyFill="1" applyBorder="1" applyAlignment="1">
      <alignment vertical="center" wrapText="1"/>
    </xf>
    <xf numFmtId="174" fontId="196" fillId="0" borderId="0" xfId="4690" applyNumberFormat="1" applyFont="1"/>
    <xf numFmtId="0" fontId="197" fillId="0" borderId="0" xfId="4690" applyFont="1" applyAlignment="1">
      <alignment horizontal="center"/>
    </xf>
    <xf numFmtId="174" fontId="196" fillId="0" borderId="0" xfId="4691" applyNumberFormat="1" applyFont="1" applyFill="1" applyBorder="1" applyAlignment="1">
      <alignment horizontal="center" vertical="center" wrapText="1"/>
    </xf>
    <xf numFmtId="0" fontId="196" fillId="0" borderId="0" xfId="4690" applyFont="1" applyAlignment="1">
      <alignment horizontal="center"/>
    </xf>
    <xf numFmtId="0" fontId="179" fillId="0" borderId="0" xfId="4693" applyFont="1"/>
    <xf numFmtId="174" fontId="179" fillId="0" borderId="0" xfId="4693" applyNumberFormat="1" applyFont="1"/>
    <xf numFmtId="174" fontId="179" fillId="0" borderId="0" xfId="4692" applyNumberFormat="1" applyFont="1" applyBorder="1" applyAlignment="1">
      <alignment horizontal="right" vertical="center" wrapText="1"/>
    </xf>
    <xf numFmtId="174" fontId="179" fillId="0" borderId="0" xfId="4690" applyNumberFormat="1" applyFont="1" applyAlignment="1">
      <alignment horizontal="center"/>
    </xf>
    <xf numFmtId="43" fontId="179" fillId="0" borderId="0" xfId="4690" applyNumberFormat="1" applyFont="1"/>
    <xf numFmtId="174" fontId="179" fillId="0" borderId="0" xfId="4692" applyNumberFormat="1" applyFont="1" applyFill="1" applyBorder="1" applyAlignment="1">
      <alignment vertical="center" wrapText="1"/>
    </xf>
    <xf numFmtId="174" fontId="179" fillId="0" borderId="0" xfId="4690" applyNumberFormat="1" applyFont="1"/>
    <xf numFmtId="0" fontId="195" fillId="0" borderId="0" xfId="4690" applyFont="1"/>
    <xf numFmtId="174" fontId="179" fillId="0" borderId="0" xfId="4692" applyNumberFormat="1" applyFont="1" applyFill="1" applyBorder="1" applyAlignment="1">
      <alignment horizontal="right" vertical="center" wrapText="1"/>
    </xf>
    <xf numFmtId="9" fontId="179" fillId="0" borderId="0" xfId="4690" applyNumberFormat="1" applyFont="1"/>
    <xf numFmtId="174" fontId="179" fillId="0" borderId="0" xfId="4665" applyNumberFormat="1" applyFont="1"/>
    <xf numFmtId="174" fontId="179" fillId="0" borderId="0" xfId="4690" applyNumberFormat="1" applyFont="1" applyAlignment="1">
      <alignment horizontal="justify" vertical="center" wrapText="1"/>
    </xf>
    <xf numFmtId="165" fontId="31" fillId="3" borderId="0" xfId="0" applyNumberFormat="1" applyFont="1" applyFill="1" applyProtection="1"/>
    <xf numFmtId="174" fontId="196" fillId="0" borderId="4" xfId="4690" applyNumberFormat="1" applyFont="1" applyBorder="1"/>
    <xf numFmtId="0" fontId="31" fillId="0" borderId="0" xfId="4" applyFont="1" applyAlignment="1">
      <alignment horizontal="left"/>
    </xf>
    <xf numFmtId="9" fontId="166" fillId="3" borderId="0" xfId="4666" applyFont="1" applyFill="1" applyAlignment="1"/>
    <xf numFmtId="0" fontId="157" fillId="0" borderId="0" xfId="4476" applyFont="1" applyAlignment="1">
      <alignment horizontal="center"/>
    </xf>
    <xf numFmtId="173" fontId="31" fillId="0" borderId="4" xfId="1" applyNumberFormat="1" applyFont="1" applyBorder="1"/>
    <xf numFmtId="173" fontId="31" fillId="0" borderId="17" xfId="1" applyNumberFormat="1" applyFont="1" applyBorder="1"/>
    <xf numFmtId="173" fontId="31" fillId="0" borderId="47" xfId="1" applyNumberFormat="1" applyFont="1" applyBorder="1"/>
    <xf numFmtId="173" fontId="31" fillId="0" borderId="0" xfId="1" applyNumberFormat="1" applyFont="1" applyFill="1" applyAlignment="1" applyProtection="1">
      <protection locked="0"/>
    </xf>
    <xf numFmtId="174" fontId="31" fillId="0" borderId="0" xfId="4665" applyNumberFormat="1" applyFont="1" applyFill="1" applyAlignment="1" applyProtection="1">
      <protection locked="0"/>
    </xf>
    <xf numFmtId="173" fontId="31" fillId="0" borderId="17" xfId="1" applyNumberFormat="1" applyFont="1" applyFill="1" applyBorder="1"/>
    <xf numFmtId="14" fontId="31" fillId="0" borderId="0" xfId="0" applyNumberFormat="1" applyFont="1" applyAlignment="1" applyProtection="1">
      <alignment horizontal="center"/>
      <protection locked="0"/>
    </xf>
    <xf numFmtId="271" fontId="31" fillId="0" borderId="0" xfId="4665" applyNumberFormat="1" applyFont="1" applyFill="1" applyAlignment="1" applyProtection="1">
      <protection locked="0"/>
    </xf>
    <xf numFmtId="305" fontId="31" fillId="0" borderId="0" xfId="4665" applyNumberFormat="1" applyFont="1" applyFill="1" applyAlignment="1" applyProtection="1">
      <protection locked="0"/>
    </xf>
    <xf numFmtId="0" fontId="31" fillId="0" borderId="0" xfId="4476" applyFont="1" applyAlignment="1">
      <alignment vertical="top"/>
    </xf>
    <xf numFmtId="172" fontId="181" fillId="0" borderId="3" xfId="0" applyFont="1" applyBorder="1" applyAlignment="1">
      <alignment horizontal="center" wrapText="1"/>
    </xf>
    <xf numFmtId="42" fontId="181" fillId="0" borderId="0" xfId="1" applyNumberFormat="1" applyFont="1" applyFill="1" applyBorder="1" applyAlignment="1"/>
    <xf numFmtId="271" fontId="166" fillId="3" borderId="0" xfId="190" applyNumberFormat="1" applyFont="1" applyFill="1" applyAlignment="1"/>
    <xf numFmtId="172" fontId="123" fillId="0" borderId="17" xfId="0" applyFont="1" applyBorder="1" applyAlignment="1">
      <alignment horizontal="center"/>
    </xf>
    <xf numFmtId="174" fontId="31" fillId="74" borderId="1" xfId="4665" applyNumberFormat="1" applyFont="1" applyFill="1" applyBorder="1" applyAlignment="1"/>
    <xf numFmtId="173" fontId="31" fillId="0" borderId="0" xfId="1" applyNumberFormat="1" applyFont="1" applyBorder="1"/>
    <xf numFmtId="10" fontId="31" fillId="0" borderId="0" xfId="3" applyNumberFormat="1" applyFont="1" applyFill="1" applyBorder="1" applyAlignment="1">
      <alignment horizontal="center"/>
    </xf>
    <xf numFmtId="3" fontId="31" fillId="3" borderId="0" xfId="0" applyNumberFormat="1" applyFont="1" applyFill="1" applyProtection="1"/>
    <xf numFmtId="10" fontId="31" fillId="0" borderId="53" xfId="4352" quotePrefix="1" applyNumberFormat="1" applyFont="1" applyBorder="1" applyAlignment="1">
      <alignment horizontal="center"/>
    </xf>
    <xf numFmtId="172" fontId="31" fillId="0" borderId="38" xfId="4667" applyNumberFormat="1" applyFont="1" applyFill="1" applyBorder="1" applyAlignment="1"/>
    <xf numFmtId="41" fontId="166" fillId="3" borderId="38" xfId="1" applyNumberFormat="1" applyFont="1" applyFill="1" applyBorder="1" applyAlignment="1" applyProtection="1">
      <protection locked="0"/>
    </xf>
    <xf numFmtId="42" fontId="31" fillId="0" borderId="37" xfId="190" applyNumberFormat="1" applyFont="1" applyBorder="1" applyAlignment="1"/>
    <xf numFmtId="172" fontId="31" fillId="79" borderId="38" xfId="4667" applyNumberFormat="1" applyFont="1" applyFill="1" applyBorder="1" applyAlignment="1"/>
    <xf numFmtId="172" fontId="31" fillId="79" borderId="0" xfId="4667" applyNumberFormat="1" applyFont="1" applyFill="1" applyBorder="1" applyAlignment="1"/>
    <xf numFmtId="42" fontId="31" fillId="0" borderId="37" xfId="4667" applyNumberFormat="1" applyFont="1" applyBorder="1" applyAlignment="1"/>
    <xf numFmtId="174" fontId="31" fillId="0" borderId="47" xfId="4665" applyNumberFormat="1" applyFont="1" applyFill="1" applyBorder="1" applyAlignment="1"/>
    <xf numFmtId="42" fontId="31" fillId="0" borderId="52" xfId="4667" applyNumberFormat="1" applyFont="1" applyBorder="1" applyAlignment="1"/>
    <xf numFmtId="42" fontId="31" fillId="0" borderId="3" xfId="4667" applyNumberFormat="1" applyFont="1" applyBorder="1" applyAlignment="1"/>
    <xf numFmtId="173" fontId="31" fillId="0" borderId="3" xfId="1" applyNumberFormat="1" applyFont="1" applyFill="1" applyBorder="1" applyAlignment="1"/>
    <xf numFmtId="172" fontId="31" fillId="0" borderId="3" xfId="4667" applyNumberFormat="1" applyFont="1" applyBorder="1" applyAlignment="1"/>
    <xf numFmtId="173" fontId="31" fillId="0" borderId="53" xfId="1" applyNumberFormat="1" applyFont="1" applyFill="1" applyBorder="1" applyAlignment="1"/>
    <xf numFmtId="170" fontId="31" fillId="0" borderId="37" xfId="4667" applyNumberFormat="1" applyFont="1" applyBorder="1" applyAlignment="1"/>
    <xf numFmtId="174" fontId="31" fillId="0" borderId="0" xfId="4665" applyNumberFormat="1" applyFont="1" applyBorder="1" applyAlignment="1"/>
    <xf numFmtId="237" fontId="31" fillId="0" borderId="0" xfId="4666" applyNumberFormat="1" applyFont="1" applyBorder="1" applyAlignment="1"/>
    <xf numFmtId="174" fontId="31" fillId="0" borderId="38" xfId="4665" applyNumberFormat="1" applyFont="1" applyBorder="1" applyAlignment="1"/>
    <xf numFmtId="172" fontId="31" fillId="79" borderId="37" xfId="4667" applyNumberFormat="1" applyFont="1" applyFill="1" applyBorder="1" applyAlignment="1"/>
    <xf numFmtId="174" fontId="31" fillId="0" borderId="51" xfId="4665" applyNumberFormat="1" applyFont="1" applyBorder="1" applyAlignment="1"/>
    <xf numFmtId="174" fontId="31" fillId="0" borderId="47" xfId="4665" applyNumberFormat="1" applyFont="1" applyBorder="1" applyAlignment="1"/>
    <xf numFmtId="172" fontId="31" fillId="0" borderId="53" xfId="4667" applyNumberFormat="1" applyFont="1" applyBorder="1" applyAlignment="1"/>
    <xf numFmtId="174" fontId="31" fillId="0" borderId="37" xfId="4665" applyNumberFormat="1" applyFont="1" applyBorder="1" applyAlignment="1"/>
    <xf numFmtId="172" fontId="181" fillId="0" borderId="0" xfId="0" applyFont="1" applyAlignment="1">
      <alignment horizontal="center" wrapText="1"/>
    </xf>
    <xf numFmtId="172" fontId="181" fillId="0" borderId="38" xfId="0" applyFont="1" applyBorder="1" applyAlignment="1">
      <alignment horizontal="center" wrapText="1"/>
    </xf>
    <xf numFmtId="172" fontId="181" fillId="0" borderId="53" xfId="0" applyFont="1" applyBorder="1" applyAlignment="1">
      <alignment horizontal="center" wrapText="1"/>
    </xf>
    <xf numFmtId="164" fontId="31" fillId="0" borderId="0" xfId="4597" applyNumberFormat="1" applyFont="1" applyAlignment="1">
      <alignment horizontal="left"/>
    </xf>
    <xf numFmtId="0" fontId="123" fillId="0" borderId="0" xfId="0" applyNumberFormat="1" applyFont="1"/>
    <xf numFmtId="44" fontId="31" fillId="0" borderId="3" xfId="4" applyNumberFormat="1" applyFont="1" applyBorder="1" applyAlignment="1">
      <alignment horizontal="center"/>
    </xf>
    <xf numFmtId="43" fontId="31" fillId="0" borderId="0" xfId="4665" applyFont="1" applyFill="1"/>
    <xf numFmtId="174" fontId="181" fillId="0" borderId="37" xfId="190" applyNumberFormat="1" applyFont="1" applyFill="1" applyBorder="1" applyAlignment="1"/>
    <xf numFmtId="174" fontId="181" fillId="0" borderId="0" xfId="190" applyNumberFormat="1" applyFont="1" applyFill="1" applyBorder="1" applyAlignment="1"/>
    <xf numFmtId="44" fontId="181" fillId="0" borderId="37" xfId="1" applyFont="1" applyFill="1" applyBorder="1" applyAlignment="1">
      <alignment horizontal="right"/>
    </xf>
    <xf numFmtId="174" fontId="181" fillId="0" borderId="38" xfId="190" applyNumberFormat="1" applyFont="1" applyFill="1" applyBorder="1" applyAlignment="1"/>
    <xf numFmtId="305" fontId="179" fillId="0" borderId="0" xfId="4665" applyNumberFormat="1" applyFont="1" applyFill="1" applyBorder="1" applyAlignment="1">
      <alignment horizontal="center" vertical="center" wrapText="1"/>
    </xf>
    <xf numFmtId="174" fontId="179" fillId="0" borderId="0" xfId="4665" applyNumberFormat="1" applyFont="1" applyFill="1" applyBorder="1" applyAlignment="1">
      <alignment horizontal="center" vertical="center" wrapText="1"/>
    </xf>
    <xf numFmtId="41" fontId="31" fillId="3" borderId="0" xfId="4598" applyNumberFormat="1" applyFont="1" applyFill="1"/>
    <xf numFmtId="174" fontId="31" fillId="3" borderId="0" xfId="4665" applyNumberFormat="1" applyFont="1" applyFill="1" applyAlignment="1"/>
    <xf numFmtId="3" fontId="166" fillId="3" borderId="0" xfId="0" applyNumberFormat="1" applyFont="1" applyFill="1" applyProtection="1">
      <protection locked="0"/>
    </xf>
    <xf numFmtId="310" fontId="31" fillId="0" borderId="0" xfId="4667" applyNumberFormat="1" applyFont="1" applyFill="1" applyAlignment="1">
      <alignment horizontal="center" vertical="center"/>
    </xf>
    <xf numFmtId="310" fontId="31" fillId="0" borderId="0" xfId="4667" applyNumberFormat="1" applyFont="1" applyFill="1" applyBorder="1" applyAlignment="1">
      <alignment horizontal="center"/>
    </xf>
    <xf numFmtId="310" fontId="31" fillId="0" borderId="37" xfId="4667" applyNumberFormat="1" applyFont="1" applyFill="1" applyBorder="1" applyAlignment="1">
      <alignment horizontal="center"/>
    </xf>
    <xf numFmtId="310" fontId="31" fillId="0" borderId="38" xfId="4667" applyNumberFormat="1" applyFont="1" applyFill="1" applyBorder="1" applyAlignment="1">
      <alignment horizontal="center"/>
    </xf>
    <xf numFmtId="0" fontId="31" fillId="0" borderId="0" xfId="4667" applyNumberFormat="1" applyFont="1" applyFill="1" applyBorder="1" applyAlignment="1">
      <alignment horizontal="center"/>
    </xf>
    <xf numFmtId="0" fontId="31" fillId="0" borderId="38" xfId="4667" applyNumberFormat="1" applyFont="1" applyFill="1" applyBorder="1" applyAlignment="1">
      <alignment horizontal="center"/>
    </xf>
    <xf numFmtId="0" fontId="31" fillId="0" borderId="0" xfId="4667" applyNumberFormat="1" applyFont="1" applyFill="1" applyAlignment="1"/>
    <xf numFmtId="0" fontId="179" fillId="3" borderId="0" xfId="4680" applyFont="1" applyFill="1" applyAlignment="1">
      <alignment horizontal="center"/>
    </xf>
    <xf numFmtId="174" fontId="179" fillId="3" borderId="0" xfId="4684" applyNumberFormat="1" applyFont="1" applyFill="1" applyAlignment="1">
      <alignment horizontal="right" vertical="center" wrapText="1"/>
    </xf>
    <xf numFmtId="173" fontId="166" fillId="3" borderId="0" xfId="1" applyNumberFormat="1" applyFont="1" applyFill="1"/>
    <xf numFmtId="192" fontId="188" fillId="3" borderId="0" xfId="0" applyNumberFormat="1" applyFont="1" applyFill="1" applyAlignment="1">
      <alignment horizontal="center"/>
    </xf>
    <xf numFmtId="0" fontId="31" fillId="0" borderId="4" xfId="4671" applyFont="1" applyBorder="1" applyAlignment="1">
      <alignment horizontal="left"/>
    </xf>
    <xf numFmtId="164" fontId="198" fillId="0" borderId="0" xfId="4597" applyNumberFormat="1" applyFont="1" applyAlignment="1">
      <alignment horizontal="left"/>
    </xf>
    <xf numFmtId="43" fontId="166" fillId="2" borderId="0" xfId="4665" applyFont="1" applyFill="1" applyAlignment="1" applyProtection="1">
      <protection locked="0"/>
    </xf>
    <xf numFmtId="43" fontId="31" fillId="2" borderId="0" xfId="4665" applyFont="1" applyFill="1"/>
    <xf numFmtId="172" fontId="191" fillId="0" borderId="0" xfId="0" applyFont="1" applyAlignment="1">
      <alignment horizontal="left"/>
    </xf>
    <xf numFmtId="172" fontId="192" fillId="0" borderId="0" xfId="0" applyFont="1"/>
    <xf numFmtId="14" fontId="31" fillId="0" borderId="0" xfId="0" applyNumberFormat="1" applyFont="1"/>
    <xf numFmtId="14" fontId="73" fillId="0" borderId="0" xfId="0" applyNumberFormat="1" applyFont="1"/>
    <xf numFmtId="14" fontId="73" fillId="0" borderId="0" xfId="0" applyNumberFormat="1" applyFont="1" applyAlignment="1">
      <alignment wrapText="1"/>
    </xf>
    <xf numFmtId="43" fontId="31" fillId="0" borderId="0" xfId="4598" applyNumberFormat="1" applyFont="1"/>
    <xf numFmtId="0" fontId="178" fillId="0" borderId="0" xfId="4476" applyFont="1"/>
    <xf numFmtId="193" fontId="180" fillId="0" borderId="0" xfId="4476" applyNumberFormat="1" applyFont="1" applyAlignment="1">
      <alignment wrapText="1"/>
    </xf>
    <xf numFmtId="172" fontId="10" fillId="0" borderId="0" xfId="0" applyFont="1" applyAlignment="1" applyProtection="1">
      <alignment wrapText="1"/>
    </xf>
    <xf numFmtId="0" fontId="189" fillId="0" borderId="0" xfId="0" applyNumberFormat="1" applyFont="1" applyAlignment="1" applyProtection="1">
      <alignment horizontal="center"/>
      <protection locked="0"/>
    </xf>
    <xf numFmtId="172" fontId="189" fillId="0" borderId="0" xfId="0" applyFont="1" applyProtection="1">
      <protection locked="0"/>
    </xf>
    <xf numFmtId="0" fontId="189" fillId="0" borderId="0" xfId="0" applyNumberFormat="1" applyFont="1" applyProtection="1">
      <protection locked="0"/>
    </xf>
    <xf numFmtId="3" fontId="200" fillId="0" borderId="0" xfId="0" applyNumberFormat="1" applyFont="1" applyProtection="1">
      <protection locked="0"/>
    </xf>
    <xf numFmtId="0" fontId="195" fillId="0" borderId="0" xfId="4598" applyFont="1" applyAlignment="1">
      <alignment horizontal="center" wrapText="1"/>
    </xf>
    <xf numFmtId="3" fontId="199" fillId="0" borderId="0" xfId="0" applyNumberFormat="1" applyFont="1" applyProtection="1">
      <protection locked="0"/>
    </xf>
    <xf numFmtId="172" fontId="202" fillId="0" borderId="0" xfId="4667" applyNumberFormat="1" applyFont="1" applyFill="1" applyAlignment="1"/>
    <xf numFmtId="172" fontId="199" fillId="0" borderId="0" xfId="4667" applyNumberFormat="1" applyFont="1" applyAlignment="1"/>
    <xf numFmtId="173" fontId="199" fillId="0" borderId="0" xfId="1" applyNumberFormat="1" applyFont="1" applyFill="1" applyAlignment="1"/>
    <xf numFmtId="172" fontId="199" fillId="0" borderId="0" xfId="4667" applyNumberFormat="1" applyFont="1" applyFill="1" applyAlignment="1"/>
    <xf numFmtId="43" fontId="199" fillId="0" borderId="0" xfId="4665" applyFont="1" applyFill="1" applyAlignment="1"/>
    <xf numFmtId="0" fontId="123" fillId="0" borderId="15" xfId="4598" applyFont="1" applyBorder="1" applyAlignment="1">
      <alignment horizontal="centerContinuous"/>
    </xf>
    <xf numFmtId="172" fontId="123" fillId="0" borderId="48" xfId="0" applyFont="1" applyBorder="1" applyAlignment="1">
      <alignment horizontal="centerContinuous"/>
    </xf>
    <xf numFmtId="172" fontId="123" fillId="0" borderId="15" xfId="0" applyFont="1" applyBorder="1" applyAlignment="1">
      <alignment horizontal="centerContinuous"/>
    </xf>
    <xf numFmtId="172" fontId="123" fillId="0" borderId="49" xfId="0" applyFont="1" applyBorder="1" applyAlignment="1">
      <alignment horizontal="centerContinuous"/>
    </xf>
    <xf numFmtId="0" fontId="200" fillId="0" borderId="0" xfId="4" applyFont="1"/>
    <xf numFmtId="0" fontId="189" fillId="0" borderId="0" xfId="4" applyFont="1"/>
    <xf numFmtId="0" fontId="2" fillId="0" borderId="0" xfId="4695"/>
    <xf numFmtId="0" fontId="203" fillId="0" borderId="0" xfId="4695" applyFont="1"/>
    <xf numFmtId="0" fontId="196" fillId="0" borderId="0" xfId="4" applyFont="1" applyAlignment="1">
      <alignment horizontal="center"/>
    </xf>
    <xf numFmtId="0" fontId="196" fillId="0" borderId="0" xfId="4" applyFont="1"/>
    <xf numFmtId="164" fontId="196" fillId="0" borderId="0" xfId="4696" applyNumberFormat="1" applyFont="1" applyFill="1" applyAlignment="1"/>
    <xf numFmtId="172" fontId="179" fillId="0" borderId="0" xfId="4695" applyNumberFormat="1" applyFont="1"/>
    <xf numFmtId="164" fontId="196" fillId="0" borderId="0" xfId="4696" applyNumberFormat="1" applyFont="1" applyFill="1" applyAlignment="1">
      <alignment horizontal="center"/>
    </xf>
    <xf numFmtId="172" fontId="179" fillId="0" borderId="0" xfId="4695" applyNumberFormat="1" applyFont="1" applyAlignment="1">
      <alignment horizontal="center"/>
    </xf>
    <xf numFmtId="172" fontId="196" fillId="0" borderId="0" xfId="4695" applyNumberFormat="1" applyFont="1" applyAlignment="1">
      <alignment horizontal="center"/>
    </xf>
    <xf numFmtId="192" fontId="196" fillId="3" borderId="0" xfId="4695" applyNumberFormat="1" applyFont="1" applyFill="1" applyAlignment="1">
      <alignment horizontal="center"/>
    </xf>
    <xf numFmtId="192" fontId="196" fillId="3" borderId="0" xfId="4695" quotePrefix="1" applyNumberFormat="1" applyFont="1" applyFill="1" applyAlignment="1">
      <alignment horizontal="center"/>
    </xf>
    <xf numFmtId="172" fontId="196" fillId="0" borderId="0" xfId="4695" applyNumberFormat="1" applyFont="1" applyAlignment="1">
      <alignment horizontal="right"/>
    </xf>
    <xf numFmtId="164" fontId="179" fillId="0" borderId="0" xfId="4696" applyNumberFormat="1" applyFont="1" applyAlignment="1">
      <alignment horizontal="center"/>
    </xf>
    <xf numFmtId="192" fontId="196" fillId="0" borderId="0" xfId="4695" applyNumberFormat="1" applyFont="1" applyAlignment="1">
      <alignment horizontal="center"/>
    </xf>
    <xf numFmtId="192" fontId="196" fillId="0" borderId="0" xfId="4695" quotePrefix="1" applyNumberFormat="1" applyFont="1" applyAlignment="1">
      <alignment horizontal="center"/>
    </xf>
    <xf numFmtId="0" fontId="196" fillId="0" borderId="1" xfId="4" applyFont="1" applyBorder="1" applyAlignment="1">
      <alignment horizontal="center"/>
    </xf>
    <xf numFmtId="3" fontId="179" fillId="0" borderId="1" xfId="4695" applyNumberFormat="1" applyFont="1" applyBorder="1" applyAlignment="1">
      <alignment horizontal="center"/>
    </xf>
    <xf numFmtId="172" fontId="196" fillId="0" borderId="0" xfId="4695" applyNumberFormat="1" applyFont="1"/>
    <xf numFmtId="164" fontId="196" fillId="0" borderId="0" xfId="4696" applyNumberFormat="1" applyFont="1" applyFill="1"/>
    <xf numFmtId="172" fontId="196" fillId="0" borderId="17" xfId="4695" applyNumberFormat="1" applyFont="1" applyBorder="1"/>
    <xf numFmtId="172" fontId="196" fillId="0" borderId="17" xfId="4695" applyNumberFormat="1" applyFont="1" applyBorder="1" applyAlignment="1">
      <alignment horizontal="center" wrapText="1"/>
    </xf>
    <xf numFmtId="172" fontId="196" fillId="0" borderId="0" xfId="4695" applyNumberFormat="1" applyFont="1" applyAlignment="1">
      <alignment horizontal="center" wrapText="1"/>
    </xf>
    <xf numFmtId="0" fontId="179" fillId="0" borderId="0" xfId="4" applyFont="1" applyAlignment="1">
      <alignment horizontal="center"/>
    </xf>
    <xf numFmtId="3" fontId="179" fillId="0" borderId="0" xfId="4695" applyNumberFormat="1" applyFont="1"/>
    <xf numFmtId="3" fontId="179" fillId="3" borderId="0" xfId="4695" quotePrefix="1" applyNumberFormat="1" applyFont="1" applyFill="1" applyAlignment="1">
      <alignment horizontal="right"/>
    </xf>
    <xf numFmtId="174" fontId="179" fillId="3" borderId="0" xfId="4697" applyNumberFormat="1" applyFont="1" applyFill="1" applyAlignment="1"/>
    <xf numFmtId="3" fontId="179" fillId="0" borderId="0" xfId="4695" applyNumberFormat="1" applyFont="1" applyAlignment="1">
      <alignment horizontal="center"/>
    </xf>
    <xf numFmtId="164" fontId="179" fillId="0" borderId="0" xfId="4696" applyNumberFormat="1" applyFont="1" applyFill="1" applyBorder="1" applyAlignment="1">
      <alignment horizontal="center"/>
    </xf>
    <xf numFmtId="174" fontId="179" fillId="0" borderId="0" xfId="4697" applyNumberFormat="1" applyFont="1" applyFill="1" applyBorder="1" applyAlignment="1"/>
    <xf numFmtId="3" fontId="179" fillId="0" borderId="0" xfId="4698" applyNumberFormat="1" applyFont="1"/>
    <xf numFmtId="3" fontId="179" fillId="3" borderId="0" xfId="4695" applyNumberFormat="1" applyFont="1" applyFill="1"/>
    <xf numFmtId="3" fontId="205" fillId="3" borderId="0" xfId="4695" applyNumberFormat="1" applyFont="1" applyFill="1"/>
    <xf numFmtId="174" fontId="179" fillId="3" borderId="3" xfId="4697" applyNumberFormat="1" applyFont="1" applyFill="1" applyBorder="1" applyAlignment="1">
      <alignment horizontal="center"/>
    </xf>
    <xf numFmtId="164" fontId="179" fillId="3" borderId="3" xfId="4696" applyNumberFormat="1" applyFont="1" applyFill="1" applyBorder="1" applyAlignment="1">
      <alignment horizontal="center"/>
    </xf>
    <xf numFmtId="3" fontId="196" fillId="0" borderId="0" xfId="4695" applyNumberFormat="1" applyFont="1"/>
    <xf numFmtId="174" fontId="196" fillId="0" borderId="4" xfId="4697" applyNumberFormat="1" applyFont="1" applyFill="1" applyBorder="1" applyAlignment="1"/>
    <xf numFmtId="174" fontId="196" fillId="0" borderId="0" xfId="4697" applyNumberFormat="1" applyFont="1" applyFill="1" applyBorder="1" applyAlignment="1">
      <alignment horizontal="center"/>
    </xf>
    <xf numFmtId="174" fontId="196" fillId="0" borderId="0" xfId="4697" applyNumberFormat="1" applyFont="1" applyFill="1" applyBorder="1" applyAlignment="1"/>
    <xf numFmtId="174" fontId="179" fillId="3" borderId="0" xfId="4699" applyNumberFormat="1" applyFont="1" applyFill="1" applyAlignment="1"/>
    <xf numFmtId="174" fontId="179" fillId="0" borderId="0" xfId="4697" applyNumberFormat="1" applyFont="1" applyFill="1" applyBorder="1" applyAlignment="1">
      <alignment horizontal="center"/>
    </xf>
    <xf numFmtId="3" fontId="179" fillId="3" borderId="0" xfId="4695" applyNumberFormat="1" applyFont="1" applyFill="1" applyAlignment="1">
      <alignment horizontal="right"/>
    </xf>
    <xf numFmtId="3" fontId="179" fillId="3" borderId="3" xfId="4695" applyNumberFormat="1" applyFont="1" applyFill="1" applyBorder="1" applyAlignment="1">
      <alignment horizontal="right"/>
    </xf>
    <xf numFmtId="174" fontId="179" fillId="3" borderId="3" xfId="4697" applyNumberFormat="1" applyFont="1" applyFill="1" applyBorder="1" applyAlignment="1"/>
    <xf numFmtId="174" fontId="179" fillId="0" borderId="3" xfId="4697" applyNumberFormat="1" applyFont="1" applyFill="1" applyBorder="1" applyAlignment="1"/>
    <xf numFmtId="174" fontId="179" fillId="3" borderId="0" xfId="4697" applyNumberFormat="1" applyFont="1" applyFill="1" applyBorder="1" applyAlignment="1">
      <alignment horizontal="center"/>
    </xf>
    <xf numFmtId="3" fontId="196" fillId="0" borderId="0" xfId="4695" applyNumberFormat="1" applyFont="1" applyAlignment="1">
      <alignment wrapText="1"/>
    </xf>
    <xf numFmtId="43" fontId="206" fillId="0" borderId="0" xfId="4697" applyFont="1" applyFill="1" applyBorder="1" applyAlignment="1">
      <alignment horizontal="left"/>
    </xf>
    <xf numFmtId="174" fontId="196" fillId="0" borderId="3" xfId="4697" applyNumberFormat="1" applyFont="1" applyFill="1" applyBorder="1" applyAlignment="1"/>
    <xf numFmtId="43" fontId="206" fillId="0" borderId="3" xfId="4697" applyFont="1" applyFill="1" applyBorder="1" applyAlignment="1">
      <alignment horizontal="left"/>
    </xf>
    <xf numFmtId="172" fontId="207" fillId="0" borderId="0" xfId="0" applyFont="1"/>
    <xf numFmtId="164" fontId="196" fillId="0" borderId="0" xfId="4666" applyNumberFormat="1" applyFont="1" applyFill="1" applyBorder="1" applyAlignment="1">
      <alignment horizontal="center"/>
    </xf>
    <xf numFmtId="0" fontId="208" fillId="0" borderId="0" xfId="4" applyFont="1" applyAlignment="1">
      <alignment horizontal="center"/>
    </xf>
    <xf numFmtId="0" fontId="179" fillId="0" borderId="0" xfId="4" applyFont="1" applyAlignment="1">
      <alignment horizontal="center" vertical="top"/>
    </xf>
    <xf numFmtId="0" fontId="210" fillId="0" borderId="0" xfId="4695" applyFont="1" applyAlignment="1">
      <alignment wrapText="1"/>
    </xf>
    <xf numFmtId="0" fontId="2" fillId="0" borderId="0" xfId="4695" applyAlignment="1">
      <alignment wrapText="1"/>
    </xf>
    <xf numFmtId="0" fontId="2" fillId="0" borderId="0" xfId="4695" applyAlignment="1">
      <alignment vertical="top" wrapText="1"/>
    </xf>
    <xf numFmtId="0" fontId="179" fillId="0" borderId="0" xfId="4698" applyFont="1" applyAlignment="1">
      <alignment horizontal="left" vertical="top"/>
    </xf>
    <xf numFmtId="0" fontId="179" fillId="0" borderId="0" xfId="4698" applyFont="1" applyAlignment="1">
      <alignment horizontal="center" vertical="top"/>
    </xf>
    <xf numFmtId="0" fontId="179" fillId="0" borderId="0" xfId="4698" applyFont="1" applyAlignment="1">
      <alignment vertical="top" wrapText="1"/>
    </xf>
    <xf numFmtId="0" fontId="196" fillId="0" borderId="0" xfId="4698" applyFont="1" applyAlignment="1">
      <alignment vertical="top" wrapText="1"/>
    </xf>
    <xf numFmtId="49" fontId="179" fillId="3" borderId="0" xfId="4697" quotePrefix="1" applyNumberFormat="1" applyFont="1" applyFill="1" applyAlignment="1">
      <alignment horizontal="center"/>
    </xf>
    <xf numFmtId="174" fontId="179" fillId="3" borderId="0" xfId="4697" applyNumberFormat="1" applyFont="1" applyFill="1" applyAlignment="1">
      <alignment horizontal="center"/>
    </xf>
    <xf numFmtId="0" fontId="179" fillId="0" borderId="0" xfId="4698" applyFont="1" applyAlignment="1">
      <alignment horizontal="center" wrapText="1"/>
    </xf>
    <xf numFmtId="0" fontId="179" fillId="0" borderId="0" xfId="4698" applyFont="1" applyAlignment="1">
      <alignment wrapText="1"/>
    </xf>
    <xf numFmtId="0" fontId="179" fillId="0" borderId="0" xfId="4698" applyFont="1" applyAlignment="1">
      <alignment horizontal="left" wrapText="1"/>
    </xf>
    <xf numFmtId="10" fontId="179" fillId="3" borderId="0" xfId="4698" applyNumberFormat="1" applyFont="1" applyFill="1" applyAlignment="1">
      <alignment horizontal="center" vertical="top" shrinkToFit="1"/>
    </xf>
    <xf numFmtId="10" fontId="179" fillId="3" borderId="0" xfId="4696" applyNumberFormat="1" applyFont="1" applyFill="1" applyAlignment="1">
      <alignment horizontal="center" vertical="top"/>
    </xf>
    <xf numFmtId="0" fontId="196" fillId="0" borderId="0" xfId="4698" applyFont="1" applyAlignment="1">
      <alignment horizontal="center" vertical="center" wrapText="1"/>
    </xf>
    <xf numFmtId="0" fontId="179" fillId="0" borderId="0" xfId="4698" applyFont="1" applyAlignment="1">
      <alignment vertical="center" wrapText="1"/>
    </xf>
    <xf numFmtId="0" fontId="196" fillId="0" borderId="59" xfId="4698" applyFont="1" applyBorder="1" applyAlignment="1">
      <alignment horizontal="center" vertical="center" wrapText="1"/>
    </xf>
    <xf numFmtId="0" fontId="179" fillId="0" borderId="61" xfId="4698" applyFont="1" applyBorder="1" applyAlignment="1">
      <alignment vertical="center" wrapText="1"/>
    </xf>
    <xf numFmtId="0" fontId="196" fillId="0" borderId="35" xfId="4698" quotePrefix="1" applyFont="1" applyBorder="1" applyAlignment="1">
      <alignment horizontal="center" vertical="center" wrapText="1"/>
    </xf>
    <xf numFmtId="0" fontId="196" fillId="0" borderId="35" xfId="4698" quotePrefix="1" applyFont="1" applyBorder="1" applyAlignment="1">
      <alignment horizontal="center" vertical="center"/>
    </xf>
    <xf numFmtId="0" fontId="211" fillId="0" borderId="0" xfId="4698" applyFont="1" applyAlignment="1">
      <alignment vertical="top" wrapText="1"/>
    </xf>
    <xf numFmtId="0" fontId="196" fillId="0" borderId="62" xfId="4698" applyFont="1" applyBorder="1" applyAlignment="1">
      <alignment horizontal="center" vertical="center" wrapText="1"/>
    </xf>
    <xf numFmtId="0" fontId="196" fillId="0" borderId="35" xfId="4698" applyFont="1" applyBorder="1" applyAlignment="1">
      <alignment horizontal="center" vertical="center" wrapText="1"/>
    </xf>
    <xf numFmtId="0" fontId="179" fillId="0" borderId="0" xfId="4698" applyFont="1" applyAlignment="1">
      <alignment horizontal="left" vertical="center"/>
    </xf>
    <xf numFmtId="1" fontId="196" fillId="0" borderId="0" xfId="4698" applyNumberFormat="1" applyFont="1" applyAlignment="1">
      <alignment horizontal="center" vertical="top" shrinkToFit="1"/>
    </xf>
    <xf numFmtId="0" fontId="212" fillId="0" borderId="0" xfId="4698" applyFont="1" applyAlignment="1">
      <alignment vertical="top" wrapText="1"/>
    </xf>
    <xf numFmtId="0" fontId="179" fillId="0" borderId="63" xfId="4698" applyFont="1" applyBorder="1" applyAlignment="1">
      <alignment horizontal="left" wrapText="1"/>
    </xf>
    <xf numFmtId="174" fontId="179" fillId="3" borderId="0" xfId="4697" applyNumberFormat="1" applyFont="1" applyFill="1" applyAlignment="1">
      <alignment vertical="top" shrinkToFit="1"/>
    </xf>
    <xf numFmtId="174" fontId="179" fillId="0" borderId="0" xfId="4697" applyNumberFormat="1" applyFont="1" applyAlignment="1">
      <alignment vertical="top" shrinkToFit="1"/>
    </xf>
    <xf numFmtId="174" fontId="179" fillId="0" borderId="0" xfId="4697" applyNumberFormat="1" applyFont="1" applyAlignment="1">
      <alignment horizontal="left" vertical="top"/>
    </xf>
    <xf numFmtId="174" fontId="179" fillId="0" borderId="0" xfId="4698" applyNumberFormat="1" applyFont="1" applyAlignment="1">
      <alignment horizontal="left" vertical="top"/>
    </xf>
    <xf numFmtId="43" fontId="179" fillId="0" borderId="0" xfId="4697" applyFont="1" applyAlignment="1">
      <alignment horizontal="left" vertical="top"/>
    </xf>
    <xf numFmtId="174" fontId="179" fillId="3" borderId="0" xfId="4697" applyNumberFormat="1" applyFont="1" applyFill="1" applyBorder="1" applyAlignment="1">
      <alignment vertical="top" shrinkToFit="1"/>
    </xf>
    <xf numFmtId="174" fontId="179" fillId="0" borderId="0" xfId="4697" applyNumberFormat="1" applyFont="1" applyBorder="1" applyAlignment="1">
      <alignment vertical="top" shrinkToFit="1"/>
    </xf>
    <xf numFmtId="10" fontId="213" fillId="0" borderId="0" xfId="4696" applyNumberFormat="1" applyFont="1" applyFill="1" applyAlignment="1">
      <alignment horizontal="center" vertical="top"/>
    </xf>
    <xf numFmtId="43" fontId="179" fillId="0" borderId="0" xfId="4698" applyNumberFormat="1" applyFont="1" applyAlignment="1">
      <alignment horizontal="left" vertical="top"/>
    </xf>
    <xf numFmtId="174" fontId="179" fillId="3" borderId="3" xfId="4697" applyNumberFormat="1" applyFont="1" applyFill="1" applyBorder="1" applyAlignment="1">
      <alignment wrapText="1"/>
    </xf>
    <xf numFmtId="174" fontId="179" fillId="0" borderId="3" xfId="4697" applyNumberFormat="1" applyFont="1" applyBorder="1" applyAlignment="1">
      <alignment vertical="top" shrinkToFit="1"/>
    </xf>
    <xf numFmtId="174" fontId="179" fillId="0" borderId="3" xfId="4697" applyNumberFormat="1" applyFont="1" applyBorder="1" applyAlignment="1">
      <alignment horizontal="left" vertical="top"/>
    </xf>
    <xf numFmtId="174" fontId="179" fillId="0" borderId="3" xfId="4698" applyNumberFormat="1" applyFont="1" applyBorder="1" applyAlignment="1">
      <alignment horizontal="left" vertical="top"/>
    </xf>
    <xf numFmtId="0" fontId="179" fillId="0" borderId="0" xfId="4698" applyFont="1" applyAlignment="1">
      <alignment horizontal="left" vertical="center" wrapText="1"/>
    </xf>
    <xf numFmtId="174" fontId="179" fillId="0" borderId="0" xfId="4697" applyNumberFormat="1" applyFont="1" applyAlignment="1">
      <alignment vertical="center" wrapText="1"/>
    </xf>
    <xf numFmtId="0" fontId="214" fillId="0" borderId="0" xfId="4698" applyFont="1" applyAlignment="1">
      <alignment vertical="top" wrapText="1"/>
    </xf>
    <xf numFmtId="174" fontId="179" fillId="3" borderId="3" xfId="4697" applyNumberFormat="1" applyFont="1" applyFill="1" applyBorder="1" applyAlignment="1">
      <alignment vertical="top" shrinkToFit="1"/>
    </xf>
    <xf numFmtId="174" fontId="179" fillId="0" borderId="0" xfId="4697" applyNumberFormat="1" applyFont="1" applyBorder="1" applyAlignment="1">
      <alignment horizontal="left" vertical="top"/>
    </xf>
    <xf numFmtId="174" fontId="179" fillId="0" borderId="2" xfId="4697" applyNumberFormat="1" applyFont="1" applyBorder="1" applyAlignment="1">
      <alignment vertical="top" shrinkToFit="1"/>
    </xf>
    <xf numFmtId="0" fontId="196" fillId="0" borderId="0" xfId="4698" applyFont="1" applyAlignment="1">
      <alignment horizontal="left" vertical="top" wrapText="1"/>
    </xf>
    <xf numFmtId="1" fontId="196" fillId="0" borderId="0" xfId="4698" applyNumberFormat="1" applyFont="1" applyAlignment="1">
      <alignment horizontal="center" vertical="center" shrinkToFit="1"/>
    </xf>
    <xf numFmtId="0" fontId="212" fillId="0" borderId="0" xfId="4698" applyFont="1" applyAlignment="1">
      <alignment vertical="center" wrapText="1"/>
    </xf>
    <xf numFmtId="0" fontId="196" fillId="0" borderId="0" xfId="4698" applyFont="1" applyAlignment="1">
      <alignment vertical="center" wrapText="1"/>
    </xf>
    <xf numFmtId="174" fontId="179" fillId="0" borderId="0" xfId="4697" applyNumberFormat="1" applyFont="1" applyBorder="1" applyAlignment="1">
      <alignment vertical="center" wrapText="1"/>
    </xf>
    <xf numFmtId="174" fontId="179" fillId="0" borderId="0" xfId="4697" applyNumberFormat="1" applyFont="1" applyFill="1" applyAlignment="1">
      <alignment horizontal="left" vertical="top"/>
    </xf>
    <xf numFmtId="174" fontId="213" fillId="0" borderId="0" xfId="4698" applyNumberFormat="1" applyFont="1" applyAlignment="1">
      <alignment horizontal="left" vertical="top"/>
    </xf>
    <xf numFmtId="174" fontId="179" fillId="0" borderId="64" xfId="4697" applyNumberFormat="1" applyFont="1" applyBorder="1" applyAlignment="1">
      <alignment vertical="top" shrinkToFit="1"/>
    </xf>
    <xf numFmtId="174" fontId="179" fillId="0" borderId="61" xfId="4697" applyNumberFormat="1" applyFont="1" applyBorder="1" applyAlignment="1">
      <alignment vertical="top" shrinkToFit="1"/>
    </xf>
    <xf numFmtId="174" fontId="179" fillId="0" borderId="64" xfId="4697" applyNumberFormat="1" applyFont="1" applyFill="1" applyBorder="1" applyAlignment="1">
      <alignment vertical="top" shrinkToFit="1"/>
    </xf>
    <xf numFmtId="174" fontId="179" fillId="0" borderId="64" xfId="4697" applyNumberFormat="1" applyFont="1" applyBorder="1" applyAlignment="1">
      <alignment wrapText="1"/>
    </xf>
    <xf numFmtId="0" fontId="179" fillId="0" borderId="0" xfId="4695" applyFont="1"/>
    <xf numFmtId="39" fontId="179" fillId="0" borderId="0" xfId="4695" applyNumberFormat="1" applyFont="1"/>
    <xf numFmtId="0" fontId="179" fillId="0" borderId="0" xfId="4698" applyFont="1" applyAlignment="1">
      <alignment horizontal="center" vertical="top" wrapText="1"/>
    </xf>
    <xf numFmtId="43" fontId="213" fillId="0" borderId="0" xfId="4697" applyFont="1" applyAlignment="1">
      <alignment horizontal="left" vertical="top"/>
    </xf>
    <xf numFmtId="0" fontId="213" fillId="0" borderId="0" xfId="4698" applyFont="1" applyAlignment="1">
      <alignment horizontal="left" vertical="top"/>
    </xf>
    <xf numFmtId="0" fontId="195" fillId="0" borderId="15" xfId="4598" applyFont="1" applyBorder="1" applyAlignment="1">
      <alignment horizontal="centerContinuous"/>
    </xf>
    <xf numFmtId="3" fontId="201" fillId="0" borderId="1" xfId="0" applyNumberFormat="1" applyFont="1" applyBorder="1" applyAlignment="1" applyProtection="1">
      <alignment horizontal="center"/>
      <protection locked="0"/>
    </xf>
    <xf numFmtId="3" fontId="200" fillId="0" borderId="0" xfId="0" applyNumberFormat="1" applyFont="1" applyAlignment="1" applyProtection="1">
      <alignment horizontal="center"/>
      <protection locked="0"/>
    </xf>
    <xf numFmtId="3" fontId="199" fillId="0" borderId="0" xfId="0" applyNumberFormat="1" applyFont="1" applyAlignment="1" applyProtection="1">
      <alignment horizontal="center"/>
      <protection locked="0"/>
    </xf>
    <xf numFmtId="174" fontId="179" fillId="74" borderId="0" xfId="4665" applyNumberFormat="1" applyFont="1" applyFill="1" applyAlignment="1"/>
    <xf numFmtId="0" fontId="200" fillId="0" borderId="0" xfId="4" applyFont="1" applyAlignment="1">
      <alignment horizontal="center"/>
    </xf>
    <xf numFmtId="3" fontId="200" fillId="0" borderId="1" xfId="0" applyNumberFormat="1" applyFont="1" applyBorder="1" applyAlignment="1" applyProtection="1">
      <alignment horizontal="center"/>
      <protection locked="0"/>
    </xf>
    <xf numFmtId="0" fontId="196" fillId="0" borderId="15" xfId="4598" applyFont="1" applyBorder="1" applyAlignment="1">
      <alignment horizontal="centerContinuous"/>
    </xf>
    <xf numFmtId="0" fontId="196" fillId="0" borderId="48" xfId="4598" applyFont="1" applyBorder="1" applyAlignment="1">
      <alignment horizontal="centerContinuous"/>
    </xf>
    <xf numFmtId="41" fontId="31" fillId="77" borderId="38" xfId="1" applyNumberFormat="1" applyFont="1" applyFill="1" applyBorder="1" applyAlignment="1" applyProtection="1">
      <protection locked="0"/>
    </xf>
    <xf numFmtId="1" fontId="31" fillId="0" borderId="0" xfId="4668" applyNumberFormat="1" applyFont="1" applyAlignment="1" applyProtection="1">
      <alignment horizontal="left"/>
      <protection locked="0"/>
    </xf>
    <xf numFmtId="271" fontId="31" fillId="0" borderId="0" xfId="190" applyNumberFormat="1" applyFont="1" applyFill="1" applyBorder="1" applyAlignment="1"/>
    <xf numFmtId="10" fontId="200" fillId="0" borderId="0" xfId="4665" applyNumberFormat="1" applyFont="1" applyFill="1" applyBorder="1" applyAlignment="1">
      <alignment horizontal="center"/>
    </xf>
    <xf numFmtId="165" fontId="200" fillId="0" borderId="0" xfId="0" applyNumberFormat="1" applyFont="1" applyProtection="1"/>
    <xf numFmtId="164" fontId="179" fillId="77" borderId="0" xfId="4666" applyNumberFormat="1" applyFont="1" applyFill="1"/>
    <xf numFmtId="174" fontId="179" fillId="77" borderId="0" xfId="4692" applyNumberFormat="1" applyFont="1" applyFill="1" applyBorder="1" applyAlignment="1">
      <alignment vertical="center" wrapText="1"/>
    </xf>
    <xf numFmtId="3" fontId="179" fillId="3" borderId="0" xfId="4700" quotePrefix="1" applyNumberFormat="1" applyFont="1" applyFill="1" applyAlignment="1">
      <alignment horizontal="right"/>
    </xf>
    <xf numFmtId="172" fontId="31" fillId="0" borderId="0" xfId="0" applyFont="1" applyAlignment="1">
      <alignment vertical="top" wrapText="1"/>
    </xf>
    <xf numFmtId="43" fontId="31" fillId="0" borderId="0" xfId="4665" applyFont="1" applyFill="1" applyAlignment="1">
      <alignment horizontal="right"/>
    </xf>
    <xf numFmtId="10" fontId="31" fillId="0" borderId="4" xfId="4665" applyNumberFormat="1" applyFont="1" applyFill="1" applyBorder="1" applyAlignment="1">
      <alignment horizontal="center"/>
    </xf>
    <xf numFmtId="10" fontId="31" fillId="0" borderId="0" xfId="4665" applyNumberFormat="1" applyFont="1" applyFill="1" applyBorder="1" applyAlignment="1">
      <alignment horizontal="center"/>
    </xf>
    <xf numFmtId="0" fontId="31" fillId="0" borderId="0" xfId="4595" applyFont="1" applyAlignment="1">
      <alignment horizontal="center"/>
    </xf>
    <xf numFmtId="174" fontId="31" fillId="3" borderId="0" xfId="190" applyNumberFormat="1" applyFont="1" applyFill="1" applyAlignment="1"/>
    <xf numFmtId="174" fontId="31" fillId="2" borderId="0" xfId="4665" applyNumberFormat="1" applyFont="1" applyFill="1" applyAlignment="1" applyProtection="1">
      <protection locked="0"/>
    </xf>
    <xf numFmtId="172" fontId="31" fillId="0" borderId="3" xfId="0" applyFont="1" applyBorder="1" applyProtection="1">
      <protection locked="0"/>
    </xf>
    <xf numFmtId="174" fontId="31" fillId="77" borderId="0" xfId="4665" applyNumberFormat="1" applyFont="1" applyFill="1" applyAlignment="1" applyProtection="1">
      <protection locked="0"/>
    </xf>
    <xf numFmtId="174" fontId="31" fillId="2" borderId="1" xfId="4665" applyNumberFormat="1" applyFont="1" applyFill="1" applyBorder="1" applyAlignment="1" applyProtection="1">
      <protection locked="0"/>
    </xf>
    <xf numFmtId="0" fontId="215" fillId="0" borderId="49" xfId="4598" applyFont="1" applyBorder="1" applyAlignment="1">
      <alignment horizontal="centerContinuous"/>
    </xf>
    <xf numFmtId="0" fontId="123" fillId="0" borderId="17" xfId="4598" applyFont="1" applyBorder="1" applyAlignment="1">
      <alignment horizontal="center"/>
    </xf>
    <xf numFmtId="43" fontId="31" fillId="0" borderId="0" xfId="4665" applyFont="1" applyFill="1" applyBorder="1"/>
    <xf numFmtId="10" fontId="31" fillId="0" borderId="4" xfId="3" applyNumberFormat="1" applyFont="1" applyFill="1" applyBorder="1" applyAlignment="1">
      <alignment horizontal="center"/>
    </xf>
    <xf numFmtId="43" fontId="31" fillId="0" borderId="0" xfId="2" applyFont="1" applyFill="1"/>
    <xf numFmtId="43" fontId="31" fillId="0" borderId="0" xfId="2" applyFont="1" applyFill="1" applyAlignment="1">
      <alignment horizontal="right"/>
    </xf>
    <xf numFmtId="10" fontId="31" fillId="0" borderId="0" xfId="2" applyNumberFormat="1" applyFont="1" applyFill="1" applyAlignment="1">
      <alignment horizontal="center"/>
    </xf>
    <xf numFmtId="10" fontId="31" fillId="0" borderId="4" xfId="2" applyNumberFormat="1" applyFont="1" applyFill="1" applyBorder="1" applyAlignment="1">
      <alignment horizontal="center"/>
    </xf>
    <xf numFmtId="10" fontId="31" fillId="0" borderId="3" xfId="3" applyNumberFormat="1" applyFont="1" applyFill="1" applyBorder="1" applyAlignment="1">
      <alignment horizontal="center"/>
    </xf>
    <xf numFmtId="14" fontId="31" fillId="80" borderId="0" xfId="0" applyNumberFormat="1" applyFont="1" applyFill="1" applyProtection="1">
      <protection locked="0"/>
    </xf>
    <xf numFmtId="0" fontId="31" fillId="0" borderId="3" xfId="0" applyNumberFormat="1" applyFont="1" applyBorder="1" applyProtection="1">
      <protection locked="0"/>
    </xf>
    <xf numFmtId="41" fontId="31" fillId="77" borderId="3" xfId="1" applyNumberFormat="1" applyFont="1" applyFill="1" applyBorder="1" applyAlignment="1" applyProtection="1">
      <protection locked="0"/>
    </xf>
    <xf numFmtId="173" fontId="31" fillId="0" borderId="3" xfId="4667" applyNumberFormat="1" applyFont="1" applyBorder="1" applyAlignment="1"/>
    <xf numFmtId="170" fontId="31" fillId="0" borderId="0" xfId="4667" applyNumberFormat="1" applyFont="1" applyBorder="1" applyAlignment="1"/>
    <xf numFmtId="170" fontId="31" fillId="79" borderId="0" xfId="4667" applyNumberFormat="1" applyFont="1" applyFill="1" applyBorder="1" applyAlignment="1"/>
    <xf numFmtId="170" fontId="31" fillId="0" borderId="0" xfId="4667" applyNumberFormat="1" applyFont="1" applyFill="1" applyBorder="1" applyAlignment="1"/>
    <xf numFmtId="170" fontId="31" fillId="0" borderId="38" xfId="4667" applyNumberFormat="1" applyFont="1" applyFill="1" applyBorder="1" applyAlignment="1"/>
    <xf numFmtId="237" fontId="123" fillId="0" borderId="0" xfId="4666" applyNumberFormat="1" applyFont="1" applyAlignment="1">
      <alignment horizontal="right"/>
    </xf>
    <xf numFmtId="237" fontId="123" fillId="0" borderId="3" xfId="4666" applyNumberFormat="1" applyFont="1" applyBorder="1" applyAlignment="1">
      <alignment horizontal="right"/>
    </xf>
    <xf numFmtId="170" fontId="31" fillId="0" borderId="0" xfId="4667" applyNumberFormat="1" applyFont="1" applyFill="1" applyAlignment="1"/>
    <xf numFmtId="170" fontId="31" fillId="0" borderId="0" xfId="190" applyNumberFormat="1" applyFont="1" applyFill="1" applyAlignment="1"/>
    <xf numFmtId="0" fontId="31" fillId="0" borderId="0" xfId="123" applyFont="1" applyAlignment="1">
      <alignment horizontal="center"/>
    </xf>
    <xf numFmtId="0" fontId="31" fillId="0" borderId="0" xfId="123" applyFont="1"/>
    <xf numFmtId="43" fontId="31" fillId="0" borderId="0" xfId="190" applyFont="1"/>
    <xf numFmtId="43" fontId="166" fillId="2" borderId="0" xfId="4665" applyFont="1" applyFill="1" applyProtection="1">
      <protection locked="0"/>
    </xf>
    <xf numFmtId="43" fontId="31" fillId="0" borderId="0" xfId="4665" applyFont="1" applyProtection="1"/>
    <xf numFmtId="307" fontId="31" fillId="56" borderId="0" xfId="0" applyNumberFormat="1" applyFont="1" applyFill="1"/>
    <xf numFmtId="174" fontId="166" fillId="3" borderId="0" xfId="4665" applyNumberFormat="1" applyFont="1" applyFill="1"/>
    <xf numFmtId="174" fontId="31" fillId="0" borderId="0" xfId="4665" applyNumberFormat="1" applyFont="1"/>
    <xf numFmtId="174" fontId="31" fillId="0" borderId="0" xfId="4665" applyNumberFormat="1" applyFont="1" applyFill="1" applyBorder="1" applyAlignment="1"/>
    <xf numFmtId="174" fontId="31" fillId="0" borderId="17" xfId="190" applyNumberFormat="1" applyFont="1" applyFill="1" applyBorder="1" applyAlignment="1"/>
    <xf numFmtId="174" fontId="31" fillId="0" borderId="14" xfId="190" applyNumberFormat="1" applyFont="1" applyFill="1" applyBorder="1"/>
    <xf numFmtId="172" fontId="123" fillId="0" borderId="0" xfId="0" applyFont="1" applyAlignment="1">
      <alignment horizontal="left"/>
    </xf>
    <xf numFmtId="172" fontId="31" fillId="0" borderId="0" xfId="0" applyFont="1" applyProtection="1">
      <protection locked="0"/>
    </xf>
    <xf numFmtId="172" fontId="31" fillId="0" borderId="0" xfId="0" applyFont="1" applyAlignment="1">
      <alignment horizontal="left" vertical="top" wrapText="1"/>
    </xf>
    <xf numFmtId="172" fontId="31" fillId="0" borderId="0" xfId="0" applyFont="1" applyAlignment="1">
      <alignment horizontal="left" wrapText="1"/>
    </xf>
    <xf numFmtId="0" fontId="31" fillId="0" borderId="0" xfId="0" applyNumberFormat="1" applyFont="1" applyAlignment="1" applyProtection="1">
      <alignment horizontal="right"/>
      <protection locked="0"/>
    </xf>
    <xf numFmtId="0" fontId="123" fillId="0" borderId="0" xfId="0" applyNumberFormat="1" applyFont="1" applyAlignment="1" applyProtection="1">
      <alignment horizontal="right"/>
      <protection locked="0"/>
    </xf>
    <xf numFmtId="0" fontId="31" fillId="0" borderId="0" xfId="0" applyNumberFormat="1" applyFont="1" applyAlignment="1" applyProtection="1">
      <alignment vertical="top" wrapText="1"/>
      <protection locked="0"/>
    </xf>
    <xf numFmtId="0" fontId="31" fillId="0" borderId="0" xfId="4597" applyNumberFormat="1" applyFont="1" applyAlignment="1" applyProtection="1">
      <alignment horizontal="left" vertical="top" wrapText="1"/>
      <protection locked="0"/>
    </xf>
    <xf numFmtId="0" fontId="31" fillId="0" borderId="0" xfId="0" applyNumberFormat="1" applyFont="1" applyAlignment="1" applyProtection="1">
      <alignment horizontal="left" vertical="top" wrapText="1"/>
      <protection locked="0"/>
    </xf>
    <xf numFmtId="0" fontId="31" fillId="0" borderId="0" xfId="4664" applyNumberFormat="1" applyFont="1" applyAlignment="1">
      <alignment horizontal="left" vertical="top" wrapText="1"/>
    </xf>
    <xf numFmtId="172" fontId="31" fillId="0" borderId="0" xfId="0" applyFont="1" applyAlignment="1">
      <alignment horizontal="left"/>
    </xf>
    <xf numFmtId="0" fontId="31" fillId="0" borderId="0" xfId="2138" applyFont="1" applyFill="1" applyAlignment="1">
      <alignment horizontal="left" vertical="top" wrapText="1"/>
    </xf>
    <xf numFmtId="0" fontId="31" fillId="0" borderId="0" xfId="0" applyNumberFormat="1" applyFont="1" applyAlignment="1" applyProtection="1">
      <alignment horizontal="right"/>
    </xf>
    <xf numFmtId="0" fontId="31" fillId="0" borderId="0" xfId="0" applyNumberFormat="1" applyFont="1" applyProtection="1">
      <protection locked="0"/>
    </xf>
    <xf numFmtId="3" fontId="31" fillId="0" borderId="0" xfId="0" applyNumberFormat="1" applyFont="1" applyAlignment="1" applyProtection="1">
      <alignment horizontal="right"/>
      <protection locked="0"/>
    </xf>
    <xf numFmtId="0" fontId="31" fillId="0" borderId="0" xfId="0" applyNumberFormat="1" applyFont="1" applyAlignment="1">
      <alignment horizontal="left" vertical="top" wrapText="1"/>
    </xf>
    <xf numFmtId="0" fontId="31" fillId="0" borderId="1" xfId="0" applyNumberFormat="1" applyFont="1" applyBorder="1" applyAlignment="1" applyProtection="1">
      <alignment horizontal="center"/>
      <protection locked="0"/>
    </xf>
    <xf numFmtId="172" fontId="167" fillId="0" borderId="0" xfId="4597" applyFont="1" applyAlignment="1">
      <alignment horizontal="left" vertical="top" wrapText="1"/>
    </xf>
    <xf numFmtId="172" fontId="167" fillId="0" borderId="0" xfId="0" applyFont="1" applyAlignment="1">
      <alignment horizontal="left" vertical="top" wrapText="1"/>
    </xf>
    <xf numFmtId="0" fontId="31" fillId="0" borderId="0" xfId="4595" applyFont="1" applyAlignment="1">
      <alignment vertical="top" wrapText="1"/>
    </xf>
    <xf numFmtId="0" fontId="31" fillId="0" borderId="0" xfId="4597" quotePrefix="1" applyNumberFormat="1" applyFont="1" applyAlignment="1">
      <alignment horizontal="left" vertical="top" wrapText="1"/>
    </xf>
    <xf numFmtId="0" fontId="31" fillId="0" borderId="0" xfId="0" applyNumberFormat="1" applyFont="1" applyAlignment="1" applyProtection="1">
      <alignment horizontal="left" vertical="center" wrapText="1"/>
      <protection locked="0"/>
    </xf>
    <xf numFmtId="172" fontId="10" fillId="0" borderId="0" xfId="0" applyFont="1" applyAlignment="1">
      <alignment vertical="top" wrapText="1"/>
    </xf>
    <xf numFmtId="172" fontId="10" fillId="0" borderId="0" xfId="0" applyFont="1" applyAlignment="1">
      <alignment horizontal="left" vertical="top" wrapText="1"/>
    </xf>
    <xf numFmtId="172" fontId="174" fillId="0" borderId="0" xfId="0" applyFont="1" applyAlignment="1">
      <alignment horizontal="center"/>
    </xf>
    <xf numFmtId="172" fontId="31" fillId="0" borderId="0" xfId="0" applyFont="1" applyAlignment="1" applyProtection="1">
      <alignment horizontal="center"/>
      <protection locked="0"/>
    </xf>
    <xf numFmtId="0" fontId="123" fillId="0" borderId="0" xfId="4155" applyNumberFormat="1" applyFont="1" applyAlignment="1" applyProtection="1">
      <alignment horizontal="center"/>
      <protection locked="0"/>
    </xf>
    <xf numFmtId="172" fontId="123" fillId="0" borderId="0" xfId="0" applyFont="1" applyAlignment="1">
      <alignment horizontal="center"/>
    </xf>
    <xf numFmtId="0" fontId="132" fillId="0" borderId="4" xfId="4473" applyFont="1" applyBorder="1" applyAlignment="1">
      <alignment horizontal="center"/>
    </xf>
    <xf numFmtId="172" fontId="123" fillId="0" borderId="3" xfId="0" applyFont="1" applyBorder="1" applyAlignment="1">
      <alignment horizontal="center"/>
    </xf>
    <xf numFmtId="0" fontId="31" fillId="0" borderId="0" xfId="4" applyFont="1" applyAlignment="1">
      <alignment vertical="top" wrapText="1"/>
    </xf>
    <xf numFmtId="0" fontId="123" fillId="0" borderId="0" xfId="4" applyFont="1" applyAlignment="1">
      <alignment horizontal="center"/>
    </xf>
    <xf numFmtId="49" fontId="123" fillId="0" borderId="0" xfId="4" applyNumberFormat="1" applyFont="1" applyAlignment="1">
      <alignment horizontal="center"/>
    </xf>
    <xf numFmtId="172" fontId="31" fillId="0" borderId="0" xfId="0" applyFont="1" applyAlignment="1">
      <alignment horizontal="left" vertical="top"/>
    </xf>
    <xf numFmtId="172" fontId="31" fillId="0" borderId="0" xfId="0" applyFont="1" applyAlignment="1">
      <alignment horizontal="left" vertical="center"/>
    </xf>
    <xf numFmtId="0" fontId="209" fillId="0" borderId="0" xfId="4695" applyFont="1" applyAlignment="1">
      <alignment horizontal="left" vertical="top" wrapText="1"/>
    </xf>
    <xf numFmtId="0" fontId="196" fillId="0" borderId="0" xfId="4" applyFont="1" applyAlignment="1">
      <alignment horizontal="center"/>
    </xf>
    <xf numFmtId="3" fontId="179" fillId="0" borderId="1" xfId="4695" applyNumberFormat="1" applyFont="1" applyBorder="1" applyAlignment="1">
      <alignment horizontal="center"/>
    </xf>
    <xf numFmtId="172" fontId="196" fillId="0" borderId="17" xfId="4695" applyNumberFormat="1" applyFont="1" applyBorder="1" applyAlignment="1">
      <alignment horizontal="center"/>
    </xf>
    <xf numFmtId="3" fontId="196" fillId="0" borderId="48" xfId="4695" applyNumberFormat="1" applyFont="1" applyBorder="1" applyAlignment="1">
      <alignment horizontal="center"/>
    </xf>
    <xf numFmtId="3" fontId="196" fillId="0" borderId="15" xfId="4695" applyNumberFormat="1" applyFont="1" applyBorder="1" applyAlignment="1">
      <alignment horizontal="center"/>
    </xf>
    <xf numFmtId="0" fontId="209" fillId="81" borderId="0" xfId="4695" applyFont="1" applyFill="1" applyAlignment="1">
      <alignment horizontal="left" vertical="top" wrapText="1"/>
    </xf>
    <xf numFmtId="0" fontId="213" fillId="0" borderId="0" xfId="4698" applyFont="1" applyAlignment="1">
      <alignment horizontal="left" vertical="top" wrapText="1"/>
    </xf>
    <xf numFmtId="0" fontId="179" fillId="0" borderId="0" xfId="4698" applyFont="1" applyAlignment="1">
      <alignment horizontal="left" vertical="top" wrapText="1"/>
    </xf>
    <xf numFmtId="0" fontId="196" fillId="0" borderId="0" xfId="4" applyFont="1" applyAlignment="1">
      <alignment horizontal="center" vertical="center"/>
    </xf>
    <xf numFmtId="0" fontId="196" fillId="0" borderId="0" xfId="4698" applyFont="1" applyAlignment="1">
      <alignment horizontal="center" vertical="center"/>
    </xf>
    <xf numFmtId="49" fontId="196" fillId="0" borderId="0" xfId="4" applyNumberFormat="1" applyFont="1" applyAlignment="1">
      <alignment horizontal="center"/>
    </xf>
    <xf numFmtId="0" fontId="196" fillId="0" borderId="59" xfId="4698" applyFont="1" applyBorder="1" applyAlignment="1">
      <alignment horizontal="center" vertical="center" wrapText="1"/>
    </xf>
    <xf numFmtId="0" fontId="196" fillId="0" borderId="21" xfId="4698" applyFont="1" applyBorder="1" applyAlignment="1">
      <alignment horizontal="center" vertical="center" wrapText="1"/>
    </xf>
    <xf numFmtId="0" fontId="196" fillId="0" borderId="60" xfId="4698" applyFont="1" applyBorder="1" applyAlignment="1">
      <alignment horizontal="center" vertical="center" wrapText="1"/>
    </xf>
    <xf numFmtId="0" fontId="31" fillId="0" borderId="0" xfId="4228" applyFont="1" applyAlignment="1">
      <alignment horizontal="left" vertical="top" wrapText="1"/>
    </xf>
    <xf numFmtId="172" fontId="123" fillId="0" borderId="48" xfId="0" applyFont="1" applyBorder="1" applyAlignment="1">
      <alignment horizontal="center"/>
    </xf>
    <xf numFmtId="172" fontId="123" fillId="0" borderId="15" xfId="0" applyFont="1" applyBorder="1" applyAlignment="1">
      <alignment horizontal="center"/>
    </xf>
    <xf numFmtId="172" fontId="123" fillId="0" borderId="49" xfId="0" applyFont="1" applyBorder="1" applyAlignment="1">
      <alignment horizontal="center"/>
    </xf>
    <xf numFmtId="0" fontId="165" fillId="0" borderId="0" xfId="4228" applyFont="1" applyAlignment="1">
      <alignment horizontal="left" vertical="top" wrapText="1"/>
    </xf>
    <xf numFmtId="0" fontId="31" fillId="0" borderId="0" xfId="4" applyFont="1" applyAlignment="1">
      <alignment horizontal="left" vertical="top" wrapText="1"/>
    </xf>
    <xf numFmtId="172" fontId="181" fillId="0" borderId="0" xfId="0" applyFont="1" applyAlignment="1">
      <alignment horizontal="left"/>
    </xf>
    <xf numFmtId="172" fontId="182" fillId="0" borderId="3" xfId="0" applyFont="1" applyBorder="1" applyAlignment="1">
      <alignment horizontal="center"/>
    </xf>
    <xf numFmtId="0" fontId="123" fillId="0" borderId="0" xfId="4598" applyFont="1" applyAlignment="1">
      <alignment horizontal="center"/>
    </xf>
    <xf numFmtId="49" fontId="123" fillId="0" borderId="0" xfId="4597" applyNumberFormat="1" applyFont="1" applyAlignment="1">
      <alignment horizontal="center"/>
    </xf>
    <xf numFmtId="0" fontId="31" fillId="0" borderId="0" xfId="4476" applyFont="1" applyAlignment="1">
      <alignment horizontal="left" vertical="top" wrapText="1"/>
    </xf>
    <xf numFmtId="0" fontId="31" fillId="0" borderId="0" xfId="4476" applyFont="1" applyAlignment="1">
      <alignment horizontal="left" vertical="top"/>
    </xf>
    <xf numFmtId="0" fontId="31" fillId="0" borderId="0" xfId="0" applyNumberFormat="1" applyFont="1" applyAlignment="1" applyProtection="1">
      <alignment horizontal="center"/>
      <protection locked="0"/>
    </xf>
    <xf numFmtId="0" fontId="167" fillId="0" borderId="0" xfId="0" applyNumberFormat="1" applyFont="1" applyAlignment="1">
      <alignment horizontal="left" vertical="top" wrapText="1"/>
    </xf>
    <xf numFmtId="0" fontId="167" fillId="0" borderId="0" xfId="0" applyNumberFormat="1" applyFont="1" applyAlignment="1">
      <alignment horizontal="left"/>
    </xf>
    <xf numFmtId="172" fontId="31" fillId="0" borderId="0" xfId="0" applyFont="1" applyAlignment="1" applyProtection="1">
      <alignment horizontal="left"/>
      <protection locked="0"/>
    </xf>
    <xf numFmtId="172" fontId="123" fillId="0" borderId="0" xfId="4667" applyNumberFormat="1" applyFont="1" applyAlignment="1">
      <alignment horizontal="center"/>
    </xf>
    <xf numFmtId="172" fontId="123" fillId="0" borderId="0" xfId="4667" applyNumberFormat="1" applyFont="1" applyBorder="1" applyAlignment="1">
      <alignment horizontal="center"/>
    </xf>
    <xf numFmtId="172" fontId="123" fillId="0" borderId="3" xfId="4667" applyNumberFormat="1" applyFont="1" applyBorder="1" applyAlignment="1">
      <alignment horizontal="center"/>
    </xf>
    <xf numFmtId="172" fontId="123" fillId="0" borderId="52" xfId="4667" applyNumberFormat="1" applyFont="1" applyFill="1" applyBorder="1" applyAlignment="1">
      <alignment horizontal="center"/>
    </xf>
    <xf numFmtId="172" fontId="123" fillId="0" borderId="3" xfId="4667" applyNumberFormat="1" applyFont="1" applyFill="1" applyBorder="1" applyAlignment="1">
      <alignment horizontal="center"/>
    </xf>
    <xf numFmtId="172" fontId="123" fillId="0" borderId="53" xfId="4667" applyNumberFormat="1" applyFont="1" applyFill="1" applyBorder="1" applyAlignment="1">
      <alignment horizontal="center"/>
    </xf>
    <xf numFmtId="172" fontId="193" fillId="0" borderId="0" xfId="4667" applyNumberFormat="1" applyFont="1" applyAlignment="1">
      <alignment horizontal="center"/>
    </xf>
    <xf numFmtId="172" fontId="31" fillId="0" borderId="0" xfId="4667" applyNumberFormat="1" applyFont="1" applyBorder="1" applyAlignment="1">
      <alignment horizontal="center"/>
    </xf>
    <xf numFmtId="172" fontId="31" fillId="0" borderId="0" xfId="4667" applyNumberFormat="1" applyFont="1" applyFill="1" applyBorder="1" applyAlignment="1">
      <alignment horizontal="center"/>
    </xf>
    <xf numFmtId="172" fontId="31" fillId="0" borderId="38" xfId="4667" applyNumberFormat="1" applyFont="1" applyFill="1" applyBorder="1" applyAlignment="1">
      <alignment horizontal="center"/>
    </xf>
    <xf numFmtId="0" fontId="31" fillId="0" borderId="51" xfId="4352" quotePrefix="1" applyNumberFormat="1" applyFont="1" applyBorder="1" applyAlignment="1">
      <alignment horizontal="center"/>
    </xf>
    <xf numFmtId="0" fontId="31" fillId="0" borderId="4" xfId="4352" quotePrefix="1" applyNumberFormat="1" applyFont="1" applyBorder="1" applyAlignment="1">
      <alignment horizontal="center"/>
    </xf>
    <xf numFmtId="0" fontId="31" fillId="0" borderId="47" xfId="4352" quotePrefix="1" applyNumberFormat="1" applyFont="1" applyBorder="1" applyAlignment="1">
      <alignment horizontal="center"/>
    </xf>
    <xf numFmtId="172" fontId="31" fillId="0" borderId="0" xfId="4667" quotePrefix="1" applyNumberFormat="1" applyFont="1" applyFill="1" applyAlignment="1">
      <alignment horizontal="left" vertical="top" wrapText="1"/>
    </xf>
    <xf numFmtId="172" fontId="123" fillId="0" borderId="0" xfId="4667" applyNumberFormat="1" applyFont="1" applyFill="1" applyAlignment="1">
      <alignment horizontal="center"/>
    </xf>
    <xf numFmtId="172" fontId="123" fillId="0" borderId="0" xfId="4667" applyNumberFormat="1" applyFont="1" applyFill="1" applyAlignment="1">
      <alignment horizontal="left" vertical="top" wrapText="1"/>
    </xf>
    <xf numFmtId="172" fontId="31" fillId="0" borderId="0" xfId="4667" applyNumberFormat="1" applyFont="1" applyFill="1" applyAlignment="1">
      <alignment horizontal="left" vertical="top" wrapText="1"/>
    </xf>
    <xf numFmtId="172" fontId="123" fillId="0" borderId="0" xfId="4667" applyNumberFormat="1" applyFont="1" applyFill="1" applyAlignment="1">
      <alignment wrapText="1"/>
    </xf>
    <xf numFmtId="172" fontId="31" fillId="0" borderId="0" xfId="4667" applyNumberFormat="1" applyFont="1" applyFill="1" applyAlignment="1">
      <alignment wrapText="1"/>
    </xf>
    <xf numFmtId="172" fontId="182" fillId="0" borderId="0" xfId="0" applyFont="1" applyAlignment="1">
      <alignment horizontal="center"/>
    </xf>
    <xf numFmtId="0" fontId="196" fillId="0" borderId="0" xfId="4690" applyFont="1" applyAlignment="1">
      <alignment horizontal="center"/>
    </xf>
    <xf numFmtId="0" fontId="196" fillId="0" borderId="48" xfId="4690" applyFont="1" applyBorder="1" applyAlignment="1">
      <alignment horizontal="center" vertical="center"/>
    </xf>
    <xf numFmtId="0" fontId="196" fillId="0" borderId="15" xfId="4690" applyFont="1" applyBorder="1" applyAlignment="1">
      <alignment horizontal="center" vertical="center"/>
    </xf>
    <xf numFmtId="0" fontId="196" fillId="0" borderId="49" xfId="4690" applyFont="1" applyBorder="1" applyAlignment="1">
      <alignment horizontal="center" vertical="center"/>
    </xf>
    <xf numFmtId="49" fontId="196" fillId="0" borderId="0" xfId="4690" applyNumberFormat="1" applyFont="1" applyAlignment="1">
      <alignment horizontal="center"/>
    </xf>
    <xf numFmtId="0" fontId="196" fillId="0" borderId="51" xfId="4690" applyFont="1" applyBorder="1" applyAlignment="1">
      <alignment horizontal="center" vertical="center"/>
    </xf>
    <xf numFmtId="0" fontId="196" fillId="0" borderId="4" xfId="4690" applyFont="1" applyBorder="1" applyAlignment="1">
      <alignment horizontal="center" vertical="center"/>
    </xf>
    <xf numFmtId="0" fontId="196" fillId="0" borderId="47" xfId="4690" applyFont="1" applyBorder="1" applyAlignment="1">
      <alignment horizontal="center" vertical="center"/>
    </xf>
    <xf numFmtId="0" fontId="166" fillId="3" borderId="0" xfId="4671" applyFont="1" applyFill="1" applyAlignment="1">
      <alignment horizontal="left"/>
    </xf>
    <xf numFmtId="0" fontId="166" fillId="3" borderId="0" xfId="4671" applyFont="1" applyFill="1" applyAlignment="1">
      <alignment horizontal="center"/>
    </xf>
    <xf numFmtId="0" fontId="31" fillId="0" borderId="0" xfId="4671" applyFont="1" applyAlignment="1">
      <alignment horizontal="left"/>
    </xf>
    <xf numFmtId="173" fontId="31" fillId="80" borderId="0" xfId="1" applyNumberFormat="1" applyFont="1" applyFill="1" applyAlignment="1" applyProtection="1">
      <protection locked="0"/>
    </xf>
    <xf numFmtId="174" fontId="31" fillId="80" borderId="0" xfId="4665" applyNumberFormat="1" applyFont="1" applyFill="1" applyAlignment="1" applyProtection="1">
      <protection locked="0"/>
    </xf>
    <xf numFmtId="0" fontId="31" fillId="80" borderId="0" xfId="4" applyFont="1" applyFill="1"/>
    <xf numFmtId="14" fontId="31" fillId="80" borderId="0" xfId="0" applyNumberFormat="1" applyFont="1" applyFill="1" applyAlignment="1" applyProtection="1">
      <alignment horizontal="center"/>
      <protection locked="0"/>
    </xf>
  </cellXfs>
  <cellStyles count="4701">
    <cellStyle name=" 1" xfId="4276" xr:uid="{00000000-0005-0000-0000-000000000000}"/>
    <cellStyle name="%" xfId="5" xr:uid="{00000000-0005-0000-0000-000001000000}"/>
    <cellStyle name="_033103 13 week CF1" xfId="6" xr:uid="{00000000-0005-0000-0000-000002000000}"/>
    <cellStyle name="_181000-189000" xfId="7" xr:uid="{00000000-0005-0000-0000-000003000000}"/>
    <cellStyle name="_2002  What- No Cap X Morgan" xfId="8" xr:uid="{00000000-0005-0000-0000-000004000000}"/>
    <cellStyle name="_Baseline Rollforward Support 050817" xfId="9" xr:uid="{00000000-0005-0000-0000-000005000000}"/>
    <cellStyle name="_Book200 Acq Adj by Plant Acct (w Alloc %)" xfId="4277" xr:uid="{00000000-0005-0000-0000-000006000000}"/>
    <cellStyle name="_EGTG_2003_YTD_Cash_Flow" xfId="10" xr:uid="{00000000-0005-0000-0000-000007000000}"/>
    <cellStyle name="_Everest_Board_Book_2003_FINAL" xfId="11" xr:uid="{00000000-0005-0000-0000-000008000000}"/>
    <cellStyle name="_Oct03_Everest_Board_Financial_Operating_Report" xfId="12" xr:uid="{00000000-0005-0000-0000-000009000000}"/>
    <cellStyle name="_SpreadSM" xfId="13" xr:uid="{00000000-0005-0000-0000-00000A000000}"/>
    <cellStyle name="_Vacation Hours 7-14-08 (2)" xfId="14" xr:uid="{00000000-0005-0000-0000-00000B000000}"/>
    <cellStyle name="_x0010_“+ˆÉ•?pý¤" xfId="4278" xr:uid="{00000000-0005-0000-0000-00000C000000}"/>
    <cellStyle name="_x0010_“+ˆÉ•?pý¤ 2" xfId="4279" xr:uid="{00000000-0005-0000-0000-00000D000000}"/>
    <cellStyle name="¢ Currency [1]" xfId="4478" xr:uid="{00000000-0005-0000-0000-00000E000000}"/>
    <cellStyle name="¢ Currency [2]" xfId="4479" xr:uid="{00000000-0005-0000-0000-00000F000000}"/>
    <cellStyle name="¢ Currency [3]" xfId="4480" xr:uid="{00000000-0005-0000-0000-000010000000}"/>
    <cellStyle name="£ Currency [0]" xfId="4481" xr:uid="{00000000-0005-0000-0000-000011000000}"/>
    <cellStyle name="£ Currency [1]" xfId="4482" xr:uid="{00000000-0005-0000-0000-000012000000}"/>
    <cellStyle name="£ Currency [2]" xfId="4483" xr:uid="{00000000-0005-0000-0000-000013000000}"/>
    <cellStyle name="=C:\WINNT35\SYSTEM32\COMMAND.COM" xfId="15" xr:uid="{00000000-0005-0000-0000-000014000000}"/>
    <cellStyle name="=C:\WINNT40\SYSTEM32\COMMAND.COM" xfId="191" xr:uid="{00000000-0005-0000-0000-000015000000}"/>
    <cellStyle name="=C:\WINNT40\SYSTEM32\COMMAND.COM 2" xfId="192" xr:uid="{00000000-0005-0000-0000-000016000000}"/>
    <cellStyle name="=C:\WINNT40\SYSTEM32\COMMAND.COM 2 2" xfId="193" xr:uid="{00000000-0005-0000-0000-000017000000}"/>
    <cellStyle name="=C:\WINNT40\SYSTEM32\COMMAND.COM 3" xfId="194" xr:uid="{00000000-0005-0000-0000-000018000000}"/>
    <cellStyle name="=C:\WINNT40\SYSTEM32\COMMAND.COM 3 2" xfId="195" xr:uid="{00000000-0005-0000-0000-000019000000}"/>
    <cellStyle name="=C:\WINNT40\SYSTEM32\COMMAND.COM 4" xfId="196" xr:uid="{00000000-0005-0000-0000-00001A000000}"/>
    <cellStyle name="=C:\WINNT40\SYSTEM32\COMMAND.COM 4 2" xfId="197" xr:uid="{00000000-0005-0000-0000-00001B000000}"/>
    <cellStyle name="=C:\WINNT40\SYSTEM32\COMMAND.COM 5" xfId="198" xr:uid="{00000000-0005-0000-0000-00001C000000}"/>
    <cellStyle name="=C:\WINNT40\SYSTEM32\COMMAND.COM 5 2" xfId="199" xr:uid="{00000000-0005-0000-0000-00001D000000}"/>
    <cellStyle name="=C:\WINNT40\SYSTEM32\COMMAND.COM 6" xfId="200" xr:uid="{00000000-0005-0000-0000-00001E000000}"/>
    <cellStyle name="=C:\WINNT40\SYSTEM32\COMMAND.COM 6 2" xfId="201" xr:uid="{00000000-0005-0000-0000-00001F000000}"/>
    <cellStyle name="=C:\WINNT40\SYSTEM32\COMMAND.COM 7" xfId="202" xr:uid="{00000000-0005-0000-0000-000020000000}"/>
    <cellStyle name="=C:\WINNT40\SYSTEM32\COMMAND.COM 7 2" xfId="203" xr:uid="{00000000-0005-0000-0000-000021000000}"/>
    <cellStyle name="=C:\WINNT40\SYSTEM32\COMMAND.COM 8" xfId="204" xr:uid="{00000000-0005-0000-0000-000022000000}"/>
    <cellStyle name="20% - Accent1 10" xfId="205" xr:uid="{00000000-0005-0000-0000-000023000000}"/>
    <cellStyle name="20% - Accent1 11" xfId="206" xr:uid="{00000000-0005-0000-0000-000024000000}"/>
    <cellStyle name="20% - Accent1 12" xfId="207" xr:uid="{00000000-0005-0000-0000-000025000000}"/>
    <cellStyle name="20% - Accent1 13" xfId="208" xr:uid="{00000000-0005-0000-0000-000026000000}"/>
    <cellStyle name="20% - Accent1 14" xfId="209" xr:uid="{00000000-0005-0000-0000-000027000000}"/>
    <cellStyle name="20% - Accent1 15" xfId="210" xr:uid="{00000000-0005-0000-0000-000028000000}"/>
    <cellStyle name="20% - Accent1 16" xfId="211" xr:uid="{00000000-0005-0000-0000-000029000000}"/>
    <cellStyle name="20% - Accent1 17" xfId="212" xr:uid="{00000000-0005-0000-0000-00002A000000}"/>
    <cellStyle name="20% - Accent1 18" xfId="213" xr:uid="{00000000-0005-0000-0000-00002B000000}"/>
    <cellStyle name="20% - Accent1 19" xfId="214" xr:uid="{00000000-0005-0000-0000-00002C000000}"/>
    <cellStyle name="20% - Accent1 19 2" xfId="215" xr:uid="{00000000-0005-0000-0000-00002D000000}"/>
    <cellStyle name="20% - Accent1 19 2 2" xfId="216" xr:uid="{00000000-0005-0000-0000-00002E000000}"/>
    <cellStyle name="20% - Accent1 19 3" xfId="217" xr:uid="{00000000-0005-0000-0000-00002F000000}"/>
    <cellStyle name="20% - Accent1 2" xfId="16" xr:uid="{00000000-0005-0000-0000-000030000000}"/>
    <cellStyle name="20% - Accent1 2 10" xfId="218" xr:uid="{00000000-0005-0000-0000-000031000000}"/>
    <cellStyle name="20% - Accent1 2 2" xfId="219" xr:uid="{00000000-0005-0000-0000-000032000000}"/>
    <cellStyle name="20% - Accent1 2 2 2" xfId="220" xr:uid="{00000000-0005-0000-0000-000033000000}"/>
    <cellStyle name="20% - Accent1 2 2 2 2" xfId="221" xr:uid="{00000000-0005-0000-0000-000034000000}"/>
    <cellStyle name="20% - Accent1 2 2 3" xfId="222" xr:uid="{00000000-0005-0000-0000-000035000000}"/>
    <cellStyle name="20% - Accent1 2 3" xfId="223" xr:uid="{00000000-0005-0000-0000-000036000000}"/>
    <cellStyle name="20% - Accent1 2 3 2" xfId="224" xr:uid="{00000000-0005-0000-0000-000037000000}"/>
    <cellStyle name="20% - Accent1 2 3 2 2" xfId="225" xr:uid="{00000000-0005-0000-0000-000038000000}"/>
    <cellStyle name="20% - Accent1 2 3 3" xfId="226" xr:uid="{00000000-0005-0000-0000-000039000000}"/>
    <cellStyle name="20% - Accent1 2 4" xfId="227" xr:uid="{00000000-0005-0000-0000-00003A000000}"/>
    <cellStyle name="20% - Accent1 2 4 2" xfId="228" xr:uid="{00000000-0005-0000-0000-00003B000000}"/>
    <cellStyle name="20% - Accent1 2 4 2 2" xfId="229" xr:uid="{00000000-0005-0000-0000-00003C000000}"/>
    <cellStyle name="20% - Accent1 2 4 3" xfId="230" xr:uid="{00000000-0005-0000-0000-00003D000000}"/>
    <cellStyle name="20% - Accent1 2 5" xfId="231" xr:uid="{00000000-0005-0000-0000-00003E000000}"/>
    <cellStyle name="20% - Accent1 2 5 2" xfId="232" xr:uid="{00000000-0005-0000-0000-00003F000000}"/>
    <cellStyle name="20% - Accent1 2 5 2 2" xfId="233" xr:uid="{00000000-0005-0000-0000-000040000000}"/>
    <cellStyle name="20% - Accent1 2 5 3" xfId="234" xr:uid="{00000000-0005-0000-0000-000041000000}"/>
    <cellStyle name="20% - Accent1 2 6" xfId="235" xr:uid="{00000000-0005-0000-0000-000042000000}"/>
    <cellStyle name="20% - Accent1 2 6 2" xfId="236" xr:uid="{00000000-0005-0000-0000-000043000000}"/>
    <cellStyle name="20% - Accent1 2 6 2 2" xfId="237" xr:uid="{00000000-0005-0000-0000-000044000000}"/>
    <cellStyle name="20% - Accent1 2 6 3" xfId="238" xr:uid="{00000000-0005-0000-0000-000045000000}"/>
    <cellStyle name="20% - Accent1 2 7" xfId="239" xr:uid="{00000000-0005-0000-0000-000046000000}"/>
    <cellStyle name="20% - Accent1 2 7 2" xfId="240" xr:uid="{00000000-0005-0000-0000-000047000000}"/>
    <cellStyle name="20% - Accent1 2 7 2 2" xfId="241" xr:uid="{00000000-0005-0000-0000-000048000000}"/>
    <cellStyle name="20% - Accent1 2 7 3" xfId="242" xr:uid="{00000000-0005-0000-0000-000049000000}"/>
    <cellStyle name="20% - Accent1 2 8" xfId="243" xr:uid="{00000000-0005-0000-0000-00004A000000}"/>
    <cellStyle name="20% - Accent1 2 8 2" xfId="244" xr:uid="{00000000-0005-0000-0000-00004B000000}"/>
    <cellStyle name="20% - Accent1 2 8 2 2" xfId="245" xr:uid="{00000000-0005-0000-0000-00004C000000}"/>
    <cellStyle name="20% - Accent1 2 8 3" xfId="246" xr:uid="{00000000-0005-0000-0000-00004D000000}"/>
    <cellStyle name="20% - Accent1 2 9" xfId="247" xr:uid="{00000000-0005-0000-0000-00004E000000}"/>
    <cellStyle name="20% - Accent1 2 9 2" xfId="248" xr:uid="{00000000-0005-0000-0000-00004F000000}"/>
    <cellStyle name="20% - Accent1 3" xfId="249" xr:uid="{00000000-0005-0000-0000-000050000000}"/>
    <cellStyle name="20% - Accent1 4" xfId="250" xr:uid="{00000000-0005-0000-0000-000051000000}"/>
    <cellStyle name="20% - Accent1 5" xfId="251" xr:uid="{00000000-0005-0000-0000-000052000000}"/>
    <cellStyle name="20% - Accent1 6" xfId="252" xr:uid="{00000000-0005-0000-0000-000053000000}"/>
    <cellStyle name="20% - Accent1 7" xfId="253" xr:uid="{00000000-0005-0000-0000-000054000000}"/>
    <cellStyle name="20% - Accent1 8" xfId="254" xr:uid="{00000000-0005-0000-0000-000055000000}"/>
    <cellStyle name="20% - Accent1 9" xfId="255" xr:uid="{00000000-0005-0000-0000-000056000000}"/>
    <cellStyle name="20% - Accent2 10" xfId="256" xr:uid="{00000000-0005-0000-0000-000057000000}"/>
    <cellStyle name="20% - Accent2 11" xfId="257" xr:uid="{00000000-0005-0000-0000-000058000000}"/>
    <cellStyle name="20% - Accent2 12" xfId="258" xr:uid="{00000000-0005-0000-0000-000059000000}"/>
    <cellStyle name="20% - Accent2 13" xfId="259" xr:uid="{00000000-0005-0000-0000-00005A000000}"/>
    <cellStyle name="20% - Accent2 14" xfId="260" xr:uid="{00000000-0005-0000-0000-00005B000000}"/>
    <cellStyle name="20% - Accent2 15" xfId="261" xr:uid="{00000000-0005-0000-0000-00005C000000}"/>
    <cellStyle name="20% - Accent2 16" xfId="262" xr:uid="{00000000-0005-0000-0000-00005D000000}"/>
    <cellStyle name="20% - Accent2 17" xfId="263" xr:uid="{00000000-0005-0000-0000-00005E000000}"/>
    <cellStyle name="20% - Accent2 18" xfId="264" xr:uid="{00000000-0005-0000-0000-00005F000000}"/>
    <cellStyle name="20% - Accent2 19" xfId="265" xr:uid="{00000000-0005-0000-0000-000060000000}"/>
    <cellStyle name="20% - Accent2 19 2" xfId="266" xr:uid="{00000000-0005-0000-0000-000061000000}"/>
    <cellStyle name="20% - Accent2 19 2 2" xfId="267" xr:uid="{00000000-0005-0000-0000-000062000000}"/>
    <cellStyle name="20% - Accent2 19 3" xfId="268" xr:uid="{00000000-0005-0000-0000-000063000000}"/>
    <cellStyle name="20% - Accent2 2" xfId="17" xr:uid="{00000000-0005-0000-0000-000064000000}"/>
    <cellStyle name="20% - Accent2 2 10" xfId="269" xr:uid="{00000000-0005-0000-0000-000065000000}"/>
    <cellStyle name="20% - Accent2 2 2" xfId="270" xr:uid="{00000000-0005-0000-0000-000066000000}"/>
    <cellStyle name="20% - Accent2 2 2 2" xfId="271" xr:uid="{00000000-0005-0000-0000-000067000000}"/>
    <cellStyle name="20% - Accent2 2 2 2 2" xfId="272" xr:uid="{00000000-0005-0000-0000-000068000000}"/>
    <cellStyle name="20% - Accent2 2 2 3" xfId="273" xr:uid="{00000000-0005-0000-0000-000069000000}"/>
    <cellStyle name="20% - Accent2 2 3" xfId="274" xr:uid="{00000000-0005-0000-0000-00006A000000}"/>
    <cellStyle name="20% - Accent2 2 3 2" xfId="275" xr:uid="{00000000-0005-0000-0000-00006B000000}"/>
    <cellStyle name="20% - Accent2 2 3 2 2" xfId="276" xr:uid="{00000000-0005-0000-0000-00006C000000}"/>
    <cellStyle name="20% - Accent2 2 3 3" xfId="277" xr:uid="{00000000-0005-0000-0000-00006D000000}"/>
    <cellStyle name="20% - Accent2 2 4" xfId="278" xr:uid="{00000000-0005-0000-0000-00006E000000}"/>
    <cellStyle name="20% - Accent2 2 4 2" xfId="279" xr:uid="{00000000-0005-0000-0000-00006F000000}"/>
    <cellStyle name="20% - Accent2 2 4 2 2" xfId="280" xr:uid="{00000000-0005-0000-0000-000070000000}"/>
    <cellStyle name="20% - Accent2 2 4 3" xfId="281" xr:uid="{00000000-0005-0000-0000-000071000000}"/>
    <cellStyle name="20% - Accent2 2 5" xfId="282" xr:uid="{00000000-0005-0000-0000-000072000000}"/>
    <cellStyle name="20% - Accent2 2 5 2" xfId="283" xr:uid="{00000000-0005-0000-0000-000073000000}"/>
    <cellStyle name="20% - Accent2 2 5 2 2" xfId="284" xr:uid="{00000000-0005-0000-0000-000074000000}"/>
    <cellStyle name="20% - Accent2 2 5 3" xfId="285" xr:uid="{00000000-0005-0000-0000-000075000000}"/>
    <cellStyle name="20% - Accent2 2 6" xfId="286" xr:uid="{00000000-0005-0000-0000-000076000000}"/>
    <cellStyle name="20% - Accent2 2 6 2" xfId="287" xr:uid="{00000000-0005-0000-0000-000077000000}"/>
    <cellStyle name="20% - Accent2 2 6 2 2" xfId="288" xr:uid="{00000000-0005-0000-0000-000078000000}"/>
    <cellStyle name="20% - Accent2 2 6 3" xfId="289" xr:uid="{00000000-0005-0000-0000-000079000000}"/>
    <cellStyle name="20% - Accent2 2 7" xfId="290" xr:uid="{00000000-0005-0000-0000-00007A000000}"/>
    <cellStyle name="20% - Accent2 2 7 2" xfId="291" xr:uid="{00000000-0005-0000-0000-00007B000000}"/>
    <cellStyle name="20% - Accent2 2 7 2 2" xfId="292" xr:uid="{00000000-0005-0000-0000-00007C000000}"/>
    <cellStyle name="20% - Accent2 2 7 3" xfId="293" xr:uid="{00000000-0005-0000-0000-00007D000000}"/>
    <cellStyle name="20% - Accent2 2 8" xfId="294" xr:uid="{00000000-0005-0000-0000-00007E000000}"/>
    <cellStyle name="20% - Accent2 2 8 2" xfId="295" xr:uid="{00000000-0005-0000-0000-00007F000000}"/>
    <cellStyle name="20% - Accent2 2 8 2 2" xfId="296" xr:uid="{00000000-0005-0000-0000-000080000000}"/>
    <cellStyle name="20% - Accent2 2 8 3" xfId="297" xr:uid="{00000000-0005-0000-0000-000081000000}"/>
    <cellStyle name="20% - Accent2 2 9" xfId="298" xr:uid="{00000000-0005-0000-0000-000082000000}"/>
    <cellStyle name="20% - Accent2 2 9 2" xfId="299" xr:uid="{00000000-0005-0000-0000-000083000000}"/>
    <cellStyle name="20% - Accent2 3" xfId="300" xr:uid="{00000000-0005-0000-0000-000084000000}"/>
    <cellStyle name="20% - Accent2 4" xfId="301" xr:uid="{00000000-0005-0000-0000-000085000000}"/>
    <cellStyle name="20% - Accent2 5" xfId="302" xr:uid="{00000000-0005-0000-0000-000086000000}"/>
    <cellStyle name="20% - Accent2 6" xfId="303" xr:uid="{00000000-0005-0000-0000-000087000000}"/>
    <cellStyle name="20% - Accent2 7" xfId="304" xr:uid="{00000000-0005-0000-0000-000088000000}"/>
    <cellStyle name="20% - Accent2 8" xfId="305" xr:uid="{00000000-0005-0000-0000-000089000000}"/>
    <cellStyle name="20% - Accent2 9" xfId="306" xr:uid="{00000000-0005-0000-0000-00008A000000}"/>
    <cellStyle name="20% - Accent3 10" xfId="307" xr:uid="{00000000-0005-0000-0000-00008B000000}"/>
    <cellStyle name="20% - Accent3 11" xfId="308" xr:uid="{00000000-0005-0000-0000-00008C000000}"/>
    <cellStyle name="20% - Accent3 12" xfId="309" xr:uid="{00000000-0005-0000-0000-00008D000000}"/>
    <cellStyle name="20% - Accent3 13" xfId="310" xr:uid="{00000000-0005-0000-0000-00008E000000}"/>
    <cellStyle name="20% - Accent3 14" xfId="311" xr:uid="{00000000-0005-0000-0000-00008F000000}"/>
    <cellStyle name="20% - Accent3 15" xfId="312" xr:uid="{00000000-0005-0000-0000-000090000000}"/>
    <cellStyle name="20% - Accent3 16" xfId="313" xr:uid="{00000000-0005-0000-0000-000091000000}"/>
    <cellStyle name="20% - Accent3 17" xfId="314" xr:uid="{00000000-0005-0000-0000-000092000000}"/>
    <cellStyle name="20% - Accent3 18" xfId="315" xr:uid="{00000000-0005-0000-0000-000093000000}"/>
    <cellStyle name="20% - Accent3 2" xfId="18" xr:uid="{00000000-0005-0000-0000-000094000000}"/>
    <cellStyle name="20% - Accent3 2 2" xfId="316" xr:uid="{00000000-0005-0000-0000-000095000000}"/>
    <cellStyle name="20% - Accent3 2 2 2" xfId="317" xr:uid="{00000000-0005-0000-0000-000096000000}"/>
    <cellStyle name="20% - Accent3 2 2 2 2" xfId="318" xr:uid="{00000000-0005-0000-0000-000097000000}"/>
    <cellStyle name="20% - Accent3 2 2 3" xfId="319" xr:uid="{00000000-0005-0000-0000-000098000000}"/>
    <cellStyle name="20% - Accent3 2 3" xfId="320" xr:uid="{00000000-0005-0000-0000-000099000000}"/>
    <cellStyle name="20% - Accent3 2 3 2" xfId="321" xr:uid="{00000000-0005-0000-0000-00009A000000}"/>
    <cellStyle name="20% - Accent3 2 3 2 2" xfId="322" xr:uid="{00000000-0005-0000-0000-00009B000000}"/>
    <cellStyle name="20% - Accent3 2 3 3" xfId="323" xr:uid="{00000000-0005-0000-0000-00009C000000}"/>
    <cellStyle name="20% - Accent3 2 4" xfId="324" xr:uid="{00000000-0005-0000-0000-00009D000000}"/>
    <cellStyle name="20% - Accent3 2 4 2" xfId="325" xr:uid="{00000000-0005-0000-0000-00009E000000}"/>
    <cellStyle name="20% - Accent3 2 4 2 2" xfId="326" xr:uid="{00000000-0005-0000-0000-00009F000000}"/>
    <cellStyle name="20% - Accent3 2 4 3" xfId="327" xr:uid="{00000000-0005-0000-0000-0000A0000000}"/>
    <cellStyle name="20% - Accent3 2 5" xfId="328" xr:uid="{00000000-0005-0000-0000-0000A1000000}"/>
    <cellStyle name="20% - Accent3 2 5 2" xfId="329" xr:uid="{00000000-0005-0000-0000-0000A2000000}"/>
    <cellStyle name="20% - Accent3 2 5 2 2" xfId="330" xr:uid="{00000000-0005-0000-0000-0000A3000000}"/>
    <cellStyle name="20% - Accent3 2 5 3" xfId="331" xr:uid="{00000000-0005-0000-0000-0000A4000000}"/>
    <cellStyle name="20% - Accent3 2 6" xfId="332" xr:uid="{00000000-0005-0000-0000-0000A5000000}"/>
    <cellStyle name="20% - Accent3 2 6 2" xfId="333" xr:uid="{00000000-0005-0000-0000-0000A6000000}"/>
    <cellStyle name="20% - Accent3 2 6 2 2" xfId="334" xr:uid="{00000000-0005-0000-0000-0000A7000000}"/>
    <cellStyle name="20% - Accent3 2 6 3" xfId="335" xr:uid="{00000000-0005-0000-0000-0000A8000000}"/>
    <cellStyle name="20% - Accent3 2 7" xfId="336" xr:uid="{00000000-0005-0000-0000-0000A9000000}"/>
    <cellStyle name="20% - Accent3 2 7 2" xfId="337" xr:uid="{00000000-0005-0000-0000-0000AA000000}"/>
    <cellStyle name="20% - Accent3 2 7 2 2" xfId="338" xr:uid="{00000000-0005-0000-0000-0000AB000000}"/>
    <cellStyle name="20% - Accent3 2 7 3" xfId="339" xr:uid="{00000000-0005-0000-0000-0000AC000000}"/>
    <cellStyle name="20% - Accent3 2 8" xfId="340" xr:uid="{00000000-0005-0000-0000-0000AD000000}"/>
    <cellStyle name="20% - Accent3 2 8 2" xfId="341" xr:uid="{00000000-0005-0000-0000-0000AE000000}"/>
    <cellStyle name="20% - Accent3 2 9" xfId="342" xr:uid="{00000000-0005-0000-0000-0000AF000000}"/>
    <cellStyle name="20% - Accent3 3" xfId="343" xr:uid="{00000000-0005-0000-0000-0000B0000000}"/>
    <cellStyle name="20% - Accent3 4" xfId="344" xr:uid="{00000000-0005-0000-0000-0000B1000000}"/>
    <cellStyle name="20% - Accent3 5" xfId="345" xr:uid="{00000000-0005-0000-0000-0000B2000000}"/>
    <cellStyle name="20% - Accent3 6" xfId="346" xr:uid="{00000000-0005-0000-0000-0000B3000000}"/>
    <cellStyle name="20% - Accent3 7" xfId="347" xr:uid="{00000000-0005-0000-0000-0000B4000000}"/>
    <cellStyle name="20% - Accent3 8" xfId="348" xr:uid="{00000000-0005-0000-0000-0000B5000000}"/>
    <cellStyle name="20% - Accent3 9" xfId="349" xr:uid="{00000000-0005-0000-0000-0000B6000000}"/>
    <cellStyle name="20% - Accent4 10" xfId="350" xr:uid="{00000000-0005-0000-0000-0000B7000000}"/>
    <cellStyle name="20% - Accent4 11" xfId="351" xr:uid="{00000000-0005-0000-0000-0000B8000000}"/>
    <cellStyle name="20% - Accent4 12" xfId="352" xr:uid="{00000000-0005-0000-0000-0000B9000000}"/>
    <cellStyle name="20% - Accent4 13" xfId="353" xr:uid="{00000000-0005-0000-0000-0000BA000000}"/>
    <cellStyle name="20% - Accent4 14" xfId="354" xr:uid="{00000000-0005-0000-0000-0000BB000000}"/>
    <cellStyle name="20% - Accent4 15" xfId="355" xr:uid="{00000000-0005-0000-0000-0000BC000000}"/>
    <cellStyle name="20% - Accent4 16" xfId="356" xr:uid="{00000000-0005-0000-0000-0000BD000000}"/>
    <cellStyle name="20% - Accent4 17" xfId="357" xr:uid="{00000000-0005-0000-0000-0000BE000000}"/>
    <cellStyle name="20% - Accent4 18" xfId="358" xr:uid="{00000000-0005-0000-0000-0000BF000000}"/>
    <cellStyle name="20% - Accent4 2" xfId="19" xr:uid="{00000000-0005-0000-0000-0000C0000000}"/>
    <cellStyle name="20% - Accent4 2 2" xfId="359" xr:uid="{00000000-0005-0000-0000-0000C1000000}"/>
    <cellStyle name="20% - Accent4 2 2 2" xfId="360" xr:uid="{00000000-0005-0000-0000-0000C2000000}"/>
    <cellStyle name="20% - Accent4 2 2 2 2" xfId="361" xr:uid="{00000000-0005-0000-0000-0000C3000000}"/>
    <cellStyle name="20% - Accent4 2 2 3" xfId="362" xr:uid="{00000000-0005-0000-0000-0000C4000000}"/>
    <cellStyle name="20% - Accent4 2 3" xfId="363" xr:uid="{00000000-0005-0000-0000-0000C5000000}"/>
    <cellStyle name="20% - Accent4 2 3 2" xfId="364" xr:uid="{00000000-0005-0000-0000-0000C6000000}"/>
    <cellStyle name="20% - Accent4 2 3 2 2" xfId="365" xr:uid="{00000000-0005-0000-0000-0000C7000000}"/>
    <cellStyle name="20% - Accent4 2 3 3" xfId="366" xr:uid="{00000000-0005-0000-0000-0000C8000000}"/>
    <cellStyle name="20% - Accent4 2 4" xfId="367" xr:uid="{00000000-0005-0000-0000-0000C9000000}"/>
    <cellStyle name="20% - Accent4 2 4 2" xfId="368" xr:uid="{00000000-0005-0000-0000-0000CA000000}"/>
    <cellStyle name="20% - Accent4 2 4 2 2" xfId="369" xr:uid="{00000000-0005-0000-0000-0000CB000000}"/>
    <cellStyle name="20% - Accent4 2 4 3" xfId="370" xr:uid="{00000000-0005-0000-0000-0000CC000000}"/>
    <cellStyle name="20% - Accent4 2 5" xfId="371" xr:uid="{00000000-0005-0000-0000-0000CD000000}"/>
    <cellStyle name="20% - Accent4 2 5 2" xfId="372" xr:uid="{00000000-0005-0000-0000-0000CE000000}"/>
    <cellStyle name="20% - Accent4 2 5 2 2" xfId="373" xr:uid="{00000000-0005-0000-0000-0000CF000000}"/>
    <cellStyle name="20% - Accent4 2 5 3" xfId="374" xr:uid="{00000000-0005-0000-0000-0000D0000000}"/>
    <cellStyle name="20% - Accent4 2 6" xfId="375" xr:uid="{00000000-0005-0000-0000-0000D1000000}"/>
    <cellStyle name="20% - Accent4 2 6 2" xfId="376" xr:uid="{00000000-0005-0000-0000-0000D2000000}"/>
    <cellStyle name="20% - Accent4 2 6 2 2" xfId="377" xr:uid="{00000000-0005-0000-0000-0000D3000000}"/>
    <cellStyle name="20% - Accent4 2 6 3" xfId="378" xr:uid="{00000000-0005-0000-0000-0000D4000000}"/>
    <cellStyle name="20% - Accent4 2 7" xfId="379" xr:uid="{00000000-0005-0000-0000-0000D5000000}"/>
    <cellStyle name="20% - Accent4 2 7 2" xfId="380" xr:uid="{00000000-0005-0000-0000-0000D6000000}"/>
    <cellStyle name="20% - Accent4 2 7 2 2" xfId="381" xr:uid="{00000000-0005-0000-0000-0000D7000000}"/>
    <cellStyle name="20% - Accent4 2 7 3" xfId="382" xr:uid="{00000000-0005-0000-0000-0000D8000000}"/>
    <cellStyle name="20% - Accent4 2 8" xfId="383" xr:uid="{00000000-0005-0000-0000-0000D9000000}"/>
    <cellStyle name="20% - Accent4 2 8 2" xfId="384" xr:uid="{00000000-0005-0000-0000-0000DA000000}"/>
    <cellStyle name="20% - Accent4 2 9" xfId="385" xr:uid="{00000000-0005-0000-0000-0000DB000000}"/>
    <cellStyle name="20% - Accent4 3" xfId="386" xr:uid="{00000000-0005-0000-0000-0000DC000000}"/>
    <cellStyle name="20% - Accent4 4" xfId="387" xr:uid="{00000000-0005-0000-0000-0000DD000000}"/>
    <cellStyle name="20% - Accent4 5" xfId="388" xr:uid="{00000000-0005-0000-0000-0000DE000000}"/>
    <cellStyle name="20% - Accent4 6" xfId="389" xr:uid="{00000000-0005-0000-0000-0000DF000000}"/>
    <cellStyle name="20% - Accent4 7" xfId="390" xr:uid="{00000000-0005-0000-0000-0000E0000000}"/>
    <cellStyle name="20% - Accent4 8" xfId="391" xr:uid="{00000000-0005-0000-0000-0000E1000000}"/>
    <cellStyle name="20% - Accent4 9" xfId="392" xr:uid="{00000000-0005-0000-0000-0000E2000000}"/>
    <cellStyle name="20% - Accent5 10" xfId="393" xr:uid="{00000000-0005-0000-0000-0000E3000000}"/>
    <cellStyle name="20% - Accent5 11" xfId="394" xr:uid="{00000000-0005-0000-0000-0000E4000000}"/>
    <cellStyle name="20% - Accent5 12" xfId="395" xr:uid="{00000000-0005-0000-0000-0000E5000000}"/>
    <cellStyle name="20% - Accent5 13" xfId="396" xr:uid="{00000000-0005-0000-0000-0000E6000000}"/>
    <cellStyle name="20% - Accent5 14" xfId="397" xr:uid="{00000000-0005-0000-0000-0000E7000000}"/>
    <cellStyle name="20% - Accent5 15" xfId="398" xr:uid="{00000000-0005-0000-0000-0000E8000000}"/>
    <cellStyle name="20% - Accent5 16" xfId="399" xr:uid="{00000000-0005-0000-0000-0000E9000000}"/>
    <cellStyle name="20% - Accent5 17" xfId="400" xr:uid="{00000000-0005-0000-0000-0000EA000000}"/>
    <cellStyle name="20% - Accent5 18" xfId="401" xr:uid="{00000000-0005-0000-0000-0000EB000000}"/>
    <cellStyle name="20% - Accent5 2" xfId="20" xr:uid="{00000000-0005-0000-0000-0000EC000000}"/>
    <cellStyle name="20% - Accent5 2 2" xfId="402" xr:uid="{00000000-0005-0000-0000-0000ED000000}"/>
    <cellStyle name="20% - Accent5 2 2 2" xfId="403" xr:uid="{00000000-0005-0000-0000-0000EE000000}"/>
    <cellStyle name="20% - Accent5 2 2 2 2" xfId="404" xr:uid="{00000000-0005-0000-0000-0000EF000000}"/>
    <cellStyle name="20% - Accent5 2 2 3" xfId="405" xr:uid="{00000000-0005-0000-0000-0000F0000000}"/>
    <cellStyle name="20% - Accent5 2 3" xfId="406" xr:uid="{00000000-0005-0000-0000-0000F1000000}"/>
    <cellStyle name="20% - Accent5 2 3 2" xfId="407" xr:uid="{00000000-0005-0000-0000-0000F2000000}"/>
    <cellStyle name="20% - Accent5 2 3 2 2" xfId="408" xr:uid="{00000000-0005-0000-0000-0000F3000000}"/>
    <cellStyle name="20% - Accent5 2 3 3" xfId="409" xr:uid="{00000000-0005-0000-0000-0000F4000000}"/>
    <cellStyle name="20% - Accent5 2 4" xfId="410" xr:uid="{00000000-0005-0000-0000-0000F5000000}"/>
    <cellStyle name="20% - Accent5 2 4 2" xfId="411" xr:uid="{00000000-0005-0000-0000-0000F6000000}"/>
    <cellStyle name="20% - Accent5 2 4 2 2" xfId="412" xr:uid="{00000000-0005-0000-0000-0000F7000000}"/>
    <cellStyle name="20% - Accent5 2 4 3" xfId="413" xr:uid="{00000000-0005-0000-0000-0000F8000000}"/>
    <cellStyle name="20% - Accent5 2 5" xfId="414" xr:uid="{00000000-0005-0000-0000-0000F9000000}"/>
    <cellStyle name="20% - Accent5 2 5 2" xfId="415" xr:uid="{00000000-0005-0000-0000-0000FA000000}"/>
    <cellStyle name="20% - Accent5 2 5 2 2" xfId="416" xr:uid="{00000000-0005-0000-0000-0000FB000000}"/>
    <cellStyle name="20% - Accent5 2 5 3" xfId="417" xr:uid="{00000000-0005-0000-0000-0000FC000000}"/>
    <cellStyle name="20% - Accent5 2 6" xfId="418" xr:uid="{00000000-0005-0000-0000-0000FD000000}"/>
    <cellStyle name="20% - Accent5 2 6 2" xfId="419" xr:uid="{00000000-0005-0000-0000-0000FE000000}"/>
    <cellStyle name="20% - Accent5 2 6 2 2" xfId="420" xr:uid="{00000000-0005-0000-0000-0000FF000000}"/>
    <cellStyle name="20% - Accent5 2 6 3" xfId="421" xr:uid="{00000000-0005-0000-0000-000000010000}"/>
    <cellStyle name="20% - Accent5 2 7" xfId="422" xr:uid="{00000000-0005-0000-0000-000001010000}"/>
    <cellStyle name="20% - Accent5 2 7 2" xfId="423" xr:uid="{00000000-0005-0000-0000-000002010000}"/>
    <cellStyle name="20% - Accent5 2 7 2 2" xfId="424" xr:uid="{00000000-0005-0000-0000-000003010000}"/>
    <cellStyle name="20% - Accent5 2 7 3" xfId="425" xr:uid="{00000000-0005-0000-0000-000004010000}"/>
    <cellStyle name="20% - Accent5 2 8" xfId="426" xr:uid="{00000000-0005-0000-0000-000005010000}"/>
    <cellStyle name="20% - Accent5 2 8 2" xfId="427" xr:uid="{00000000-0005-0000-0000-000006010000}"/>
    <cellStyle name="20% - Accent5 2 9" xfId="428" xr:uid="{00000000-0005-0000-0000-000007010000}"/>
    <cellStyle name="20% - Accent5 3" xfId="429" xr:uid="{00000000-0005-0000-0000-000008010000}"/>
    <cellStyle name="20% - Accent5 4" xfId="430" xr:uid="{00000000-0005-0000-0000-000009010000}"/>
    <cellStyle name="20% - Accent5 5" xfId="431" xr:uid="{00000000-0005-0000-0000-00000A010000}"/>
    <cellStyle name="20% - Accent5 6" xfId="432" xr:uid="{00000000-0005-0000-0000-00000B010000}"/>
    <cellStyle name="20% - Accent5 7" xfId="433" xr:uid="{00000000-0005-0000-0000-00000C010000}"/>
    <cellStyle name="20% - Accent5 8" xfId="434" xr:uid="{00000000-0005-0000-0000-00000D010000}"/>
    <cellStyle name="20% - Accent5 9" xfId="435" xr:uid="{00000000-0005-0000-0000-00000E010000}"/>
    <cellStyle name="20% - Accent6 10" xfId="436" xr:uid="{00000000-0005-0000-0000-00000F010000}"/>
    <cellStyle name="20% - Accent6 11" xfId="437" xr:uid="{00000000-0005-0000-0000-000010010000}"/>
    <cellStyle name="20% - Accent6 12" xfId="438" xr:uid="{00000000-0005-0000-0000-000011010000}"/>
    <cellStyle name="20% - Accent6 13" xfId="439" xr:uid="{00000000-0005-0000-0000-000012010000}"/>
    <cellStyle name="20% - Accent6 14" xfId="440" xr:uid="{00000000-0005-0000-0000-000013010000}"/>
    <cellStyle name="20% - Accent6 15" xfId="441" xr:uid="{00000000-0005-0000-0000-000014010000}"/>
    <cellStyle name="20% - Accent6 16" xfId="442" xr:uid="{00000000-0005-0000-0000-000015010000}"/>
    <cellStyle name="20% - Accent6 17" xfId="443" xr:uid="{00000000-0005-0000-0000-000016010000}"/>
    <cellStyle name="20% - Accent6 18" xfId="444" xr:uid="{00000000-0005-0000-0000-000017010000}"/>
    <cellStyle name="20% - Accent6 2" xfId="21" xr:uid="{00000000-0005-0000-0000-000018010000}"/>
    <cellStyle name="20% - Accent6 2 2" xfId="445" xr:uid="{00000000-0005-0000-0000-000019010000}"/>
    <cellStyle name="20% - Accent6 2 2 2" xfId="446" xr:uid="{00000000-0005-0000-0000-00001A010000}"/>
    <cellStyle name="20% - Accent6 2 2 2 2" xfId="447" xr:uid="{00000000-0005-0000-0000-00001B010000}"/>
    <cellStyle name="20% - Accent6 2 2 3" xfId="448" xr:uid="{00000000-0005-0000-0000-00001C010000}"/>
    <cellStyle name="20% - Accent6 2 3" xfId="449" xr:uid="{00000000-0005-0000-0000-00001D010000}"/>
    <cellStyle name="20% - Accent6 2 3 2" xfId="450" xr:uid="{00000000-0005-0000-0000-00001E010000}"/>
    <cellStyle name="20% - Accent6 2 3 2 2" xfId="451" xr:uid="{00000000-0005-0000-0000-00001F010000}"/>
    <cellStyle name="20% - Accent6 2 3 3" xfId="452" xr:uid="{00000000-0005-0000-0000-000020010000}"/>
    <cellStyle name="20% - Accent6 2 4" xfId="453" xr:uid="{00000000-0005-0000-0000-000021010000}"/>
    <cellStyle name="20% - Accent6 2 4 2" xfId="454" xr:uid="{00000000-0005-0000-0000-000022010000}"/>
    <cellStyle name="20% - Accent6 2 4 2 2" xfId="455" xr:uid="{00000000-0005-0000-0000-000023010000}"/>
    <cellStyle name="20% - Accent6 2 4 3" xfId="456" xr:uid="{00000000-0005-0000-0000-000024010000}"/>
    <cellStyle name="20% - Accent6 2 5" xfId="457" xr:uid="{00000000-0005-0000-0000-000025010000}"/>
    <cellStyle name="20% - Accent6 2 5 2" xfId="458" xr:uid="{00000000-0005-0000-0000-000026010000}"/>
    <cellStyle name="20% - Accent6 2 5 2 2" xfId="459" xr:uid="{00000000-0005-0000-0000-000027010000}"/>
    <cellStyle name="20% - Accent6 2 5 3" xfId="460" xr:uid="{00000000-0005-0000-0000-000028010000}"/>
    <cellStyle name="20% - Accent6 2 6" xfId="461" xr:uid="{00000000-0005-0000-0000-000029010000}"/>
    <cellStyle name="20% - Accent6 2 6 2" xfId="462" xr:uid="{00000000-0005-0000-0000-00002A010000}"/>
    <cellStyle name="20% - Accent6 2 6 2 2" xfId="463" xr:uid="{00000000-0005-0000-0000-00002B010000}"/>
    <cellStyle name="20% - Accent6 2 6 3" xfId="464" xr:uid="{00000000-0005-0000-0000-00002C010000}"/>
    <cellStyle name="20% - Accent6 2 7" xfId="465" xr:uid="{00000000-0005-0000-0000-00002D010000}"/>
    <cellStyle name="20% - Accent6 2 7 2" xfId="466" xr:uid="{00000000-0005-0000-0000-00002E010000}"/>
    <cellStyle name="20% - Accent6 2 7 2 2" xfId="467" xr:uid="{00000000-0005-0000-0000-00002F010000}"/>
    <cellStyle name="20% - Accent6 2 7 3" xfId="468" xr:uid="{00000000-0005-0000-0000-000030010000}"/>
    <cellStyle name="20% - Accent6 2 8" xfId="469" xr:uid="{00000000-0005-0000-0000-000031010000}"/>
    <cellStyle name="20% - Accent6 2 8 2" xfId="470" xr:uid="{00000000-0005-0000-0000-000032010000}"/>
    <cellStyle name="20% - Accent6 2 9" xfId="471" xr:uid="{00000000-0005-0000-0000-000033010000}"/>
    <cellStyle name="20% - Accent6 3" xfId="472" xr:uid="{00000000-0005-0000-0000-000034010000}"/>
    <cellStyle name="20% - Accent6 4" xfId="473" xr:uid="{00000000-0005-0000-0000-000035010000}"/>
    <cellStyle name="20% - Accent6 5" xfId="474" xr:uid="{00000000-0005-0000-0000-000036010000}"/>
    <cellStyle name="20% - Accent6 6" xfId="475" xr:uid="{00000000-0005-0000-0000-000037010000}"/>
    <cellStyle name="20% - Accent6 7" xfId="476" xr:uid="{00000000-0005-0000-0000-000038010000}"/>
    <cellStyle name="20% - Accent6 8" xfId="477" xr:uid="{00000000-0005-0000-0000-000039010000}"/>
    <cellStyle name="20% - Accent6 9" xfId="478" xr:uid="{00000000-0005-0000-0000-00003A010000}"/>
    <cellStyle name="40% - Accent1 10" xfId="479" xr:uid="{00000000-0005-0000-0000-00003B010000}"/>
    <cellStyle name="40% - Accent1 11" xfId="480" xr:uid="{00000000-0005-0000-0000-00003C010000}"/>
    <cellStyle name="40% - Accent1 12" xfId="481" xr:uid="{00000000-0005-0000-0000-00003D010000}"/>
    <cellStyle name="40% - Accent1 13" xfId="482" xr:uid="{00000000-0005-0000-0000-00003E010000}"/>
    <cellStyle name="40% - Accent1 14" xfId="483" xr:uid="{00000000-0005-0000-0000-00003F010000}"/>
    <cellStyle name="40% - Accent1 15" xfId="484" xr:uid="{00000000-0005-0000-0000-000040010000}"/>
    <cellStyle name="40% - Accent1 16" xfId="485" xr:uid="{00000000-0005-0000-0000-000041010000}"/>
    <cellStyle name="40% - Accent1 17" xfId="486" xr:uid="{00000000-0005-0000-0000-000042010000}"/>
    <cellStyle name="40% - Accent1 18" xfId="487" xr:uid="{00000000-0005-0000-0000-000043010000}"/>
    <cellStyle name="40% - Accent1 2" xfId="22" xr:uid="{00000000-0005-0000-0000-000044010000}"/>
    <cellStyle name="40% - Accent1 2 2" xfId="488" xr:uid="{00000000-0005-0000-0000-000045010000}"/>
    <cellStyle name="40% - Accent1 2 2 2" xfId="489" xr:uid="{00000000-0005-0000-0000-000046010000}"/>
    <cellStyle name="40% - Accent1 2 2 2 2" xfId="490" xr:uid="{00000000-0005-0000-0000-000047010000}"/>
    <cellStyle name="40% - Accent1 2 2 3" xfId="491" xr:uid="{00000000-0005-0000-0000-000048010000}"/>
    <cellStyle name="40% - Accent1 2 3" xfId="492" xr:uid="{00000000-0005-0000-0000-000049010000}"/>
    <cellStyle name="40% - Accent1 2 3 2" xfId="493" xr:uid="{00000000-0005-0000-0000-00004A010000}"/>
    <cellStyle name="40% - Accent1 2 3 2 2" xfId="494" xr:uid="{00000000-0005-0000-0000-00004B010000}"/>
    <cellStyle name="40% - Accent1 2 3 3" xfId="495" xr:uid="{00000000-0005-0000-0000-00004C010000}"/>
    <cellStyle name="40% - Accent1 2 4" xfId="496" xr:uid="{00000000-0005-0000-0000-00004D010000}"/>
    <cellStyle name="40% - Accent1 2 4 2" xfId="497" xr:uid="{00000000-0005-0000-0000-00004E010000}"/>
    <cellStyle name="40% - Accent1 2 4 2 2" xfId="498" xr:uid="{00000000-0005-0000-0000-00004F010000}"/>
    <cellStyle name="40% - Accent1 2 4 3" xfId="499" xr:uid="{00000000-0005-0000-0000-000050010000}"/>
    <cellStyle name="40% - Accent1 2 5" xfId="500" xr:uid="{00000000-0005-0000-0000-000051010000}"/>
    <cellStyle name="40% - Accent1 2 5 2" xfId="501" xr:uid="{00000000-0005-0000-0000-000052010000}"/>
    <cellStyle name="40% - Accent1 2 5 2 2" xfId="502" xr:uid="{00000000-0005-0000-0000-000053010000}"/>
    <cellStyle name="40% - Accent1 2 5 3" xfId="503" xr:uid="{00000000-0005-0000-0000-000054010000}"/>
    <cellStyle name="40% - Accent1 2 6" xfId="504" xr:uid="{00000000-0005-0000-0000-000055010000}"/>
    <cellStyle name="40% - Accent1 2 6 2" xfId="505" xr:uid="{00000000-0005-0000-0000-000056010000}"/>
    <cellStyle name="40% - Accent1 2 6 2 2" xfId="506" xr:uid="{00000000-0005-0000-0000-000057010000}"/>
    <cellStyle name="40% - Accent1 2 6 3" xfId="507" xr:uid="{00000000-0005-0000-0000-000058010000}"/>
    <cellStyle name="40% - Accent1 2 7" xfId="508" xr:uid="{00000000-0005-0000-0000-000059010000}"/>
    <cellStyle name="40% - Accent1 2 7 2" xfId="509" xr:uid="{00000000-0005-0000-0000-00005A010000}"/>
    <cellStyle name="40% - Accent1 2 7 2 2" xfId="510" xr:uid="{00000000-0005-0000-0000-00005B010000}"/>
    <cellStyle name="40% - Accent1 2 7 3" xfId="511" xr:uid="{00000000-0005-0000-0000-00005C010000}"/>
    <cellStyle name="40% - Accent1 2 8" xfId="512" xr:uid="{00000000-0005-0000-0000-00005D010000}"/>
    <cellStyle name="40% - Accent1 2 8 2" xfId="513" xr:uid="{00000000-0005-0000-0000-00005E010000}"/>
    <cellStyle name="40% - Accent1 2 9" xfId="514" xr:uid="{00000000-0005-0000-0000-00005F010000}"/>
    <cellStyle name="40% - Accent1 3" xfId="515" xr:uid="{00000000-0005-0000-0000-000060010000}"/>
    <cellStyle name="40% - Accent1 4" xfId="516" xr:uid="{00000000-0005-0000-0000-000061010000}"/>
    <cellStyle name="40% - Accent1 5" xfId="517" xr:uid="{00000000-0005-0000-0000-000062010000}"/>
    <cellStyle name="40% - Accent1 6" xfId="518" xr:uid="{00000000-0005-0000-0000-000063010000}"/>
    <cellStyle name="40% - Accent1 7" xfId="519" xr:uid="{00000000-0005-0000-0000-000064010000}"/>
    <cellStyle name="40% - Accent1 8" xfId="520" xr:uid="{00000000-0005-0000-0000-000065010000}"/>
    <cellStyle name="40% - Accent1 9" xfId="521" xr:uid="{00000000-0005-0000-0000-000066010000}"/>
    <cellStyle name="40% - Accent2 10" xfId="522" xr:uid="{00000000-0005-0000-0000-000067010000}"/>
    <cellStyle name="40% - Accent2 11" xfId="523" xr:uid="{00000000-0005-0000-0000-000068010000}"/>
    <cellStyle name="40% - Accent2 12" xfId="524" xr:uid="{00000000-0005-0000-0000-000069010000}"/>
    <cellStyle name="40% - Accent2 13" xfId="525" xr:uid="{00000000-0005-0000-0000-00006A010000}"/>
    <cellStyle name="40% - Accent2 14" xfId="526" xr:uid="{00000000-0005-0000-0000-00006B010000}"/>
    <cellStyle name="40% - Accent2 15" xfId="527" xr:uid="{00000000-0005-0000-0000-00006C010000}"/>
    <cellStyle name="40% - Accent2 16" xfId="528" xr:uid="{00000000-0005-0000-0000-00006D010000}"/>
    <cellStyle name="40% - Accent2 17" xfId="529" xr:uid="{00000000-0005-0000-0000-00006E010000}"/>
    <cellStyle name="40% - Accent2 18" xfId="530" xr:uid="{00000000-0005-0000-0000-00006F010000}"/>
    <cellStyle name="40% - Accent2 2" xfId="23" xr:uid="{00000000-0005-0000-0000-000070010000}"/>
    <cellStyle name="40% - Accent2 2 2" xfId="531" xr:uid="{00000000-0005-0000-0000-000071010000}"/>
    <cellStyle name="40% - Accent2 2 2 2" xfId="532" xr:uid="{00000000-0005-0000-0000-000072010000}"/>
    <cellStyle name="40% - Accent2 2 2 2 2" xfId="533" xr:uid="{00000000-0005-0000-0000-000073010000}"/>
    <cellStyle name="40% - Accent2 2 2 3" xfId="534" xr:uid="{00000000-0005-0000-0000-000074010000}"/>
    <cellStyle name="40% - Accent2 2 3" xfId="535" xr:uid="{00000000-0005-0000-0000-000075010000}"/>
    <cellStyle name="40% - Accent2 2 3 2" xfId="536" xr:uid="{00000000-0005-0000-0000-000076010000}"/>
    <cellStyle name="40% - Accent2 2 3 2 2" xfId="537" xr:uid="{00000000-0005-0000-0000-000077010000}"/>
    <cellStyle name="40% - Accent2 2 3 3" xfId="538" xr:uid="{00000000-0005-0000-0000-000078010000}"/>
    <cellStyle name="40% - Accent2 2 4" xfId="539" xr:uid="{00000000-0005-0000-0000-000079010000}"/>
    <cellStyle name="40% - Accent2 2 4 2" xfId="540" xr:uid="{00000000-0005-0000-0000-00007A010000}"/>
    <cellStyle name="40% - Accent2 2 4 2 2" xfId="541" xr:uid="{00000000-0005-0000-0000-00007B010000}"/>
    <cellStyle name="40% - Accent2 2 4 3" xfId="542" xr:uid="{00000000-0005-0000-0000-00007C010000}"/>
    <cellStyle name="40% - Accent2 2 5" xfId="543" xr:uid="{00000000-0005-0000-0000-00007D010000}"/>
    <cellStyle name="40% - Accent2 2 5 2" xfId="544" xr:uid="{00000000-0005-0000-0000-00007E010000}"/>
    <cellStyle name="40% - Accent2 2 5 2 2" xfId="545" xr:uid="{00000000-0005-0000-0000-00007F010000}"/>
    <cellStyle name="40% - Accent2 2 5 3" xfId="546" xr:uid="{00000000-0005-0000-0000-000080010000}"/>
    <cellStyle name="40% - Accent2 2 6" xfId="547" xr:uid="{00000000-0005-0000-0000-000081010000}"/>
    <cellStyle name="40% - Accent2 2 6 2" xfId="548" xr:uid="{00000000-0005-0000-0000-000082010000}"/>
    <cellStyle name="40% - Accent2 2 6 2 2" xfId="549" xr:uid="{00000000-0005-0000-0000-000083010000}"/>
    <cellStyle name="40% - Accent2 2 6 3" xfId="550" xr:uid="{00000000-0005-0000-0000-000084010000}"/>
    <cellStyle name="40% - Accent2 2 7" xfId="551" xr:uid="{00000000-0005-0000-0000-000085010000}"/>
    <cellStyle name="40% - Accent2 2 7 2" xfId="552" xr:uid="{00000000-0005-0000-0000-000086010000}"/>
    <cellStyle name="40% - Accent2 2 7 2 2" xfId="553" xr:uid="{00000000-0005-0000-0000-000087010000}"/>
    <cellStyle name="40% - Accent2 2 7 3" xfId="554" xr:uid="{00000000-0005-0000-0000-000088010000}"/>
    <cellStyle name="40% - Accent2 2 8" xfId="555" xr:uid="{00000000-0005-0000-0000-000089010000}"/>
    <cellStyle name="40% - Accent2 2 8 2" xfId="556" xr:uid="{00000000-0005-0000-0000-00008A010000}"/>
    <cellStyle name="40% - Accent2 2 9" xfId="557" xr:uid="{00000000-0005-0000-0000-00008B010000}"/>
    <cellStyle name="40% - Accent2 3" xfId="558" xr:uid="{00000000-0005-0000-0000-00008C010000}"/>
    <cellStyle name="40% - Accent2 4" xfId="559" xr:uid="{00000000-0005-0000-0000-00008D010000}"/>
    <cellStyle name="40% - Accent2 5" xfId="560" xr:uid="{00000000-0005-0000-0000-00008E010000}"/>
    <cellStyle name="40% - Accent2 6" xfId="561" xr:uid="{00000000-0005-0000-0000-00008F010000}"/>
    <cellStyle name="40% - Accent2 7" xfId="562" xr:uid="{00000000-0005-0000-0000-000090010000}"/>
    <cellStyle name="40% - Accent2 8" xfId="563" xr:uid="{00000000-0005-0000-0000-000091010000}"/>
    <cellStyle name="40% - Accent2 9" xfId="564" xr:uid="{00000000-0005-0000-0000-000092010000}"/>
    <cellStyle name="40% - Accent3 10" xfId="565" xr:uid="{00000000-0005-0000-0000-000093010000}"/>
    <cellStyle name="40% - Accent3 11" xfId="566" xr:uid="{00000000-0005-0000-0000-000094010000}"/>
    <cellStyle name="40% - Accent3 12" xfId="567" xr:uid="{00000000-0005-0000-0000-000095010000}"/>
    <cellStyle name="40% - Accent3 13" xfId="568" xr:uid="{00000000-0005-0000-0000-000096010000}"/>
    <cellStyle name="40% - Accent3 14" xfId="569" xr:uid="{00000000-0005-0000-0000-000097010000}"/>
    <cellStyle name="40% - Accent3 15" xfId="570" xr:uid="{00000000-0005-0000-0000-000098010000}"/>
    <cellStyle name="40% - Accent3 16" xfId="571" xr:uid="{00000000-0005-0000-0000-000099010000}"/>
    <cellStyle name="40% - Accent3 17" xfId="572" xr:uid="{00000000-0005-0000-0000-00009A010000}"/>
    <cellStyle name="40% - Accent3 18" xfId="573" xr:uid="{00000000-0005-0000-0000-00009B010000}"/>
    <cellStyle name="40% - Accent3 2" xfId="24" xr:uid="{00000000-0005-0000-0000-00009C010000}"/>
    <cellStyle name="40% - Accent3 2 2" xfId="574" xr:uid="{00000000-0005-0000-0000-00009D010000}"/>
    <cellStyle name="40% - Accent3 2 2 2" xfId="575" xr:uid="{00000000-0005-0000-0000-00009E010000}"/>
    <cellStyle name="40% - Accent3 2 2 2 2" xfId="576" xr:uid="{00000000-0005-0000-0000-00009F010000}"/>
    <cellStyle name="40% - Accent3 2 2 3" xfId="577" xr:uid="{00000000-0005-0000-0000-0000A0010000}"/>
    <cellStyle name="40% - Accent3 2 3" xfId="578" xr:uid="{00000000-0005-0000-0000-0000A1010000}"/>
    <cellStyle name="40% - Accent3 2 3 2" xfId="579" xr:uid="{00000000-0005-0000-0000-0000A2010000}"/>
    <cellStyle name="40% - Accent3 2 3 2 2" xfId="580" xr:uid="{00000000-0005-0000-0000-0000A3010000}"/>
    <cellStyle name="40% - Accent3 2 3 3" xfId="581" xr:uid="{00000000-0005-0000-0000-0000A4010000}"/>
    <cellStyle name="40% - Accent3 2 4" xfId="582" xr:uid="{00000000-0005-0000-0000-0000A5010000}"/>
    <cellStyle name="40% - Accent3 2 4 2" xfId="583" xr:uid="{00000000-0005-0000-0000-0000A6010000}"/>
    <cellStyle name="40% - Accent3 2 4 2 2" xfId="584" xr:uid="{00000000-0005-0000-0000-0000A7010000}"/>
    <cellStyle name="40% - Accent3 2 4 3" xfId="585" xr:uid="{00000000-0005-0000-0000-0000A8010000}"/>
    <cellStyle name="40% - Accent3 2 5" xfId="586" xr:uid="{00000000-0005-0000-0000-0000A9010000}"/>
    <cellStyle name="40% - Accent3 2 5 2" xfId="587" xr:uid="{00000000-0005-0000-0000-0000AA010000}"/>
    <cellStyle name="40% - Accent3 2 5 2 2" xfId="588" xr:uid="{00000000-0005-0000-0000-0000AB010000}"/>
    <cellStyle name="40% - Accent3 2 5 3" xfId="589" xr:uid="{00000000-0005-0000-0000-0000AC010000}"/>
    <cellStyle name="40% - Accent3 2 6" xfId="590" xr:uid="{00000000-0005-0000-0000-0000AD010000}"/>
    <cellStyle name="40% - Accent3 2 6 2" xfId="591" xr:uid="{00000000-0005-0000-0000-0000AE010000}"/>
    <cellStyle name="40% - Accent3 2 6 2 2" xfId="592" xr:uid="{00000000-0005-0000-0000-0000AF010000}"/>
    <cellStyle name="40% - Accent3 2 6 3" xfId="593" xr:uid="{00000000-0005-0000-0000-0000B0010000}"/>
    <cellStyle name="40% - Accent3 2 7" xfId="594" xr:uid="{00000000-0005-0000-0000-0000B1010000}"/>
    <cellStyle name="40% - Accent3 2 7 2" xfId="595" xr:uid="{00000000-0005-0000-0000-0000B2010000}"/>
    <cellStyle name="40% - Accent3 2 7 2 2" xfId="596" xr:uid="{00000000-0005-0000-0000-0000B3010000}"/>
    <cellStyle name="40% - Accent3 2 7 3" xfId="597" xr:uid="{00000000-0005-0000-0000-0000B4010000}"/>
    <cellStyle name="40% - Accent3 2 8" xfId="598" xr:uid="{00000000-0005-0000-0000-0000B5010000}"/>
    <cellStyle name="40% - Accent3 2 8 2" xfId="599" xr:uid="{00000000-0005-0000-0000-0000B6010000}"/>
    <cellStyle name="40% - Accent3 2 9" xfId="600" xr:uid="{00000000-0005-0000-0000-0000B7010000}"/>
    <cellStyle name="40% - Accent3 3" xfId="601" xr:uid="{00000000-0005-0000-0000-0000B8010000}"/>
    <cellStyle name="40% - Accent3 4" xfId="602" xr:uid="{00000000-0005-0000-0000-0000B9010000}"/>
    <cellStyle name="40% - Accent3 5" xfId="603" xr:uid="{00000000-0005-0000-0000-0000BA010000}"/>
    <cellStyle name="40% - Accent3 6" xfId="604" xr:uid="{00000000-0005-0000-0000-0000BB010000}"/>
    <cellStyle name="40% - Accent3 7" xfId="605" xr:uid="{00000000-0005-0000-0000-0000BC010000}"/>
    <cellStyle name="40% - Accent3 8" xfId="606" xr:uid="{00000000-0005-0000-0000-0000BD010000}"/>
    <cellStyle name="40% - Accent3 9" xfId="607" xr:uid="{00000000-0005-0000-0000-0000BE010000}"/>
    <cellStyle name="40% - Accent4 10" xfId="608" xr:uid="{00000000-0005-0000-0000-0000BF010000}"/>
    <cellStyle name="40% - Accent4 11" xfId="609" xr:uid="{00000000-0005-0000-0000-0000C0010000}"/>
    <cellStyle name="40% - Accent4 12" xfId="610" xr:uid="{00000000-0005-0000-0000-0000C1010000}"/>
    <cellStyle name="40% - Accent4 13" xfId="611" xr:uid="{00000000-0005-0000-0000-0000C2010000}"/>
    <cellStyle name="40% - Accent4 14" xfId="612" xr:uid="{00000000-0005-0000-0000-0000C3010000}"/>
    <cellStyle name="40% - Accent4 15" xfId="613" xr:uid="{00000000-0005-0000-0000-0000C4010000}"/>
    <cellStyle name="40% - Accent4 16" xfId="614" xr:uid="{00000000-0005-0000-0000-0000C5010000}"/>
    <cellStyle name="40% - Accent4 17" xfId="615" xr:uid="{00000000-0005-0000-0000-0000C6010000}"/>
    <cellStyle name="40% - Accent4 18" xfId="616" xr:uid="{00000000-0005-0000-0000-0000C7010000}"/>
    <cellStyle name="40% - Accent4 2" xfId="25" xr:uid="{00000000-0005-0000-0000-0000C8010000}"/>
    <cellStyle name="40% - Accent4 2 2" xfId="617" xr:uid="{00000000-0005-0000-0000-0000C9010000}"/>
    <cellStyle name="40% - Accent4 2 2 2" xfId="618" xr:uid="{00000000-0005-0000-0000-0000CA010000}"/>
    <cellStyle name="40% - Accent4 2 2 2 2" xfId="619" xr:uid="{00000000-0005-0000-0000-0000CB010000}"/>
    <cellStyle name="40% - Accent4 2 2 3" xfId="620" xr:uid="{00000000-0005-0000-0000-0000CC010000}"/>
    <cellStyle name="40% - Accent4 2 3" xfId="621" xr:uid="{00000000-0005-0000-0000-0000CD010000}"/>
    <cellStyle name="40% - Accent4 2 3 2" xfId="622" xr:uid="{00000000-0005-0000-0000-0000CE010000}"/>
    <cellStyle name="40% - Accent4 2 3 2 2" xfId="623" xr:uid="{00000000-0005-0000-0000-0000CF010000}"/>
    <cellStyle name="40% - Accent4 2 3 3" xfId="624" xr:uid="{00000000-0005-0000-0000-0000D0010000}"/>
    <cellStyle name="40% - Accent4 2 4" xfId="625" xr:uid="{00000000-0005-0000-0000-0000D1010000}"/>
    <cellStyle name="40% - Accent4 2 4 2" xfId="626" xr:uid="{00000000-0005-0000-0000-0000D2010000}"/>
    <cellStyle name="40% - Accent4 2 4 2 2" xfId="627" xr:uid="{00000000-0005-0000-0000-0000D3010000}"/>
    <cellStyle name="40% - Accent4 2 4 3" xfId="628" xr:uid="{00000000-0005-0000-0000-0000D4010000}"/>
    <cellStyle name="40% - Accent4 2 5" xfId="629" xr:uid="{00000000-0005-0000-0000-0000D5010000}"/>
    <cellStyle name="40% - Accent4 2 5 2" xfId="630" xr:uid="{00000000-0005-0000-0000-0000D6010000}"/>
    <cellStyle name="40% - Accent4 2 5 2 2" xfId="631" xr:uid="{00000000-0005-0000-0000-0000D7010000}"/>
    <cellStyle name="40% - Accent4 2 5 3" xfId="632" xr:uid="{00000000-0005-0000-0000-0000D8010000}"/>
    <cellStyle name="40% - Accent4 2 6" xfId="633" xr:uid="{00000000-0005-0000-0000-0000D9010000}"/>
    <cellStyle name="40% - Accent4 2 6 2" xfId="634" xr:uid="{00000000-0005-0000-0000-0000DA010000}"/>
    <cellStyle name="40% - Accent4 2 6 2 2" xfId="635" xr:uid="{00000000-0005-0000-0000-0000DB010000}"/>
    <cellStyle name="40% - Accent4 2 6 3" xfId="636" xr:uid="{00000000-0005-0000-0000-0000DC010000}"/>
    <cellStyle name="40% - Accent4 2 7" xfId="637" xr:uid="{00000000-0005-0000-0000-0000DD010000}"/>
    <cellStyle name="40% - Accent4 2 7 2" xfId="638" xr:uid="{00000000-0005-0000-0000-0000DE010000}"/>
    <cellStyle name="40% - Accent4 2 7 2 2" xfId="639" xr:uid="{00000000-0005-0000-0000-0000DF010000}"/>
    <cellStyle name="40% - Accent4 2 7 3" xfId="640" xr:uid="{00000000-0005-0000-0000-0000E0010000}"/>
    <cellStyle name="40% - Accent4 2 8" xfId="641" xr:uid="{00000000-0005-0000-0000-0000E1010000}"/>
    <cellStyle name="40% - Accent4 2 8 2" xfId="642" xr:uid="{00000000-0005-0000-0000-0000E2010000}"/>
    <cellStyle name="40% - Accent4 2 9" xfId="643" xr:uid="{00000000-0005-0000-0000-0000E3010000}"/>
    <cellStyle name="40% - Accent4 3" xfId="644" xr:uid="{00000000-0005-0000-0000-0000E4010000}"/>
    <cellStyle name="40% - Accent4 4" xfId="645" xr:uid="{00000000-0005-0000-0000-0000E5010000}"/>
    <cellStyle name="40% - Accent4 5" xfId="646" xr:uid="{00000000-0005-0000-0000-0000E6010000}"/>
    <cellStyle name="40% - Accent4 6" xfId="647" xr:uid="{00000000-0005-0000-0000-0000E7010000}"/>
    <cellStyle name="40% - Accent4 7" xfId="648" xr:uid="{00000000-0005-0000-0000-0000E8010000}"/>
    <cellStyle name="40% - Accent4 8" xfId="649" xr:uid="{00000000-0005-0000-0000-0000E9010000}"/>
    <cellStyle name="40% - Accent4 9" xfId="650" xr:uid="{00000000-0005-0000-0000-0000EA010000}"/>
    <cellStyle name="40% - Accent5 10" xfId="651" xr:uid="{00000000-0005-0000-0000-0000EB010000}"/>
    <cellStyle name="40% - Accent5 11" xfId="652" xr:uid="{00000000-0005-0000-0000-0000EC010000}"/>
    <cellStyle name="40% - Accent5 12" xfId="653" xr:uid="{00000000-0005-0000-0000-0000ED010000}"/>
    <cellStyle name="40% - Accent5 13" xfId="654" xr:uid="{00000000-0005-0000-0000-0000EE010000}"/>
    <cellStyle name="40% - Accent5 14" xfId="655" xr:uid="{00000000-0005-0000-0000-0000EF010000}"/>
    <cellStyle name="40% - Accent5 15" xfId="656" xr:uid="{00000000-0005-0000-0000-0000F0010000}"/>
    <cellStyle name="40% - Accent5 16" xfId="657" xr:uid="{00000000-0005-0000-0000-0000F1010000}"/>
    <cellStyle name="40% - Accent5 17" xfId="658" xr:uid="{00000000-0005-0000-0000-0000F2010000}"/>
    <cellStyle name="40% - Accent5 18" xfId="659" xr:uid="{00000000-0005-0000-0000-0000F3010000}"/>
    <cellStyle name="40% - Accent5 2" xfId="26" xr:uid="{00000000-0005-0000-0000-0000F4010000}"/>
    <cellStyle name="40% - Accent5 2 2" xfId="660" xr:uid="{00000000-0005-0000-0000-0000F5010000}"/>
    <cellStyle name="40% - Accent5 2 2 2" xfId="661" xr:uid="{00000000-0005-0000-0000-0000F6010000}"/>
    <cellStyle name="40% - Accent5 2 2 2 2" xfId="662" xr:uid="{00000000-0005-0000-0000-0000F7010000}"/>
    <cellStyle name="40% - Accent5 2 2 3" xfId="663" xr:uid="{00000000-0005-0000-0000-0000F8010000}"/>
    <cellStyle name="40% - Accent5 2 3" xfId="664" xr:uid="{00000000-0005-0000-0000-0000F9010000}"/>
    <cellStyle name="40% - Accent5 2 3 2" xfId="665" xr:uid="{00000000-0005-0000-0000-0000FA010000}"/>
    <cellStyle name="40% - Accent5 2 3 2 2" xfId="666" xr:uid="{00000000-0005-0000-0000-0000FB010000}"/>
    <cellStyle name="40% - Accent5 2 3 3" xfId="667" xr:uid="{00000000-0005-0000-0000-0000FC010000}"/>
    <cellStyle name="40% - Accent5 2 4" xfId="668" xr:uid="{00000000-0005-0000-0000-0000FD010000}"/>
    <cellStyle name="40% - Accent5 2 4 2" xfId="669" xr:uid="{00000000-0005-0000-0000-0000FE010000}"/>
    <cellStyle name="40% - Accent5 2 4 2 2" xfId="670" xr:uid="{00000000-0005-0000-0000-0000FF010000}"/>
    <cellStyle name="40% - Accent5 2 4 3" xfId="671" xr:uid="{00000000-0005-0000-0000-000000020000}"/>
    <cellStyle name="40% - Accent5 2 5" xfId="672" xr:uid="{00000000-0005-0000-0000-000001020000}"/>
    <cellStyle name="40% - Accent5 2 5 2" xfId="673" xr:uid="{00000000-0005-0000-0000-000002020000}"/>
    <cellStyle name="40% - Accent5 2 5 2 2" xfId="674" xr:uid="{00000000-0005-0000-0000-000003020000}"/>
    <cellStyle name="40% - Accent5 2 5 3" xfId="675" xr:uid="{00000000-0005-0000-0000-000004020000}"/>
    <cellStyle name="40% - Accent5 2 6" xfId="676" xr:uid="{00000000-0005-0000-0000-000005020000}"/>
    <cellStyle name="40% - Accent5 2 6 2" xfId="677" xr:uid="{00000000-0005-0000-0000-000006020000}"/>
    <cellStyle name="40% - Accent5 2 6 2 2" xfId="678" xr:uid="{00000000-0005-0000-0000-000007020000}"/>
    <cellStyle name="40% - Accent5 2 6 3" xfId="679" xr:uid="{00000000-0005-0000-0000-000008020000}"/>
    <cellStyle name="40% - Accent5 2 7" xfId="680" xr:uid="{00000000-0005-0000-0000-000009020000}"/>
    <cellStyle name="40% - Accent5 2 7 2" xfId="681" xr:uid="{00000000-0005-0000-0000-00000A020000}"/>
    <cellStyle name="40% - Accent5 2 7 2 2" xfId="682" xr:uid="{00000000-0005-0000-0000-00000B020000}"/>
    <cellStyle name="40% - Accent5 2 7 3" xfId="683" xr:uid="{00000000-0005-0000-0000-00000C020000}"/>
    <cellStyle name="40% - Accent5 2 8" xfId="684" xr:uid="{00000000-0005-0000-0000-00000D020000}"/>
    <cellStyle name="40% - Accent5 2 8 2" xfId="685" xr:uid="{00000000-0005-0000-0000-00000E020000}"/>
    <cellStyle name="40% - Accent5 2 9" xfId="686" xr:uid="{00000000-0005-0000-0000-00000F020000}"/>
    <cellStyle name="40% - Accent5 3" xfId="687" xr:uid="{00000000-0005-0000-0000-000010020000}"/>
    <cellStyle name="40% - Accent5 4" xfId="688" xr:uid="{00000000-0005-0000-0000-000011020000}"/>
    <cellStyle name="40% - Accent5 5" xfId="689" xr:uid="{00000000-0005-0000-0000-000012020000}"/>
    <cellStyle name="40% - Accent5 6" xfId="690" xr:uid="{00000000-0005-0000-0000-000013020000}"/>
    <cellStyle name="40% - Accent5 7" xfId="691" xr:uid="{00000000-0005-0000-0000-000014020000}"/>
    <cellStyle name="40% - Accent5 8" xfId="692" xr:uid="{00000000-0005-0000-0000-000015020000}"/>
    <cellStyle name="40% - Accent5 9" xfId="693" xr:uid="{00000000-0005-0000-0000-000016020000}"/>
    <cellStyle name="40% - Accent6 10" xfId="694" xr:uid="{00000000-0005-0000-0000-000017020000}"/>
    <cellStyle name="40% - Accent6 11" xfId="695" xr:uid="{00000000-0005-0000-0000-000018020000}"/>
    <cellStyle name="40% - Accent6 12" xfId="696" xr:uid="{00000000-0005-0000-0000-000019020000}"/>
    <cellStyle name="40% - Accent6 13" xfId="697" xr:uid="{00000000-0005-0000-0000-00001A020000}"/>
    <cellStyle name="40% - Accent6 14" xfId="698" xr:uid="{00000000-0005-0000-0000-00001B020000}"/>
    <cellStyle name="40% - Accent6 15" xfId="699" xr:uid="{00000000-0005-0000-0000-00001C020000}"/>
    <cellStyle name="40% - Accent6 16" xfId="700" xr:uid="{00000000-0005-0000-0000-00001D020000}"/>
    <cellStyle name="40% - Accent6 17" xfId="701" xr:uid="{00000000-0005-0000-0000-00001E020000}"/>
    <cellStyle name="40% - Accent6 18" xfId="702" xr:uid="{00000000-0005-0000-0000-00001F020000}"/>
    <cellStyle name="40% - Accent6 2" xfId="27" xr:uid="{00000000-0005-0000-0000-000020020000}"/>
    <cellStyle name="40% - Accent6 2 2" xfId="703" xr:uid="{00000000-0005-0000-0000-000021020000}"/>
    <cellStyle name="40% - Accent6 2 2 2" xfId="704" xr:uid="{00000000-0005-0000-0000-000022020000}"/>
    <cellStyle name="40% - Accent6 2 2 2 2" xfId="705" xr:uid="{00000000-0005-0000-0000-000023020000}"/>
    <cellStyle name="40% - Accent6 2 2 3" xfId="706" xr:uid="{00000000-0005-0000-0000-000024020000}"/>
    <cellStyle name="40% - Accent6 2 3" xfId="707" xr:uid="{00000000-0005-0000-0000-000025020000}"/>
    <cellStyle name="40% - Accent6 2 3 2" xfId="708" xr:uid="{00000000-0005-0000-0000-000026020000}"/>
    <cellStyle name="40% - Accent6 2 3 2 2" xfId="709" xr:uid="{00000000-0005-0000-0000-000027020000}"/>
    <cellStyle name="40% - Accent6 2 3 3" xfId="710" xr:uid="{00000000-0005-0000-0000-000028020000}"/>
    <cellStyle name="40% - Accent6 2 4" xfId="711" xr:uid="{00000000-0005-0000-0000-000029020000}"/>
    <cellStyle name="40% - Accent6 2 4 2" xfId="712" xr:uid="{00000000-0005-0000-0000-00002A020000}"/>
    <cellStyle name="40% - Accent6 2 4 2 2" xfId="713" xr:uid="{00000000-0005-0000-0000-00002B020000}"/>
    <cellStyle name="40% - Accent6 2 4 3" xfId="714" xr:uid="{00000000-0005-0000-0000-00002C020000}"/>
    <cellStyle name="40% - Accent6 2 5" xfId="715" xr:uid="{00000000-0005-0000-0000-00002D020000}"/>
    <cellStyle name="40% - Accent6 2 5 2" xfId="716" xr:uid="{00000000-0005-0000-0000-00002E020000}"/>
    <cellStyle name="40% - Accent6 2 5 2 2" xfId="717" xr:uid="{00000000-0005-0000-0000-00002F020000}"/>
    <cellStyle name="40% - Accent6 2 5 3" xfId="718" xr:uid="{00000000-0005-0000-0000-000030020000}"/>
    <cellStyle name="40% - Accent6 2 6" xfId="719" xr:uid="{00000000-0005-0000-0000-000031020000}"/>
    <cellStyle name="40% - Accent6 2 6 2" xfId="720" xr:uid="{00000000-0005-0000-0000-000032020000}"/>
    <cellStyle name="40% - Accent6 2 6 2 2" xfId="721" xr:uid="{00000000-0005-0000-0000-000033020000}"/>
    <cellStyle name="40% - Accent6 2 6 3" xfId="722" xr:uid="{00000000-0005-0000-0000-000034020000}"/>
    <cellStyle name="40% - Accent6 2 7" xfId="723" xr:uid="{00000000-0005-0000-0000-000035020000}"/>
    <cellStyle name="40% - Accent6 2 7 2" xfId="724" xr:uid="{00000000-0005-0000-0000-000036020000}"/>
    <cellStyle name="40% - Accent6 2 7 2 2" xfId="725" xr:uid="{00000000-0005-0000-0000-000037020000}"/>
    <cellStyle name="40% - Accent6 2 7 3" xfId="726" xr:uid="{00000000-0005-0000-0000-000038020000}"/>
    <cellStyle name="40% - Accent6 2 8" xfId="727" xr:uid="{00000000-0005-0000-0000-000039020000}"/>
    <cellStyle name="40% - Accent6 2 8 2" xfId="728" xr:uid="{00000000-0005-0000-0000-00003A020000}"/>
    <cellStyle name="40% - Accent6 2 9" xfId="729" xr:uid="{00000000-0005-0000-0000-00003B020000}"/>
    <cellStyle name="40% - Accent6 3" xfId="730" xr:uid="{00000000-0005-0000-0000-00003C020000}"/>
    <cellStyle name="40% - Accent6 4" xfId="731" xr:uid="{00000000-0005-0000-0000-00003D020000}"/>
    <cellStyle name="40% - Accent6 5" xfId="732" xr:uid="{00000000-0005-0000-0000-00003E020000}"/>
    <cellStyle name="40% - Accent6 6" xfId="733" xr:uid="{00000000-0005-0000-0000-00003F020000}"/>
    <cellStyle name="40% - Accent6 7" xfId="734" xr:uid="{00000000-0005-0000-0000-000040020000}"/>
    <cellStyle name="40% - Accent6 8" xfId="735" xr:uid="{00000000-0005-0000-0000-000041020000}"/>
    <cellStyle name="40% - Accent6 9" xfId="736" xr:uid="{00000000-0005-0000-0000-000042020000}"/>
    <cellStyle name="60% - Accent1 10" xfId="737" xr:uid="{00000000-0005-0000-0000-000043020000}"/>
    <cellStyle name="60% - Accent1 11" xfId="738" xr:uid="{00000000-0005-0000-0000-000044020000}"/>
    <cellStyle name="60% - Accent1 12" xfId="739" xr:uid="{00000000-0005-0000-0000-000045020000}"/>
    <cellStyle name="60% - Accent1 13" xfId="740" xr:uid="{00000000-0005-0000-0000-000046020000}"/>
    <cellStyle name="60% - Accent1 14" xfId="741" xr:uid="{00000000-0005-0000-0000-000047020000}"/>
    <cellStyle name="60% - Accent1 15" xfId="742" xr:uid="{00000000-0005-0000-0000-000048020000}"/>
    <cellStyle name="60% - Accent1 16" xfId="743" xr:uid="{00000000-0005-0000-0000-000049020000}"/>
    <cellStyle name="60% - Accent1 17" xfId="744" xr:uid="{00000000-0005-0000-0000-00004A020000}"/>
    <cellStyle name="60% - Accent1 18" xfId="745" xr:uid="{00000000-0005-0000-0000-00004B020000}"/>
    <cellStyle name="60% - Accent1 2" xfId="28" xr:uid="{00000000-0005-0000-0000-00004C020000}"/>
    <cellStyle name="60% - Accent1 2 2" xfId="746" xr:uid="{00000000-0005-0000-0000-00004D020000}"/>
    <cellStyle name="60% - Accent1 2 3" xfId="747" xr:uid="{00000000-0005-0000-0000-00004E020000}"/>
    <cellStyle name="60% - Accent1 2 4" xfId="748" xr:uid="{00000000-0005-0000-0000-00004F020000}"/>
    <cellStyle name="60% - Accent1 2 5" xfId="749" xr:uid="{00000000-0005-0000-0000-000050020000}"/>
    <cellStyle name="60% - Accent1 3" xfId="750" xr:uid="{00000000-0005-0000-0000-000051020000}"/>
    <cellStyle name="60% - Accent1 4" xfId="751" xr:uid="{00000000-0005-0000-0000-000052020000}"/>
    <cellStyle name="60% - Accent1 5" xfId="752" xr:uid="{00000000-0005-0000-0000-000053020000}"/>
    <cellStyle name="60% - Accent1 6" xfId="753" xr:uid="{00000000-0005-0000-0000-000054020000}"/>
    <cellStyle name="60% - Accent1 7" xfId="754" xr:uid="{00000000-0005-0000-0000-000055020000}"/>
    <cellStyle name="60% - Accent1 8" xfId="755" xr:uid="{00000000-0005-0000-0000-000056020000}"/>
    <cellStyle name="60% - Accent1 9" xfId="756" xr:uid="{00000000-0005-0000-0000-000057020000}"/>
    <cellStyle name="60% - Accent2 10" xfId="757" xr:uid="{00000000-0005-0000-0000-000058020000}"/>
    <cellStyle name="60% - Accent2 11" xfId="758" xr:uid="{00000000-0005-0000-0000-000059020000}"/>
    <cellStyle name="60% - Accent2 12" xfId="759" xr:uid="{00000000-0005-0000-0000-00005A020000}"/>
    <cellStyle name="60% - Accent2 13" xfId="760" xr:uid="{00000000-0005-0000-0000-00005B020000}"/>
    <cellStyle name="60% - Accent2 14" xfId="761" xr:uid="{00000000-0005-0000-0000-00005C020000}"/>
    <cellStyle name="60% - Accent2 15" xfId="762" xr:uid="{00000000-0005-0000-0000-00005D020000}"/>
    <cellStyle name="60% - Accent2 16" xfId="763" xr:uid="{00000000-0005-0000-0000-00005E020000}"/>
    <cellStyle name="60% - Accent2 17" xfId="764" xr:uid="{00000000-0005-0000-0000-00005F020000}"/>
    <cellStyle name="60% - Accent2 18" xfId="765" xr:uid="{00000000-0005-0000-0000-000060020000}"/>
    <cellStyle name="60% - Accent2 2" xfId="29" xr:uid="{00000000-0005-0000-0000-000061020000}"/>
    <cellStyle name="60% - Accent2 2 2" xfId="766" xr:uid="{00000000-0005-0000-0000-000062020000}"/>
    <cellStyle name="60% - Accent2 2 3" xfId="767" xr:uid="{00000000-0005-0000-0000-000063020000}"/>
    <cellStyle name="60% - Accent2 2 4" xfId="768" xr:uid="{00000000-0005-0000-0000-000064020000}"/>
    <cellStyle name="60% - Accent2 2 5" xfId="769" xr:uid="{00000000-0005-0000-0000-000065020000}"/>
    <cellStyle name="60% - Accent2 3" xfId="770" xr:uid="{00000000-0005-0000-0000-000066020000}"/>
    <cellStyle name="60% - Accent2 4" xfId="771" xr:uid="{00000000-0005-0000-0000-000067020000}"/>
    <cellStyle name="60% - Accent2 5" xfId="772" xr:uid="{00000000-0005-0000-0000-000068020000}"/>
    <cellStyle name="60% - Accent2 6" xfId="773" xr:uid="{00000000-0005-0000-0000-000069020000}"/>
    <cellStyle name="60% - Accent2 7" xfId="774" xr:uid="{00000000-0005-0000-0000-00006A020000}"/>
    <cellStyle name="60% - Accent2 8" xfId="775" xr:uid="{00000000-0005-0000-0000-00006B020000}"/>
    <cellStyle name="60% - Accent2 9" xfId="776" xr:uid="{00000000-0005-0000-0000-00006C020000}"/>
    <cellStyle name="60% - Accent3 10" xfId="777" xr:uid="{00000000-0005-0000-0000-00006D020000}"/>
    <cellStyle name="60% - Accent3 11" xfId="778" xr:uid="{00000000-0005-0000-0000-00006E020000}"/>
    <cellStyle name="60% - Accent3 12" xfId="779" xr:uid="{00000000-0005-0000-0000-00006F020000}"/>
    <cellStyle name="60% - Accent3 13" xfId="780" xr:uid="{00000000-0005-0000-0000-000070020000}"/>
    <cellStyle name="60% - Accent3 14" xfId="781" xr:uid="{00000000-0005-0000-0000-000071020000}"/>
    <cellStyle name="60% - Accent3 15" xfId="782" xr:uid="{00000000-0005-0000-0000-000072020000}"/>
    <cellStyle name="60% - Accent3 16" xfId="783" xr:uid="{00000000-0005-0000-0000-000073020000}"/>
    <cellStyle name="60% - Accent3 17" xfId="784" xr:uid="{00000000-0005-0000-0000-000074020000}"/>
    <cellStyle name="60% - Accent3 18" xfId="785" xr:uid="{00000000-0005-0000-0000-000075020000}"/>
    <cellStyle name="60% - Accent3 2" xfId="30" xr:uid="{00000000-0005-0000-0000-000076020000}"/>
    <cellStyle name="60% - Accent3 2 2" xfId="786" xr:uid="{00000000-0005-0000-0000-000077020000}"/>
    <cellStyle name="60% - Accent3 2 3" xfId="787" xr:uid="{00000000-0005-0000-0000-000078020000}"/>
    <cellStyle name="60% - Accent3 2 4" xfId="788" xr:uid="{00000000-0005-0000-0000-000079020000}"/>
    <cellStyle name="60% - Accent3 2 5" xfId="789" xr:uid="{00000000-0005-0000-0000-00007A020000}"/>
    <cellStyle name="60% - Accent3 3" xfId="790" xr:uid="{00000000-0005-0000-0000-00007B020000}"/>
    <cellStyle name="60% - Accent3 4" xfId="791" xr:uid="{00000000-0005-0000-0000-00007C020000}"/>
    <cellStyle name="60% - Accent3 5" xfId="792" xr:uid="{00000000-0005-0000-0000-00007D020000}"/>
    <cellStyle name="60% - Accent3 6" xfId="793" xr:uid="{00000000-0005-0000-0000-00007E020000}"/>
    <cellStyle name="60% - Accent3 7" xfId="794" xr:uid="{00000000-0005-0000-0000-00007F020000}"/>
    <cellStyle name="60% - Accent3 8" xfId="795" xr:uid="{00000000-0005-0000-0000-000080020000}"/>
    <cellStyle name="60% - Accent3 9" xfId="796" xr:uid="{00000000-0005-0000-0000-000081020000}"/>
    <cellStyle name="60% - Accent4 10" xfId="797" xr:uid="{00000000-0005-0000-0000-000082020000}"/>
    <cellStyle name="60% - Accent4 11" xfId="798" xr:uid="{00000000-0005-0000-0000-000083020000}"/>
    <cellStyle name="60% - Accent4 12" xfId="799" xr:uid="{00000000-0005-0000-0000-000084020000}"/>
    <cellStyle name="60% - Accent4 13" xfId="800" xr:uid="{00000000-0005-0000-0000-000085020000}"/>
    <cellStyle name="60% - Accent4 14" xfId="801" xr:uid="{00000000-0005-0000-0000-000086020000}"/>
    <cellStyle name="60% - Accent4 15" xfId="802" xr:uid="{00000000-0005-0000-0000-000087020000}"/>
    <cellStyle name="60% - Accent4 16" xfId="803" xr:uid="{00000000-0005-0000-0000-000088020000}"/>
    <cellStyle name="60% - Accent4 17" xfId="804" xr:uid="{00000000-0005-0000-0000-000089020000}"/>
    <cellStyle name="60% - Accent4 18" xfId="805" xr:uid="{00000000-0005-0000-0000-00008A020000}"/>
    <cellStyle name="60% - Accent4 2" xfId="31" xr:uid="{00000000-0005-0000-0000-00008B020000}"/>
    <cellStyle name="60% - Accent4 2 2" xfId="806" xr:uid="{00000000-0005-0000-0000-00008C020000}"/>
    <cellStyle name="60% - Accent4 2 3" xfId="807" xr:uid="{00000000-0005-0000-0000-00008D020000}"/>
    <cellStyle name="60% - Accent4 2 4" xfId="808" xr:uid="{00000000-0005-0000-0000-00008E020000}"/>
    <cellStyle name="60% - Accent4 2 5" xfId="809" xr:uid="{00000000-0005-0000-0000-00008F020000}"/>
    <cellStyle name="60% - Accent4 3" xfId="810" xr:uid="{00000000-0005-0000-0000-000090020000}"/>
    <cellStyle name="60% - Accent4 4" xfId="811" xr:uid="{00000000-0005-0000-0000-000091020000}"/>
    <cellStyle name="60% - Accent4 5" xfId="812" xr:uid="{00000000-0005-0000-0000-000092020000}"/>
    <cellStyle name="60% - Accent4 6" xfId="813" xr:uid="{00000000-0005-0000-0000-000093020000}"/>
    <cellStyle name="60% - Accent4 7" xfId="814" xr:uid="{00000000-0005-0000-0000-000094020000}"/>
    <cellStyle name="60% - Accent4 8" xfId="815" xr:uid="{00000000-0005-0000-0000-000095020000}"/>
    <cellStyle name="60% - Accent4 9" xfId="816" xr:uid="{00000000-0005-0000-0000-000096020000}"/>
    <cellStyle name="60% - Accent5 10" xfId="817" xr:uid="{00000000-0005-0000-0000-000097020000}"/>
    <cellStyle name="60% - Accent5 11" xfId="818" xr:uid="{00000000-0005-0000-0000-000098020000}"/>
    <cellStyle name="60% - Accent5 12" xfId="819" xr:uid="{00000000-0005-0000-0000-000099020000}"/>
    <cellStyle name="60% - Accent5 13" xfId="820" xr:uid="{00000000-0005-0000-0000-00009A020000}"/>
    <cellStyle name="60% - Accent5 14" xfId="821" xr:uid="{00000000-0005-0000-0000-00009B020000}"/>
    <cellStyle name="60% - Accent5 15" xfId="822" xr:uid="{00000000-0005-0000-0000-00009C020000}"/>
    <cellStyle name="60% - Accent5 16" xfId="823" xr:uid="{00000000-0005-0000-0000-00009D020000}"/>
    <cellStyle name="60% - Accent5 17" xfId="824" xr:uid="{00000000-0005-0000-0000-00009E020000}"/>
    <cellStyle name="60% - Accent5 18" xfId="825" xr:uid="{00000000-0005-0000-0000-00009F020000}"/>
    <cellStyle name="60% - Accent5 2" xfId="32" xr:uid="{00000000-0005-0000-0000-0000A0020000}"/>
    <cellStyle name="60% - Accent5 2 2" xfId="826" xr:uid="{00000000-0005-0000-0000-0000A1020000}"/>
    <cellStyle name="60% - Accent5 2 3" xfId="827" xr:uid="{00000000-0005-0000-0000-0000A2020000}"/>
    <cellStyle name="60% - Accent5 2 4" xfId="828" xr:uid="{00000000-0005-0000-0000-0000A3020000}"/>
    <cellStyle name="60% - Accent5 2 5" xfId="829" xr:uid="{00000000-0005-0000-0000-0000A4020000}"/>
    <cellStyle name="60% - Accent5 3" xfId="830" xr:uid="{00000000-0005-0000-0000-0000A5020000}"/>
    <cellStyle name="60% - Accent5 4" xfId="831" xr:uid="{00000000-0005-0000-0000-0000A6020000}"/>
    <cellStyle name="60% - Accent5 5" xfId="832" xr:uid="{00000000-0005-0000-0000-0000A7020000}"/>
    <cellStyle name="60% - Accent5 6" xfId="833" xr:uid="{00000000-0005-0000-0000-0000A8020000}"/>
    <cellStyle name="60% - Accent5 7" xfId="834" xr:uid="{00000000-0005-0000-0000-0000A9020000}"/>
    <cellStyle name="60% - Accent5 8" xfId="835" xr:uid="{00000000-0005-0000-0000-0000AA020000}"/>
    <cellStyle name="60% - Accent5 9" xfId="836" xr:uid="{00000000-0005-0000-0000-0000AB020000}"/>
    <cellStyle name="60% - Accent6 10" xfId="837" xr:uid="{00000000-0005-0000-0000-0000AC020000}"/>
    <cellStyle name="60% - Accent6 11" xfId="838" xr:uid="{00000000-0005-0000-0000-0000AD020000}"/>
    <cellStyle name="60% - Accent6 12" xfId="839" xr:uid="{00000000-0005-0000-0000-0000AE020000}"/>
    <cellStyle name="60% - Accent6 13" xfId="840" xr:uid="{00000000-0005-0000-0000-0000AF020000}"/>
    <cellStyle name="60% - Accent6 14" xfId="841" xr:uid="{00000000-0005-0000-0000-0000B0020000}"/>
    <cellStyle name="60% - Accent6 15" xfId="842" xr:uid="{00000000-0005-0000-0000-0000B1020000}"/>
    <cellStyle name="60% - Accent6 16" xfId="843" xr:uid="{00000000-0005-0000-0000-0000B2020000}"/>
    <cellStyle name="60% - Accent6 17" xfId="844" xr:uid="{00000000-0005-0000-0000-0000B3020000}"/>
    <cellStyle name="60% - Accent6 18" xfId="845" xr:uid="{00000000-0005-0000-0000-0000B4020000}"/>
    <cellStyle name="60% - Accent6 2" xfId="33" xr:uid="{00000000-0005-0000-0000-0000B5020000}"/>
    <cellStyle name="60% - Accent6 2 2" xfId="846" xr:uid="{00000000-0005-0000-0000-0000B6020000}"/>
    <cellStyle name="60% - Accent6 2 3" xfId="847" xr:uid="{00000000-0005-0000-0000-0000B7020000}"/>
    <cellStyle name="60% - Accent6 2 4" xfId="848" xr:uid="{00000000-0005-0000-0000-0000B8020000}"/>
    <cellStyle name="60% - Accent6 2 5" xfId="849" xr:uid="{00000000-0005-0000-0000-0000B9020000}"/>
    <cellStyle name="60% - Accent6 3" xfId="850" xr:uid="{00000000-0005-0000-0000-0000BA020000}"/>
    <cellStyle name="60% - Accent6 4" xfId="851" xr:uid="{00000000-0005-0000-0000-0000BB020000}"/>
    <cellStyle name="60% - Accent6 5" xfId="852" xr:uid="{00000000-0005-0000-0000-0000BC020000}"/>
    <cellStyle name="60% - Accent6 6" xfId="853" xr:uid="{00000000-0005-0000-0000-0000BD020000}"/>
    <cellStyle name="60% - Accent6 7" xfId="854" xr:uid="{00000000-0005-0000-0000-0000BE020000}"/>
    <cellStyle name="60% - Accent6 8" xfId="855" xr:uid="{00000000-0005-0000-0000-0000BF020000}"/>
    <cellStyle name="60% - Accent6 9" xfId="856" xr:uid="{00000000-0005-0000-0000-0000C0020000}"/>
    <cellStyle name="Accent1 10" xfId="857" xr:uid="{00000000-0005-0000-0000-0000C1020000}"/>
    <cellStyle name="Accent1 11" xfId="858" xr:uid="{00000000-0005-0000-0000-0000C2020000}"/>
    <cellStyle name="Accent1 12" xfId="859" xr:uid="{00000000-0005-0000-0000-0000C3020000}"/>
    <cellStyle name="Accent1 13" xfId="860" xr:uid="{00000000-0005-0000-0000-0000C4020000}"/>
    <cellStyle name="Accent1 14" xfId="861" xr:uid="{00000000-0005-0000-0000-0000C5020000}"/>
    <cellStyle name="Accent1 15" xfId="862" xr:uid="{00000000-0005-0000-0000-0000C6020000}"/>
    <cellStyle name="Accent1 16" xfId="863" xr:uid="{00000000-0005-0000-0000-0000C7020000}"/>
    <cellStyle name="Accent1 17" xfId="864" xr:uid="{00000000-0005-0000-0000-0000C8020000}"/>
    <cellStyle name="Accent1 18" xfId="865" xr:uid="{00000000-0005-0000-0000-0000C9020000}"/>
    <cellStyle name="Accent1 2" xfId="34" xr:uid="{00000000-0005-0000-0000-0000CA020000}"/>
    <cellStyle name="Accent1 2 2" xfId="866" xr:uid="{00000000-0005-0000-0000-0000CB020000}"/>
    <cellStyle name="Accent1 2 3" xfId="867" xr:uid="{00000000-0005-0000-0000-0000CC020000}"/>
    <cellStyle name="Accent1 2 4" xfId="868" xr:uid="{00000000-0005-0000-0000-0000CD020000}"/>
    <cellStyle name="Accent1 2 5" xfId="869" xr:uid="{00000000-0005-0000-0000-0000CE020000}"/>
    <cellStyle name="Accent1 3" xfId="870" xr:uid="{00000000-0005-0000-0000-0000CF020000}"/>
    <cellStyle name="Accent1 4" xfId="871" xr:uid="{00000000-0005-0000-0000-0000D0020000}"/>
    <cellStyle name="Accent1 5" xfId="872" xr:uid="{00000000-0005-0000-0000-0000D1020000}"/>
    <cellStyle name="Accent1 6" xfId="873" xr:uid="{00000000-0005-0000-0000-0000D2020000}"/>
    <cellStyle name="Accent1 7" xfId="874" xr:uid="{00000000-0005-0000-0000-0000D3020000}"/>
    <cellStyle name="Accent1 8" xfId="875" xr:uid="{00000000-0005-0000-0000-0000D4020000}"/>
    <cellStyle name="Accent1 9" xfId="876" xr:uid="{00000000-0005-0000-0000-0000D5020000}"/>
    <cellStyle name="Accent2 10" xfId="877" xr:uid="{00000000-0005-0000-0000-0000D6020000}"/>
    <cellStyle name="Accent2 11" xfId="878" xr:uid="{00000000-0005-0000-0000-0000D7020000}"/>
    <cellStyle name="Accent2 12" xfId="879" xr:uid="{00000000-0005-0000-0000-0000D8020000}"/>
    <cellStyle name="Accent2 13" xfId="880" xr:uid="{00000000-0005-0000-0000-0000D9020000}"/>
    <cellStyle name="Accent2 14" xfId="881" xr:uid="{00000000-0005-0000-0000-0000DA020000}"/>
    <cellStyle name="Accent2 15" xfId="882" xr:uid="{00000000-0005-0000-0000-0000DB020000}"/>
    <cellStyle name="Accent2 16" xfId="883" xr:uid="{00000000-0005-0000-0000-0000DC020000}"/>
    <cellStyle name="Accent2 17" xfId="884" xr:uid="{00000000-0005-0000-0000-0000DD020000}"/>
    <cellStyle name="Accent2 18" xfId="885" xr:uid="{00000000-0005-0000-0000-0000DE020000}"/>
    <cellStyle name="Accent2 2" xfId="35" xr:uid="{00000000-0005-0000-0000-0000DF020000}"/>
    <cellStyle name="Accent2 2 2" xfId="886" xr:uid="{00000000-0005-0000-0000-0000E0020000}"/>
    <cellStyle name="Accent2 2 3" xfId="887" xr:uid="{00000000-0005-0000-0000-0000E1020000}"/>
    <cellStyle name="Accent2 2 4" xfId="888" xr:uid="{00000000-0005-0000-0000-0000E2020000}"/>
    <cellStyle name="Accent2 2 5" xfId="889" xr:uid="{00000000-0005-0000-0000-0000E3020000}"/>
    <cellStyle name="Accent2 3" xfId="890" xr:uid="{00000000-0005-0000-0000-0000E4020000}"/>
    <cellStyle name="Accent2 4" xfId="891" xr:uid="{00000000-0005-0000-0000-0000E5020000}"/>
    <cellStyle name="Accent2 5" xfId="892" xr:uid="{00000000-0005-0000-0000-0000E6020000}"/>
    <cellStyle name="Accent2 6" xfId="893" xr:uid="{00000000-0005-0000-0000-0000E7020000}"/>
    <cellStyle name="Accent2 7" xfId="894" xr:uid="{00000000-0005-0000-0000-0000E8020000}"/>
    <cellStyle name="Accent2 8" xfId="895" xr:uid="{00000000-0005-0000-0000-0000E9020000}"/>
    <cellStyle name="Accent2 9" xfId="896" xr:uid="{00000000-0005-0000-0000-0000EA020000}"/>
    <cellStyle name="Accent3 10" xfId="897" xr:uid="{00000000-0005-0000-0000-0000EB020000}"/>
    <cellStyle name="Accent3 11" xfId="898" xr:uid="{00000000-0005-0000-0000-0000EC020000}"/>
    <cellStyle name="Accent3 12" xfId="899" xr:uid="{00000000-0005-0000-0000-0000ED020000}"/>
    <cellStyle name="Accent3 13" xfId="900" xr:uid="{00000000-0005-0000-0000-0000EE020000}"/>
    <cellStyle name="Accent3 14" xfId="901" xr:uid="{00000000-0005-0000-0000-0000EF020000}"/>
    <cellStyle name="Accent3 15" xfId="902" xr:uid="{00000000-0005-0000-0000-0000F0020000}"/>
    <cellStyle name="Accent3 16" xfId="903" xr:uid="{00000000-0005-0000-0000-0000F1020000}"/>
    <cellStyle name="Accent3 17" xfId="904" xr:uid="{00000000-0005-0000-0000-0000F2020000}"/>
    <cellStyle name="Accent3 18" xfId="905" xr:uid="{00000000-0005-0000-0000-0000F3020000}"/>
    <cellStyle name="Accent3 2" xfId="36" xr:uid="{00000000-0005-0000-0000-0000F4020000}"/>
    <cellStyle name="Accent3 2 2" xfId="906" xr:uid="{00000000-0005-0000-0000-0000F5020000}"/>
    <cellStyle name="Accent3 2 3" xfId="907" xr:uid="{00000000-0005-0000-0000-0000F6020000}"/>
    <cellStyle name="Accent3 2 4" xfId="908" xr:uid="{00000000-0005-0000-0000-0000F7020000}"/>
    <cellStyle name="Accent3 2 5" xfId="909" xr:uid="{00000000-0005-0000-0000-0000F8020000}"/>
    <cellStyle name="Accent3 3" xfId="910" xr:uid="{00000000-0005-0000-0000-0000F9020000}"/>
    <cellStyle name="Accent3 4" xfId="911" xr:uid="{00000000-0005-0000-0000-0000FA020000}"/>
    <cellStyle name="Accent3 5" xfId="912" xr:uid="{00000000-0005-0000-0000-0000FB020000}"/>
    <cellStyle name="Accent3 6" xfId="913" xr:uid="{00000000-0005-0000-0000-0000FC020000}"/>
    <cellStyle name="Accent3 7" xfId="914" xr:uid="{00000000-0005-0000-0000-0000FD020000}"/>
    <cellStyle name="Accent3 8" xfId="915" xr:uid="{00000000-0005-0000-0000-0000FE020000}"/>
    <cellStyle name="Accent3 9" xfId="916" xr:uid="{00000000-0005-0000-0000-0000FF020000}"/>
    <cellStyle name="Accent4 10" xfId="917" xr:uid="{00000000-0005-0000-0000-000000030000}"/>
    <cellStyle name="Accent4 11" xfId="918" xr:uid="{00000000-0005-0000-0000-000001030000}"/>
    <cellStyle name="Accent4 12" xfId="919" xr:uid="{00000000-0005-0000-0000-000002030000}"/>
    <cellStyle name="Accent4 13" xfId="920" xr:uid="{00000000-0005-0000-0000-000003030000}"/>
    <cellStyle name="Accent4 14" xfId="921" xr:uid="{00000000-0005-0000-0000-000004030000}"/>
    <cellStyle name="Accent4 15" xfId="922" xr:uid="{00000000-0005-0000-0000-000005030000}"/>
    <cellStyle name="Accent4 16" xfId="923" xr:uid="{00000000-0005-0000-0000-000006030000}"/>
    <cellStyle name="Accent4 17" xfId="924" xr:uid="{00000000-0005-0000-0000-000007030000}"/>
    <cellStyle name="Accent4 18" xfId="925" xr:uid="{00000000-0005-0000-0000-000008030000}"/>
    <cellStyle name="Accent4 2" xfId="37" xr:uid="{00000000-0005-0000-0000-000009030000}"/>
    <cellStyle name="Accent4 2 2" xfId="926" xr:uid="{00000000-0005-0000-0000-00000A030000}"/>
    <cellStyle name="Accent4 2 3" xfId="927" xr:uid="{00000000-0005-0000-0000-00000B030000}"/>
    <cellStyle name="Accent4 2 4" xfId="928" xr:uid="{00000000-0005-0000-0000-00000C030000}"/>
    <cellStyle name="Accent4 2 5" xfId="929" xr:uid="{00000000-0005-0000-0000-00000D030000}"/>
    <cellStyle name="Accent4 3" xfId="930" xr:uid="{00000000-0005-0000-0000-00000E030000}"/>
    <cellStyle name="Accent4 4" xfId="931" xr:uid="{00000000-0005-0000-0000-00000F030000}"/>
    <cellStyle name="Accent4 5" xfId="932" xr:uid="{00000000-0005-0000-0000-000010030000}"/>
    <cellStyle name="Accent4 6" xfId="933" xr:uid="{00000000-0005-0000-0000-000011030000}"/>
    <cellStyle name="Accent4 7" xfId="934" xr:uid="{00000000-0005-0000-0000-000012030000}"/>
    <cellStyle name="Accent4 8" xfId="935" xr:uid="{00000000-0005-0000-0000-000013030000}"/>
    <cellStyle name="Accent4 9" xfId="936" xr:uid="{00000000-0005-0000-0000-000014030000}"/>
    <cellStyle name="Accent5 10" xfId="937" xr:uid="{00000000-0005-0000-0000-000015030000}"/>
    <cellStyle name="Accent5 11" xfId="938" xr:uid="{00000000-0005-0000-0000-000016030000}"/>
    <cellStyle name="Accent5 12" xfId="939" xr:uid="{00000000-0005-0000-0000-000017030000}"/>
    <cellStyle name="Accent5 13" xfId="940" xr:uid="{00000000-0005-0000-0000-000018030000}"/>
    <cellStyle name="Accent5 14" xfId="941" xr:uid="{00000000-0005-0000-0000-000019030000}"/>
    <cellStyle name="Accent5 15" xfId="942" xr:uid="{00000000-0005-0000-0000-00001A030000}"/>
    <cellStyle name="Accent5 16" xfId="943" xr:uid="{00000000-0005-0000-0000-00001B030000}"/>
    <cellStyle name="Accent5 17" xfId="944" xr:uid="{00000000-0005-0000-0000-00001C030000}"/>
    <cellStyle name="Accent5 18" xfId="945" xr:uid="{00000000-0005-0000-0000-00001D030000}"/>
    <cellStyle name="Accent5 2" xfId="38" xr:uid="{00000000-0005-0000-0000-00001E030000}"/>
    <cellStyle name="Accent5 2 2" xfId="946" xr:uid="{00000000-0005-0000-0000-00001F030000}"/>
    <cellStyle name="Accent5 2 3" xfId="947" xr:uid="{00000000-0005-0000-0000-000020030000}"/>
    <cellStyle name="Accent5 2 4" xfId="948" xr:uid="{00000000-0005-0000-0000-000021030000}"/>
    <cellStyle name="Accent5 2 5" xfId="949" xr:uid="{00000000-0005-0000-0000-000022030000}"/>
    <cellStyle name="Accent5 3" xfId="950" xr:uid="{00000000-0005-0000-0000-000023030000}"/>
    <cellStyle name="Accent5 4" xfId="951" xr:uid="{00000000-0005-0000-0000-000024030000}"/>
    <cellStyle name="Accent5 5" xfId="952" xr:uid="{00000000-0005-0000-0000-000025030000}"/>
    <cellStyle name="Accent5 6" xfId="953" xr:uid="{00000000-0005-0000-0000-000026030000}"/>
    <cellStyle name="Accent5 7" xfId="954" xr:uid="{00000000-0005-0000-0000-000027030000}"/>
    <cellStyle name="Accent5 8" xfId="955" xr:uid="{00000000-0005-0000-0000-000028030000}"/>
    <cellStyle name="Accent5 9" xfId="956" xr:uid="{00000000-0005-0000-0000-000029030000}"/>
    <cellStyle name="Accent6 10" xfId="957" xr:uid="{00000000-0005-0000-0000-00002A030000}"/>
    <cellStyle name="Accent6 11" xfId="958" xr:uid="{00000000-0005-0000-0000-00002B030000}"/>
    <cellStyle name="Accent6 12" xfId="959" xr:uid="{00000000-0005-0000-0000-00002C030000}"/>
    <cellStyle name="Accent6 13" xfId="960" xr:uid="{00000000-0005-0000-0000-00002D030000}"/>
    <cellStyle name="Accent6 14" xfId="961" xr:uid="{00000000-0005-0000-0000-00002E030000}"/>
    <cellStyle name="Accent6 15" xfId="962" xr:uid="{00000000-0005-0000-0000-00002F030000}"/>
    <cellStyle name="Accent6 16" xfId="963" xr:uid="{00000000-0005-0000-0000-000030030000}"/>
    <cellStyle name="Accent6 17" xfId="964" xr:uid="{00000000-0005-0000-0000-000031030000}"/>
    <cellStyle name="Accent6 18" xfId="965" xr:uid="{00000000-0005-0000-0000-000032030000}"/>
    <cellStyle name="Accent6 2" xfId="39" xr:uid="{00000000-0005-0000-0000-000033030000}"/>
    <cellStyle name="Accent6 2 2" xfId="966" xr:uid="{00000000-0005-0000-0000-000034030000}"/>
    <cellStyle name="Accent6 2 3" xfId="967" xr:uid="{00000000-0005-0000-0000-000035030000}"/>
    <cellStyle name="Accent6 2 4" xfId="968" xr:uid="{00000000-0005-0000-0000-000036030000}"/>
    <cellStyle name="Accent6 2 5" xfId="969" xr:uid="{00000000-0005-0000-0000-000037030000}"/>
    <cellStyle name="Accent6 3" xfId="970" xr:uid="{00000000-0005-0000-0000-000038030000}"/>
    <cellStyle name="Accent6 4" xfId="971" xr:uid="{00000000-0005-0000-0000-000039030000}"/>
    <cellStyle name="Accent6 5" xfId="972" xr:uid="{00000000-0005-0000-0000-00003A030000}"/>
    <cellStyle name="Accent6 6" xfId="973" xr:uid="{00000000-0005-0000-0000-00003B030000}"/>
    <cellStyle name="Accent6 7" xfId="974" xr:uid="{00000000-0005-0000-0000-00003C030000}"/>
    <cellStyle name="Accent6 8" xfId="975" xr:uid="{00000000-0005-0000-0000-00003D030000}"/>
    <cellStyle name="Accent6 9" xfId="976" xr:uid="{00000000-0005-0000-0000-00003E030000}"/>
    <cellStyle name="Accounting" xfId="40" xr:uid="{00000000-0005-0000-0000-00003F030000}"/>
    <cellStyle name="Actual Date" xfId="41" xr:uid="{00000000-0005-0000-0000-000040030000}"/>
    <cellStyle name="Actual Date 2" xfId="4280" xr:uid="{00000000-0005-0000-0000-000041030000}"/>
    <cellStyle name="ADDR" xfId="42" xr:uid="{00000000-0005-0000-0000-000042030000}"/>
    <cellStyle name="Agara" xfId="43" xr:uid="{00000000-0005-0000-0000-000043030000}"/>
    <cellStyle name="Align-top" xfId="4281" xr:uid="{00000000-0005-0000-0000-000044030000}"/>
    <cellStyle name="Alternate Rows" xfId="4282" xr:uid="{00000000-0005-0000-0000-000045030000}"/>
    <cellStyle name="Alternate Yellow" xfId="4283" xr:uid="{00000000-0005-0000-0000-000046030000}"/>
    <cellStyle name="Bad 10" xfId="977" xr:uid="{00000000-0005-0000-0000-000047030000}"/>
    <cellStyle name="Bad 11" xfId="978" xr:uid="{00000000-0005-0000-0000-000048030000}"/>
    <cellStyle name="Bad 12" xfId="979" xr:uid="{00000000-0005-0000-0000-000049030000}"/>
    <cellStyle name="Bad 13" xfId="980" xr:uid="{00000000-0005-0000-0000-00004A030000}"/>
    <cellStyle name="Bad 14" xfId="981" xr:uid="{00000000-0005-0000-0000-00004B030000}"/>
    <cellStyle name="Bad 15" xfId="982" xr:uid="{00000000-0005-0000-0000-00004C030000}"/>
    <cellStyle name="Bad 16" xfId="983" xr:uid="{00000000-0005-0000-0000-00004D030000}"/>
    <cellStyle name="Bad 17" xfId="984" xr:uid="{00000000-0005-0000-0000-00004E030000}"/>
    <cellStyle name="Bad 18" xfId="985" xr:uid="{00000000-0005-0000-0000-00004F030000}"/>
    <cellStyle name="Bad 2" xfId="44" xr:uid="{00000000-0005-0000-0000-000050030000}"/>
    <cellStyle name="Bad 2 2" xfId="986" xr:uid="{00000000-0005-0000-0000-000051030000}"/>
    <cellStyle name="Bad 2 3" xfId="987" xr:uid="{00000000-0005-0000-0000-000052030000}"/>
    <cellStyle name="Bad 2 4" xfId="988" xr:uid="{00000000-0005-0000-0000-000053030000}"/>
    <cellStyle name="Bad 2 5" xfId="989" xr:uid="{00000000-0005-0000-0000-000054030000}"/>
    <cellStyle name="Bad 3" xfId="990" xr:uid="{00000000-0005-0000-0000-000055030000}"/>
    <cellStyle name="Bad 4" xfId="991" xr:uid="{00000000-0005-0000-0000-000056030000}"/>
    <cellStyle name="Bad 5" xfId="992" xr:uid="{00000000-0005-0000-0000-000057030000}"/>
    <cellStyle name="Bad 6" xfId="993" xr:uid="{00000000-0005-0000-0000-000058030000}"/>
    <cellStyle name="Bad 7" xfId="994" xr:uid="{00000000-0005-0000-0000-000059030000}"/>
    <cellStyle name="Bad 8" xfId="995" xr:uid="{00000000-0005-0000-0000-00005A030000}"/>
    <cellStyle name="Bad 9" xfId="996" xr:uid="{00000000-0005-0000-0000-00005B030000}"/>
    <cellStyle name="Basic" xfId="4484" xr:uid="{00000000-0005-0000-0000-00005C030000}"/>
    <cellStyle name="black" xfId="4158" xr:uid="{00000000-0005-0000-0000-00005D030000}"/>
    <cellStyle name="blu" xfId="4159" xr:uid="{00000000-0005-0000-0000-00005E030000}"/>
    <cellStyle name="Body" xfId="45" xr:uid="{00000000-0005-0000-0000-00005F030000}"/>
    <cellStyle name="Bold Red" xfId="4284" xr:uid="{00000000-0005-0000-0000-000060030000}"/>
    <cellStyle name="bot" xfId="4160" xr:uid="{00000000-0005-0000-0000-000061030000}"/>
    <cellStyle name="Bottom bold border" xfId="46" xr:uid="{00000000-0005-0000-0000-000062030000}"/>
    <cellStyle name="Bottom single border" xfId="47" xr:uid="{00000000-0005-0000-0000-000063030000}"/>
    <cellStyle name="Bullet" xfId="4161" xr:uid="{00000000-0005-0000-0000-000064030000}"/>
    <cellStyle name="Bullet [0]" xfId="4485" xr:uid="{00000000-0005-0000-0000-000065030000}"/>
    <cellStyle name="Bullet [2]" xfId="4486" xr:uid="{00000000-0005-0000-0000-000066030000}"/>
    <cellStyle name="Bullet [4]" xfId="4487" xr:uid="{00000000-0005-0000-0000-000067030000}"/>
    <cellStyle name="Business Unit" xfId="48" xr:uid="{00000000-0005-0000-0000-000068030000}"/>
    <cellStyle name="c" xfId="4162" xr:uid="{00000000-0005-0000-0000-000069030000}"/>
    <cellStyle name="c," xfId="4163" xr:uid="{00000000-0005-0000-0000-00006A030000}"/>
    <cellStyle name="c_HardInc " xfId="4164" xr:uid="{00000000-0005-0000-0000-00006B030000}"/>
    <cellStyle name="c_HardInc _ITC Great Plains Formula 1-12-09a" xfId="4488" xr:uid="{00000000-0005-0000-0000-00006C030000}"/>
    <cellStyle name="C00A" xfId="49" xr:uid="{00000000-0005-0000-0000-00006D030000}"/>
    <cellStyle name="C00B" xfId="50" xr:uid="{00000000-0005-0000-0000-00006E030000}"/>
    <cellStyle name="C00L" xfId="51" xr:uid="{00000000-0005-0000-0000-00006F030000}"/>
    <cellStyle name="C01A" xfId="52" xr:uid="{00000000-0005-0000-0000-000070030000}"/>
    <cellStyle name="C01B" xfId="53" xr:uid="{00000000-0005-0000-0000-000071030000}"/>
    <cellStyle name="C01H" xfId="54" xr:uid="{00000000-0005-0000-0000-000072030000}"/>
    <cellStyle name="C01L" xfId="55" xr:uid="{00000000-0005-0000-0000-000073030000}"/>
    <cellStyle name="C02A" xfId="56" xr:uid="{00000000-0005-0000-0000-000074030000}"/>
    <cellStyle name="C02B" xfId="57" xr:uid="{00000000-0005-0000-0000-000075030000}"/>
    <cellStyle name="C02H" xfId="58" xr:uid="{00000000-0005-0000-0000-000076030000}"/>
    <cellStyle name="C02L" xfId="59" xr:uid="{00000000-0005-0000-0000-000077030000}"/>
    <cellStyle name="C03A" xfId="60" xr:uid="{00000000-0005-0000-0000-000078030000}"/>
    <cellStyle name="C03B" xfId="61" xr:uid="{00000000-0005-0000-0000-000079030000}"/>
    <cellStyle name="C03H" xfId="62" xr:uid="{00000000-0005-0000-0000-00007A030000}"/>
    <cellStyle name="C03L" xfId="63" xr:uid="{00000000-0005-0000-0000-00007B030000}"/>
    <cellStyle name="C04A" xfId="64" xr:uid="{00000000-0005-0000-0000-00007C030000}"/>
    <cellStyle name="C04B" xfId="65" xr:uid="{00000000-0005-0000-0000-00007D030000}"/>
    <cellStyle name="C04H" xfId="66" xr:uid="{00000000-0005-0000-0000-00007E030000}"/>
    <cellStyle name="C04L" xfId="67" xr:uid="{00000000-0005-0000-0000-00007F030000}"/>
    <cellStyle name="C05A" xfId="68" xr:uid="{00000000-0005-0000-0000-000080030000}"/>
    <cellStyle name="C05B" xfId="69" xr:uid="{00000000-0005-0000-0000-000081030000}"/>
    <cellStyle name="C05H" xfId="70" xr:uid="{00000000-0005-0000-0000-000082030000}"/>
    <cellStyle name="C05L" xfId="71" xr:uid="{00000000-0005-0000-0000-000083030000}"/>
    <cellStyle name="C05L 2" xfId="4165" xr:uid="{00000000-0005-0000-0000-000084030000}"/>
    <cellStyle name="C06A" xfId="72" xr:uid="{00000000-0005-0000-0000-000085030000}"/>
    <cellStyle name="C06B" xfId="73" xr:uid="{00000000-0005-0000-0000-000086030000}"/>
    <cellStyle name="C06H" xfId="74" xr:uid="{00000000-0005-0000-0000-000087030000}"/>
    <cellStyle name="C06L" xfId="75" xr:uid="{00000000-0005-0000-0000-000088030000}"/>
    <cellStyle name="C07A" xfId="76" xr:uid="{00000000-0005-0000-0000-000089030000}"/>
    <cellStyle name="C07B" xfId="77" xr:uid="{00000000-0005-0000-0000-00008A030000}"/>
    <cellStyle name="C07H" xfId="78" xr:uid="{00000000-0005-0000-0000-00008B030000}"/>
    <cellStyle name="C07L" xfId="79" xr:uid="{00000000-0005-0000-0000-00008C030000}"/>
    <cellStyle name="c1" xfId="4166" xr:uid="{00000000-0005-0000-0000-00008D030000}"/>
    <cellStyle name="c1," xfId="4167" xr:uid="{00000000-0005-0000-0000-00008E030000}"/>
    <cellStyle name="c2" xfId="4168" xr:uid="{00000000-0005-0000-0000-00008F030000}"/>
    <cellStyle name="c2," xfId="4169" xr:uid="{00000000-0005-0000-0000-000090030000}"/>
    <cellStyle name="c3" xfId="4170" xr:uid="{00000000-0005-0000-0000-000091030000}"/>
    <cellStyle name="Calculation 10" xfId="997" xr:uid="{00000000-0005-0000-0000-000092030000}"/>
    <cellStyle name="Calculation 11" xfId="998" xr:uid="{00000000-0005-0000-0000-000093030000}"/>
    <cellStyle name="Calculation 12" xfId="999" xr:uid="{00000000-0005-0000-0000-000094030000}"/>
    <cellStyle name="Calculation 13" xfId="1000" xr:uid="{00000000-0005-0000-0000-000095030000}"/>
    <cellStyle name="Calculation 14" xfId="1001" xr:uid="{00000000-0005-0000-0000-000096030000}"/>
    <cellStyle name="Calculation 15" xfId="1002" xr:uid="{00000000-0005-0000-0000-000097030000}"/>
    <cellStyle name="Calculation 16" xfId="1003" xr:uid="{00000000-0005-0000-0000-000098030000}"/>
    <cellStyle name="Calculation 17" xfId="1004" xr:uid="{00000000-0005-0000-0000-000099030000}"/>
    <cellStyle name="Calculation 18" xfId="1005" xr:uid="{00000000-0005-0000-0000-00009A030000}"/>
    <cellStyle name="Calculation 2" xfId="80" xr:uid="{00000000-0005-0000-0000-00009B030000}"/>
    <cellStyle name="Calculation 2 2" xfId="1006" xr:uid="{00000000-0005-0000-0000-00009C030000}"/>
    <cellStyle name="Calculation 2 3" xfId="1007" xr:uid="{00000000-0005-0000-0000-00009D030000}"/>
    <cellStyle name="Calculation 2 4" xfId="1008" xr:uid="{00000000-0005-0000-0000-00009E030000}"/>
    <cellStyle name="Calculation 2 5" xfId="1009" xr:uid="{00000000-0005-0000-0000-00009F030000}"/>
    <cellStyle name="Calculation 3" xfId="1010" xr:uid="{00000000-0005-0000-0000-0000A0030000}"/>
    <cellStyle name="Calculation 4" xfId="1011" xr:uid="{00000000-0005-0000-0000-0000A1030000}"/>
    <cellStyle name="Calculation 5" xfId="1012" xr:uid="{00000000-0005-0000-0000-0000A2030000}"/>
    <cellStyle name="Calculation 6" xfId="1013" xr:uid="{00000000-0005-0000-0000-0000A3030000}"/>
    <cellStyle name="Calculation 7" xfId="1014" xr:uid="{00000000-0005-0000-0000-0000A4030000}"/>
    <cellStyle name="Calculation 8" xfId="1015" xr:uid="{00000000-0005-0000-0000-0000A5030000}"/>
    <cellStyle name="Calculation 9" xfId="1016" xr:uid="{00000000-0005-0000-0000-0000A6030000}"/>
    <cellStyle name="Cancel" xfId="4285" xr:uid="{00000000-0005-0000-0000-0000A7030000}"/>
    <cellStyle name="cas" xfId="4171" xr:uid="{00000000-0005-0000-0000-0000A8030000}"/>
    <cellStyle name="Centered Heading" xfId="4172" xr:uid="{00000000-0005-0000-0000-0000A9030000}"/>
    <cellStyle name="Check Cell 10" xfId="1017" xr:uid="{00000000-0005-0000-0000-0000AA030000}"/>
    <cellStyle name="Check Cell 11" xfId="1018" xr:uid="{00000000-0005-0000-0000-0000AB030000}"/>
    <cellStyle name="Check Cell 12" xfId="1019" xr:uid="{00000000-0005-0000-0000-0000AC030000}"/>
    <cellStyle name="Check Cell 13" xfId="1020" xr:uid="{00000000-0005-0000-0000-0000AD030000}"/>
    <cellStyle name="Check Cell 14" xfId="1021" xr:uid="{00000000-0005-0000-0000-0000AE030000}"/>
    <cellStyle name="Check Cell 15" xfId="1022" xr:uid="{00000000-0005-0000-0000-0000AF030000}"/>
    <cellStyle name="Check Cell 16" xfId="1023" xr:uid="{00000000-0005-0000-0000-0000B0030000}"/>
    <cellStyle name="Check Cell 17" xfId="1024" xr:uid="{00000000-0005-0000-0000-0000B1030000}"/>
    <cellStyle name="Check Cell 18" xfId="1025" xr:uid="{00000000-0005-0000-0000-0000B2030000}"/>
    <cellStyle name="Check Cell 2" xfId="81" xr:uid="{00000000-0005-0000-0000-0000B3030000}"/>
    <cellStyle name="Check Cell 2 2" xfId="1026" xr:uid="{00000000-0005-0000-0000-0000B4030000}"/>
    <cellStyle name="Check Cell 2 3" xfId="1027" xr:uid="{00000000-0005-0000-0000-0000B5030000}"/>
    <cellStyle name="Check Cell 2 4" xfId="1028" xr:uid="{00000000-0005-0000-0000-0000B6030000}"/>
    <cellStyle name="Check Cell 2 5" xfId="1029" xr:uid="{00000000-0005-0000-0000-0000B7030000}"/>
    <cellStyle name="Check Cell 3" xfId="1030" xr:uid="{00000000-0005-0000-0000-0000B8030000}"/>
    <cellStyle name="Check Cell 4" xfId="1031" xr:uid="{00000000-0005-0000-0000-0000B9030000}"/>
    <cellStyle name="Check Cell 5" xfId="1032" xr:uid="{00000000-0005-0000-0000-0000BA030000}"/>
    <cellStyle name="Check Cell 6" xfId="1033" xr:uid="{00000000-0005-0000-0000-0000BB030000}"/>
    <cellStyle name="Check Cell 7" xfId="1034" xr:uid="{00000000-0005-0000-0000-0000BC030000}"/>
    <cellStyle name="Check Cell 8" xfId="1035" xr:uid="{00000000-0005-0000-0000-0000BD030000}"/>
    <cellStyle name="Check Cell 9" xfId="1036" xr:uid="{00000000-0005-0000-0000-0000BE030000}"/>
    <cellStyle name="Column.Head" xfId="4286" xr:uid="{00000000-0005-0000-0000-0000BF030000}"/>
    <cellStyle name="Comma" xfId="4665" builtinId="3"/>
    <cellStyle name="Comma  - Style1" xfId="4489" xr:uid="{00000000-0005-0000-0000-0000C1030000}"/>
    <cellStyle name="Comma  - Style2" xfId="4490" xr:uid="{00000000-0005-0000-0000-0000C2030000}"/>
    <cellStyle name="Comma  - Style3" xfId="4491" xr:uid="{00000000-0005-0000-0000-0000C3030000}"/>
    <cellStyle name="Comma  - Style4" xfId="4492" xr:uid="{00000000-0005-0000-0000-0000C4030000}"/>
    <cellStyle name="Comma  - Style5" xfId="4493" xr:uid="{00000000-0005-0000-0000-0000C5030000}"/>
    <cellStyle name="Comma  - Style6" xfId="4494" xr:uid="{00000000-0005-0000-0000-0000C6030000}"/>
    <cellStyle name="Comma  - Style7" xfId="4495" xr:uid="{00000000-0005-0000-0000-0000C7030000}"/>
    <cellStyle name="Comma  - Style8" xfId="4496" xr:uid="{00000000-0005-0000-0000-0000C8030000}"/>
    <cellStyle name="Comma [0] 2" xfId="1037" xr:uid="{00000000-0005-0000-0000-0000C9030000}"/>
    <cellStyle name="Comma [0] 3" xfId="4173" xr:uid="{00000000-0005-0000-0000-0000CA030000}"/>
    <cellStyle name="Comma [0] 3 2" xfId="4683" xr:uid="{00000000-0005-0000-0000-0000CB030000}"/>
    <cellStyle name="Comma [0] 4" xfId="4174" xr:uid="{00000000-0005-0000-0000-0000CC030000}"/>
    <cellStyle name="Comma [1]" xfId="4287" xr:uid="{00000000-0005-0000-0000-0000CD030000}"/>
    <cellStyle name="Comma [2]" xfId="4288" xr:uid="{00000000-0005-0000-0000-0000CE030000}"/>
    <cellStyle name="Comma [3]" xfId="4497" xr:uid="{00000000-0005-0000-0000-0000CF030000}"/>
    <cellStyle name="Comma 0" xfId="82" xr:uid="{00000000-0005-0000-0000-0000D0030000}"/>
    <cellStyle name="Comma 0.0" xfId="4175" xr:uid="{00000000-0005-0000-0000-0000D1030000}"/>
    <cellStyle name="Comma 0.00" xfId="4176" xr:uid="{00000000-0005-0000-0000-0000D2030000}"/>
    <cellStyle name="Comma 0.000" xfId="4177" xr:uid="{00000000-0005-0000-0000-0000D3030000}"/>
    <cellStyle name="Comma 0.0000" xfId="4178" xr:uid="{00000000-0005-0000-0000-0000D4030000}"/>
    <cellStyle name="Comma 10" xfId="190" xr:uid="{00000000-0005-0000-0000-0000D5030000}"/>
    <cellStyle name="Comma 10 2" xfId="1038" xr:uid="{00000000-0005-0000-0000-0000D6030000}"/>
    <cellStyle name="Comma 10 2 2" xfId="1039" xr:uid="{00000000-0005-0000-0000-0000D7030000}"/>
    <cellStyle name="Comma 10 3" xfId="1040" xr:uid="{00000000-0005-0000-0000-0000D8030000}"/>
    <cellStyle name="Comma 10 4" xfId="4498" xr:uid="{00000000-0005-0000-0000-0000D9030000}"/>
    <cellStyle name="Comma 10 5" xfId="4499" xr:uid="{00000000-0005-0000-0000-0000DA030000}"/>
    <cellStyle name="Comma 10 6" xfId="4477" xr:uid="{00000000-0005-0000-0000-0000DB030000}"/>
    <cellStyle name="Comma 11" xfId="1041" xr:uid="{00000000-0005-0000-0000-0000DC030000}"/>
    <cellStyle name="Comma 12" xfId="1042" xr:uid="{00000000-0005-0000-0000-0000DD030000}"/>
    <cellStyle name="Comma 12 2" xfId="4684" xr:uid="{00000000-0005-0000-0000-0000DE030000}"/>
    <cellStyle name="Comma 12 2 2" xfId="4692" xr:uid="{00000000-0005-0000-0000-0000DF030000}"/>
    <cellStyle name="Comma 12 3" xfId="4678" xr:uid="{00000000-0005-0000-0000-0000E0030000}"/>
    <cellStyle name="Comma 13" xfId="1043" xr:uid="{00000000-0005-0000-0000-0000E1030000}"/>
    <cellStyle name="Comma 13 2" xfId="4681" xr:uid="{00000000-0005-0000-0000-0000E2030000}"/>
    <cellStyle name="Comma 13 2 2" xfId="4691" xr:uid="{00000000-0005-0000-0000-0000E3030000}"/>
    <cellStyle name="Comma 14" xfId="1044" xr:uid="{00000000-0005-0000-0000-0000E4030000}"/>
    <cellStyle name="Comma 15" xfId="1045" xr:uid="{00000000-0005-0000-0000-0000E5030000}"/>
    <cellStyle name="Comma 16" xfId="1046" xr:uid="{00000000-0005-0000-0000-0000E6030000}"/>
    <cellStyle name="Comma 17" xfId="1047" xr:uid="{00000000-0005-0000-0000-0000E7030000}"/>
    <cellStyle name="Comma 18" xfId="1048" xr:uid="{00000000-0005-0000-0000-0000E8030000}"/>
    <cellStyle name="Comma 19" xfId="1049" xr:uid="{00000000-0005-0000-0000-0000E9030000}"/>
    <cellStyle name="Comma 2" xfId="2" xr:uid="{00000000-0005-0000-0000-0000EA030000}"/>
    <cellStyle name="Comma 2 2" xfId="1050" xr:uid="{00000000-0005-0000-0000-0000EB030000}"/>
    <cellStyle name="Comma 2 2 2" xfId="4685" xr:uid="{00000000-0005-0000-0000-0000EC030000}"/>
    <cellStyle name="Comma 2 3" xfId="1051" xr:uid="{00000000-0005-0000-0000-0000ED030000}"/>
    <cellStyle name="Comma 2 3 2" xfId="1052" xr:uid="{00000000-0005-0000-0000-0000EE030000}"/>
    <cellStyle name="Comma 2 3 2 2" xfId="1053" xr:uid="{00000000-0005-0000-0000-0000EF030000}"/>
    <cellStyle name="Comma 2 3 3" xfId="1054" xr:uid="{00000000-0005-0000-0000-0000F0030000}"/>
    <cellStyle name="Comma 2 4" xfId="1055" xr:uid="{00000000-0005-0000-0000-0000F1030000}"/>
    <cellStyle name="Comma 2 5" xfId="1056" xr:uid="{00000000-0005-0000-0000-0000F2030000}"/>
    <cellStyle name="Comma 20" xfId="1057" xr:uid="{00000000-0005-0000-0000-0000F3030000}"/>
    <cellStyle name="Comma 21" xfId="1058" xr:uid="{00000000-0005-0000-0000-0000F4030000}"/>
    <cellStyle name="Comma 22" xfId="1059" xr:uid="{00000000-0005-0000-0000-0000F5030000}"/>
    <cellStyle name="Comma 23" xfId="1060" xr:uid="{00000000-0005-0000-0000-0000F6030000}"/>
    <cellStyle name="Comma 24" xfId="1061" xr:uid="{00000000-0005-0000-0000-0000F7030000}"/>
    <cellStyle name="Comma 25" xfId="1062" xr:uid="{00000000-0005-0000-0000-0000F8030000}"/>
    <cellStyle name="Comma 26" xfId="1063" xr:uid="{00000000-0005-0000-0000-0000F9030000}"/>
    <cellStyle name="Comma 27" xfId="1064" xr:uid="{00000000-0005-0000-0000-0000FA030000}"/>
    <cellStyle name="Comma 28" xfId="1065" xr:uid="{00000000-0005-0000-0000-0000FB030000}"/>
    <cellStyle name="Comma 29" xfId="1066" xr:uid="{00000000-0005-0000-0000-0000FC030000}"/>
    <cellStyle name="Comma 3" xfId="83" xr:uid="{00000000-0005-0000-0000-0000FD030000}"/>
    <cellStyle name="Comma 3 2" xfId="1067" xr:uid="{00000000-0005-0000-0000-0000FE030000}"/>
    <cellStyle name="Comma 3 3" xfId="1068" xr:uid="{00000000-0005-0000-0000-0000FF030000}"/>
    <cellStyle name="Comma 3 3 2" xfId="1069" xr:uid="{00000000-0005-0000-0000-000000040000}"/>
    <cellStyle name="Comma 3 4" xfId="1070" xr:uid="{00000000-0005-0000-0000-000001040000}"/>
    <cellStyle name="Comma 30" xfId="1071" xr:uid="{00000000-0005-0000-0000-000002040000}"/>
    <cellStyle name="Comma 31" xfId="1072" xr:uid="{00000000-0005-0000-0000-000003040000}"/>
    <cellStyle name="Comma 32" xfId="1073" xr:uid="{00000000-0005-0000-0000-000004040000}"/>
    <cellStyle name="Comma 33" xfId="1074" xr:uid="{00000000-0005-0000-0000-000005040000}"/>
    <cellStyle name="Comma 34" xfId="1075" xr:uid="{00000000-0005-0000-0000-000006040000}"/>
    <cellStyle name="Comma 35" xfId="1076" xr:uid="{00000000-0005-0000-0000-000007040000}"/>
    <cellStyle name="Comma 36" xfId="1077" xr:uid="{00000000-0005-0000-0000-000008040000}"/>
    <cellStyle name="Comma 37" xfId="1078" xr:uid="{00000000-0005-0000-0000-000009040000}"/>
    <cellStyle name="Comma 38" xfId="1079" xr:uid="{00000000-0005-0000-0000-00000A040000}"/>
    <cellStyle name="Comma 39" xfId="1080" xr:uid="{00000000-0005-0000-0000-00000B040000}"/>
    <cellStyle name="Comma 4" xfId="84" xr:uid="{00000000-0005-0000-0000-00000C040000}"/>
    <cellStyle name="Comma 4 2" xfId="1081" xr:uid="{00000000-0005-0000-0000-00000D040000}"/>
    <cellStyle name="Comma 40" xfId="1082" xr:uid="{00000000-0005-0000-0000-00000E040000}"/>
    <cellStyle name="Comma 41" xfId="1083" xr:uid="{00000000-0005-0000-0000-00000F040000}"/>
    <cellStyle name="Comma 42" xfId="1084" xr:uid="{00000000-0005-0000-0000-000010040000}"/>
    <cellStyle name="Comma 43" xfId="1085" xr:uid="{00000000-0005-0000-0000-000011040000}"/>
    <cellStyle name="Comma 44" xfId="1086" xr:uid="{00000000-0005-0000-0000-000012040000}"/>
    <cellStyle name="Comma 45" xfId="1087" xr:uid="{00000000-0005-0000-0000-000013040000}"/>
    <cellStyle name="Comma 46" xfId="1088" xr:uid="{00000000-0005-0000-0000-000014040000}"/>
    <cellStyle name="Comma 47" xfId="1089" xr:uid="{00000000-0005-0000-0000-000015040000}"/>
    <cellStyle name="Comma 48" xfId="1090" xr:uid="{00000000-0005-0000-0000-000016040000}"/>
    <cellStyle name="Comma 49" xfId="1091" xr:uid="{00000000-0005-0000-0000-000017040000}"/>
    <cellStyle name="Comma 5" xfId="1092" xr:uid="{00000000-0005-0000-0000-000018040000}"/>
    <cellStyle name="Comma 5 2" xfId="1093" xr:uid="{00000000-0005-0000-0000-000019040000}"/>
    <cellStyle name="Comma 50" xfId="1094" xr:uid="{00000000-0005-0000-0000-00001A040000}"/>
    <cellStyle name="Comma 51" xfId="1095" xr:uid="{00000000-0005-0000-0000-00001B040000}"/>
    <cellStyle name="Comma 52" xfId="1096" xr:uid="{00000000-0005-0000-0000-00001C040000}"/>
    <cellStyle name="Comma 53" xfId="1097" xr:uid="{00000000-0005-0000-0000-00001D040000}"/>
    <cellStyle name="Comma 54" xfId="1098" xr:uid="{00000000-0005-0000-0000-00001E040000}"/>
    <cellStyle name="Comma 55" xfId="1099" xr:uid="{00000000-0005-0000-0000-00001F040000}"/>
    <cellStyle name="Comma 56" xfId="1100" xr:uid="{00000000-0005-0000-0000-000020040000}"/>
    <cellStyle name="Comma 57" xfId="1101" xr:uid="{00000000-0005-0000-0000-000021040000}"/>
    <cellStyle name="Comma 57 2" xfId="1102" xr:uid="{00000000-0005-0000-0000-000022040000}"/>
    <cellStyle name="Comma 58" xfId="1103" xr:uid="{00000000-0005-0000-0000-000023040000}"/>
    <cellStyle name="Comma 58 2" xfId="1104" xr:uid="{00000000-0005-0000-0000-000024040000}"/>
    <cellStyle name="Comma 59" xfId="1105" xr:uid="{00000000-0005-0000-0000-000025040000}"/>
    <cellStyle name="Comma 59 2" xfId="1106" xr:uid="{00000000-0005-0000-0000-000026040000}"/>
    <cellStyle name="Comma 6" xfId="1107" xr:uid="{00000000-0005-0000-0000-000027040000}"/>
    <cellStyle name="Comma 6 2" xfId="1108" xr:uid="{00000000-0005-0000-0000-000028040000}"/>
    <cellStyle name="Comma 6 3" xfId="4289" xr:uid="{00000000-0005-0000-0000-000029040000}"/>
    <cellStyle name="Comma 60" xfId="1109" xr:uid="{00000000-0005-0000-0000-00002A040000}"/>
    <cellStyle name="Comma 60 2" xfId="1110" xr:uid="{00000000-0005-0000-0000-00002B040000}"/>
    <cellStyle name="Comma 61" xfId="1111" xr:uid="{00000000-0005-0000-0000-00002C040000}"/>
    <cellStyle name="Comma 61 2" xfId="1112" xr:uid="{00000000-0005-0000-0000-00002D040000}"/>
    <cellStyle name="Comma 62" xfId="1113" xr:uid="{00000000-0005-0000-0000-00002E040000}"/>
    <cellStyle name="Comma 62 2" xfId="1114" xr:uid="{00000000-0005-0000-0000-00002F040000}"/>
    <cellStyle name="Comma 63" xfId="1115" xr:uid="{00000000-0005-0000-0000-000030040000}"/>
    <cellStyle name="Comma 63 2" xfId="1116" xr:uid="{00000000-0005-0000-0000-000031040000}"/>
    <cellStyle name="Comma 64" xfId="1117" xr:uid="{00000000-0005-0000-0000-000032040000}"/>
    <cellStyle name="Comma 64 2" xfId="1118" xr:uid="{00000000-0005-0000-0000-000033040000}"/>
    <cellStyle name="Comma 65" xfId="1119" xr:uid="{00000000-0005-0000-0000-000034040000}"/>
    <cellStyle name="Comma 65 2" xfId="1120" xr:uid="{00000000-0005-0000-0000-000035040000}"/>
    <cellStyle name="Comma 66" xfId="1121" xr:uid="{00000000-0005-0000-0000-000036040000}"/>
    <cellStyle name="Comma 66 2" xfId="1122" xr:uid="{00000000-0005-0000-0000-000037040000}"/>
    <cellStyle name="Comma 67" xfId="1123" xr:uid="{00000000-0005-0000-0000-000038040000}"/>
    <cellStyle name="Comma 67 2" xfId="1124" xr:uid="{00000000-0005-0000-0000-000039040000}"/>
    <cellStyle name="Comma 68" xfId="1125" xr:uid="{00000000-0005-0000-0000-00003A040000}"/>
    <cellStyle name="Comma 68 2" xfId="1126" xr:uid="{00000000-0005-0000-0000-00003B040000}"/>
    <cellStyle name="Comma 69" xfId="1127" xr:uid="{00000000-0005-0000-0000-00003C040000}"/>
    <cellStyle name="Comma 69 2" xfId="1128" xr:uid="{00000000-0005-0000-0000-00003D040000}"/>
    <cellStyle name="Comma 7" xfId="1129" xr:uid="{00000000-0005-0000-0000-00003E040000}"/>
    <cellStyle name="Comma 7 2" xfId="4290" xr:uid="{00000000-0005-0000-0000-00003F040000}"/>
    <cellStyle name="Comma 70" xfId="1130" xr:uid="{00000000-0005-0000-0000-000040040000}"/>
    <cellStyle name="Comma 70 2" xfId="1131" xr:uid="{00000000-0005-0000-0000-000041040000}"/>
    <cellStyle name="Comma 71" xfId="1132" xr:uid="{00000000-0005-0000-0000-000042040000}"/>
    <cellStyle name="Comma 71 2" xfId="1133" xr:uid="{00000000-0005-0000-0000-000043040000}"/>
    <cellStyle name="Comma 72" xfId="1134" xr:uid="{00000000-0005-0000-0000-000044040000}"/>
    <cellStyle name="Comma 72 2" xfId="1135" xr:uid="{00000000-0005-0000-0000-000045040000}"/>
    <cellStyle name="Comma 73" xfId="1136" xr:uid="{00000000-0005-0000-0000-000046040000}"/>
    <cellStyle name="Comma 73 2" xfId="1137" xr:uid="{00000000-0005-0000-0000-000047040000}"/>
    <cellStyle name="Comma 74" xfId="1138" xr:uid="{00000000-0005-0000-0000-000048040000}"/>
    <cellStyle name="Comma 74 2" xfId="1139" xr:uid="{00000000-0005-0000-0000-000049040000}"/>
    <cellStyle name="Comma 75" xfId="1140" xr:uid="{00000000-0005-0000-0000-00004A040000}"/>
    <cellStyle name="Comma 75 2" xfId="1141" xr:uid="{00000000-0005-0000-0000-00004B040000}"/>
    <cellStyle name="Comma 76" xfId="1142" xr:uid="{00000000-0005-0000-0000-00004C040000}"/>
    <cellStyle name="Comma 76 2" xfId="1143" xr:uid="{00000000-0005-0000-0000-00004D040000}"/>
    <cellStyle name="Comma 77" xfId="1144" xr:uid="{00000000-0005-0000-0000-00004E040000}"/>
    <cellStyle name="Comma 77 2" xfId="1145" xr:uid="{00000000-0005-0000-0000-00004F040000}"/>
    <cellStyle name="Comma 78" xfId="1146" xr:uid="{00000000-0005-0000-0000-000050040000}"/>
    <cellStyle name="Comma 78 2" xfId="1147" xr:uid="{00000000-0005-0000-0000-000051040000}"/>
    <cellStyle name="Comma 79" xfId="1148" xr:uid="{00000000-0005-0000-0000-000052040000}"/>
    <cellStyle name="Comma 79 2" xfId="1149" xr:uid="{00000000-0005-0000-0000-000053040000}"/>
    <cellStyle name="Comma 8" xfId="1150" xr:uid="{00000000-0005-0000-0000-000054040000}"/>
    <cellStyle name="Comma 8 2" xfId="4291" xr:uid="{00000000-0005-0000-0000-000055040000}"/>
    <cellStyle name="Comma 8 2 2" xfId="4500" xr:uid="{00000000-0005-0000-0000-000056040000}"/>
    <cellStyle name="Comma 8 2 3" xfId="4501" xr:uid="{00000000-0005-0000-0000-000057040000}"/>
    <cellStyle name="Comma 8 2 4" xfId="4502" xr:uid="{00000000-0005-0000-0000-000058040000}"/>
    <cellStyle name="Comma 8 2 5" xfId="4503" xr:uid="{00000000-0005-0000-0000-000059040000}"/>
    <cellStyle name="Comma 8 3" xfId="4504" xr:uid="{00000000-0005-0000-0000-00005A040000}"/>
    <cellStyle name="Comma 8 4" xfId="4505" xr:uid="{00000000-0005-0000-0000-00005B040000}"/>
    <cellStyle name="Comma 8 5" xfId="4506" xr:uid="{00000000-0005-0000-0000-00005C040000}"/>
    <cellStyle name="Comma 8 6" xfId="4507" xr:uid="{00000000-0005-0000-0000-00005D040000}"/>
    <cellStyle name="Comma 80" xfId="1151" xr:uid="{00000000-0005-0000-0000-00005E040000}"/>
    <cellStyle name="Comma 80 2" xfId="1152" xr:uid="{00000000-0005-0000-0000-00005F040000}"/>
    <cellStyle name="Comma 81" xfId="1153" xr:uid="{00000000-0005-0000-0000-000060040000}"/>
    <cellStyle name="Comma 81 2" xfId="1154" xr:uid="{00000000-0005-0000-0000-000061040000}"/>
    <cellStyle name="Comma 82" xfId="1155" xr:uid="{00000000-0005-0000-0000-000062040000}"/>
    <cellStyle name="Comma 82 2" xfId="1156" xr:uid="{00000000-0005-0000-0000-000063040000}"/>
    <cellStyle name="Comma 83" xfId="1157" xr:uid="{00000000-0005-0000-0000-000064040000}"/>
    <cellStyle name="Comma 83 2" xfId="1158" xr:uid="{00000000-0005-0000-0000-000065040000}"/>
    <cellStyle name="Comma 84" xfId="1159" xr:uid="{00000000-0005-0000-0000-000066040000}"/>
    <cellStyle name="Comma 84 2" xfId="1160" xr:uid="{00000000-0005-0000-0000-000067040000}"/>
    <cellStyle name="Comma 85" xfId="1161" xr:uid="{00000000-0005-0000-0000-000068040000}"/>
    <cellStyle name="Comma 85 2" xfId="1162" xr:uid="{00000000-0005-0000-0000-000069040000}"/>
    <cellStyle name="Comma 86" xfId="1163" xr:uid="{00000000-0005-0000-0000-00006A040000}"/>
    <cellStyle name="Comma 86 2" xfId="1164" xr:uid="{00000000-0005-0000-0000-00006B040000}"/>
    <cellStyle name="Comma 87" xfId="1165" xr:uid="{00000000-0005-0000-0000-00006C040000}"/>
    <cellStyle name="Comma 87 2" xfId="1166" xr:uid="{00000000-0005-0000-0000-00006D040000}"/>
    <cellStyle name="Comma 88" xfId="1167" xr:uid="{00000000-0005-0000-0000-00006E040000}"/>
    <cellStyle name="Comma 88 2" xfId="1168" xr:uid="{00000000-0005-0000-0000-00006F040000}"/>
    <cellStyle name="Comma 89" xfId="1169" xr:uid="{00000000-0005-0000-0000-000070040000}"/>
    <cellStyle name="Comma 89 2" xfId="1170" xr:uid="{00000000-0005-0000-0000-000071040000}"/>
    <cellStyle name="Comma 9" xfId="1171" xr:uid="{00000000-0005-0000-0000-000072040000}"/>
    <cellStyle name="Comma 9 2" xfId="4508" xr:uid="{00000000-0005-0000-0000-000073040000}"/>
    <cellStyle name="Comma 90" xfId="1172" xr:uid="{00000000-0005-0000-0000-000074040000}"/>
    <cellStyle name="Comma 91" xfId="1173" xr:uid="{00000000-0005-0000-0000-000075040000}"/>
    <cellStyle name="Comma 92" xfId="1174" xr:uid="{00000000-0005-0000-0000-000076040000}"/>
    <cellStyle name="Comma 93" xfId="1175" xr:uid="{00000000-0005-0000-0000-000077040000}"/>
    <cellStyle name="Comma 94" xfId="1176" xr:uid="{00000000-0005-0000-0000-000078040000}"/>
    <cellStyle name="Comma 95" xfId="4472" xr:uid="{00000000-0005-0000-0000-000079040000}"/>
    <cellStyle name="Comma 96" xfId="4697" xr:uid="{4167A05B-7B3A-412D-BA1E-1764A8071D5B}"/>
    <cellStyle name="Comma 96 2" xfId="4699" xr:uid="{DC8A2B6C-175B-454F-AF76-7214CAE51B7D}"/>
    <cellStyle name="Comma Input" xfId="4509" xr:uid="{00000000-0005-0000-0000-00007A040000}"/>
    <cellStyle name="Comma(0)" xfId="4292" xr:uid="{00000000-0005-0000-0000-00007B040000}"/>
    <cellStyle name="Comma, No spaces" xfId="4293" xr:uid="{00000000-0005-0000-0000-00007C040000}"/>
    <cellStyle name="Comma0" xfId="4179" xr:uid="{00000000-0005-0000-0000-00007D040000}"/>
    <cellStyle name="Comma0 - Style1" xfId="85" xr:uid="{00000000-0005-0000-0000-00007E040000}"/>
    <cellStyle name="Comma0 - Style2" xfId="4294" xr:uid="{00000000-0005-0000-0000-00007F040000}"/>
    <cellStyle name="Comma0_currency data update to Oct" xfId="4295" xr:uid="{00000000-0005-0000-0000-000080040000}"/>
    <cellStyle name="Comma1" xfId="4296" xr:uid="{00000000-0005-0000-0000-000081040000}"/>
    <cellStyle name="Comma1 2" xfId="4297" xr:uid="{00000000-0005-0000-0000-000082040000}"/>
    <cellStyle name="Comma2" xfId="4298" xr:uid="{00000000-0005-0000-0000-000083040000}"/>
    <cellStyle name="Comma2 2" xfId="4299" xr:uid="{00000000-0005-0000-0000-000084040000}"/>
    <cellStyle name="Company Name" xfId="4180" xr:uid="{00000000-0005-0000-0000-000085040000}"/>
    <cellStyle name="Config Data" xfId="4181" xr:uid="{00000000-0005-0000-0000-000086040000}"/>
    <cellStyle name="ConvVer" xfId="4300" xr:uid="{00000000-0005-0000-0000-000087040000}"/>
    <cellStyle name="cost_per_kw" xfId="4301" xr:uid="{00000000-0005-0000-0000-000088040000}"/>
    <cellStyle name="Currency" xfId="1" builtinId="4"/>
    <cellStyle name="Currency [1]" xfId="4510" xr:uid="{00000000-0005-0000-0000-00008A040000}"/>
    <cellStyle name="Currency [2]" xfId="4302" xr:uid="{00000000-0005-0000-0000-00008B040000}"/>
    <cellStyle name="Currency [3]" xfId="4511" xr:uid="{00000000-0005-0000-0000-00008C040000}"/>
    <cellStyle name="Currency [4]" xfId="4303" xr:uid="{00000000-0005-0000-0000-00008D040000}"/>
    <cellStyle name="Currency 0.0" xfId="4182" xr:uid="{00000000-0005-0000-0000-00008E040000}"/>
    <cellStyle name="Currency 0.00" xfId="4183" xr:uid="{00000000-0005-0000-0000-00008F040000}"/>
    <cellStyle name="Currency 0.000" xfId="4184" xr:uid="{00000000-0005-0000-0000-000090040000}"/>
    <cellStyle name="Currency 0.0000" xfId="4185" xr:uid="{00000000-0005-0000-0000-000091040000}"/>
    <cellStyle name="Currency 10" xfId="1177" xr:uid="{00000000-0005-0000-0000-000092040000}"/>
    <cellStyle name="Currency 10 2" xfId="1178" xr:uid="{00000000-0005-0000-0000-000093040000}"/>
    <cellStyle name="Currency 10 2 2" xfId="1179" xr:uid="{00000000-0005-0000-0000-000094040000}"/>
    <cellStyle name="Currency 10 3" xfId="1180" xr:uid="{00000000-0005-0000-0000-000095040000}"/>
    <cellStyle name="Currency 10 3 2" xfId="1181" xr:uid="{00000000-0005-0000-0000-000096040000}"/>
    <cellStyle name="Currency 10 4" xfId="1182" xr:uid="{00000000-0005-0000-0000-000097040000}"/>
    <cellStyle name="Currency 10 4 2" xfId="1183" xr:uid="{00000000-0005-0000-0000-000098040000}"/>
    <cellStyle name="Currency 10 5" xfId="1184" xr:uid="{00000000-0005-0000-0000-000099040000}"/>
    <cellStyle name="Currency 10 5 2" xfId="1185" xr:uid="{00000000-0005-0000-0000-00009A040000}"/>
    <cellStyle name="Currency 10 6" xfId="1186" xr:uid="{00000000-0005-0000-0000-00009B040000}"/>
    <cellStyle name="Currency 11" xfId="1187" xr:uid="{00000000-0005-0000-0000-00009C040000}"/>
    <cellStyle name="Currency 11 2" xfId="1188" xr:uid="{00000000-0005-0000-0000-00009D040000}"/>
    <cellStyle name="Currency 11 2 2" xfId="1189" xr:uid="{00000000-0005-0000-0000-00009E040000}"/>
    <cellStyle name="Currency 11 3" xfId="1190" xr:uid="{00000000-0005-0000-0000-00009F040000}"/>
    <cellStyle name="Currency 11 3 2" xfId="1191" xr:uid="{00000000-0005-0000-0000-0000A0040000}"/>
    <cellStyle name="Currency 11 4" xfId="1192" xr:uid="{00000000-0005-0000-0000-0000A1040000}"/>
    <cellStyle name="Currency 11 4 2" xfId="1193" xr:uid="{00000000-0005-0000-0000-0000A2040000}"/>
    <cellStyle name="Currency 11 5" xfId="1194" xr:uid="{00000000-0005-0000-0000-0000A3040000}"/>
    <cellStyle name="Currency 11 5 2" xfId="1195" xr:uid="{00000000-0005-0000-0000-0000A4040000}"/>
    <cellStyle name="Currency 11 6" xfId="1196" xr:uid="{00000000-0005-0000-0000-0000A5040000}"/>
    <cellStyle name="Currency 12" xfId="1197" xr:uid="{00000000-0005-0000-0000-0000A6040000}"/>
    <cellStyle name="Currency 12 10" xfId="1198" xr:uid="{00000000-0005-0000-0000-0000A7040000}"/>
    <cellStyle name="Currency 12 10 2" xfId="1199" xr:uid="{00000000-0005-0000-0000-0000A8040000}"/>
    <cellStyle name="Currency 12 10 2 2" xfId="1200" xr:uid="{00000000-0005-0000-0000-0000A9040000}"/>
    <cellStyle name="Currency 12 10 3" xfId="1201" xr:uid="{00000000-0005-0000-0000-0000AA040000}"/>
    <cellStyle name="Currency 12 11" xfId="1202" xr:uid="{00000000-0005-0000-0000-0000AB040000}"/>
    <cellStyle name="Currency 12 11 2" xfId="1203" xr:uid="{00000000-0005-0000-0000-0000AC040000}"/>
    <cellStyle name="Currency 12 11 2 2" xfId="1204" xr:uid="{00000000-0005-0000-0000-0000AD040000}"/>
    <cellStyle name="Currency 12 11 3" xfId="1205" xr:uid="{00000000-0005-0000-0000-0000AE040000}"/>
    <cellStyle name="Currency 12 12" xfId="1206" xr:uid="{00000000-0005-0000-0000-0000AF040000}"/>
    <cellStyle name="Currency 12 12 2" xfId="1207" xr:uid="{00000000-0005-0000-0000-0000B0040000}"/>
    <cellStyle name="Currency 12 12 2 2" xfId="1208" xr:uid="{00000000-0005-0000-0000-0000B1040000}"/>
    <cellStyle name="Currency 12 12 3" xfId="1209" xr:uid="{00000000-0005-0000-0000-0000B2040000}"/>
    <cellStyle name="Currency 12 13" xfId="1210" xr:uid="{00000000-0005-0000-0000-0000B3040000}"/>
    <cellStyle name="Currency 12 13 2" xfId="1211" xr:uid="{00000000-0005-0000-0000-0000B4040000}"/>
    <cellStyle name="Currency 12 13 2 2" xfId="1212" xr:uid="{00000000-0005-0000-0000-0000B5040000}"/>
    <cellStyle name="Currency 12 13 3" xfId="1213" xr:uid="{00000000-0005-0000-0000-0000B6040000}"/>
    <cellStyle name="Currency 12 14" xfId="1214" xr:uid="{00000000-0005-0000-0000-0000B7040000}"/>
    <cellStyle name="Currency 12 14 2" xfId="1215" xr:uid="{00000000-0005-0000-0000-0000B8040000}"/>
    <cellStyle name="Currency 12 14 2 2" xfId="1216" xr:uid="{00000000-0005-0000-0000-0000B9040000}"/>
    <cellStyle name="Currency 12 14 3" xfId="1217" xr:uid="{00000000-0005-0000-0000-0000BA040000}"/>
    <cellStyle name="Currency 12 15" xfId="1218" xr:uid="{00000000-0005-0000-0000-0000BB040000}"/>
    <cellStyle name="Currency 12 15 2" xfId="1219" xr:uid="{00000000-0005-0000-0000-0000BC040000}"/>
    <cellStyle name="Currency 12 15 2 2" xfId="1220" xr:uid="{00000000-0005-0000-0000-0000BD040000}"/>
    <cellStyle name="Currency 12 15 3" xfId="1221" xr:uid="{00000000-0005-0000-0000-0000BE040000}"/>
    <cellStyle name="Currency 12 16" xfId="1222" xr:uid="{00000000-0005-0000-0000-0000BF040000}"/>
    <cellStyle name="Currency 12 16 2" xfId="1223" xr:uid="{00000000-0005-0000-0000-0000C0040000}"/>
    <cellStyle name="Currency 12 17" xfId="1224" xr:uid="{00000000-0005-0000-0000-0000C1040000}"/>
    <cellStyle name="Currency 12 17 2" xfId="1225" xr:uid="{00000000-0005-0000-0000-0000C2040000}"/>
    <cellStyle name="Currency 12 18" xfId="1226" xr:uid="{00000000-0005-0000-0000-0000C3040000}"/>
    <cellStyle name="Currency 12 2" xfId="1227" xr:uid="{00000000-0005-0000-0000-0000C4040000}"/>
    <cellStyle name="Currency 12 2 2" xfId="1228" xr:uid="{00000000-0005-0000-0000-0000C5040000}"/>
    <cellStyle name="Currency 12 2 2 2" xfId="1229" xr:uid="{00000000-0005-0000-0000-0000C6040000}"/>
    <cellStyle name="Currency 12 2 3" xfId="1230" xr:uid="{00000000-0005-0000-0000-0000C7040000}"/>
    <cellStyle name="Currency 12 3" xfId="1231" xr:uid="{00000000-0005-0000-0000-0000C8040000}"/>
    <cellStyle name="Currency 12 3 2" xfId="1232" xr:uid="{00000000-0005-0000-0000-0000C9040000}"/>
    <cellStyle name="Currency 12 3 2 2" xfId="1233" xr:uid="{00000000-0005-0000-0000-0000CA040000}"/>
    <cellStyle name="Currency 12 3 3" xfId="1234" xr:uid="{00000000-0005-0000-0000-0000CB040000}"/>
    <cellStyle name="Currency 12 4" xfId="1235" xr:uid="{00000000-0005-0000-0000-0000CC040000}"/>
    <cellStyle name="Currency 12 4 2" xfId="1236" xr:uid="{00000000-0005-0000-0000-0000CD040000}"/>
    <cellStyle name="Currency 12 4 2 2" xfId="1237" xr:uid="{00000000-0005-0000-0000-0000CE040000}"/>
    <cellStyle name="Currency 12 4 3" xfId="1238" xr:uid="{00000000-0005-0000-0000-0000CF040000}"/>
    <cellStyle name="Currency 12 5" xfId="1239" xr:uid="{00000000-0005-0000-0000-0000D0040000}"/>
    <cellStyle name="Currency 12 5 2" xfId="1240" xr:uid="{00000000-0005-0000-0000-0000D1040000}"/>
    <cellStyle name="Currency 12 5 2 2" xfId="1241" xr:uid="{00000000-0005-0000-0000-0000D2040000}"/>
    <cellStyle name="Currency 12 5 3" xfId="1242" xr:uid="{00000000-0005-0000-0000-0000D3040000}"/>
    <cellStyle name="Currency 12 6" xfId="1243" xr:uid="{00000000-0005-0000-0000-0000D4040000}"/>
    <cellStyle name="Currency 12 6 2" xfId="1244" xr:uid="{00000000-0005-0000-0000-0000D5040000}"/>
    <cellStyle name="Currency 12 6 2 2" xfId="1245" xr:uid="{00000000-0005-0000-0000-0000D6040000}"/>
    <cellStyle name="Currency 12 6 3" xfId="1246" xr:uid="{00000000-0005-0000-0000-0000D7040000}"/>
    <cellStyle name="Currency 12 7" xfId="1247" xr:uid="{00000000-0005-0000-0000-0000D8040000}"/>
    <cellStyle name="Currency 12 7 2" xfId="1248" xr:uid="{00000000-0005-0000-0000-0000D9040000}"/>
    <cellStyle name="Currency 12 7 2 2" xfId="1249" xr:uid="{00000000-0005-0000-0000-0000DA040000}"/>
    <cellStyle name="Currency 12 7 3" xfId="1250" xr:uid="{00000000-0005-0000-0000-0000DB040000}"/>
    <cellStyle name="Currency 12 8" xfId="1251" xr:uid="{00000000-0005-0000-0000-0000DC040000}"/>
    <cellStyle name="Currency 12 8 2" xfId="1252" xr:uid="{00000000-0005-0000-0000-0000DD040000}"/>
    <cellStyle name="Currency 12 8 2 2" xfId="1253" xr:uid="{00000000-0005-0000-0000-0000DE040000}"/>
    <cellStyle name="Currency 12 8 3" xfId="1254" xr:uid="{00000000-0005-0000-0000-0000DF040000}"/>
    <cellStyle name="Currency 12 9" xfId="1255" xr:uid="{00000000-0005-0000-0000-0000E0040000}"/>
    <cellStyle name="Currency 12 9 2" xfId="1256" xr:uid="{00000000-0005-0000-0000-0000E1040000}"/>
    <cellStyle name="Currency 12 9 2 2" xfId="1257" xr:uid="{00000000-0005-0000-0000-0000E2040000}"/>
    <cellStyle name="Currency 12 9 3" xfId="1258" xr:uid="{00000000-0005-0000-0000-0000E3040000}"/>
    <cellStyle name="Currency 13" xfId="4672" xr:uid="{00000000-0005-0000-0000-0000E4040000}"/>
    <cellStyle name="Currency 15" xfId="1259" xr:uid="{00000000-0005-0000-0000-0000E5040000}"/>
    <cellStyle name="Currency 15 10" xfId="1260" xr:uid="{00000000-0005-0000-0000-0000E6040000}"/>
    <cellStyle name="Currency 15 10 2" xfId="1261" xr:uid="{00000000-0005-0000-0000-0000E7040000}"/>
    <cellStyle name="Currency 15 10 2 2" xfId="1262" xr:uid="{00000000-0005-0000-0000-0000E8040000}"/>
    <cellStyle name="Currency 15 10 3" xfId="1263" xr:uid="{00000000-0005-0000-0000-0000E9040000}"/>
    <cellStyle name="Currency 15 11" xfId="1264" xr:uid="{00000000-0005-0000-0000-0000EA040000}"/>
    <cellStyle name="Currency 15 11 2" xfId="1265" xr:uid="{00000000-0005-0000-0000-0000EB040000}"/>
    <cellStyle name="Currency 15 11 2 2" xfId="1266" xr:uid="{00000000-0005-0000-0000-0000EC040000}"/>
    <cellStyle name="Currency 15 11 3" xfId="1267" xr:uid="{00000000-0005-0000-0000-0000ED040000}"/>
    <cellStyle name="Currency 15 12" xfId="1268" xr:uid="{00000000-0005-0000-0000-0000EE040000}"/>
    <cellStyle name="Currency 15 12 2" xfId="1269" xr:uid="{00000000-0005-0000-0000-0000EF040000}"/>
    <cellStyle name="Currency 15 12 2 2" xfId="1270" xr:uid="{00000000-0005-0000-0000-0000F0040000}"/>
    <cellStyle name="Currency 15 12 3" xfId="1271" xr:uid="{00000000-0005-0000-0000-0000F1040000}"/>
    <cellStyle name="Currency 15 13" xfId="1272" xr:uid="{00000000-0005-0000-0000-0000F2040000}"/>
    <cellStyle name="Currency 15 13 2" xfId="1273" xr:uid="{00000000-0005-0000-0000-0000F3040000}"/>
    <cellStyle name="Currency 15 13 2 2" xfId="1274" xr:uid="{00000000-0005-0000-0000-0000F4040000}"/>
    <cellStyle name="Currency 15 13 3" xfId="1275" xr:uid="{00000000-0005-0000-0000-0000F5040000}"/>
    <cellStyle name="Currency 15 14" xfId="1276" xr:uid="{00000000-0005-0000-0000-0000F6040000}"/>
    <cellStyle name="Currency 15 14 2" xfId="1277" xr:uid="{00000000-0005-0000-0000-0000F7040000}"/>
    <cellStyle name="Currency 15 14 2 2" xfId="1278" xr:uid="{00000000-0005-0000-0000-0000F8040000}"/>
    <cellStyle name="Currency 15 14 3" xfId="1279" xr:uid="{00000000-0005-0000-0000-0000F9040000}"/>
    <cellStyle name="Currency 15 15" xfId="1280" xr:uid="{00000000-0005-0000-0000-0000FA040000}"/>
    <cellStyle name="Currency 15 15 2" xfId="1281" xr:uid="{00000000-0005-0000-0000-0000FB040000}"/>
    <cellStyle name="Currency 15 15 2 2" xfId="1282" xr:uid="{00000000-0005-0000-0000-0000FC040000}"/>
    <cellStyle name="Currency 15 15 3" xfId="1283" xr:uid="{00000000-0005-0000-0000-0000FD040000}"/>
    <cellStyle name="Currency 15 16" xfId="1284" xr:uid="{00000000-0005-0000-0000-0000FE040000}"/>
    <cellStyle name="Currency 15 16 2" xfId="1285" xr:uid="{00000000-0005-0000-0000-0000FF040000}"/>
    <cellStyle name="Currency 15 17" xfId="1286" xr:uid="{00000000-0005-0000-0000-000000050000}"/>
    <cellStyle name="Currency 15 17 2" xfId="1287" xr:uid="{00000000-0005-0000-0000-000001050000}"/>
    <cellStyle name="Currency 15 18" xfId="1288" xr:uid="{00000000-0005-0000-0000-000002050000}"/>
    <cellStyle name="Currency 15 2" xfId="1289" xr:uid="{00000000-0005-0000-0000-000003050000}"/>
    <cellStyle name="Currency 15 2 2" xfId="1290" xr:uid="{00000000-0005-0000-0000-000004050000}"/>
    <cellStyle name="Currency 15 2 2 2" xfId="1291" xr:uid="{00000000-0005-0000-0000-000005050000}"/>
    <cellStyle name="Currency 15 2 3" xfId="1292" xr:uid="{00000000-0005-0000-0000-000006050000}"/>
    <cellStyle name="Currency 15 3" xfId="1293" xr:uid="{00000000-0005-0000-0000-000007050000}"/>
    <cellStyle name="Currency 15 3 2" xfId="1294" xr:uid="{00000000-0005-0000-0000-000008050000}"/>
    <cellStyle name="Currency 15 3 2 2" xfId="1295" xr:uid="{00000000-0005-0000-0000-000009050000}"/>
    <cellStyle name="Currency 15 3 3" xfId="1296" xr:uid="{00000000-0005-0000-0000-00000A050000}"/>
    <cellStyle name="Currency 15 4" xfId="1297" xr:uid="{00000000-0005-0000-0000-00000B050000}"/>
    <cellStyle name="Currency 15 4 2" xfId="1298" xr:uid="{00000000-0005-0000-0000-00000C050000}"/>
    <cellStyle name="Currency 15 4 2 2" xfId="1299" xr:uid="{00000000-0005-0000-0000-00000D050000}"/>
    <cellStyle name="Currency 15 4 3" xfId="1300" xr:uid="{00000000-0005-0000-0000-00000E050000}"/>
    <cellStyle name="Currency 15 5" xfId="1301" xr:uid="{00000000-0005-0000-0000-00000F050000}"/>
    <cellStyle name="Currency 15 5 2" xfId="1302" xr:uid="{00000000-0005-0000-0000-000010050000}"/>
    <cellStyle name="Currency 15 5 2 2" xfId="1303" xr:uid="{00000000-0005-0000-0000-000011050000}"/>
    <cellStyle name="Currency 15 5 3" xfId="1304" xr:uid="{00000000-0005-0000-0000-000012050000}"/>
    <cellStyle name="Currency 15 6" xfId="1305" xr:uid="{00000000-0005-0000-0000-000013050000}"/>
    <cellStyle name="Currency 15 6 2" xfId="1306" xr:uid="{00000000-0005-0000-0000-000014050000}"/>
    <cellStyle name="Currency 15 6 2 2" xfId="1307" xr:uid="{00000000-0005-0000-0000-000015050000}"/>
    <cellStyle name="Currency 15 6 3" xfId="1308" xr:uid="{00000000-0005-0000-0000-000016050000}"/>
    <cellStyle name="Currency 15 7" xfId="1309" xr:uid="{00000000-0005-0000-0000-000017050000}"/>
    <cellStyle name="Currency 15 7 2" xfId="1310" xr:uid="{00000000-0005-0000-0000-000018050000}"/>
    <cellStyle name="Currency 15 7 2 2" xfId="1311" xr:uid="{00000000-0005-0000-0000-000019050000}"/>
    <cellStyle name="Currency 15 7 3" xfId="1312" xr:uid="{00000000-0005-0000-0000-00001A050000}"/>
    <cellStyle name="Currency 15 8" xfId="1313" xr:uid="{00000000-0005-0000-0000-00001B050000}"/>
    <cellStyle name="Currency 15 8 2" xfId="1314" xr:uid="{00000000-0005-0000-0000-00001C050000}"/>
    <cellStyle name="Currency 15 8 2 2" xfId="1315" xr:uid="{00000000-0005-0000-0000-00001D050000}"/>
    <cellStyle name="Currency 15 8 3" xfId="1316" xr:uid="{00000000-0005-0000-0000-00001E050000}"/>
    <cellStyle name="Currency 15 9" xfId="1317" xr:uid="{00000000-0005-0000-0000-00001F050000}"/>
    <cellStyle name="Currency 15 9 2" xfId="1318" xr:uid="{00000000-0005-0000-0000-000020050000}"/>
    <cellStyle name="Currency 15 9 2 2" xfId="1319" xr:uid="{00000000-0005-0000-0000-000021050000}"/>
    <cellStyle name="Currency 15 9 3" xfId="1320" xr:uid="{00000000-0005-0000-0000-000022050000}"/>
    <cellStyle name="Currency 2" xfId="86" xr:uid="{00000000-0005-0000-0000-000023050000}"/>
    <cellStyle name="Currency 2 2" xfId="1321" xr:uid="{00000000-0005-0000-0000-000024050000}"/>
    <cellStyle name="Currency 2 2 2" xfId="1322" xr:uid="{00000000-0005-0000-0000-000025050000}"/>
    <cellStyle name="Currency 2 2 2 2" xfId="1323" xr:uid="{00000000-0005-0000-0000-000026050000}"/>
    <cellStyle name="Currency 2 2 3" xfId="1324" xr:uid="{00000000-0005-0000-0000-000027050000}"/>
    <cellStyle name="Currency 2 3" xfId="1325" xr:uid="{00000000-0005-0000-0000-000028050000}"/>
    <cellStyle name="Currency 2 3 2" xfId="1326" xr:uid="{00000000-0005-0000-0000-000029050000}"/>
    <cellStyle name="Currency 2 3 2 2" xfId="1327" xr:uid="{00000000-0005-0000-0000-00002A050000}"/>
    <cellStyle name="Currency 2 3 3" xfId="1328" xr:uid="{00000000-0005-0000-0000-00002B050000}"/>
    <cellStyle name="Currency 2 3 3 2" xfId="1329" xr:uid="{00000000-0005-0000-0000-00002C050000}"/>
    <cellStyle name="Currency 2 3 4" xfId="1330" xr:uid="{00000000-0005-0000-0000-00002D050000}"/>
    <cellStyle name="Currency 2 4" xfId="1331" xr:uid="{00000000-0005-0000-0000-00002E050000}"/>
    <cellStyle name="Currency 3" xfId="1332" xr:uid="{00000000-0005-0000-0000-00002F050000}"/>
    <cellStyle name="Currency 3 2" xfId="1333" xr:uid="{00000000-0005-0000-0000-000030050000}"/>
    <cellStyle name="Currency 3 3" xfId="1334" xr:uid="{00000000-0005-0000-0000-000031050000}"/>
    <cellStyle name="Currency 34" xfId="1335" xr:uid="{00000000-0005-0000-0000-000032050000}"/>
    <cellStyle name="Currency 34 10" xfId="1336" xr:uid="{00000000-0005-0000-0000-000033050000}"/>
    <cellStyle name="Currency 34 10 2" xfId="1337" xr:uid="{00000000-0005-0000-0000-000034050000}"/>
    <cellStyle name="Currency 34 10 2 2" xfId="1338" xr:uid="{00000000-0005-0000-0000-000035050000}"/>
    <cellStyle name="Currency 34 10 3" xfId="1339" xr:uid="{00000000-0005-0000-0000-000036050000}"/>
    <cellStyle name="Currency 34 11" xfId="1340" xr:uid="{00000000-0005-0000-0000-000037050000}"/>
    <cellStyle name="Currency 34 11 2" xfId="1341" xr:uid="{00000000-0005-0000-0000-000038050000}"/>
    <cellStyle name="Currency 34 11 2 2" xfId="1342" xr:uid="{00000000-0005-0000-0000-000039050000}"/>
    <cellStyle name="Currency 34 11 3" xfId="1343" xr:uid="{00000000-0005-0000-0000-00003A050000}"/>
    <cellStyle name="Currency 34 12" xfId="1344" xr:uid="{00000000-0005-0000-0000-00003B050000}"/>
    <cellStyle name="Currency 34 12 2" xfId="1345" xr:uid="{00000000-0005-0000-0000-00003C050000}"/>
    <cellStyle name="Currency 34 12 2 2" xfId="1346" xr:uid="{00000000-0005-0000-0000-00003D050000}"/>
    <cellStyle name="Currency 34 12 3" xfId="1347" xr:uid="{00000000-0005-0000-0000-00003E050000}"/>
    <cellStyle name="Currency 34 13" xfId="1348" xr:uid="{00000000-0005-0000-0000-00003F050000}"/>
    <cellStyle name="Currency 34 13 2" xfId="1349" xr:uid="{00000000-0005-0000-0000-000040050000}"/>
    <cellStyle name="Currency 34 13 2 2" xfId="1350" xr:uid="{00000000-0005-0000-0000-000041050000}"/>
    <cellStyle name="Currency 34 13 3" xfId="1351" xr:uid="{00000000-0005-0000-0000-000042050000}"/>
    <cellStyle name="Currency 34 14" xfId="1352" xr:uid="{00000000-0005-0000-0000-000043050000}"/>
    <cellStyle name="Currency 34 14 2" xfId="1353" xr:uid="{00000000-0005-0000-0000-000044050000}"/>
    <cellStyle name="Currency 34 14 2 2" xfId="1354" xr:uid="{00000000-0005-0000-0000-000045050000}"/>
    <cellStyle name="Currency 34 14 3" xfId="1355" xr:uid="{00000000-0005-0000-0000-000046050000}"/>
    <cellStyle name="Currency 34 15" xfId="1356" xr:uid="{00000000-0005-0000-0000-000047050000}"/>
    <cellStyle name="Currency 34 15 2" xfId="1357" xr:uid="{00000000-0005-0000-0000-000048050000}"/>
    <cellStyle name="Currency 34 15 2 2" xfId="1358" xr:uid="{00000000-0005-0000-0000-000049050000}"/>
    <cellStyle name="Currency 34 15 3" xfId="1359" xr:uid="{00000000-0005-0000-0000-00004A050000}"/>
    <cellStyle name="Currency 34 16" xfId="1360" xr:uid="{00000000-0005-0000-0000-00004B050000}"/>
    <cellStyle name="Currency 34 16 2" xfId="1361" xr:uid="{00000000-0005-0000-0000-00004C050000}"/>
    <cellStyle name="Currency 34 17" xfId="1362" xr:uid="{00000000-0005-0000-0000-00004D050000}"/>
    <cellStyle name="Currency 34 17 2" xfId="1363" xr:uid="{00000000-0005-0000-0000-00004E050000}"/>
    <cellStyle name="Currency 34 18" xfId="1364" xr:uid="{00000000-0005-0000-0000-00004F050000}"/>
    <cellStyle name="Currency 34 2" xfId="1365" xr:uid="{00000000-0005-0000-0000-000050050000}"/>
    <cellStyle name="Currency 34 2 2" xfId="1366" xr:uid="{00000000-0005-0000-0000-000051050000}"/>
    <cellStyle name="Currency 34 2 2 2" xfId="1367" xr:uid="{00000000-0005-0000-0000-000052050000}"/>
    <cellStyle name="Currency 34 2 3" xfId="1368" xr:uid="{00000000-0005-0000-0000-000053050000}"/>
    <cellStyle name="Currency 34 3" xfId="1369" xr:uid="{00000000-0005-0000-0000-000054050000}"/>
    <cellStyle name="Currency 34 3 2" xfId="1370" xr:uid="{00000000-0005-0000-0000-000055050000}"/>
    <cellStyle name="Currency 34 3 2 2" xfId="1371" xr:uid="{00000000-0005-0000-0000-000056050000}"/>
    <cellStyle name="Currency 34 3 3" xfId="1372" xr:uid="{00000000-0005-0000-0000-000057050000}"/>
    <cellStyle name="Currency 34 4" xfId="1373" xr:uid="{00000000-0005-0000-0000-000058050000}"/>
    <cellStyle name="Currency 34 4 2" xfId="1374" xr:uid="{00000000-0005-0000-0000-000059050000}"/>
    <cellStyle name="Currency 34 4 2 2" xfId="1375" xr:uid="{00000000-0005-0000-0000-00005A050000}"/>
    <cellStyle name="Currency 34 4 3" xfId="1376" xr:uid="{00000000-0005-0000-0000-00005B050000}"/>
    <cellStyle name="Currency 34 5" xfId="1377" xr:uid="{00000000-0005-0000-0000-00005C050000}"/>
    <cellStyle name="Currency 34 5 2" xfId="1378" xr:uid="{00000000-0005-0000-0000-00005D050000}"/>
    <cellStyle name="Currency 34 5 2 2" xfId="1379" xr:uid="{00000000-0005-0000-0000-00005E050000}"/>
    <cellStyle name="Currency 34 5 3" xfId="1380" xr:uid="{00000000-0005-0000-0000-00005F050000}"/>
    <cellStyle name="Currency 34 6" xfId="1381" xr:uid="{00000000-0005-0000-0000-000060050000}"/>
    <cellStyle name="Currency 34 6 2" xfId="1382" xr:uid="{00000000-0005-0000-0000-000061050000}"/>
    <cellStyle name="Currency 34 6 2 2" xfId="1383" xr:uid="{00000000-0005-0000-0000-000062050000}"/>
    <cellStyle name="Currency 34 6 3" xfId="1384" xr:uid="{00000000-0005-0000-0000-000063050000}"/>
    <cellStyle name="Currency 34 7" xfId="1385" xr:uid="{00000000-0005-0000-0000-000064050000}"/>
    <cellStyle name="Currency 34 7 2" xfId="1386" xr:uid="{00000000-0005-0000-0000-000065050000}"/>
    <cellStyle name="Currency 34 7 2 2" xfId="1387" xr:uid="{00000000-0005-0000-0000-000066050000}"/>
    <cellStyle name="Currency 34 7 3" xfId="1388" xr:uid="{00000000-0005-0000-0000-000067050000}"/>
    <cellStyle name="Currency 34 8" xfId="1389" xr:uid="{00000000-0005-0000-0000-000068050000}"/>
    <cellStyle name="Currency 34 8 2" xfId="1390" xr:uid="{00000000-0005-0000-0000-000069050000}"/>
    <cellStyle name="Currency 34 8 2 2" xfId="1391" xr:uid="{00000000-0005-0000-0000-00006A050000}"/>
    <cellStyle name="Currency 34 8 3" xfId="1392" xr:uid="{00000000-0005-0000-0000-00006B050000}"/>
    <cellStyle name="Currency 34 9" xfId="1393" xr:uid="{00000000-0005-0000-0000-00006C050000}"/>
    <cellStyle name="Currency 34 9 2" xfId="1394" xr:uid="{00000000-0005-0000-0000-00006D050000}"/>
    <cellStyle name="Currency 34 9 2 2" xfId="1395" xr:uid="{00000000-0005-0000-0000-00006E050000}"/>
    <cellStyle name="Currency 34 9 3" xfId="1396" xr:uid="{00000000-0005-0000-0000-00006F050000}"/>
    <cellStyle name="Currency 4" xfId="1397" xr:uid="{00000000-0005-0000-0000-000070050000}"/>
    <cellStyle name="Currency 4 2" xfId="1398" xr:uid="{00000000-0005-0000-0000-000071050000}"/>
    <cellStyle name="Currency 49" xfId="1399" xr:uid="{00000000-0005-0000-0000-000072050000}"/>
    <cellStyle name="Currency 49 10" xfId="1400" xr:uid="{00000000-0005-0000-0000-000073050000}"/>
    <cellStyle name="Currency 49 10 2" xfId="1401" xr:uid="{00000000-0005-0000-0000-000074050000}"/>
    <cellStyle name="Currency 49 10 2 2" xfId="1402" xr:uid="{00000000-0005-0000-0000-000075050000}"/>
    <cellStyle name="Currency 49 10 3" xfId="1403" xr:uid="{00000000-0005-0000-0000-000076050000}"/>
    <cellStyle name="Currency 49 11" xfId="1404" xr:uid="{00000000-0005-0000-0000-000077050000}"/>
    <cellStyle name="Currency 49 11 2" xfId="1405" xr:uid="{00000000-0005-0000-0000-000078050000}"/>
    <cellStyle name="Currency 49 11 2 2" xfId="1406" xr:uid="{00000000-0005-0000-0000-000079050000}"/>
    <cellStyle name="Currency 49 11 3" xfId="1407" xr:uid="{00000000-0005-0000-0000-00007A050000}"/>
    <cellStyle name="Currency 49 12" xfId="1408" xr:uid="{00000000-0005-0000-0000-00007B050000}"/>
    <cellStyle name="Currency 49 12 2" xfId="1409" xr:uid="{00000000-0005-0000-0000-00007C050000}"/>
    <cellStyle name="Currency 49 12 2 2" xfId="1410" xr:uid="{00000000-0005-0000-0000-00007D050000}"/>
    <cellStyle name="Currency 49 12 3" xfId="1411" xr:uid="{00000000-0005-0000-0000-00007E050000}"/>
    <cellStyle name="Currency 49 13" xfId="1412" xr:uid="{00000000-0005-0000-0000-00007F050000}"/>
    <cellStyle name="Currency 49 13 2" xfId="1413" xr:uid="{00000000-0005-0000-0000-000080050000}"/>
    <cellStyle name="Currency 49 13 2 2" xfId="1414" xr:uid="{00000000-0005-0000-0000-000081050000}"/>
    <cellStyle name="Currency 49 13 3" xfId="1415" xr:uid="{00000000-0005-0000-0000-000082050000}"/>
    <cellStyle name="Currency 49 14" xfId="1416" xr:uid="{00000000-0005-0000-0000-000083050000}"/>
    <cellStyle name="Currency 49 14 2" xfId="1417" xr:uid="{00000000-0005-0000-0000-000084050000}"/>
    <cellStyle name="Currency 49 14 2 2" xfId="1418" xr:uid="{00000000-0005-0000-0000-000085050000}"/>
    <cellStyle name="Currency 49 14 3" xfId="1419" xr:uid="{00000000-0005-0000-0000-000086050000}"/>
    <cellStyle name="Currency 49 15" xfId="1420" xr:uid="{00000000-0005-0000-0000-000087050000}"/>
    <cellStyle name="Currency 49 15 2" xfId="1421" xr:uid="{00000000-0005-0000-0000-000088050000}"/>
    <cellStyle name="Currency 49 15 2 2" xfId="1422" xr:uid="{00000000-0005-0000-0000-000089050000}"/>
    <cellStyle name="Currency 49 15 3" xfId="1423" xr:uid="{00000000-0005-0000-0000-00008A050000}"/>
    <cellStyle name="Currency 49 16" xfId="1424" xr:uid="{00000000-0005-0000-0000-00008B050000}"/>
    <cellStyle name="Currency 49 16 2" xfId="1425" xr:uid="{00000000-0005-0000-0000-00008C050000}"/>
    <cellStyle name="Currency 49 17" xfId="1426" xr:uid="{00000000-0005-0000-0000-00008D050000}"/>
    <cellStyle name="Currency 49 17 2" xfId="1427" xr:uid="{00000000-0005-0000-0000-00008E050000}"/>
    <cellStyle name="Currency 49 18" xfId="1428" xr:uid="{00000000-0005-0000-0000-00008F050000}"/>
    <cellStyle name="Currency 49 2" xfId="1429" xr:uid="{00000000-0005-0000-0000-000090050000}"/>
    <cellStyle name="Currency 49 2 2" xfId="1430" xr:uid="{00000000-0005-0000-0000-000091050000}"/>
    <cellStyle name="Currency 49 2 2 2" xfId="1431" xr:uid="{00000000-0005-0000-0000-000092050000}"/>
    <cellStyle name="Currency 49 2 3" xfId="1432" xr:uid="{00000000-0005-0000-0000-000093050000}"/>
    <cellStyle name="Currency 49 3" xfId="1433" xr:uid="{00000000-0005-0000-0000-000094050000}"/>
    <cellStyle name="Currency 49 3 2" xfId="1434" xr:uid="{00000000-0005-0000-0000-000095050000}"/>
    <cellStyle name="Currency 49 3 2 2" xfId="1435" xr:uid="{00000000-0005-0000-0000-000096050000}"/>
    <cellStyle name="Currency 49 3 3" xfId="1436" xr:uid="{00000000-0005-0000-0000-000097050000}"/>
    <cellStyle name="Currency 49 4" xfId="1437" xr:uid="{00000000-0005-0000-0000-000098050000}"/>
    <cellStyle name="Currency 49 4 2" xfId="1438" xr:uid="{00000000-0005-0000-0000-000099050000}"/>
    <cellStyle name="Currency 49 4 2 2" xfId="1439" xr:uid="{00000000-0005-0000-0000-00009A050000}"/>
    <cellStyle name="Currency 49 4 3" xfId="1440" xr:uid="{00000000-0005-0000-0000-00009B050000}"/>
    <cellStyle name="Currency 49 5" xfId="1441" xr:uid="{00000000-0005-0000-0000-00009C050000}"/>
    <cellStyle name="Currency 49 5 2" xfId="1442" xr:uid="{00000000-0005-0000-0000-00009D050000}"/>
    <cellStyle name="Currency 49 5 2 2" xfId="1443" xr:uid="{00000000-0005-0000-0000-00009E050000}"/>
    <cellStyle name="Currency 49 5 3" xfId="1444" xr:uid="{00000000-0005-0000-0000-00009F050000}"/>
    <cellStyle name="Currency 49 6" xfId="1445" xr:uid="{00000000-0005-0000-0000-0000A0050000}"/>
    <cellStyle name="Currency 49 6 2" xfId="1446" xr:uid="{00000000-0005-0000-0000-0000A1050000}"/>
    <cellStyle name="Currency 49 6 2 2" xfId="1447" xr:uid="{00000000-0005-0000-0000-0000A2050000}"/>
    <cellStyle name="Currency 49 6 3" xfId="1448" xr:uid="{00000000-0005-0000-0000-0000A3050000}"/>
    <cellStyle name="Currency 49 7" xfId="1449" xr:uid="{00000000-0005-0000-0000-0000A4050000}"/>
    <cellStyle name="Currency 49 7 2" xfId="1450" xr:uid="{00000000-0005-0000-0000-0000A5050000}"/>
    <cellStyle name="Currency 49 7 2 2" xfId="1451" xr:uid="{00000000-0005-0000-0000-0000A6050000}"/>
    <cellStyle name="Currency 49 7 3" xfId="1452" xr:uid="{00000000-0005-0000-0000-0000A7050000}"/>
    <cellStyle name="Currency 49 8" xfId="1453" xr:uid="{00000000-0005-0000-0000-0000A8050000}"/>
    <cellStyle name="Currency 49 8 2" xfId="1454" xr:uid="{00000000-0005-0000-0000-0000A9050000}"/>
    <cellStyle name="Currency 49 8 2 2" xfId="1455" xr:uid="{00000000-0005-0000-0000-0000AA050000}"/>
    <cellStyle name="Currency 49 8 3" xfId="1456" xr:uid="{00000000-0005-0000-0000-0000AB050000}"/>
    <cellStyle name="Currency 49 9" xfId="1457" xr:uid="{00000000-0005-0000-0000-0000AC050000}"/>
    <cellStyle name="Currency 49 9 2" xfId="1458" xr:uid="{00000000-0005-0000-0000-0000AD050000}"/>
    <cellStyle name="Currency 49 9 2 2" xfId="1459" xr:uid="{00000000-0005-0000-0000-0000AE050000}"/>
    <cellStyle name="Currency 49 9 3" xfId="1460" xr:uid="{00000000-0005-0000-0000-0000AF050000}"/>
    <cellStyle name="Currency 5" xfId="1461" xr:uid="{00000000-0005-0000-0000-0000B0050000}"/>
    <cellStyle name="Currency 5 2" xfId="1462" xr:uid="{00000000-0005-0000-0000-0000B1050000}"/>
    <cellStyle name="Currency 5 3" xfId="1463" xr:uid="{00000000-0005-0000-0000-0000B2050000}"/>
    <cellStyle name="Currency 59 10" xfId="1464" xr:uid="{00000000-0005-0000-0000-0000B3050000}"/>
    <cellStyle name="Currency 59 10 2" xfId="1465" xr:uid="{00000000-0005-0000-0000-0000B4050000}"/>
    <cellStyle name="Currency 59 10 2 2" xfId="1466" xr:uid="{00000000-0005-0000-0000-0000B5050000}"/>
    <cellStyle name="Currency 59 10 3" xfId="1467" xr:uid="{00000000-0005-0000-0000-0000B6050000}"/>
    <cellStyle name="Currency 59 11" xfId="1468" xr:uid="{00000000-0005-0000-0000-0000B7050000}"/>
    <cellStyle name="Currency 59 11 2" xfId="1469" xr:uid="{00000000-0005-0000-0000-0000B8050000}"/>
    <cellStyle name="Currency 59 11 2 2" xfId="1470" xr:uid="{00000000-0005-0000-0000-0000B9050000}"/>
    <cellStyle name="Currency 59 11 3" xfId="1471" xr:uid="{00000000-0005-0000-0000-0000BA050000}"/>
    <cellStyle name="Currency 59 12" xfId="1472" xr:uid="{00000000-0005-0000-0000-0000BB050000}"/>
    <cellStyle name="Currency 59 12 2" xfId="1473" xr:uid="{00000000-0005-0000-0000-0000BC050000}"/>
    <cellStyle name="Currency 59 12 2 2" xfId="1474" xr:uid="{00000000-0005-0000-0000-0000BD050000}"/>
    <cellStyle name="Currency 59 12 3" xfId="1475" xr:uid="{00000000-0005-0000-0000-0000BE050000}"/>
    <cellStyle name="Currency 59 13" xfId="1476" xr:uid="{00000000-0005-0000-0000-0000BF050000}"/>
    <cellStyle name="Currency 59 13 2" xfId="1477" xr:uid="{00000000-0005-0000-0000-0000C0050000}"/>
    <cellStyle name="Currency 59 13 2 2" xfId="1478" xr:uid="{00000000-0005-0000-0000-0000C1050000}"/>
    <cellStyle name="Currency 59 13 3" xfId="1479" xr:uid="{00000000-0005-0000-0000-0000C2050000}"/>
    <cellStyle name="Currency 59 14" xfId="1480" xr:uid="{00000000-0005-0000-0000-0000C3050000}"/>
    <cellStyle name="Currency 59 14 10" xfId="1481" xr:uid="{00000000-0005-0000-0000-0000C4050000}"/>
    <cellStyle name="Currency 59 14 10 2" xfId="1482" xr:uid="{00000000-0005-0000-0000-0000C5050000}"/>
    <cellStyle name="Currency 59 14 11" xfId="1483" xr:uid="{00000000-0005-0000-0000-0000C6050000}"/>
    <cellStyle name="Currency 59 14 11 2" xfId="1484" xr:uid="{00000000-0005-0000-0000-0000C7050000}"/>
    <cellStyle name="Currency 59 14 12" xfId="1485" xr:uid="{00000000-0005-0000-0000-0000C8050000}"/>
    <cellStyle name="Currency 59 14 12 2" xfId="1486" xr:uid="{00000000-0005-0000-0000-0000C9050000}"/>
    <cellStyle name="Currency 59 14 13" xfId="1487" xr:uid="{00000000-0005-0000-0000-0000CA050000}"/>
    <cellStyle name="Currency 59 14 13 2" xfId="1488" xr:uid="{00000000-0005-0000-0000-0000CB050000}"/>
    <cellStyle name="Currency 59 14 14" xfId="1489" xr:uid="{00000000-0005-0000-0000-0000CC050000}"/>
    <cellStyle name="Currency 59 14 14 2" xfId="1490" xr:uid="{00000000-0005-0000-0000-0000CD050000}"/>
    <cellStyle name="Currency 59 14 15" xfId="1491" xr:uid="{00000000-0005-0000-0000-0000CE050000}"/>
    <cellStyle name="Currency 59 14 15 2" xfId="1492" xr:uid="{00000000-0005-0000-0000-0000CF050000}"/>
    <cellStyle name="Currency 59 14 16" xfId="1493" xr:uid="{00000000-0005-0000-0000-0000D0050000}"/>
    <cellStyle name="Currency 59 14 16 2" xfId="1494" xr:uid="{00000000-0005-0000-0000-0000D1050000}"/>
    <cellStyle name="Currency 59 14 17" xfId="1495" xr:uid="{00000000-0005-0000-0000-0000D2050000}"/>
    <cellStyle name="Currency 59 14 17 2" xfId="1496" xr:uid="{00000000-0005-0000-0000-0000D3050000}"/>
    <cellStyle name="Currency 59 14 18" xfId="1497" xr:uid="{00000000-0005-0000-0000-0000D4050000}"/>
    <cellStyle name="Currency 59 14 2" xfId="1498" xr:uid="{00000000-0005-0000-0000-0000D5050000}"/>
    <cellStyle name="Currency 59 14 2 2" xfId="1499" xr:uid="{00000000-0005-0000-0000-0000D6050000}"/>
    <cellStyle name="Currency 59 14 3" xfId="1500" xr:uid="{00000000-0005-0000-0000-0000D7050000}"/>
    <cellStyle name="Currency 59 14 3 2" xfId="1501" xr:uid="{00000000-0005-0000-0000-0000D8050000}"/>
    <cellStyle name="Currency 59 14 4" xfId="1502" xr:uid="{00000000-0005-0000-0000-0000D9050000}"/>
    <cellStyle name="Currency 59 14 4 2" xfId="1503" xr:uid="{00000000-0005-0000-0000-0000DA050000}"/>
    <cellStyle name="Currency 59 14 5" xfId="1504" xr:uid="{00000000-0005-0000-0000-0000DB050000}"/>
    <cellStyle name="Currency 59 14 5 2" xfId="1505" xr:uid="{00000000-0005-0000-0000-0000DC050000}"/>
    <cellStyle name="Currency 59 14 6" xfId="1506" xr:uid="{00000000-0005-0000-0000-0000DD050000}"/>
    <cellStyle name="Currency 59 14 6 2" xfId="1507" xr:uid="{00000000-0005-0000-0000-0000DE050000}"/>
    <cellStyle name="Currency 59 14 7" xfId="1508" xr:uid="{00000000-0005-0000-0000-0000DF050000}"/>
    <cellStyle name="Currency 59 14 7 2" xfId="1509" xr:uid="{00000000-0005-0000-0000-0000E0050000}"/>
    <cellStyle name="Currency 59 14 8" xfId="1510" xr:uid="{00000000-0005-0000-0000-0000E1050000}"/>
    <cellStyle name="Currency 59 14 8 2" xfId="1511" xr:uid="{00000000-0005-0000-0000-0000E2050000}"/>
    <cellStyle name="Currency 59 14 9" xfId="1512" xr:uid="{00000000-0005-0000-0000-0000E3050000}"/>
    <cellStyle name="Currency 59 14 9 2" xfId="1513" xr:uid="{00000000-0005-0000-0000-0000E4050000}"/>
    <cellStyle name="Currency 59 15" xfId="1514" xr:uid="{00000000-0005-0000-0000-0000E5050000}"/>
    <cellStyle name="Currency 59 15 2" xfId="1515" xr:uid="{00000000-0005-0000-0000-0000E6050000}"/>
    <cellStyle name="Currency 59 15 2 2" xfId="1516" xr:uid="{00000000-0005-0000-0000-0000E7050000}"/>
    <cellStyle name="Currency 59 15 3" xfId="1517" xr:uid="{00000000-0005-0000-0000-0000E8050000}"/>
    <cellStyle name="Currency 59 2" xfId="1518" xr:uid="{00000000-0005-0000-0000-0000E9050000}"/>
    <cellStyle name="Currency 59 2 2" xfId="1519" xr:uid="{00000000-0005-0000-0000-0000EA050000}"/>
    <cellStyle name="Currency 59 2 2 2" xfId="1520" xr:uid="{00000000-0005-0000-0000-0000EB050000}"/>
    <cellStyle name="Currency 59 2 3" xfId="1521" xr:uid="{00000000-0005-0000-0000-0000EC050000}"/>
    <cellStyle name="Currency 59 3" xfId="1522" xr:uid="{00000000-0005-0000-0000-0000ED050000}"/>
    <cellStyle name="Currency 59 3 2" xfId="1523" xr:uid="{00000000-0005-0000-0000-0000EE050000}"/>
    <cellStyle name="Currency 59 3 2 2" xfId="1524" xr:uid="{00000000-0005-0000-0000-0000EF050000}"/>
    <cellStyle name="Currency 59 3 3" xfId="1525" xr:uid="{00000000-0005-0000-0000-0000F0050000}"/>
    <cellStyle name="Currency 59 4" xfId="1526" xr:uid="{00000000-0005-0000-0000-0000F1050000}"/>
    <cellStyle name="Currency 59 4 2" xfId="1527" xr:uid="{00000000-0005-0000-0000-0000F2050000}"/>
    <cellStyle name="Currency 59 4 2 2" xfId="1528" xr:uid="{00000000-0005-0000-0000-0000F3050000}"/>
    <cellStyle name="Currency 59 4 3" xfId="1529" xr:uid="{00000000-0005-0000-0000-0000F4050000}"/>
    <cellStyle name="Currency 59 5" xfId="1530" xr:uid="{00000000-0005-0000-0000-0000F5050000}"/>
    <cellStyle name="Currency 59 5 2" xfId="1531" xr:uid="{00000000-0005-0000-0000-0000F6050000}"/>
    <cellStyle name="Currency 59 5 2 2" xfId="1532" xr:uid="{00000000-0005-0000-0000-0000F7050000}"/>
    <cellStyle name="Currency 59 5 3" xfId="1533" xr:uid="{00000000-0005-0000-0000-0000F8050000}"/>
    <cellStyle name="Currency 59 6" xfId="1534" xr:uid="{00000000-0005-0000-0000-0000F9050000}"/>
    <cellStyle name="Currency 59 6 2" xfId="1535" xr:uid="{00000000-0005-0000-0000-0000FA050000}"/>
    <cellStyle name="Currency 59 6 2 2" xfId="1536" xr:uid="{00000000-0005-0000-0000-0000FB050000}"/>
    <cellStyle name="Currency 59 6 3" xfId="1537" xr:uid="{00000000-0005-0000-0000-0000FC050000}"/>
    <cellStyle name="Currency 59 7" xfId="1538" xr:uid="{00000000-0005-0000-0000-0000FD050000}"/>
    <cellStyle name="Currency 59 7 2" xfId="1539" xr:uid="{00000000-0005-0000-0000-0000FE050000}"/>
    <cellStyle name="Currency 59 7 2 2" xfId="1540" xr:uid="{00000000-0005-0000-0000-0000FF050000}"/>
    <cellStyle name="Currency 59 7 3" xfId="1541" xr:uid="{00000000-0005-0000-0000-000000060000}"/>
    <cellStyle name="Currency 59 8" xfId="1542" xr:uid="{00000000-0005-0000-0000-000001060000}"/>
    <cellStyle name="Currency 59 8 2" xfId="1543" xr:uid="{00000000-0005-0000-0000-000002060000}"/>
    <cellStyle name="Currency 59 8 2 2" xfId="1544" xr:uid="{00000000-0005-0000-0000-000003060000}"/>
    <cellStyle name="Currency 59 8 3" xfId="1545" xr:uid="{00000000-0005-0000-0000-000004060000}"/>
    <cellStyle name="Currency 59 9" xfId="1546" xr:uid="{00000000-0005-0000-0000-000005060000}"/>
    <cellStyle name="Currency 59 9 2" xfId="1547" xr:uid="{00000000-0005-0000-0000-000006060000}"/>
    <cellStyle name="Currency 59 9 2 2" xfId="1548" xr:uid="{00000000-0005-0000-0000-000007060000}"/>
    <cellStyle name="Currency 59 9 3" xfId="1549" xr:uid="{00000000-0005-0000-0000-000008060000}"/>
    <cellStyle name="Currency 6" xfId="1550" xr:uid="{00000000-0005-0000-0000-000009060000}"/>
    <cellStyle name="Currency 60" xfId="1551" xr:uid="{00000000-0005-0000-0000-00000A060000}"/>
    <cellStyle name="Currency 60 10" xfId="1552" xr:uid="{00000000-0005-0000-0000-00000B060000}"/>
    <cellStyle name="Currency 60 10 2" xfId="1553" xr:uid="{00000000-0005-0000-0000-00000C060000}"/>
    <cellStyle name="Currency 60 10 2 2" xfId="1554" xr:uid="{00000000-0005-0000-0000-00000D060000}"/>
    <cellStyle name="Currency 60 10 3" xfId="1555" xr:uid="{00000000-0005-0000-0000-00000E060000}"/>
    <cellStyle name="Currency 60 11" xfId="1556" xr:uid="{00000000-0005-0000-0000-00000F060000}"/>
    <cellStyle name="Currency 60 11 2" xfId="1557" xr:uid="{00000000-0005-0000-0000-000010060000}"/>
    <cellStyle name="Currency 60 11 2 2" xfId="1558" xr:uid="{00000000-0005-0000-0000-000011060000}"/>
    <cellStyle name="Currency 60 11 3" xfId="1559" xr:uid="{00000000-0005-0000-0000-000012060000}"/>
    <cellStyle name="Currency 60 12" xfId="1560" xr:uid="{00000000-0005-0000-0000-000013060000}"/>
    <cellStyle name="Currency 60 12 2" xfId="1561" xr:uid="{00000000-0005-0000-0000-000014060000}"/>
    <cellStyle name="Currency 60 12 2 2" xfId="1562" xr:uid="{00000000-0005-0000-0000-000015060000}"/>
    <cellStyle name="Currency 60 12 3" xfId="1563" xr:uid="{00000000-0005-0000-0000-000016060000}"/>
    <cellStyle name="Currency 60 13" xfId="1564" xr:uid="{00000000-0005-0000-0000-000017060000}"/>
    <cellStyle name="Currency 60 13 2" xfId="1565" xr:uid="{00000000-0005-0000-0000-000018060000}"/>
    <cellStyle name="Currency 60 13 2 2" xfId="1566" xr:uid="{00000000-0005-0000-0000-000019060000}"/>
    <cellStyle name="Currency 60 13 3" xfId="1567" xr:uid="{00000000-0005-0000-0000-00001A060000}"/>
    <cellStyle name="Currency 60 14" xfId="1568" xr:uid="{00000000-0005-0000-0000-00001B060000}"/>
    <cellStyle name="Currency 60 14 2" xfId="1569" xr:uid="{00000000-0005-0000-0000-00001C060000}"/>
    <cellStyle name="Currency 60 14 2 2" xfId="1570" xr:uid="{00000000-0005-0000-0000-00001D060000}"/>
    <cellStyle name="Currency 60 14 3" xfId="1571" xr:uid="{00000000-0005-0000-0000-00001E060000}"/>
    <cellStyle name="Currency 60 15" xfId="1572" xr:uid="{00000000-0005-0000-0000-00001F060000}"/>
    <cellStyle name="Currency 60 15 2" xfId="1573" xr:uid="{00000000-0005-0000-0000-000020060000}"/>
    <cellStyle name="Currency 60 15 2 2" xfId="1574" xr:uid="{00000000-0005-0000-0000-000021060000}"/>
    <cellStyle name="Currency 60 15 3" xfId="1575" xr:uid="{00000000-0005-0000-0000-000022060000}"/>
    <cellStyle name="Currency 60 16" xfId="1576" xr:uid="{00000000-0005-0000-0000-000023060000}"/>
    <cellStyle name="Currency 60 16 2" xfId="1577" xr:uid="{00000000-0005-0000-0000-000024060000}"/>
    <cellStyle name="Currency 60 17" xfId="1578" xr:uid="{00000000-0005-0000-0000-000025060000}"/>
    <cellStyle name="Currency 60 17 2" xfId="1579" xr:uid="{00000000-0005-0000-0000-000026060000}"/>
    <cellStyle name="Currency 60 18" xfId="1580" xr:uid="{00000000-0005-0000-0000-000027060000}"/>
    <cellStyle name="Currency 60 18 2" xfId="1581" xr:uid="{00000000-0005-0000-0000-000028060000}"/>
    <cellStyle name="Currency 60 19" xfId="1582" xr:uid="{00000000-0005-0000-0000-000029060000}"/>
    <cellStyle name="Currency 60 19 2" xfId="1583" xr:uid="{00000000-0005-0000-0000-00002A060000}"/>
    <cellStyle name="Currency 60 2" xfId="1584" xr:uid="{00000000-0005-0000-0000-00002B060000}"/>
    <cellStyle name="Currency 60 2 2" xfId="1585" xr:uid="{00000000-0005-0000-0000-00002C060000}"/>
    <cellStyle name="Currency 60 2 2 2" xfId="1586" xr:uid="{00000000-0005-0000-0000-00002D060000}"/>
    <cellStyle name="Currency 60 2 3" xfId="1587" xr:uid="{00000000-0005-0000-0000-00002E060000}"/>
    <cellStyle name="Currency 60 20" xfId="1588" xr:uid="{00000000-0005-0000-0000-00002F060000}"/>
    <cellStyle name="Currency 60 20 2" xfId="1589" xr:uid="{00000000-0005-0000-0000-000030060000}"/>
    <cellStyle name="Currency 60 21" xfId="1590" xr:uid="{00000000-0005-0000-0000-000031060000}"/>
    <cellStyle name="Currency 60 21 2" xfId="1591" xr:uid="{00000000-0005-0000-0000-000032060000}"/>
    <cellStyle name="Currency 60 22" xfId="1592" xr:uid="{00000000-0005-0000-0000-000033060000}"/>
    <cellStyle name="Currency 60 22 2" xfId="1593" xr:uid="{00000000-0005-0000-0000-000034060000}"/>
    <cellStyle name="Currency 60 23" xfId="1594" xr:uid="{00000000-0005-0000-0000-000035060000}"/>
    <cellStyle name="Currency 60 23 2" xfId="1595" xr:uid="{00000000-0005-0000-0000-000036060000}"/>
    <cellStyle name="Currency 60 24" xfId="1596" xr:uid="{00000000-0005-0000-0000-000037060000}"/>
    <cellStyle name="Currency 60 24 2" xfId="1597" xr:uid="{00000000-0005-0000-0000-000038060000}"/>
    <cellStyle name="Currency 60 25" xfId="1598" xr:uid="{00000000-0005-0000-0000-000039060000}"/>
    <cellStyle name="Currency 60 25 2" xfId="1599" xr:uid="{00000000-0005-0000-0000-00003A060000}"/>
    <cellStyle name="Currency 60 26" xfId="1600" xr:uid="{00000000-0005-0000-0000-00003B060000}"/>
    <cellStyle name="Currency 60 26 2" xfId="1601" xr:uid="{00000000-0005-0000-0000-00003C060000}"/>
    <cellStyle name="Currency 60 27" xfId="1602" xr:uid="{00000000-0005-0000-0000-00003D060000}"/>
    <cellStyle name="Currency 60 27 2" xfId="1603" xr:uid="{00000000-0005-0000-0000-00003E060000}"/>
    <cellStyle name="Currency 60 28" xfId="1604" xr:uid="{00000000-0005-0000-0000-00003F060000}"/>
    <cellStyle name="Currency 60 28 2" xfId="1605" xr:uid="{00000000-0005-0000-0000-000040060000}"/>
    <cellStyle name="Currency 60 29" xfId="1606" xr:uid="{00000000-0005-0000-0000-000041060000}"/>
    <cellStyle name="Currency 60 29 2" xfId="1607" xr:uid="{00000000-0005-0000-0000-000042060000}"/>
    <cellStyle name="Currency 60 3" xfId="1608" xr:uid="{00000000-0005-0000-0000-000043060000}"/>
    <cellStyle name="Currency 60 3 2" xfId="1609" xr:uid="{00000000-0005-0000-0000-000044060000}"/>
    <cellStyle name="Currency 60 3 2 2" xfId="1610" xr:uid="{00000000-0005-0000-0000-000045060000}"/>
    <cellStyle name="Currency 60 3 3" xfId="1611" xr:uid="{00000000-0005-0000-0000-000046060000}"/>
    <cellStyle name="Currency 60 30" xfId="1612" xr:uid="{00000000-0005-0000-0000-000047060000}"/>
    <cellStyle name="Currency 60 30 2" xfId="1613" xr:uid="{00000000-0005-0000-0000-000048060000}"/>
    <cellStyle name="Currency 60 31" xfId="1614" xr:uid="{00000000-0005-0000-0000-000049060000}"/>
    <cellStyle name="Currency 60 31 2" xfId="1615" xr:uid="{00000000-0005-0000-0000-00004A060000}"/>
    <cellStyle name="Currency 60 32" xfId="1616" xr:uid="{00000000-0005-0000-0000-00004B060000}"/>
    <cellStyle name="Currency 60 4" xfId="1617" xr:uid="{00000000-0005-0000-0000-00004C060000}"/>
    <cellStyle name="Currency 60 4 2" xfId="1618" xr:uid="{00000000-0005-0000-0000-00004D060000}"/>
    <cellStyle name="Currency 60 4 2 2" xfId="1619" xr:uid="{00000000-0005-0000-0000-00004E060000}"/>
    <cellStyle name="Currency 60 4 3" xfId="1620" xr:uid="{00000000-0005-0000-0000-00004F060000}"/>
    <cellStyle name="Currency 60 5" xfId="1621" xr:uid="{00000000-0005-0000-0000-000050060000}"/>
    <cellStyle name="Currency 60 5 2" xfId="1622" xr:uid="{00000000-0005-0000-0000-000051060000}"/>
    <cellStyle name="Currency 60 5 2 2" xfId="1623" xr:uid="{00000000-0005-0000-0000-000052060000}"/>
    <cellStyle name="Currency 60 5 3" xfId="1624" xr:uid="{00000000-0005-0000-0000-000053060000}"/>
    <cellStyle name="Currency 60 6" xfId="1625" xr:uid="{00000000-0005-0000-0000-000054060000}"/>
    <cellStyle name="Currency 60 6 2" xfId="1626" xr:uid="{00000000-0005-0000-0000-000055060000}"/>
    <cellStyle name="Currency 60 6 2 2" xfId="1627" xr:uid="{00000000-0005-0000-0000-000056060000}"/>
    <cellStyle name="Currency 60 6 3" xfId="1628" xr:uid="{00000000-0005-0000-0000-000057060000}"/>
    <cellStyle name="Currency 60 7" xfId="1629" xr:uid="{00000000-0005-0000-0000-000058060000}"/>
    <cellStyle name="Currency 60 7 2" xfId="1630" xr:uid="{00000000-0005-0000-0000-000059060000}"/>
    <cellStyle name="Currency 60 7 2 2" xfId="1631" xr:uid="{00000000-0005-0000-0000-00005A060000}"/>
    <cellStyle name="Currency 60 7 3" xfId="1632" xr:uid="{00000000-0005-0000-0000-00005B060000}"/>
    <cellStyle name="Currency 60 8" xfId="1633" xr:uid="{00000000-0005-0000-0000-00005C060000}"/>
    <cellStyle name="Currency 60 8 2" xfId="1634" xr:uid="{00000000-0005-0000-0000-00005D060000}"/>
    <cellStyle name="Currency 60 8 2 2" xfId="1635" xr:uid="{00000000-0005-0000-0000-00005E060000}"/>
    <cellStyle name="Currency 60 8 3" xfId="1636" xr:uid="{00000000-0005-0000-0000-00005F060000}"/>
    <cellStyle name="Currency 60 9" xfId="1637" xr:uid="{00000000-0005-0000-0000-000060060000}"/>
    <cellStyle name="Currency 60 9 2" xfId="1638" xr:uid="{00000000-0005-0000-0000-000061060000}"/>
    <cellStyle name="Currency 60 9 2 2" xfId="1639" xr:uid="{00000000-0005-0000-0000-000062060000}"/>
    <cellStyle name="Currency 60 9 3" xfId="1640" xr:uid="{00000000-0005-0000-0000-000063060000}"/>
    <cellStyle name="Currency 62 10" xfId="1641" xr:uid="{00000000-0005-0000-0000-000064060000}"/>
    <cellStyle name="Currency 62 10 2" xfId="1642" xr:uid="{00000000-0005-0000-0000-000065060000}"/>
    <cellStyle name="Currency 62 10 2 2" xfId="1643" xr:uid="{00000000-0005-0000-0000-000066060000}"/>
    <cellStyle name="Currency 62 10 3" xfId="1644" xr:uid="{00000000-0005-0000-0000-000067060000}"/>
    <cellStyle name="Currency 62 11" xfId="1645" xr:uid="{00000000-0005-0000-0000-000068060000}"/>
    <cellStyle name="Currency 62 11 2" xfId="1646" xr:uid="{00000000-0005-0000-0000-000069060000}"/>
    <cellStyle name="Currency 62 11 2 2" xfId="1647" xr:uid="{00000000-0005-0000-0000-00006A060000}"/>
    <cellStyle name="Currency 62 11 3" xfId="1648" xr:uid="{00000000-0005-0000-0000-00006B060000}"/>
    <cellStyle name="Currency 62 12" xfId="1649" xr:uid="{00000000-0005-0000-0000-00006C060000}"/>
    <cellStyle name="Currency 62 12 2" xfId="1650" xr:uid="{00000000-0005-0000-0000-00006D060000}"/>
    <cellStyle name="Currency 62 12 2 2" xfId="1651" xr:uid="{00000000-0005-0000-0000-00006E060000}"/>
    <cellStyle name="Currency 62 12 3" xfId="1652" xr:uid="{00000000-0005-0000-0000-00006F060000}"/>
    <cellStyle name="Currency 62 13" xfId="1653" xr:uid="{00000000-0005-0000-0000-000070060000}"/>
    <cellStyle name="Currency 62 13 2" xfId="1654" xr:uid="{00000000-0005-0000-0000-000071060000}"/>
    <cellStyle name="Currency 62 13 2 2" xfId="1655" xr:uid="{00000000-0005-0000-0000-000072060000}"/>
    <cellStyle name="Currency 62 13 3" xfId="1656" xr:uid="{00000000-0005-0000-0000-000073060000}"/>
    <cellStyle name="Currency 62 14" xfId="1657" xr:uid="{00000000-0005-0000-0000-000074060000}"/>
    <cellStyle name="Currency 62 14 2" xfId="1658" xr:uid="{00000000-0005-0000-0000-000075060000}"/>
    <cellStyle name="Currency 62 14 2 2" xfId="1659" xr:uid="{00000000-0005-0000-0000-000076060000}"/>
    <cellStyle name="Currency 62 14 3" xfId="1660" xr:uid="{00000000-0005-0000-0000-000077060000}"/>
    <cellStyle name="Currency 62 14 3 2" xfId="1661" xr:uid="{00000000-0005-0000-0000-000078060000}"/>
    <cellStyle name="Currency 62 14 4" xfId="1662" xr:uid="{00000000-0005-0000-0000-000079060000}"/>
    <cellStyle name="Currency 62 15" xfId="1663" xr:uid="{00000000-0005-0000-0000-00007A060000}"/>
    <cellStyle name="Currency 62 15 2" xfId="1664" xr:uid="{00000000-0005-0000-0000-00007B060000}"/>
    <cellStyle name="Currency 62 15 2 2" xfId="1665" xr:uid="{00000000-0005-0000-0000-00007C060000}"/>
    <cellStyle name="Currency 62 15 3" xfId="1666" xr:uid="{00000000-0005-0000-0000-00007D060000}"/>
    <cellStyle name="Currency 62 2" xfId="1667" xr:uid="{00000000-0005-0000-0000-00007E060000}"/>
    <cellStyle name="Currency 62 2 2" xfId="1668" xr:uid="{00000000-0005-0000-0000-00007F060000}"/>
    <cellStyle name="Currency 62 2 2 2" xfId="1669" xr:uid="{00000000-0005-0000-0000-000080060000}"/>
    <cellStyle name="Currency 62 2 3" xfId="1670" xr:uid="{00000000-0005-0000-0000-000081060000}"/>
    <cellStyle name="Currency 62 3" xfId="1671" xr:uid="{00000000-0005-0000-0000-000082060000}"/>
    <cellStyle name="Currency 62 3 2" xfId="1672" xr:uid="{00000000-0005-0000-0000-000083060000}"/>
    <cellStyle name="Currency 62 3 2 2" xfId="1673" xr:uid="{00000000-0005-0000-0000-000084060000}"/>
    <cellStyle name="Currency 62 3 3" xfId="1674" xr:uid="{00000000-0005-0000-0000-000085060000}"/>
    <cellStyle name="Currency 62 4" xfId="1675" xr:uid="{00000000-0005-0000-0000-000086060000}"/>
    <cellStyle name="Currency 62 4 2" xfId="1676" xr:uid="{00000000-0005-0000-0000-000087060000}"/>
    <cellStyle name="Currency 62 4 2 2" xfId="1677" xr:uid="{00000000-0005-0000-0000-000088060000}"/>
    <cellStyle name="Currency 62 4 3" xfId="1678" xr:uid="{00000000-0005-0000-0000-000089060000}"/>
    <cellStyle name="Currency 62 5" xfId="1679" xr:uid="{00000000-0005-0000-0000-00008A060000}"/>
    <cellStyle name="Currency 62 5 2" xfId="1680" xr:uid="{00000000-0005-0000-0000-00008B060000}"/>
    <cellStyle name="Currency 62 5 2 2" xfId="1681" xr:uid="{00000000-0005-0000-0000-00008C060000}"/>
    <cellStyle name="Currency 62 5 3" xfId="1682" xr:uid="{00000000-0005-0000-0000-00008D060000}"/>
    <cellStyle name="Currency 62 6" xfId="1683" xr:uid="{00000000-0005-0000-0000-00008E060000}"/>
    <cellStyle name="Currency 62 6 2" xfId="1684" xr:uid="{00000000-0005-0000-0000-00008F060000}"/>
    <cellStyle name="Currency 62 6 2 2" xfId="1685" xr:uid="{00000000-0005-0000-0000-000090060000}"/>
    <cellStyle name="Currency 62 6 3" xfId="1686" xr:uid="{00000000-0005-0000-0000-000091060000}"/>
    <cellStyle name="Currency 62 7" xfId="1687" xr:uid="{00000000-0005-0000-0000-000092060000}"/>
    <cellStyle name="Currency 62 7 2" xfId="1688" xr:uid="{00000000-0005-0000-0000-000093060000}"/>
    <cellStyle name="Currency 62 7 2 2" xfId="1689" xr:uid="{00000000-0005-0000-0000-000094060000}"/>
    <cellStyle name="Currency 62 7 3" xfId="1690" xr:uid="{00000000-0005-0000-0000-000095060000}"/>
    <cellStyle name="Currency 62 8" xfId="1691" xr:uid="{00000000-0005-0000-0000-000096060000}"/>
    <cellStyle name="Currency 62 8 2" xfId="1692" xr:uid="{00000000-0005-0000-0000-000097060000}"/>
    <cellStyle name="Currency 62 8 2 2" xfId="1693" xr:uid="{00000000-0005-0000-0000-000098060000}"/>
    <cellStyle name="Currency 62 8 3" xfId="1694" xr:uid="{00000000-0005-0000-0000-000099060000}"/>
    <cellStyle name="Currency 62 9" xfId="1695" xr:uid="{00000000-0005-0000-0000-00009A060000}"/>
    <cellStyle name="Currency 62 9 2" xfId="1696" xr:uid="{00000000-0005-0000-0000-00009B060000}"/>
    <cellStyle name="Currency 62 9 2 2" xfId="1697" xr:uid="{00000000-0005-0000-0000-00009C060000}"/>
    <cellStyle name="Currency 62 9 3" xfId="1698" xr:uid="{00000000-0005-0000-0000-00009D060000}"/>
    <cellStyle name="Currency 64 10" xfId="1699" xr:uid="{00000000-0005-0000-0000-00009E060000}"/>
    <cellStyle name="Currency 64 10 2" xfId="1700" xr:uid="{00000000-0005-0000-0000-00009F060000}"/>
    <cellStyle name="Currency 64 10 2 2" xfId="1701" xr:uid="{00000000-0005-0000-0000-0000A0060000}"/>
    <cellStyle name="Currency 64 10 3" xfId="1702" xr:uid="{00000000-0005-0000-0000-0000A1060000}"/>
    <cellStyle name="Currency 64 11" xfId="1703" xr:uid="{00000000-0005-0000-0000-0000A2060000}"/>
    <cellStyle name="Currency 64 11 2" xfId="1704" xr:uid="{00000000-0005-0000-0000-0000A3060000}"/>
    <cellStyle name="Currency 64 11 2 2" xfId="1705" xr:uid="{00000000-0005-0000-0000-0000A4060000}"/>
    <cellStyle name="Currency 64 11 3" xfId="1706" xr:uid="{00000000-0005-0000-0000-0000A5060000}"/>
    <cellStyle name="Currency 64 12" xfId="1707" xr:uid="{00000000-0005-0000-0000-0000A6060000}"/>
    <cellStyle name="Currency 64 12 2" xfId="1708" xr:uid="{00000000-0005-0000-0000-0000A7060000}"/>
    <cellStyle name="Currency 64 12 2 2" xfId="1709" xr:uid="{00000000-0005-0000-0000-0000A8060000}"/>
    <cellStyle name="Currency 64 12 3" xfId="1710" xr:uid="{00000000-0005-0000-0000-0000A9060000}"/>
    <cellStyle name="Currency 64 13" xfId="1711" xr:uid="{00000000-0005-0000-0000-0000AA060000}"/>
    <cellStyle name="Currency 64 13 2" xfId="1712" xr:uid="{00000000-0005-0000-0000-0000AB060000}"/>
    <cellStyle name="Currency 64 13 2 2" xfId="1713" xr:uid="{00000000-0005-0000-0000-0000AC060000}"/>
    <cellStyle name="Currency 64 13 3" xfId="1714" xr:uid="{00000000-0005-0000-0000-0000AD060000}"/>
    <cellStyle name="Currency 64 14" xfId="1715" xr:uid="{00000000-0005-0000-0000-0000AE060000}"/>
    <cellStyle name="Currency 64 14 2" xfId="1716" xr:uid="{00000000-0005-0000-0000-0000AF060000}"/>
    <cellStyle name="Currency 64 14 2 2" xfId="1717" xr:uid="{00000000-0005-0000-0000-0000B0060000}"/>
    <cellStyle name="Currency 64 14 3" xfId="1718" xr:uid="{00000000-0005-0000-0000-0000B1060000}"/>
    <cellStyle name="Currency 64 15" xfId="1719" xr:uid="{00000000-0005-0000-0000-0000B2060000}"/>
    <cellStyle name="Currency 64 15 2" xfId="1720" xr:uid="{00000000-0005-0000-0000-0000B3060000}"/>
    <cellStyle name="Currency 64 15 2 2" xfId="1721" xr:uid="{00000000-0005-0000-0000-0000B4060000}"/>
    <cellStyle name="Currency 64 15 3" xfId="1722" xr:uid="{00000000-0005-0000-0000-0000B5060000}"/>
    <cellStyle name="Currency 64 15 3 2" xfId="1723" xr:uid="{00000000-0005-0000-0000-0000B6060000}"/>
    <cellStyle name="Currency 64 15 4" xfId="1724" xr:uid="{00000000-0005-0000-0000-0000B7060000}"/>
    <cellStyle name="Currency 64 2" xfId="1725" xr:uid="{00000000-0005-0000-0000-0000B8060000}"/>
    <cellStyle name="Currency 64 2 2" xfId="1726" xr:uid="{00000000-0005-0000-0000-0000B9060000}"/>
    <cellStyle name="Currency 64 2 2 2" xfId="1727" xr:uid="{00000000-0005-0000-0000-0000BA060000}"/>
    <cellStyle name="Currency 64 2 3" xfId="1728" xr:uid="{00000000-0005-0000-0000-0000BB060000}"/>
    <cellStyle name="Currency 64 3" xfId="1729" xr:uid="{00000000-0005-0000-0000-0000BC060000}"/>
    <cellStyle name="Currency 64 3 2" xfId="1730" xr:uid="{00000000-0005-0000-0000-0000BD060000}"/>
    <cellStyle name="Currency 64 3 2 2" xfId="1731" xr:uid="{00000000-0005-0000-0000-0000BE060000}"/>
    <cellStyle name="Currency 64 3 3" xfId="1732" xr:uid="{00000000-0005-0000-0000-0000BF060000}"/>
    <cellStyle name="Currency 64 4" xfId="1733" xr:uid="{00000000-0005-0000-0000-0000C0060000}"/>
    <cellStyle name="Currency 64 4 2" xfId="1734" xr:uid="{00000000-0005-0000-0000-0000C1060000}"/>
    <cellStyle name="Currency 64 4 2 2" xfId="1735" xr:uid="{00000000-0005-0000-0000-0000C2060000}"/>
    <cellStyle name="Currency 64 4 3" xfId="1736" xr:uid="{00000000-0005-0000-0000-0000C3060000}"/>
    <cellStyle name="Currency 64 5" xfId="1737" xr:uid="{00000000-0005-0000-0000-0000C4060000}"/>
    <cellStyle name="Currency 64 5 2" xfId="1738" xr:uid="{00000000-0005-0000-0000-0000C5060000}"/>
    <cellStyle name="Currency 64 5 2 2" xfId="1739" xr:uid="{00000000-0005-0000-0000-0000C6060000}"/>
    <cellStyle name="Currency 64 5 3" xfId="1740" xr:uid="{00000000-0005-0000-0000-0000C7060000}"/>
    <cellStyle name="Currency 64 6" xfId="1741" xr:uid="{00000000-0005-0000-0000-0000C8060000}"/>
    <cellStyle name="Currency 64 6 2" xfId="1742" xr:uid="{00000000-0005-0000-0000-0000C9060000}"/>
    <cellStyle name="Currency 64 6 2 2" xfId="1743" xr:uid="{00000000-0005-0000-0000-0000CA060000}"/>
    <cellStyle name="Currency 64 6 3" xfId="1744" xr:uid="{00000000-0005-0000-0000-0000CB060000}"/>
    <cellStyle name="Currency 64 7" xfId="1745" xr:uid="{00000000-0005-0000-0000-0000CC060000}"/>
    <cellStyle name="Currency 64 7 2" xfId="1746" xr:uid="{00000000-0005-0000-0000-0000CD060000}"/>
    <cellStyle name="Currency 64 7 2 2" xfId="1747" xr:uid="{00000000-0005-0000-0000-0000CE060000}"/>
    <cellStyle name="Currency 64 7 3" xfId="1748" xr:uid="{00000000-0005-0000-0000-0000CF060000}"/>
    <cellStyle name="Currency 64 8" xfId="1749" xr:uid="{00000000-0005-0000-0000-0000D0060000}"/>
    <cellStyle name="Currency 64 8 2" xfId="1750" xr:uid="{00000000-0005-0000-0000-0000D1060000}"/>
    <cellStyle name="Currency 64 8 2 2" xfId="1751" xr:uid="{00000000-0005-0000-0000-0000D2060000}"/>
    <cellStyle name="Currency 64 8 3" xfId="1752" xr:uid="{00000000-0005-0000-0000-0000D3060000}"/>
    <cellStyle name="Currency 64 9" xfId="1753" xr:uid="{00000000-0005-0000-0000-0000D4060000}"/>
    <cellStyle name="Currency 64 9 2" xfId="1754" xr:uid="{00000000-0005-0000-0000-0000D5060000}"/>
    <cellStyle name="Currency 64 9 2 2" xfId="1755" xr:uid="{00000000-0005-0000-0000-0000D6060000}"/>
    <cellStyle name="Currency 64 9 3" xfId="1756" xr:uid="{00000000-0005-0000-0000-0000D7060000}"/>
    <cellStyle name="Currency 7" xfId="1757" xr:uid="{00000000-0005-0000-0000-0000D8060000}"/>
    <cellStyle name="Currency 8" xfId="4304" xr:uid="{00000000-0005-0000-0000-0000D9060000}"/>
    <cellStyle name="Currency 82" xfId="1758" xr:uid="{00000000-0005-0000-0000-0000DA060000}"/>
    <cellStyle name="Currency 82 2" xfId="1759" xr:uid="{00000000-0005-0000-0000-0000DB060000}"/>
    <cellStyle name="Currency 82 2 2" xfId="1760" xr:uid="{00000000-0005-0000-0000-0000DC060000}"/>
    <cellStyle name="Currency 82 3" xfId="1761" xr:uid="{00000000-0005-0000-0000-0000DD060000}"/>
    <cellStyle name="Currency 9" xfId="4305" xr:uid="{00000000-0005-0000-0000-0000DE060000}"/>
    <cellStyle name="Currency 94" xfId="1762" xr:uid="{00000000-0005-0000-0000-0000DF060000}"/>
    <cellStyle name="Currency 94 2" xfId="1763" xr:uid="{00000000-0005-0000-0000-0000E0060000}"/>
    <cellStyle name="Currency 94 2 2" xfId="1764" xr:uid="{00000000-0005-0000-0000-0000E1060000}"/>
    <cellStyle name="Currency 94 3" xfId="1765" xr:uid="{00000000-0005-0000-0000-0000E2060000}"/>
    <cellStyle name="Currency 94 3 2" xfId="1766" xr:uid="{00000000-0005-0000-0000-0000E3060000}"/>
    <cellStyle name="Currency 94 4" xfId="1767" xr:uid="{00000000-0005-0000-0000-0000E4060000}"/>
    <cellStyle name="Currency 95" xfId="1768" xr:uid="{00000000-0005-0000-0000-0000E5060000}"/>
    <cellStyle name="Currency 95 2" xfId="1769" xr:uid="{00000000-0005-0000-0000-0000E6060000}"/>
    <cellStyle name="Currency 95 2 2" xfId="1770" xr:uid="{00000000-0005-0000-0000-0000E7060000}"/>
    <cellStyle name="Currency 95 3" xfId="1771" xr:uid="{00000000-0005-0000-0000-0000E8060000}"/>
    <cellStyle name="Currency 95 3 2" xfId="1772" xr:uid="{00000000-0005-0000-0000-0000E9060000}"/>
    <cellStyle name="Currency 95 4" xfId="1773" xr:uid="{00000000-0005-0000-0000-0000EA060000}"/>
    <cellStyle name="Currency Input" xfId="4512" xr:uid="{00000000-0005-0000-0000-0000EB060000}"/>
    <cellStyle name="Currency0" xfId="4186" xr:uid="{00000000-0005-0000-0000-0000EC060000}"/>
    <cellStyle name="d" xfId="4187" xr:uid="{00000000-0005-0000-0000-0000ED060000}"/>
    <cellStyle name="d," xfId="4188" xr:uid="{00000000-0005-0000-0000-0000EE060000}"/>
    <cellStyle name="d1" xfId="4189" xr:uid="{00000000-0005-0000-0000-0000EF060000}"/>
    <cellStyle name="d1," xfId="4190" xr:uid="{00000000-0005-0000-0000-0000F0060000}"/>
    <cellStyle name="d2" xfId="4191" xr:uid="{00000000-0005-0000-0000-0000F1060000}"/>
    <cellStyle name="d2," xfId="4192" xr:uid="{00000000-0005-0000-0000-0000F2060000}"/>
    <cellStyle name="d3" xfId="4193" xr:uid="{00000000-0005-0000-0000-0000F3060000}"/>
    <cellStyle name="Dash" xfId="4194" xr:uid="{00000000-0005-0000-0000-0000F4060000}"/>
    <cellStyle name="Date" xfId="87" xr:uid="{00000000-0005-0000-0000-0000F5060000}"/>
    <cellStyle name="Date [Abbreviated]" xfId="4513" xr:uid="{00000000-0005-0000-0000-0000F6060000}"/>
    <cellStyle name="Date [Long Europe]" xfId="4514" xr:uid="{00000000-0005-0000-0000-0000F7060000}"/>
    <cellStyle name="Date [Long U.S.]" xfId="4515" xr:uid="{00000000-0005-0000-0000-0000F8060000}"/>
    <cellStyle name="Date [Short Europe]" xfId="4516" xr:uid="{00000000-0005-0000-0000-0000F9060000}"/>
    <cellStyle name="Date [Short U.S.]" xfId="4517" xr:uid="{00000000-0005-0000-0000-0000FA060000}"/>
    <cellStyle name="Date_ITCM 2010 Template" xfId="4518" xr:uid="{00000000-0005-0000-0000-0000FB060000}"/>
    <cellStyle name="DateTime" xfId="4306" xr:uid="{00000000-0005-0000-0000-0000FC060000}"/>
    <cellStyle name="DateTime 2" xfId="4307" xr:uid="{00000000-0005-0000-0000-0000FD060000}"/>
    <cellStyle name="Define$0" xfId="4195" xr:uid="{00000000-0005-0000-0000-0000FE060000}"/>
    <cellStyle name="Define$1" xfId="4196" xr:uid="{00000000-0005-0000-0000-0000FF060000}"/>
    <cellStyle name="Define$2" xfId="4197" xr:uid="{00000000-0005-0000-0000-000000070000}"/>
    <cellStyle name="Define0" xfId="4198" xr:uid="{00000000-0005-0000-0000-000001070000}"/>
    <cellStyle name="Define1" xfId="4199" xr:uid="{00000000-0005-0000-0000-000002070000}"/>
    <cellStyle name="Define1x" xfId="4200" xr:uid="{00000000-0005-0000-0000-000003070000}"/>
    <cellStyle name="Define2" xfId="4201" xr:uid="{00000000-0005-0000-0000-000004070000}"/>
    <cellStyle name="Define2x" xfId="4202" xr:uid="{00000000-0005-0000-0000-000005070000}"/>
    <cellStyle name="d-mmm" xfId="4308" xr:uid="{00000000-0005-0000-0000-000006070000}"/>
    <cellStyle name="d-mmm-yy" xfId="4309" xr:uid="{00000000-0005-0000-0000-000007070000}"/>
    <cellStyle name="Dollar" xfId="4203" xr:uid="{00000000-0005-0000-0000-000008070000}"/>
    <cellStyle name="Dot" xfId="4310" xr:uid="{00000000-0005-0000-0000-000009070000}"/>
    <cellStyle name="e" xfId="4204" xr:uid="{00000000-0005-0000-0000-00000A070000}"/>
    <cellStyle name="e1" xfId="4205" xr:uid="{00000000-0005-0000-0000-00000B070000}"/>
    <cellStyle name="e2" xfId="4206" xr:uid="{00000000-0005-0000-0000-00000C070000}"/>
    <cellStyle name="Euro" xfId="88" xr:uid="{00000000-0005-0000-0000-00000D070000}"/>
    <cellStyle name="Explanatory Text 10" xfId="1774" xr:uid="{00000000-0005-0000-0000-00000E070000}"/>
    <cellStyle name="Explanatory Text 11" xfId="1775" xr:uid="{00000000-0005-0000-0000-00000F070000}"/>
    <cellStyle name="Explanatory Text 12" xfId="1776" xr:uid="{00000000-0005-0000-0000-000010070000}"/>
    <cellStyle name="Explanatory Text 13" xfId="1777" xr:uid="{00000000-0005-0000-0000-000011070000}"/>
    <cellStyle name="Explanatory Text 14" xfId="1778" xr:uid="{00000000-0005-0000-0000-000012070000}"/>
    <cellStyle name="Explanatory Text 15" xfId="1779" xr:uid="{00000000-0005-0000-0000-000013070000}"/>
    <cellStyle name="Explanatory Text 16" xfId="1780" xr:uid="{00000000-0005-0000-0000-000014070000}"/>
    <cellStyle name="Explanatory Text 17" xfId="1781" xr:uid="{00000000-0005-0000-0000-000015070000}"/>
    <cellStyle name="Explanatory Text 18" xfId="1782" xr:uid="{00000000-0005-0000-0000-000016070000}"/>
    <cellStyle name="Explanatory Text 2" xfId="89" xr:uid="{00000000-0005-0000-0000-000017070000}"/>
    <cellStyle name="Explanatory Text 2 2" xfId="1783" xr:uid="{00000000-0005-0000-0000-000018070000}"/>
    <cellStyle name="Explanatory Text 2 3" xfId="1784" xr:uid="{00000000-0005-0000-0000-000019070000}"/>
    <cellStyle name="Explanatory Text 2 4" xfId="1785" xr:uid="{00000000-0005-0000-0000-00001A070000}"/>
    <cellStyle name="Explanatory Text 2 5" xfId="1786" xr:uid="{00000000-0005-0000-0000-00001B070000}"/>
    <cellStyle name="Explanatory Text 3" xfId="1787" xr:uid="{00000000-0005-0000-0000-00001C070000}"/>
    <cellStyle name="Explanatory Text 4" xfId="1788" xr:uid="{00000000-0005-0000-0000-00001D070000}"/>
    <cellStyle name="Explanatory Text 5" xfId="1789" xr:uid="{00000000-0005-0000-0000-00001E070000}"/>
    <cellStyle name="Explanatory Text 6" xfId="1790" xr:uid="{00000000-0005-0000-0000-00001F070000}"/>
    <cellStyle name="Explanatory Text 7" xfId="1791" xr:uid="{00000000-0005-0000-0000-000020070000}"/>
    <cellStyle name="Explanatory Text 8" xfId="1792" xr:uid="{00000000-0005-0000-0000-000021070000}"/>
    <cellStyle name="Explanatory Text 9" xfId="1793" xr:uid="{00000000-0005-0000-0000-000022070000}"/>
    <cellStyle name="Fixed" xfId="90" xr:uid="{00000000-0005-0000-0000-000023070000}"/>
    <cellStyle name="Fixed 2" xfId="4311" xr:uid="{00000000-0005-0000-0000-000024070000}"/>
    <cellStyle name="Fixed 3" xfId="4312" xr:uid="{00000000-0005-0000-0000-000025070000}"/>
    <cellStyle name="Fixed1 - Style1" xfId="91" xr:uid="{00000000-0005-0000-0000-000026070000}"/>
    <cellStyle name="FOOTER - Style1" xfId="4519" xr:uid="{00000000-0005-0000-0000-000027070000}"/>
    <cellStyle name="g" xfId="4207" xr:uid="{00000000-0005-0000-0000-000028070000}"/>
    <cellStyle name="general" xfId="4208" xr:uid="{00000000-0005-0000-0000-000029070000}"/>
    <cellStyle name="General [C]" xfId="4520" xr:uid="{00000000-0005-0000-0000-00002A070000}"/>
    <cellStyle name="General [R]" xfId="4521" xr:uid="{00000000-0005-0000-0000-00002B070000}"/>
    <cellStyle name="Geneva 9" xfId="4313" xr:uid="{00000000-0005-0000-0000-00002C070000}"/>
    <cellStyle name="Gilsans" xfId="92" xr:uid="{00000000-0005-0000-0000-00002D070000}"/>
    <cellStyle name="Gilsansl" xfId="93" xr:uid="{00000000-0005-0000-0000-00002E070000}"/>
    <cellStyle name="Good 10" xfId="1794" xr:uid="{00000000-0005-0000-0000-00002F070000}"/>
    <cellStyle name="Good 11" xfId="1795" xr:uid="{00000000-0005-0000-0000-000030070000}"/>
    <cellStyle name="Good 12" xfId="1796" xr:uid="{00000000-0005-0000-0000-000031070000}"/>
    <cellStyle name="Good 13" xfId="1797" xr:uid="{00000000-0005-0000-0000-000032070000}"/>
    <cellStyle name="Good 14" xfId="1798" xr:uid="{00000000-0005-0000-0000-000033070000}"/>
    <cellStyle name="Good 15" xfId="1799" xr:uid="{00000000-0005-0000-0000-000034070000}"/>
    <cellStyle name="Good 16" xfId="1800" xr:uid="{00000000-0005-0000-0000-000035070000}"/>
    <cellStyle name="Good 17" xfId="1801" xr:uid="{00000000-0005-0000-0000-000036070000}"/>
    <cellStyle name="Good 18" xfId="1802" xr:uid="{00000000-0005-0000-0000-000037070000}"/>
    <cellStyle name="Good 2" xfId="94" xr:uid="{00000000-0005-0000-0000-000038070000}"/>
    <cellStyle name="Good 2 2" xfId="1803" xr:uid="{00000000-0005-0000-0000-000039070000}"/>
    <cellStyle name="Good 2 3" xfId="1804" xr:uid="{00000000-0005-0000-0000-00003A070000}"/>
    <cellStyle name="Good 2 4" xfId="1805" xr:uid="{00000000-0005-0000-0000-00003B070000}"/>
    <cellStyle name="Good 2 5" xfId="1806" xr:uid="{00000000-0005-0000-0000-00003C070000}"/>
    <cellStyle name="Good 3" xfId="1807" xr:uid="{00000000-0005-0000-0000-00003D070000}"/>
    <cellStyle name="Good 4" xfId="1808" xr:uid="{00000000-0005-0000-0000-00003E070000}"/>
    <cellStyle name="Good 5" xfId="1809" xr:uid="{00000000-0005-0000-0000-00003F070000}"/>
    <cellStyle name="Good 6" xfId="1810" xr:uid="{00000000-0005-0000-0000-000040070000}"/>
    <cellStyle name="Good 7" xfId="1811" xr:uid="{00000000-0005-0000-0000-000041070000}"/>
    <cellStyle name="Good 8" xfId="1812" xr:uid="{00000000-0005-0000-0000-000042070000}"/>
    <cellStyle name="Good 9" xfId="1813" xr:uid="{00000000-0005-0000-0000-000043070000}"/>
    <cellStyle name="Green" xfId="4209" xr:uid="{00000000-0005-0000-0000-000044070000}"/>
    <cellStyle name="Grey" xfId="95" xr:uid="{00000000-0005-0000-0000-000045070000}"/>
    <cellStyle name="Grey 2" xfId="4314" xr:uid="{00000000-0005-0000-0000-000046070000}"/>
    <cellStyle name="HEADER" xfId="96" xr:uid="{00000000-0005-0000-0000-000047070000}"/>
    <cellStyle name="Header1" xfId="97" xr:uid="{00000000-0005-0000-0000-000048070000}"/>
    <cellStyle name="Header2" xfId="98" xr:uid="{00000000-0005-0000-0000-000049070000}"/>
    <cellStyle name="Heading" xfId="99" xr:uid="{00000000-0005-0000-0000-00004A070000}"/>
    <cellStyle name="Heading 1 10" xfId="1814" xr:uid="{00000000-0005-0000-0000-00004B070000}"/>
    <cellStyle name="Heading 1 11" xfId="1815" xr:uid="{00000000-0005-0000-0000-00004C070000}"/>
    <cellStyle name="Heading 1 12" xfId="1816" xr:uid="{00000000-0005-0000-0000-00004D070000}"/>
    <cellStyle name="Heading 1 13" xfId="1817" xr:uid="{00000000-0005-0000-0000-00004E070000}"/>
    <cellStyle name="Heading 1 14" xfId="1818" xr:uid="{00000000-0005-0000-0000-00004F070000}"/>
    <cellStyle name="Heading 1 15" xfId="1819" xr:uid="{00000000-0005-0000-0000-000050070000}"/>
    <cellStyle name="Heading 1 16" xfId="1820" xr:uid="{00000000-0005-0000-0000-000051070000}"/>
    <cellStyle name="Heading 1 17" xfId="1821" xr:uid="{00000000-0005-0000-0000-000052070000}"/>
    <cellStyle name="Heading 1 18" xfId="1822" xr:uid="{00000000-0005-0000-0000-000053070000}"/>
    <cellStyle name="Heading 1 2" xfId="100" xr:uid="{00000000-0005-0000-0000-000054070000}"/>
    <cellStyle name="Heading 1 2 2" xfId="1823" xr:uid="{00000000-0005-0000-0000-000055070000}"/>
    <cellStyle name="Heading 1 2 3" xfId="1824" xr:uid="{00000000-0005-0000-0000-000056070000}"/>
    <cellStyle name="Heading 1 2 4" xfId="1825" xr:uid="{00000000-0005-0000-0000-000057070000}"/>
    <cellStyle name="Heading 1 2 5" xfId="1826" xr:uid="{00000000-0005-0000-0000-000058070000}"/>
    <cellStyle name="Heading 1 3" xfId="1827" xr:uid="{00000000-0005-0000-0000-000059070000}"/>
    <cellStyle name="Heading 1 4" xfId="1828" xr:uid="{00000000-0005-0000-0000-00005A070000}"/>
    <cellStyle name="Heading 1 5" xfId="1829" xr:uid="{00000000-0005-0000-0000-00005B070000}"/>
    <cellStyle name="Heading 1 6" xfId="1830" xr:uid="{00000000-0005-0000-0000-00005C070000}"/>
    <cellStyle name="Heading 1 7" xfId="1831" xr:uid="{00000000-0005-0000-0000-00005D070000}"/>
    <cellStyle name="Heading 1 8" xfId="1832" xr:uid="{00000000-0005-0000-0000-00005E070000}"/>
    <cellStyle name="Heading 1 9" xfId="1833" xr:uid="{00000000-0005-0000-0000-00005F070000}"/>
    <cellStyle name="Heading 2 10" xfId="1834" xr:uid="{00000000-0005-0000-0000-000060070000}"/>
    <cellStyle name="Heading 2 11" xfId="1835" xr:uid="{00000000-0005-0000-0000-000061070000}"/>
    <cellStyle name="Heading 2 12" xfId="1836" xr:uid="{00000000-0005-0000-0000-000062070000}"/>
    <cellStyle name="Heading 2 13" xfId="1837" xr:uid="{00000000-0005-0000-0000-000063070000}"/>
    <cellStyle name="Heading 2 14" xfId="1838" xr:uid="{00000000-0005-0000-0000-000064070000}"/>
    <cellStyle name="Heading 2 15" xfId="1839" xr:uid="{00000000-0005-0000-0000-000065070000}"/>
    <cellStyle name="Heading 2 16" xfId="1840" xr:uid="{00000000-0005-0000-0000-000066070000}"/>
    <cellStyle name="Heading 2 17" xfId="1841" xr:uid="{00000000-0005-0000-0000-000067070000}"/>
    <cellStyle name="Heading 2 18" xfId="1842" xr:uid="{00000000-0005-0000-0000-000068070000}"/>
    <cellStyle name="Heading 2 2" xfId="101" xr:uid="{00000000-0005-0000-0000-000069070000}"/>
    <cellStyle name="Heading 2 2 2" xfId="1843" xr:uid="{00000000-0005-0000-0000-00006A070000}"/>
    <cellStyle name="Heading 2 2 3" xfId="1844" xr:uid="{00000000-0005-0000-0000-00006B070000}"/>
    <cellStyle name="Heading 2 2 4" xfId="1845" xr:uid="{00000000-0005-0000-0000-00006C070000}"/>
    <cellStyle name="Heading 2 2 5" xfId="1846" xr:uid="{00000000-0005-0000-0000-00006D070000}"/>
    <cellStyle name="Heading 2 3" xfId="1847" xr:uid="{00000000-0005-0000-0000-00006E070000}"/>
    <cellStyle name="Heading 2 4" xfId="1848" xr:uid="{00000000-0005-0000-0000-00006F070000}"/>
    <cellStyle name="Heading 2 5" xfId="1849" xr:uid="{00000000-0005-0000-0000-000070070000}"/>
    <cellStyle name="Heading 2 6" xfId="1850" xr:uid="{00000000-0005-0000-0000-000071070000}"/>
    <cellStyle name="Heading 2 7" xfId="1851" xr:uid="{00000000-0005-0000-0000-000072070000}"/>
    <cellStyle name="Heading 2 8" xfId="1852" xr:uid="{00000000-0005-0000-0000-000073070000}"/>
    <cellStyle name="Heading 2 9" xfId="1853" xr:uid="{00000000-0005-0000-0000-000074070000}"/>
    <cellStyle name="Heading 3 10" xfId="1854" xr:uid="{00000000-0005-0000-0000-000075070000}"/>
    <cellStyle name="Heading 3 11" xfId="1855" xr:uid="{00000000-0005-0000-0000-000076070000}"/>
    <cellStyle name="Heading 3 12" xfId="1856" xr:uid="{00000000-0005-0000-0000-000077070000}"/>
    <cellStyle name="Heading 3 13" xfId="1857" xr:uid="{00000000-0005-0000-0000-000078070000}"/>
    <cellStyle name="Heading 3 14" xfId="1858" xr:uid="{00000000-0005-0000-0000-000079070000}"/>
    <cellStyle name="Heading 3 15" xfId="1859" xr:uid="{00000000-0005-0000-0000-00007A070000}"/>
    <cellStyle name="Heading 3 16" xfId="1860" xr:uid="{00000000-0005-0000-0000-00007B070000}"/>
    <cellStyle name="Heading 3 17" xfId="1861" xr:uid="{00000000-0005-0000-0000-00007C070000}"/>
    <cellStyle name="Heading 3 18" xfId="1862" xr:uid="{00000000-0005-0000-0000-00007D070000}"/>
    <cellStyle name="Heading 3 2" xfId="102" xr:uid="{00000000-0005-0000-0000-00007E070000}"/>
    <cellStyle name="Heading 3 2 2" xfId="1863" xr:uid="{00000000-0005-0000-0000-00007F070000}"/>
    <cellStyle name="Heading 3 2 3" xfId="1864" xr:uid="{00000000-0005-0000-0000-000080070000}"/>
    <cellStyle name="Heading 3 2 4" xfId="1865" xr:uid="{00000000-0005-0000-0000-000081070000}"/>
    <cellStyle name="Heading 3 2 5" xfId="1866" xr:uid="{00000000-0005-0000-0000-000082070000}"/>
    <cellStyle name="Heading 3 3" xfId="1867" xr:uid="{00000000-0005-0000-0000-000083070000}"/>
    <cellStyle name="Heading 3 4" xfId="1868" xr:uid="{00000000-0005-0000-0000-000084070000}"/>
    <cellStyle name="Heading 3 5" xfId="1869" xr:uid="{00000000-0005-0000-0000-000085070000}"/>
    <cellStyle name="Heading 3 6" xfId="1870" xr:uid="{00000000-0005-0000-0000-000086070000}"/>
    <cellStyle name="Heading 3 7" xfId="1871" xr:uid="{00000000-0005-0000-0000-000087070000}"/>
    <cellStyle name="Heading 3 8" xfId="1872" xr:uid="{00000000-0005-0000-0000-000088070000}"/>
    <cellStyle name="Heading 3 9" xfId="1873" xr:uid="{00000000-0005-0000-0000-000089070000}"/>
    <cellStyle name="Heading 4 10" xfId="1874" xr:uid="{00000000-0005-0000-0000-00008A070000}"/>
    <cellStyle name="Heading 4 11" xfId="1875" xr:uid="{00000000-0005-0000-0000-00008B070000}"/>
    <cellStyle name="Heading 4 12" xfId="1876" xr:uid="{00000000-0005-0000-0000-00008C070000}"/>
    <cellStyle name="Heading 4 13" xfId="1877" xr:uid="{00000000-0005-0000-0000-00008D070000}"/>
    <cellStyle name="Heading 4 14" xfId="1878" xr:uid="{00000000-0005-0000-0000-00008E070000}"/>
    <cellStyle name="Heading 4 15" xfId="1879" xr:uid="{00000000-0005-0000-0000-00008F070000}"/>
    <cellStyle name="Heading 4 16" xfId="1880" xr:uid="{00000000-0005-0000-0000-000090070000}"/>
    <cellStyle name="Heading 4 17" xfId="1881" xr:uid="{00000000-0005-0000-0000-000091070000}"/>
    <cellStyle name="Heading 4 18" xfId="1882" xr:uid="{00000000-0005-0000-0000-000092070000}"/>
    <cellStyle name="Heading 4 2" xfId="103" xr:uid="{00000000-0005-0000-0000-000093070000}"/>
    <cellStyle name="Heading 4 2 2" xfId="1883" xr:uid="{00000000-0005-0000-0000-000094070000}"/>
    <cellStyle name="Heading 4 2 3" xfId="1884" xr:uid="{00000000-0005-0000-0000-000095070000}"/>
    <cellStyle name="Heading 4 2 4" xfId="1885" xr:uid="{00000000-0005-0000-0000-000096070000}"/>
    <cellStyle name="Heading 4 2 5" xfId="1886" xr:uid="{00000000-0005-0000-0000-000097070000}"/>
    <cellStyle name="Heading 4 3" xfId="1887" xr:uid="{00000000-0005-0000-0000-000098070000}"/>
    <cellStyle name="Heading 4 4" xfId="1888" xr:uid="{00000000-0005-0000-0000-000099070000}"/>
    <cellStyle name="Heading 4 5" xfId="1889" xr:uid="{00000000-0005-0000-0000-00009A070000}"/>
    <cellStyle name="Heading 4 6" xfId="1890" xr:uid="{00000000-0005-0000-0000-00009B070000}"/>
    <cellStyle name="Heading 4 7" xfId="1891" xr:uid="{00000000-0005-0000-0000-00009C070000}"/>
    <cellStyle name="Heading 4 8" xfId="1892" xr:uid="{00000000-0005-0000-0000-00009D070000}"/>
    <cellStyle name="Heading 4 9" xfId="1893" xr:uid="{00000000-0005-0000-0000-00009E070000}"/>
    <cellStyle name="Heading No Underline" xfId="4210" xr:uid="{00000000-0005-0000-0000-00009F070000}"/>
    <cellStyle name="Heading With Underline" xfId="4211" xr:uid="{00000000-0005-0000-0000-0000A0070000}"/>
    <cellStyle name="Heading1" xfId="104" xr:uid="{00000000-0005-0000-0000-0000A1070000}"/>
    <cellStyle name="Heading1 2" xfId="4315" xr:uid="{00000000-0005-0000-0000-0000A2070000}"/>
    <cellStyle name="Heading1 3" xfId="4316" xr:uid="{00000000-0005-0000-0000-0000A3070000}"/>
    <cellStyle name="Heading2" xfId="105" xr:uid="{00000000-0005-0000-0000-0000A4070000}"/>
    <cellStyle name="Heading2 2" xfId="4317" xr:uid="{00000000-0005-0000-0000-0000A5070000}"/>
    <cellStyle name="Heading2 3" xfId="4318" xr:uid="{00000000-0005-0000-0000-0000A6070000}"/>
    <cellStyle name="Headline" xfId="4212" xr:uid="{00000000-0005-0000-0000-0000A7070000}"/>
    <cellStyle name="HIGHLIGHT" xfId="106" xr:uid="{00000000-0005-0000-0000-0000A8070000}"/>
    <cellStyle name="Hyperlink" xfId="4663" builtinId="8"/>
    <cellStyle name="Hyperlink 2" xfId="1894" xr:uid="{00000000-0005-0000-0000-0000AA070000}"/>
    <cellStyle name="Hyperlink 3" xfId="4474" xr:uid="{00000000-0005-0000-0000-0000AB070000}"/>
    <cellStyle name="in" xfId="4213" xr:uid="{00000000-0005-0000-0000-0000AC070000}"/>
    <cellStyle name="Indented [0]" xfId="4522" xr:uid="{00000000-0005-0000-0000-0000AD070000}"/>
    <cellStyle name="Indented [2]" xfId="4523" xr:uid="{00000000-0005-0000-0000-0000AE070000}"/>
    <cellStyle name="Indented [4]" xfId="4524" xr:uid="{00000000-0005-0000-0000-0000AF070000}"/>
    <cellStyle name="Indented [6]" xfId="4525" xr:uid="{00000000-0005-0000-0000-0000B0070000}"/>
    <cellStyle name="Input [yellow]" xfId="107" xr:uid="{00000000-0005-0000-0000-0000B1070000}"/>
    <cellStyle name="Input [yellow] 2" xfId="4319" xr:uid="{00000000-0005-0000-0000-0000B2070000}"/>
    <cellStyle name="Input 10" xfId="1895" xr:uid="{00000000-0005-0000-0000-0000B3070000}"/>
    <cellStyle name="Input 11" xfId="1896" xr:uid="{00000000-0005-0000-0000-0000B4070000}"/>
    <cellStyle name="Input 12" xfId="1897" xr:uid="{00000000-0005-0000-0000-0000B5070000}"/>
    <cellStyle name="Input 13" xfId="1898" xr:uid="{00000000-0005-0000-0000-0000B6070000}"/>
    <cellStyle name="Input 14" xfId="1899" xr:uid="{00000000-0005-0000-0000-0000B7070000}"/>
    <cellStyle name="Input 15" xfId="1900" xr:uid="{00000000-0005-0000-0000-0000B8070000}"/>
    <cellStyle name="Input 16" xfId="1901" xr:uid="{00000000-0005-0000-0000-0000B9070000}"/>
    <cellStyle name="Input 17" xfId="1902" xr:uid="{00000000-0005-0000-0000-0000BA070000}"/>
    <cellStyle name="Input 18" xfId="1903" xr:uid="{00000000-0005-0000-0000-0000BB070000}"/>
    <cellStyle name="Input 2" xfId="108" xr:uid="{00000000-0005-0000-0000-0000BC070000}"/>
    <cellStyle name="Input 2 2" xfId="1904" xr:uid="{00000000-0005-0000-0000-0000BD070000}"/>
    <cellStyle name="Input 2 3" xfId="1905" xr:uid="{00000000-0005-0000-0000-0000BE070000}"/>
    <cellStyle name="Input 2 4" xfId="1906" xr:uid="{00000000-0005-0000-0000-0000BF070000}"/>
    <cellStyle name="Input 2 5" xfId="1907" xr:uid="{00000000-0005-0000-0000-0000C0070000}"/>
    <cellStyle name="Input 3" xfId="1908" xr:uid="{00000000-0005-0000-0000-0000C1070000}"/>
    <cellStyle name="Input 4" xfId="1909" xr:uid="{00000000-0005-0000-0000-0000C2070000}"/>
    <cellStyle name="Input 5" xfId="1910" xr:uid="{00000000-0005-0000-0000-0000C3070000}"/>
    <cellStyle name="Input 6" xfId="1911" xr:uid="{00000000-0005-0000-0000-0000C4070000}"/>
    <cellStyle name="Input 7" xfId="1912" xr:uid="{00000000-0005-0000-0000-0000C5070000}"/>
    <cellStyle name="Input 8" xfId="1913" xr:uid="{00000000-0005-0000-0000-0000C6070000}"/>
    <cellStyle name="Input 9" xfId="1914" xr:uid="{00000000-0005-0000-0000-0000C7070000}"/>
    <cellStyle name="Input$0" xfId="4214" xr:uid="{00000000-0005-0000-0000-0000C8070000}"/>
    <cellStyle name="Input$1" xfId="4215" xr:uid="{00000000-0005-0000-0000-0000C9070000}"/>
    <cellStyle name="Input$2" xfId="4216" xr:uid="{00000000-0005-0000-0000-0000CA070000}"/>
    <cellStyle name="Input0" xfId="4217" xr:uid="{00000000-0005-0000-0000-0000CB070000}"/>
    <cellStyle name="Input1" xfId="4218" xr:uid="{00000000-0005-0000-0000-0000CC070000}"/>
    <cellStyle name="Input1x" xfId="4219" xr:uid="{00000000-0005-0000-0000-0000CD070000}"/>
    <cellStyle name="Input2" xfId="4220" xr:uid="{00000000-0005-0000-0000-0000CE070000}"/>
    <cellStyle name="Input2x" xfId="4221" xr:uid="{00000000-0005-0000-0000-0000CF070000}"/>
    <cellStyle name="kwh_centered" xfId="4320" xr:uid="{00000000-0005-0000-0000-0000D0070000}"/>
    <cellStyle name="lborder" xfId="4222" xr:uid="{00000000-0005-0000-0000-0000D1070000}"/>
    <cellStyle name="LeftSubtitle" xfId="4526" xr:uid="{00000000-0005-0000-0000-0000D2070000}"/>
    <cellStyle name="Lines" xfId="109" xr:uid="{00000000-0005-0000-0000-0000D3070000}"/>
    <cellStyle name="Linked Cell 10" xfId="1915" xr:uid="{00000000-0005-0000-0000-0000D4070000}"/>
    <cellStyle name="Linked Cell 11" xfId="1916" xr:uid="{00000000-0005-0000-0000-0000D5070000}"/>
    <cellStyle name="Linked Cell 12" xfId="1917" xr:uid="{00000000-0005-0000-0000-0000D6070000}"/>
    <cellStyle name="Linked Cell 13" xfId="1918" xr:uid="{00000000-0005-0000-0000-0000D7070000}"/>
    <cellStyle name="Linked Cell 14" xfId="1919" xr:uid="{00000000-0005-0000-0000-0000D8070000}"/>
    <cellStyle name="Linked Cell 15" xfId="1920" xr:uid="{00000000-0005-0000-0000-0000D9070000}"/>
    <cellStyle name="Linked Cell 16" xfId="1921" xr:uid="{00000000-0005-0000-0000-0000DA070000}"/>
    <cellStyle name="Linked Cell 17" xfId="1922" xr:uid="{00000000-0005-0000-0000-0000DB070000}"/>
    <cellStyle name="Linked Cell 18" xfId="1923" xr:uid="{00000000-0005-0000-0000-0000DC070000}"/>
    <cellStyle name="Linked Cell 2" xfId="110" xr:uid="{00000000-0005-0000-0000-0000DD070000}"/>
    <cellStyle name="Linked Cell 2 2" xfId="1924" xr:uid="{00000000-0005-0000-0000-0000DE070000}"/>
    <cellStyle name="Linked Cell 2 3" xfId="1925" xr:uid="{00000000-0005-0000-0000-0000DF070000}"/>
    <cellStyle name="Linked Cell 2 4" xfId="1926" xr:uid="{00000000-0005-0000-0000-0000E0070000}"/>
    <cellStyle name="Linked Cell 2 5" xfId="1927" xr:uid="{00000000-0005-0000-0000-0000E1070000}"/>
    <cellStyle name="Linked Cell 3" xfId="1928" xr:uid="{00000000-0005-0000-0000-0000E2070000}"/>
    <cellStyle name="Linked Cell 4" xfId="1929" xr:uid="{00000000-0005-0000-0000-0000E3070000}"/>
    <cellStyle name="Linked Cell 5" xfId="1930" xr:uid="{00000000-0005-0000-0000-0000E4070000}"/>
    <cellStyle name="Linked Cell 6" xfId="1931" xr:uid="{00000000-0005-0000-0000-0000E5070000}"/>
    <cellStyle name="Linked Cell 7" xfId="1932" xr:uid="{00000000-0005-0000-0000-0000E6070000}"/>
    <cellStyle name="Linked Cell 8" xfId="1933" xr:uid="{00000000-0005-0000-0000-0000E7070000}"/>
    <cellStyle name="Linked Cell 9" xfId="1934" xr:uid="{00000000-0005-0000-0000-0000E8070000}"/>
    <cellStyle name="m" xfId="4223" xr:uid="{00000000-0005-0000-0000-0000E9070000}"/>
    <cellStyle name="m1" xfId="4224" xr:uid="{00000000-0005-0000-0000-0000EA070000}"/>
    <cellStyle name="m2" xfId="4225" xr:uid="{00000000-0005-0000-0000-0000EB070000}"/>
    <cellStyle name="m3" xfId="4226" xr:uid="{00000000-0005-0000-0000-0000EC070000}"/>
    <cellStyle name="MEM SSN" xfId="111" xr:uid="{00000000-0005-0000-0000-0000ED070000}"/>
    <cellStyle name="Mine" xfId="112" xr:uid="{00000000-0005-0000-0000-0000EE070000}"/>
    <cellStyle name="mmm-yy" xfId="113" xr:uid="{00000000-0005-0000-0000-0000EF070000}"/>
    <cellStyle name="Moneda [0]_Mex-Braz-Arg" xfId="4321" xr:uid="{00000000-0005-0000-0000-0000F0070000}"/>
    <cellStyle name="Moneda_Mex-Braz-Arg" xfId="4322" xr:uid="{00000000-0005-0000-0000-0000F1070000}"/>
    <cellStyle name="Monétaire [0]_pldt" xfId="114" xr:uid="{00000000-0005-0000-0000-0000F2070000}"/>
    <cellStyle name="Monétaire_pldt" xfId="115" xr:uid="{00000000-0005-0000-0000-0000F3070000}"/>
    <cellStyle name="Multiple" xfId="4527" xr:uid="{00000000-0005-0000-0000-0000F4070000}"/>
    <cellStyle name="Negative" xfId="4227" xr:uid="{00000000-0005-0000-0000-0000F5070000}"/>
    <cellStyle name="Neutral 10" xfId="1935" xr:uid="{00000000-0005-0000-0000-0000F6070000}"/>
    <cellStyle name="Neutral 11" xfId="1936" xr:uid="{00000000-0005-0000-0000-0000F7070000}"/>
    <cellStyle name="Neutral 12" xfId="1937" xr:uid="{00000000-0005-0000-0000-0000F8070000}"/>
    <cellStyle name="Neutral 13" xfId="1938" xr:uid="{00000000-0005-0000-0000-0000F9070000}"/>
    <cellStyle name="Neutral 14" xfId="1939" xr:uid="{00000000-0005-0000-0000-0000FA070000}"/>
    <cellStyle name="Neutral 15" xfId="1940" xr:uid="{00000000-0005-0000-0000-0000FB070000}"/>
    <cellStyle name="Neutral 16" xfId="1941" xr:uid="{00000000-0005-0000-0000-0000FC070000}"/>
    <cellStyle name="Neutral 17" xfId="1942" xr:uid="{00000000-0005-0000-0000-0000FD070000}"/>
    <cellStyle name="Neutral 18" xfId="1943" xr:uid="{00000000-0005-0000-0000-0000FE070000}"/>
    <cellStyle name="Neutral 2" xfId="116" xr:uid="{00000000-0005-0000-0000-0000FF070000}"/>
    <cellStyle name="Neutral 2 2" xfId="1944" xr:uid="{00000000-0005-0000-0000-000000080000}"/>
    <cellStyle name="Neutral 2 3" xfId="1945" xr:uid="{00000000-0005-0000-0000-000001080000}"/>
    <cellStyle name="Neutral 2 4" xfId="1946" xr:uid="{00000000-0005-0000-0000-000002080000}"/>
    <cellStyle name="Neutral 2 5" xfId="1947" xr:uid="{00000000-0005-0000-0000-000003080000}"/>
    <cellStyle name="Neutral 3" xfId="1948" xr:uid="{00000000-0005-0000-0000-000004080000}"/>
    <cellStyle name="Neutral 4" xfId="1949" xr:uid="{00000000-0005-0000-0000-000005080000}"/>
    <cellStyle name="Neutral 5" xfId="1950" xr:uid="{00000000-0005-0000-0000-000006080000}"/>
    <cellStyle name="Neutral 6" xfId="1951" xr:uid="{00000000-0005-0000-0000-000007080000}"/>
    <cellStyle name="Neutral 7" xfId="1952" xr:uid="{00000000-0005-0000-0000-000008080000}"/>
    <cellStyle name="Neutral 8" xfId="1953" xr:uid="{00000000-0005-0000-0000-000009080000}"/>
    <cellStyle name="Neutral 9" xfId="1954" xr:uid="{00000000-0005-0000-0000-00000A080000}"/>
    <cellStyle name="New" xfId="117" xr:uid="{00000000-0005-0000-0000-00000B080000}"/>
    <cellStyle name="No Border" xfId="118" xr:uid="{00000000-0005-0000-0000-00000C080000}"/>
    <cellStyle name="no dec" xfId="119" xr:uid="{00000000-0005-0000-0000-00000D080000}"/>
    <cellStyle name="Normal" xfId="0" builtinId="0"/>
    <cellStyle name="Normal - Style1" xfId="120" xr:uid="{00000000-0005-0000-0000-00000F080000}"/>
    <cellStyle name="Normal - Style1 2" xfId="4323" xr:uid="{00000000-0005-0000-0000-000010080000}"/>
    <cellStyle name="Normal - Style2" xfId="4324" xr:uid="{00000000-0005-0000-0000-000011080000}"/>
    <cellStyle name="Normal 10" xfId="1955" xr:uid="{00000000-0005-0000-0000-000012080000}"/>
    <cellStyle name="Normal 10 10" xfId="1956" xr:uid="{00000000-0005-0000-0000-000013080000}"/>
    <cellStyle name="Normal 10 10 2" xfId="1957" xr:uid="{00000000-0005-0000-0000-000014080000}"/>
    <cellStyle name="Normal 10 10 2 2" xfId="1958" xr:uid="{00000000-0005-0000-0000-000015080000}"/>
    <cellStyle name="Normal 10 10 3" xfId="1959" xr:uid="{00000000-0005-0000-0000-000016080000}"/>
    <cellStyle name="Normal 10 11" xfId="1960" xr:uid="{00000000-0005-0000-0000-000017080000}"/>
    <cellStyle name="Normal 10 11 2" xfId="1961" xr:uid="{00000000-0005-0000-0000-000018080000}"/>
    <cellStyle name="Normal 10 11 2 2" xfId="1962" xr:uid="{00000000-0005-0000-0000-000019080000}"/>
    <cellStyle name="Normal 10 11 3" xfId="1963" xr:uid="{00000000-0005-0000-0000-00001A080000}"/>
    <cellStyle name="Normal 10 12" xfId="1964" xr:uid="{00000000-0005-0000-0000-00001B080000}"/>
    <cellStyle name="Normal 10 12 2" xfId="1965" xr:uid="{00000000-0005-0000-0000-00001C080000}"/>
    <cellStyle name="Normal 10 12 2 2" xfId="1966" xr:uid="{00000000-0005-0000-0000-00001D080000}"/>
    <cellStyle name="Normal 10 12 3" xfId="1967" xr:uid="{00000000-0005-0000-0000-00001E080000}"/>
    <cellStyle name="Normal 10 13" xfId="1968" xr:uid="{00000000-0005-0000-0000-00001F080000}"/>
    <cellStyle name="Normal 10 13 2" xfId="1969" xr:uid="{00000000-0005-0000-0000-000020080000}"/>
    <cellStyle name="Normal 10 13 2 2" xfId="1970" xr:uid="{00000000-0005-0000-0000-000021080000}"/>
    <cellStyle name="Normal 10 13 3" xfId="1971" xr:uid="{00000000-0005-0000-0000-000022080000}"/>
    <cellStyle name="Normal 10 14" xfId="1972" xr:uid="{00000000-0005-0000-0000-000023080000}"/>
    <cellStyle name="Normal 10 14 2" xfId="1973" xr:uid="{00000000-0005-0000-0000-000024080000}"/>
    <cellStyle name="Normal 10 14 2 2" xfId="1974" xr:uid="{00000000-0005-0000-0000-000025080000}"/>
    <cellStyle name="Normal 10 14 3" xfId="1975" xr:uid="{00000000-0005-0000-0000-000026080000}"/>
    <cellStyle name="Normal 10 15" xfId="1976" xr:uid="{00000000-0005-0000-0000-000027080000}"/>
    <cellStyle name="Normal 10 15 2" xfId="1977" xr:uid="{00000000-0005-0000-0000-000028080000}"/>
    <cellStyle name="Normal 10 15 2 2" xfId="1978" xr:uid="{00000000-0005-0000-0000-000029080000}"/>
    <cellStyle name="Normal 10 15 3" xfId="1979" xr:uid="{00000000-0005-0000-0000-00002A080000}"/>
    <cellStyle name="Normal 10 16" xfId="1980" xr:uid="{00000000-0005-0000-0000-00002B080000}"/>
    <cellStyle name="Normal 10 16 2" xfId="1981" xr:uid="{00000000-0005-0000-0000-00002C080000}"/>
    <cellStyle name="Normal 10 17" xfId="1982" xr:uid="{00000000-0005-0000-0000-00002D080000}"/>
    <cellStyle name="Normal 10 17 2" xfId="1983" xr:uid="{00000000-0005-0000-0000-00002E080000}"/>
    <cellStyle name="Normal 10 18" xfId="1984" xr:uid="{00000000-0005-0000-0000-00002F080000}"/>
    <cellStyle name="Normal 10 2" xfId="1985" xr:uid="{00000000-0005-0000-0000-000030080000}"/>
    <cellStyle name="Normal 10 2 2" xfId="1986" xr:uid="{00000000-0005-0000-0000-000031080000}"/>
    <cellStyle name="Normal 10 2 2 2" xfId="1987" xr:uid="{00000000-0005-0000-0000-000032080000}"/>
    <cellStyle name="Normal 10 2 3" xfId="1988" xr:uid="{00000000-0005-0000-0000-000033080000}"/>
    <cellStyle name="Normal 10 2 4" xfId="4528" xr:uid="{00000000-0005-0000-0000-000034080000}"/>
    <cellStyle name="Normal 10 3" xfId="1989" xr:uid="{00000000-0005-0000-0000-000035080000}"/>
    <cellStyle name="Normal 10 3 2" xfId="1990" xr:uid="{00000000-0005-0000-0000-000036080000}"/>
    <cellStyle name="Normal 10 3 2 2" xfId="1991" xr:uid="{00000000-0005-0000-0000-000037080000}"/>
    <cellStyle name="Normal 10 3 3" xfId="1992" xr:uid="{00000000-0005-0000-0000-000038080000}"/>
    <cellStyle name="Normal 10 3 4" xfId="4676" xr:uid="{00000000-0005-0000-0000-000039080000}"/>
    <cellStyle name="Normal 10 4" xfId="1993" xr:uid="{00000000-0005-0000-0000-00003A080000}"/>
    <cellStyle name="Normal 10 4 2" xfId="1994" xr:uid="{00000000-0005-0000-0000-00003B080000}"/>
    <cellStyle name="Normal 10 4 2 2" xfId="1995" xr:uid="{00000000-0005-0000-0000-00003C080000}"/>
    <cellStyle name="Normal 10 4 3" xfId="1996" xr:uid="{00000000-0005-0000-0000-00003D080000}"/>
    <cellStyle name="Normal 10 4 4" xfId="4679" xr:uid="{00000000-0005-0000-0000-00003E080000}"/>
    <cellStyle name="Normal 10 5" xfId="1997" xr:uid="{00000000-0005-0000-0000-00003F080000}"/>
    <cellStyle name="Normal 10 5 2" xfId="1998" xr:uid="{00000000-0005-0000-0000-000040080000}"/>
    <cellStyle name="Normal 10 5 2 2" xfId="1999" xr:uid="{00000000-0005-0000-0000-000041080000}"/>
    <cellStyle name="Normal 10 5 3" xfId="2000" xr:uid="{00000000-0005-0000-0000-000042080000}"/>
    <cellStyle name="Normal 10 6" xfId="2001" xr:uid="{00000000-0005-0000-0000-000043080000}"/>
    <cellStyle name="Normal 10 6 2" xfId="2002" xr:uid="{00000000-0005-0000-0000-000044080000}"/>
    <cellStyle name="Normal 10 6 2 2" xfId="2003" xr:uid="{00000000-0005-0000-0000-000045080000}"/>
    <cellStyle name="Normal 10 6 3" xfId="2004" xr:uid="{00000000-0005-0000-0000-000046080000}"/>
    <cellStyle name="Normal 10 7" xfId="2005" xr:uid="{00000000-0005-0000-0000-000047080000}"/>
    <cellStyle name="Normal 10 7 2" xfId="2006" xr:uid="{00000000-0005-0000-0000-000048080000}"/>
    <cellStyle name="Normal 10 7 2 2" xfId="2007" xr:uid="{00000000-0005-0000-0000-000049080000}"/>
    <cellStyle name="Normal 10 7 3" xfId="2008" xr:uid="{00000000-0005-0000-0000-00004A080000}"/>
    <cellStyle name="Normal 10 8" xfId="2009" xr:uid="{00000000-0005-0000-0000-00004B080000}"/>
    <cellStyle name="Normal 10 8 2" xfId="2010" xr:uid="{00000000-0005-0000-0000-00004C080000}"/>
    <cellStyle name="Normal 10 8 2 2" xfId="2011" xr:uid="{00000000-0005-0000-0000-00004D080000}"/>
    <cellStyle name="Normal 10 8 3" xfId="2012" xr:uid="{00000000-0005-0000-0000-00004E080000}"/>
    <cellStyle name="Normal 10 9" xfId="2013" xr:uid="{00000000-0005-0000-0000-00004F080000}"/>
    <cellStyle name="Normal 10 9 2" xfId="2014" xr:uid="{00000000-0005-0000-0000-000050080000}"/>
    <cellStyle name="Normal 10 9 2 2" xfId="2015" xr:uid="{00000000-0005-0000-0000-000051080000}"/>
    <cellStyle name="Normal 10 9 3" xfId="2016" xr:uid="{00000000-0005-0000-0000-000052080000}"/>
    <cellStyle name="Normal 11" xfId="2017" xr:uid="{00000000-0005-0000-0000-000053080000}"/>
    <cellStyle name="Normal 11 10" xfId="2018" xr:uid="{00000000-0005-0000-0000-000054080000}"/>
    <cellStyle name="Normal 11 10 2" xfId="2019" xr:uid="{00000000-0005-0000-0000-000055080000}"/>
    <cellStyle name="Normal 11 10 2 2" xfId="2020" xr:uid="{00000000-0005-0000-0000-000056080000}"/>
    <cellStyle name="Normal 11 10 3" xfId="2021" xr:uid="{00000000-0005-0000-0000-000057080000}"/>
    <cellStyle name="Normal 11 11" xfId="2022" xr:uid="{00000000-0005-0000-0000-000058080000}"/>
    <cellStyle name="Normal 11 11 2" xfId="2023" xr:uid="{00000000-0005-0000-0000-000059080000}"/>
    <cellStyle name="Normal 11 11 2 2" xfId="2024" xr:uid="{00000000-0005-0000-0000-00005A080000}"/>
    <cellStyle name="Normal 11 11 3" xfId="2025" xr:uid="{00000000-0005-0000-0000-00005B080000}"/>
    <cellStyle name="Normal 11 12" xfId="2026" xr:uid="{00000000-0005-0000-0000-00005C080000}"/>
    <cellStyle name="Normal 11 12 2" xfId="2027" xr:uid="{00000000-0005-0000-0000-00005D080000}"/>
    <cellStyle name="Normal 11 12 2 2" xfId="2028" xr:uid="{00000000-0005-0000-0000-00005E080000}"/>
    <cellStyle name="Normal 11 12 3" xfId="2029" xr:uid="{00000000-0005-0000-0000-00005F080000}"/>
    <cellStyle name="Normal 11 13" xfId="2030" xr:uid="{00000000-0005-0000-0000-000060080000}"/>
    <cellStyle name="Normal 11 13 2" xfId="2031" xr:uid="{00000000-0005-0000-0000-000061080000}"/>
    <cellStyle name="Normal 11 13 2 2" xfId="2032" xr:uid="{00000000-0005-0000-0000-000062080000}"/>
    <cellStyle name="Normal 11 13 3" xfId="2033" xr:uid="{00000000-0005-0000-0000-000063080000}"/>
    <cellStyle name="Normal 11 14" xfId="2034" xr:uid="{00000000-0005-0000-0000-000064080000}"/>
    <cellStyle name="Normal 11 14 2" xfId="2035" xr:uid="{00000000-0005-0000-0000-000065080000}"/>
    <cellStyle name="Normal 11 14 2 2" xfId="2036" xr:uid="{00000000-0005-0000-0000-000066080000}"/>
    <cellStyle name="Normal 11 14 3" xfId="2037" xr:uid="{00000000-0005-0000-0000-000067080000}"/>
    <cellStyle name="Normal 11 15" xfId="2038" xr:uid="{00000000-0005-0000-0000-000068080000}"/>
    <cellStyle name="Normal 11 15 2" xfId="2039" xr:uid="{00000000-0005-0000-0000-000069080000}"/>
    <cellStyle name="Normal 11 15 2 2" xfId="2040" xr:uid="{00000000-0005-0000-0000-00006A080000}"/>
    <cellStyle name="Normal 11 15 3" xfId="2041" xr:uid="{00000000-0005-0000-0000-00006B080000}"/>
    <cellStyle name="Normal 11 16" xfId="2042" xr:uid="{00000000-0005-0000-0000-00006C080000}"/>
    <cellStyle name="Normal 11 16 2" xfId="2043" xr:uid="{00000000-0005-0000-0000-00006D080000}"/>
    <cellStyle name="Normal 11 17" xfId="2044" xr:uid="{00000000-0005-0000-0000-00006E080000}"/>
    <cellStyle name="Normal 11 2" xfId="2045" xr:uid="{00000000-0005-0000-0000-00006F080000}"/>
    <cellStyle name="Normal 11 2 2" xfId="2046" xr:uid="{00000000-0005-0000-0000-000070080000}"/>
    <cellStyle name="Normal 11 2 2 2" xfId="2047" xr:uid="{00000000-0005-0000-0000-000071080000}"/>
    <cellStyle name="Normal 11 2 3" xfId="2048" xr:uid="{00000000-0005-0000-0000-000072080000}"/>
    <cellStyle name="Normal 11 3" xfId="2049" xr:uid="{00000000-0005-0000-0000-000073080000}"/>
    <cellStyle name="Normal 11 3 2" xfId="2050" xr:uid="{00000000-0005-0000-0000-000074080000}"/>
    <cellStyle name="Normal 11 3 2 2" xfId="2051" xr:uid="{00000000-0005-0000-0000-000075080000}"/>
    <cellStyle name="Normal 11 3 3" xfId="2052" xr:uid="{00000000-0005-0000-0000-000076080000}"/>
    <cellStyle name="Normal 11 4" xfId="2053" xr:uid="{00000000-0005-0000-0000-000077080000}"/>
    <cellStyle name="Normal 11 4 2" xfId="2054" xr:uid="{00000000-0005-0000-0000-000078080000}"/>
    <cellStyle name="Normal 11 4 2 2" xfId="2055" xr:uid="{00000000-0005-0000-0000-000079080000}"/>
    <cellStyle name="Normal 11 4 3" xfId="2056" xr:uid="{00000000-0005-0000-0000-00007A080000}"/>
    <cellStyle name="Normal 11 5" xfId="2057" xr:uid="{00000000-0005-0000-0000-00007B080000}"/>
    <cellStyle name="Normal 11 5 2" xfId="2058" xr:uid="{00000000-0005-0000-0000-00007C080000}"/>
    <cellStyle name="Normal 11 5 2 2" xfId="2059" xr:uid="{00000000-0005-0000-0000-00007D080000}"/>
    <cellStyle name="Normal 11 5 3" xfId="2060" xr:uid="{00000000-0005-0000-0000-00007E080000}"/>
    <cellStyle name="Normal 11 6" xfId="2061" xr:uid="{00000000-0005-0000-0000-00007F080000}"/>
    <cellStyle name="Normal 11 6 2" xfId="2062" xr:uid="{00000000-0005-0000-0000-000080080000}"/>
    <cellStyle name="Normal 11 6 2 2" xfId="2063" xr:uid="{00000000-0005-0000-0000-000081080000}"/>
    <cellStyle name="Normal 11 6 3" xfId="2064" xr:uid="{00000000-0005-0000-0000-000082080000}"/>
    <cellStyle name="Normal 11 7" xfId="2065" xr:uid="{00000000-0005-0000-0000-000083080000}"/>
    <cellStyle name="Normal 11 7 2" xfId="2066" xr:uid="{00000000-0005-0000-0000-000084080000}"/>
    <cellStyle name="Normal 11 7 2 2" xfId="2067" xr:uid="{00000000-0005-0000-0000-000085080000}"/>
    <cellStyle name="Normal 11 7 3" xfId="2068" xr:uid="{00000000-0005-0000-0000-000086080000}"/>
    <cellStyle name="Normal 11 8" xfId="2069" xr:uid="{00000000-0005-0000-0000-000087080000}"/>
    <cellStyle name="Normal 11 8 2" xfId="2070" xr:uid="{00000000-0005-0000-0000-000088080000}"/>
    <cellStyle name="Normal 11 8 2 2" xfId="2071" xr:uid="{00000000-0005-0000-0000-000089080000}"/>
    <cellStyle name="Normal 11 8 3" xfId="2072" xr:uid="{00000000-0005-0000-0000-00008A080000}"/>
    <cellStyle name="Normal 11 9" xfId="2073" xr:uid="{00000000-0005-0000-0000-00008B080000}"/>
    <cellStyle name="Normal 11 9 2" xfId="2074" xr:uid="{00000000-0005-0000-0000-00008C080000}"/>
    <cellStyle name="Normal 11 9 2 2" xfId="2075" xr:uid="{00000000-0005-0000-0000-00008D080000}"/>
    <cellStyle name="Normal 11 9 3" xfId="2076" xr:uid="{00000000-0005-0000-0000-00008E080000}"/>
    <cellStyle name="Normal 115 2" xfId="4674" xr:uid="{00000000-0005-0000-0000-00008F080000}"/>
    <cellStyle name="Normal 12" xfId="2077" xr:uid="{00000000-0005-0000-0000-000090080000}"/>
    <cellStyle name="Normal 12 10" xfId="2078" xr:uid="{00000000-0005-0000-0000-000091080000}"/>
    <cellStyle name="Normal 12 10 2" xfId="2079" xr:uid="{00000000-0005-0000-0000-000092080000}"/>
    <cellStyle name="Normal 12 10 2 2" xfId="2080" xr:uid="{00000000-0005-0000-0000-000093080000}"/>
    <cellStyle name="Normal 12 10 3" xfId="2081" xr:uid="{00000000-0005-0000-0000-000094080000}"/>
    <cellStyle name="Normal 12 11" xfId="2082" xr:uid="{00000000-0005-0000-0000-000095080000}"/>
    <cellStyle name="Normal 12 11 2" xfId="2083" xr:uid="{00000000-0005-0000-0000-000096080000}"/>
    <cellStyle name="Normal 12 11 2 2" xfId="2084" xr:uid="{00000000-0005-0000-0000-000097080000}"/>
    <cellStyle name="Normal 12 11 3" xfId="2085" xr:uid="{00000000-0005-0000-0000-000098080000}"/>
    <cellStyle name="Normal 12 12" xfId="2086" xr:uid="{00000000-0005-0000-0000-000099080000}"/>
    <cellStyle name="Normal 12 12 2" xfId="2087" xr:uid="{00000000-0005-0000-0000-00009A080000}"/>
    <cellStyle name="Normal 12 12 2 2" xfId="2088" xr:uid="{00000000-0005-0000-0000-00009B080000}"/>
    <cellStyle name="Normal 12 12 3" xfId="2089" xr:uid="{00000000-0005-0000-0000-00009C080000}"/>
    <cellStyle name="Normal 12 13" xfId="2090" xr:uid="{00000000-0005-0000-0000-00009D080000}"/>
    <cellStyle name="Normal 12 13 2" xfId="2091" xr:uid="{00000000-0005-0000-0000-00009E080000}"/>
    <cellStyle name="Normal 12 13 2 2" xfId="2092" xr:uid="{00000000-0005-0000-0000-00009F080000}"/>
    <cellStyle name="Normal 12 13 3" xfId="2093" xr:uid="{00000000-0005-0000-0000-0000A0080000}"/>
    <cellStyle name="Normal 12 14" xfId="2094" xr:uid="{00000000-0005-0000-0000-0000A1080000}"/>
    <cellStyle name="Normal 12 14 2" xfId="2095" xr:uid="{00000000-0005-0000-0000-0000A2080000}"/>
    <cellStyle name="Normal 12 14 2 2" xfId="2096" xr:uid="{00000000-0005-0000-0000-0000A3080000}"/>
    <cellStyle name="Normal 12 14 3" xfId="2097" xr:uid="{00000000-0005-0000-0000-0000A4080000}"/>
    <cellStyle name="Normal 12 14 3 2" xfId="2098" xr:uid="{00000000-0005-0000-0000-0000A5080000}"/>
    <cellStyle name="Normal 12 14 4" xfId="2099" xr:uid="{00000000-0005-0000-0000-0000A6080000}"/>
    <cellStyle name="Normal 12 15" xfId="2100" xr:uid="{00000000-0005-0000-0000-0000A7080000}"/>
    <cellStyle name="Normal 12 15 2" xfId="2101" xr:uid="{00000000-0005-0000-0000-0000A8080000}"/>
    <cellStyle name="Normal 12 15 2 2" xfId="2102" xr:uid="{00000000-0005-0000-0000-0000A9080000}"/>
    <cellStyle name="Normal 12 15 3" xfId="2103" xr:uid="{00000000-0005-0000-0000-0000AA080000}"/>
    <cellStyle name="Normal 12 2" xfId="2104" xr:uid="{00000000-0005-0000-0000-0000AB080000}"/>
    <cellStyle name="Normal 12 2 2" xfId="2105" xr:uid="{00000000-0005-0000-0000-0000AC080000}"/>
    <cellStyle name="Normal 12 2 2 2" xfId="2106" xr:uid="{00000000-0005-0000-0000-0000AD080000}"/>
    <cellStyle name="Normal 12 2 3" xfId="2107" xr:uid="{00000000-0005-0000-0000-0000AE080000}"/>
    <cellStyle name="Normal 12 2 4" xfId="4675" xr:uid="{00000000-0005-0000-0000-0000AF080000}"/>
    <cellStyle name="Normal 12 2 4 2" xfId="4693" xr:uid="{00000000-0005-0000-0000-0000B0080000}"/>
    <cellStyle name="Normal 12 3" xfId="2108" xr:uid="{00000000-0005-0000-0000-0000B1080000}"/>
    <cellStyle name="Normal 12 3 2" xfId="2109" xr:uid="{00000000-0005-0000-0000-0000B2080000}"/>
    <cellStyle name="Normal 12 3 2 2" xfId="2110" xr:uid="{00000000-0005-0000-0000-0000B3080000}"/>
    <cellStyle name="Normal 12 3 3" xfId="2111" xr:uid="{00000000-0005-0000-0000-0000B4080000}"/>
    <cellStyle name="Normal 12 4" xfId="2112" xr:uid="{00000000-0005-0000-0000-0000B5080000}"/>
    <cellStyle name="Normal 12 4 2" xfId="2113" xr:uid="{00000000-0005-0000-0000-0000B6080000}"/>
    <cellStyle name="Normal 12 4 2 2" xfId="2114" xr:uid="{00000000-0005-0000-0000-0000B7080000}"/>
    <cellStyle name="Normal 12 4 3" xfId="2115" xr:uid="{00000000-0005-0000-0000-0000B8080000}"/>
    <cellStyle name="Normal 12 5" xfId="2116" xr:uid="{00000000-0005-0000-0000-0000B9080000}"/>
    <cellStyle name="Normal 12 5 2" xfId="2117" xr:uid="{00000000-0005-0000-0000-0000BA080000}"/>
    <cellStyle name="Normal 12 5 2 2" xfId="2118" xr:uid="{00000000-0005-0000-0000-0000BB080000}"/>
    <cellStyle name="Normal 12 5 3" xfId="2119" xr:uid="{00000000-0005-0000-0000-0000BC080000}"/>
    <cellStyle name="Normal 12 6" xfId="2120" xr:uid="{00000000-0005-0000-0000-0000BD080000}"/>
    <cellStyle name="Normal 12 6 2" xfId="2121" xr:uid="{00000000-0005-0000-0000-0000BE080000}"/>
    <cellStyle name="Normal 12 6 2 2" xfId="2122" xr:uid="{00000000-0005-0000-0000-0000BF080000}"/>
    <cellStyle name="Normal 12 6 3" xfId="2123" xr:uid="{00000000-0005-0000-0000-0000C0080000}"/>
    <cellStyle name="Normal 12 7" xfId="2124" xr:uid="{00000000-0005-0000-0000-0000C1080000}"/>
    <cellStyle name="Normal 12 7 2" xfId="2125" xr:uid="{00000000-0005-0000-0000-0000C2080000}"/>
    <cellStyle name="Normal 12 7 2 2" xfId="2126" xr:uid="{00000000-0005-0000-0000-0000C3080000}"/>
    <cellStyle name="Normal 12 7 3" xfId="2127" xr:uid="{00000000-0005-0000-0000-0000C4080000}"/>
    <cellStyle name="Normal 12 8" xfId="2128" xr:uid="{00000000-0005-0000-0000-0000C5080000}"/>
    <cellStyle name="Normal 12 8 2" xfId="2129" xr:uid="{00000000-0005-0000-0000-0000C6080000}"/>
    <cellStyle name="Normal 12 8 2 2" xfId="2130" xr:uid="{00000000-0005-0000-0000-0000C7080000}"/>
    <cellStyle name="Normal 12 8 3" xfId="2131" xr:uid="{00000000-0005-0000-0000-0000C8080000}"/>
    <cellStyle name="Normal 12 9" xfId="2132" xr:uid="{00000000-0005-0000-0000-0000C9080000}"/>
    <cellStyle name="Normal 12 9 2" xfId="2133" xr:uid="{00000000-0005-0000-0000-0000CA080000}"/>
    <cellStyle name="Normal 12 9 2 2" xfId="2134" xr:uid="{00000000-0005-0000-0000-0000CB080000}"/>
    <cellStyle name="Normal 12 9 3" xfId="2135" xr:uid="{00000000-0005-0000-0000-0000CC080000}"/>
    <cellStyle name="Normal 13" xfId="2136" xr:uid="{00000000-0005-0000-0000-0000CD080000}"/>
    <cellStyle name="Normal 13 2" xfId="2137" xr:uid="{00000000-0005-0000-0000-0000CE080000}"/>
    <cellStyle name="Normal 13 2 2" xfId="4680" xr:uid="{00000000-0005-0000-0000-0000CF080000}"/>
    <cellStyle name="Normal 13 2 2 2" xfId="4690" xr:uid="{00000000-0005-0000-0000-0000D0080000}"/>
    <cellStyle name="Normal 13 3" xfId="4325" xr:uid="{00000000-0005-0000-0000-0000D1080000}"/>
    <cellStyle name="Normal 14" xfId="2138" xr:uid="{00000000-0005-0000-0000-0000D2080000}"/>
    <cellStyle name="Normal 14 10" xfId="2139" xr:uid="{00000000-0005-0000-0000-0000D3080000}"/>
    <cellStyle name="Normal 14 10 2" xfId="2140" xr:uid="{00000000-0005-0000-0000-0000D4080000}"/>
    <cellStyle name="Normal 14 10 2 2" xfId="2141" xr:uid="{00000000-0005-0000-0000-0000D5080000}"/>
    <cellStyle name="Normal 14 10 3" xfId="2142" xr:uid="{00000000-0005-0000-0000-0000D6080000}"/>
    <cellStyle name="Normal 14 11" xfId="2143" xr:uid="{00000000-0005-0000-0000-0000D7080000}"/>
    <cellStyle name="Normal 14 11 2" xfId="2144" xr:uid="{00000000-0005-0000-0000-0000D8080000}"/>
    <cellStyle name="Normal 14 11 2 2" xfId="2145" xr:uid="{00000000-0005-0000-0000-0000D9080000}"/>
    <cellStyle name="Normal 14 11 3" xfId="2146" xr:uid="{00000000-0005-0000-0000-0000DA080000}"/>
    <cellStyle name="Normal 14 12" xfId="2147" xr:uid="{00000000-0005-0000-0000-0000DB080000}"/>
    <cellStyle name="Normal 14 12 2" xfId="2148" xr:uid="{00000000-0005-0000-0000-0000DC080000}"/>
    <cellStyle name="Normal 14 12 2 2" xfId="2149" xr:uid="{00000000-0005-0000-0000-0000DD080000}"/>
    <cellStyle name="Normal 14 12 3" xfId="2150" xr:uid="{00000000-0005-0000-0000-0000DE080000}"/>
    <cellStyle name="Normal 14 13" xfId="2151" xr:uid="{00000000-0005-0000-0000-0000DF080000}"/>
    <cellStyle name="Normal 14 13 2" xfId="2152" xr:uid="{00000000-0005-0000-0000-0000E0080000}"/>
    <cellStyle name="Normal 14 13 2 2" xfId="2153" xr:uid="{00000000-0005-0000-0000-0000E1080000}"/>
    <cellStyle name="Normal 14 13 3" xfId="2154" xr:uid="{00000000-0005-0000-0000-0000E2080000}"/>
    <cellStyle name="Normal 14 14" xfId="2155" xr:uid="{00000000-0005-0000-0000-0000E3080000}"/>
    <cellStyle name="Normal 14 14 2" xfId="2156" xr:uid="{00000000-0005-0000-0000-0000E4080000}"/>
    <cellStyle name="Normal 14 14 2 2" xfId="2157" xr:uid="{00000000-0005-0000-0000-0000E5080000}"/>
    <cellStyle name="Normal 14 14 3" xfId="2158" xr:uid="{00000000-0005-0000-0000-0000E6080000}"/>
    <cellStyle name="Normal 14 15" xfId="2159" xr:uid="{00000000-0005-0000-0000-0000E7080000}"/>
    <cellStyle name="Normal 14 15 2" xfId="2160" xr:uid="{00000000-0005-0000-0000-0000E8080000}"/>
    <cellStyle name="Normal 14 15 2 2" xfId="2161" xr:uid="{00000000-0005-0000-0000-0000E9080000}"/>
    <cellStyle name="Normal 14 15 3" xfId="2162" xr:uid="{00000000-0005-0000-0000-0000EA080000}"/>
    <cellStyle name="Normal 14 15 3 2" xfId="2163" xr:uid="{00000000-0005-0000-0000-0000EB080000}"/>
    <cellStyle name="Normal 14 15 4" xfId="2164" xr:uid="{00000000-0005-0000-0000-0000EC080000}"/>
    <cellStyle name="Normal 14 16" xfId="2165" xr:uid="{00000000-0005-0000-0000-0000ED080000}"/>
    <cellStyle name="Normal 14 16 2" xfId="2166" xr:uid="{00000000-0005-0000-0000-0000EE080000}"/>
    <cellStyle name="Normal 14 17" xfId="2167" xr:uid="{00000000-0005-0000-0000-0000EF080000}"/>
    <cellStyle name="Normal 14 17 2" xfId="2168" xr:uid="{00000000-0005-0000-0000-0000F0080000}"/>
    <cellStyle name="Normal 14 18" xfId="2169" xr:uid="{00000000-0005-0000-0000-0000F1080000}"/>
    <cellStyle name="Normal 14 18 2" xfId="2170" xr:uid="{00000000-0005-0000-0000-0000F2080000}"/>
    <cellStyle name="Normal 14 19" xfId="2171" xr:uid="{00000000-0005-0000-0000-0000F3080000}"/>
    <cellStyle name="Normal 14 19 2" xfId="2172" xr:uid="{00000000-0005-0000-0000-0000F4080000}"/>
    <cellStyle name="Normal 14 2" xfId="2173" xr:uid="{00000000-0005-0000-0000-0000F5080000}"/>
    <cellStyle name="Normal 14 2 2" xfId="2174" xr:uid="{00000000-0005-0000-0000-0000F6080000}"/>
    <cellStyle name="Normal 14 2 2 2" xfId="2175" xr:uid="{00000000-0005-0000-0000-0000F7080000}"/>
    <cellStyle name="Normal 14 2 3" xfId="2176" xr:uid="{00000000-0005-0000-0000-0000F8080000}"/>
    <cellStyle name="Normal 14 20" xfId="2177" xr:uid="{00000000-0005-0000-0000-0000F9080000}"/>
    <cellStyle name="Normal 14 3" xfId="2178" xr:uid="{00000000-0005-0000-0000-0000FA080000}"/>
    <cellStyle name="Normal 14 3 2" xfId="2179" xr:uid="{00000000-0005-0000-0000-0000FB080000}"/>
    <cellStyle name="Normal 14 3 2 2" xfId="2180" xr:uid="{00000000-0005-0000-0000-0000FC080000}"/>
    <cellStyle name="Normal 14 3 3" xfId="2181" xr:uid="{00000000-0005-0000-0000-0000FD080000}"/>
    <cellStyle name="Normal 14 4" xfId="2182" xr:uid="{00000000-0005-0000-0000-0000FE080000}"/>
    <cellStyle name="Normal 14 4 2" xfId="2183" xr:uid="{00000000-0005-0000-0000-0000FF080000}"/>
    <cellStyle name="Normal 14 4 2 2" xfId="2184" xr:uid="{00000000-0005-0000-0000-000000090000}"/>
    <cellStyle name="Normal 14 4 3" xfId="2185" xr:uid="{00000000-0005-0000-0000-000001090000}"/>
    <cellStyle name="Normal 14 5" xfId="2186" xr:uid="{00000000-0005-0000-0000-000002090000}"/>
    <cellStyle name="Normal 14 5 2" xfId="2187" xr:uid="{00000000-0005-0000-0000-000003090000}"/>
    <cellStyle name="Normal 14 5 2 2" xfId="2188" xr:uid="{00000000-0005-0000-0000-000004090000}"/>
    <cellStyle name="Normal 14 5 3" xfId="2189" xr:uid="{00000000-0005-0000-0000-000005090000}"/>
    <cellStyle name="Normal 14 6" xfId="2190" xr:uid="{00000000-0005-0000-0000-000006090000}"/>
    <cellStyle name="Normal 14 6 2" xfId="2191" xr:uid="{00000000-0005-0000-0000-000007090000}"/>
    <cellStyle name="Normal 14 6 2 2" xfId="2192" xr:uid="{00000000-0005-0000-0000-000008090000}"/>
    <cellStyle name="Normal 14 6 3" xfId="2193" xr:uid="{00000000-0005-0000-0000-000009090000}"/>
    <cellStyle name="Normal 14 7" xfId="2194" xr:uid="{00000000-0005-0000-0000-00000A090000}"/>
    <cellStyle name="Normal 14 7 2" xfId="2195" xr:uid="{00000000-0005-0000-0000-00000B090000}"/>
    <cellStyle name="Normal 14 7 2 2" xfId="2196" xr:uid="{00000000-0005-0000-0000-00000C090000}"/>
    <cellStyle name="Normal 14 7 3" xfId="2197" xr:uid="{00000000-0005-0000-0000-00000D090000}"/>
    <cellStyle name="Normal 14 8" xfId="2198" xr:uid="{00000000-0005-0000-0000-00000E090000}"/>
    <cellStyle name="Normal 14 8 2" xfId="2199" xr:uid="{00000000-0005-0000-0000-00000F090000}"/>
    <cellStyle name="Normal 14 8 2 2" xfId="2200" xr:uid="{00000000-0005-0000-0000-000010090000}"/>
    <cellStyle name="Normal 14 8 3" xfId="2201" xr:uid="{00000000-0005-0000-0000-000011090000}"/>
    <cellStyle name="Normal 14 9" xfId="2202" xr:uid="{00000000-0005-0000-0000-000012090000}"/>
    <cellStyle name="Normal 14 9 2" xfId="2203" xr:uid="{00000000-0005-0000-0000-000013090000}"/>
    <cellStyle name="Normal 14 9 2 2" xfId="2204" xr:uid="{00000000-0005-0000-0000-000014090000}"/>
    <cellStyle name="Normal 14 9 3" xfId="2205" xr:uid="{00000000-0005-0000-0000-000015090000}"/>
    <cellStyle name="Normal 15" xfId="2206" xr:uid="{00000000-0005-0000-0000-000016090000}"/>
    <cellStyle name="Normal 15 2" xfId="4686" xr:uid="{00000000-0005-0000-0000-000017090000}"/>
    <cellStyle name="Normal 15 2 2" xfId="4687" xr:uid="{00000000-0005-0000-0000-000018090000}"/>
    <cellStyle name="Normal 16" xfId="2207" xr:uid="{00000000-0005-0000-0000-000019090000}"/>
    <cellStyle name="Normal 16 10" xfId="2208" xr:uid="{00000000-0005-0000-0000-00001A090000}"/>
    <cellStyle name="Normal 16 10 2" xfId="2209" xr:uid="{00000000-0005-0000-0000-00001B090000}"/>
    <cellStyle name="Normal 16 10 2 2" xfId="2210" xr:uid="{00000000-0005-0000-0000-00001C090000}"/>
    <cellStyle name="Normal 16 10 3" xfId="2211" xr:uid="{00000000-0005-0000-0000-00001D090000}"/>
    <cellStyle name="Normal 16 11" xfId="2212" xr:uid="{00000000-0005-0000-0000-00001E090000}"/>
    <cellStyle name="Normal 16 11 2" xfId="2213" xr:uid="{00000000-0005-0000-0000-00001F090000}"/>
    <cellStyle name="Normal 16 11 2 2" xfId="2214" xr:uid="{00000000-0005-0000-0000-000020090000}"/>
    <cellStyle name="Normal 16 11 3" xfId="2215" xr:uid="{00000000-0005-0000-0000-000021090000}"/>
    <cellStyle name="Normal 16 12" xfId="2216" xr:uid="{00000000-0005-0000-0000-000022090000}"/>
    <cellStyle name="Normal 16 12 2" xfId="2217" xr:uid="{00000000-0005-0000-0000-000023090000}"/>
    <cellStyle name="Normal 16 12 2 2" xfId="2218" xr:uid="{00000000-0005-0000-0000-000024090000}"/>
    <cellStyle name="Normal 16 12 3" xfId="2219" xr:uid="{00000000-0005-0000-0000-000025090000}"/>
    <cellStyle name="Normal 16 13" xfId="2220" xr:uid="{00000000-0005-0000-0000-000026090000}"/>
    <cellStyle name="Normal 16 13 2" xfId="2221" xr:uid="{00000000-0005-0000-0000-000027090000}"/>
    <cellStyle name="Normal 16 13 2 2" xfId="2222" xr:uid="{00000000-0005-0000-0000-000028090000}"/>
    <cellStyle name="Normal 16 13 3" xfId="2223" xr:uid="{00000000-0005-0000-0000-000029090000}"/>
    <cellStyle name="Normal 16 14" xfId="2224" xr:uid="{00000000-0005-0000-0000-00002A090000}"/>
    <cellStyle name="Normal 16 14 2" xfId="2225" xr:uid="{00000000-0005-0000-0000-00002B090000}"/>
    <cellStyle name="Normal 16 14 2 2" xfId="2226" xr:uid="{00000000-0005-0000-0000-00002C090000}"/>
    <cellStyle name="Normal 16 14 3" xfId="2227" xr:uid="{00000000-0005-0000-0000-00002D090000}"/>
    <cellStyle name="Normal 16 15" xfId="2228" xr:uid="{00000000-0005-0000-0000-00002E090000}"/>
    <cellStyle name="Normal 16 15 2" xfId="2229" xr:uid="{00000000-0005-0000-0000-00002F090000}"/>
    <cellStyle name="Normal 16 15 2 2" xfId="2230" xr:uid="{00000000-0005-0000-0000-000030090000}"/>
    <cellStyle name="Normal 16 15 3" xfId="2231" xr:uid="{00000000-0005-0000-0000-000031090000}"/>
    <cellStyle name="Normal 16 16" xfId="2232" xr:uid="{00000000-0005-0000-0000-000032090000}"/>
    <cellStyle name="Normal 16 16 2" xfId="2233" xr:uid="{00000000-0005-0000-0000-000033090000}"/>
    <cellStyle name="Normal 16 17" xfId="2234" xr:uid="{00000000-0005-0000-0000-000034090000}"/>
    <cellStyle name="Normal 16 17 2" xfId="2235" xr:uid="{00000000-0005-0000-0000-000035090000}"/>
    <cellStyle name="Normal 16 18" xfId="2236" xr:uid="{00000000-0005-0000-0000-000036090000}"/>
    <cellStyle name="Normal 16 18 2" xfId="2237" xr:uid="{00000000-0005-0000-0000-000037090000}"/>
    <cellStyle name="Normal 16 19" xfId="2238" xr:uid="{00000000-0005-0000-0000-000038090000}"/>
    <cellStyle name="Normal 16 19 2" xfId="2239" xr:uid="{00000000-0005-0000-0000-000039090000}"/>
    <cellStyle name="Normal 16 2" xfId="2240" xr:uid="{00000000-0005-0000-0000-00003A090000}"/>
    <cellStyle name="Normal 16 2 2" xfId="2241" xr:uid="{00000000-0005-0000-0000-00003B090000}"/>
    <cellStyle name="Normal 16 2 2 2" xfId="2242" xr:uid="{00000000-0005-0000-0000-00003C090000}"/>
    <cellStyle name="Normal 16 2 3" xfId="2243" xr:uid="{00000000-0005-0000-0000-00003D090000}"/>
    <cellStyle name="Normal 16 20" xfId="2244" xr:uid="{00000000-0005-0000-0000-00003E090000}"/>
    <cellStyle name="Normal 16 20 2" xfId="2245" xr:uid="{00000000-0005-0000-0000-00003F090000}"/>
    <cellStyle name="Normal 16 21" xfId="2246" xr:uid="{00000000-0005-0000-0000-000040090000}"/>
    <cellStyle name="Normal 16 21 2" xfId="2247" xr:uid="{00000000-0005-0000-0000-000041090000}"/>
    <cellStyle name="Normal 16 22" xfId="2248" xr:uid="{00000000-0005-0000-0000-000042090000}"/>
    <cellStyle name="Normal 16 22 2" xfId="2249" xr:uid="{00000000-0005-0000-0000-000043090000}"/>
    <cellStyle name="Normal 16 23" xfId="2250" xr:uid="{00000000-0005-0000-0000-000044090000}"/>
    <cellStyle name="Normal 16 3" xfId="2251" xr:uid="{00000000-0005-0000-0000-000045090000}"/>
    <cellStyle name="Normal 16 3 2" xfId="2252" xr:uid="{00000000-0005-0000-0000-000046090000}"/>
    <cellStyle name="Normal 16 3 2 2" xfId="2253" xr:uid="{00000000-0005-0000-0000-000047090000}"/>
    <cellStyle name="Normal 16 3 3" xfId="2254" xr:uid="{00000000-0005-0000-0000-000048090000}"/>
    <cellStyle name="Normal 16 4" xfId="2255" xr:uid="{00000000-0005-0000-0000-000049090000}"/>
    <cellStyle name="Normal 16 4 2" xfId="2256" xr:uid="{00000000-0005-0000-0000-00004A090000}"/>
    <cellStyle name="Normal 16 4 2 2" xfId="2257" xr:uid="{00000000-0005-0000-0000-00004B090000}"/>
    <cellStyle name="Normal 16 4 3" xfId="2258" xr:uid="{00000000-0005-0000-0000-00004C090000}"/>
    <cellStyle name="Normal 16 5" xfId="2259" xr:uid="{00000000-0005-0000-0000-00004D090000}"/>
    <cellStyle name="Normal 16 5 2" xfId="2260" xr:uid="{00000000-0005-0000-0000-00004E090000}"/>
    <cellStyle name="Normal 16 5 2 2" xfId="2261" xr:uid="{00000000-0005-0000-0000-00004F090000}"/>
    <cellStyle name="Normal 16 5 3" xfId="2262" xr:uid="{00000000-0005-0000-0000-000050090000}"/>
    <cellStyle name="Normal 16 6" xfId="2263" xr:uid="{00000000-0005-0000-0000-000051090000}"/>
    <cellStyle name="Normal 16 6 2" xfId="2264" xr:uid="{00000000-0005-0000-0000-000052090000}"/>
    <cellStyle name="Normal 16 6 2 2" xfId="2265" xr:uid="{00000000-0005-0000-0000-000053090000}"/>
    <cellStyle name="Normal 16 6 3" xfId="2266" xr:uid="{00000000-0005-0000-0000-000054090000}"/>
    <cellStyle name="Normal 16 7" xfId="2267" xr:uid="{00000000-0005-0000-0000-000055090000}"/>
    <cellStyle name="Normal 16 7 2" xfId="2268" xr:uid="{00000000-0005-0000-0000-000056090000}"/>
    <cellStyle name="Normal 16 7 2 2" xfId="2269" xr:uid="{00000000-0005-0000-0000-000057090000}"/>
    <cellStyle name="Normal 16 7 3" xfId="2270" xr:uid="{00000000-0005-0000-0000-000058090000}"/>
    <cellStyle name="Normal 16 8" xfId="2271" xr:uid="{00000000-0005-0000-0000-000059090000}"/>
    <cellStyle name="Normal 16 8 2" xfId="2272" xr:uid="{00000000-0005-0000-0000-00005A090000}"/>
    <cellStyle name="Normal 16 8 2 2" xfId="2273" xr:uid="{00000000-0005-0000-0000-00005B090000}"/>
    <cellStyle name="Normal 16 8 3" xfId="2274" xr:uid="{00000000-0005-0000-0000-00005C090000}"/>
    <cellStyle name="Normal 16 9" xfId="2275" xr:uid="{00000000-0005-0000-0000-00005D090000}"/>
    <cellStyle name="Normal 16 9 2" xfId="2276" xr:uid="{00000000-0005-0000-0000-00005E090000}"/>
    <cellStyle name="Normal 16 9 2 2" xfId="2277" xr:uid="{00000000-0005-0000-0000-00005F090000}"/>
    <cellStyle name="Normal 16 9 3" xfId="2278" xr:uid="{00000000-0005-0000-0000-000060090000}"/>
    <cellStyle name="Normal 160 3 2" xfId="4694" xr:uid="{00000000-0005-0000-0000-000061090000}"/>
    <cellStyle name="Normal 17" xfId="2279" xr:uid="{00000000-0005-0000-0000-000062090000}"/>
    <cellStyle name="Normal 17 2" xfId="2280" xr:uid="{00000000-0005-0000-0000-000063090000}"/>
    <cellStyle name="Normal 17 2 2" xfId="2281" xr:uid="{00000000-0005-0000-0000-000064090000}"/>
    <cellStyle name="Normal 17 2 2 2" xfId="2282" xr:uid="{00000000-0005-0000-0000-000065090000}"/>
    <cellStyle name="Normal 17 2 2 2 2" xfId="2283" xr:uid="{00000000-0005-0000-0000-000066090000}"/>
    <cellStyle name="Normal 17 2 2 3" xfId="2284" xr:uid="{00000000-0005-0000-0000-000067090000}"/>
    <cellStyle name="Normal 17 2 3" xfId="2285" xr:uid="{00000000-0005-0000-0000-000068090000}"/>
    <cellStyle name="Normal 17 2 3 2" xfId="2286" xr:uid="{00000000-0005-0000-0000-000069090000}"/>
    <cellStyle name="Normal 17 2 3 2 2" xfId="2287" xr:uid="{00000000-0005-0000-0000-00006A090000}"/>
    <cellStyle name="Normal 17 2 3 3" xfId="2288" xr:uid="{00000000-0005-0000-0000-00006B090000}"/>
    <cellStyle name="Normal 17 2 4" xfId="2289" xr:uid="{00000000-0005-0000-0000-00006C090000}"/>
    <cellStyle name="Normal 17 2 4 2" xfId="2290" xr:uid="{00000000-0005-0000-0000-00006D090000}"/>
    <cellStyle name="Normal 17 2 5" xfId="2291" xr:uid="{00000000-0005-0000-0000-00006E090000}"/>
    <cellStyle name="Normal 17 3" xfId="2292" xr:uid="{00000000-0005-0000-0000-00006F090000}"/>
    <cellStyle name="Normal 17 3 2" xfId="2293" xr:uid="{00000000-0005-0000-0000-000070090000}"/>
    <cellStyle name="Normal 17 4" xfId="2294" xr:uid="{00000000-0005-0000-0000-000071090000}"/>
    <cellStyle name="Normal 17 4 2" xfId="2295" xr:uid="{00000000-0005-0000-0000-000072090000}"/>
    <cellStyle name="Normal 17 5" xfId="2296" xr:uid="{00000000-0005-0000-0000-000073090000}"/>
    <cellStyle name="Normal 17 5 2" xfId="2297" xr:uid="{00000000-0005-0000-0000-000074090000}"/>
    <cellStyle name="Normal 17 6" xfId="2298" xr:uid="{00000000-0005-0000-0000-000075090000}"/>
    <cellStyle name="Normal 17 6 2" xfId="2299" xr:uid="{00000000-0005-0000-0000-000076090000}"/>
    <cellStyle name="Normal 17 7" xfId="2300" xr:uid="{00000000-0005-0000-0000-000077090000}"/>
    <cellStyle name="Normal 18" xfId="2301" xr:uid="{00000000-0005-0000-0000-000078090000}"/>
    <cellStyle name="Normal 18 10" xfId="2302" xr:uid="{00000000-0005-0000-0000-000079090000}"/>
    <cellStyle name="Normal 18 10 2" xfId="2303" xr:uid="{00000000-0005-0000-0000-00007A090000}"/>
    <cellStyle name="Normal 18 10 2 2" xfId="2304" xr:uid="{00000000-0005-0000-0000-00007B090000}"/>
    <cellStyle name="Normal 18 10 3" xfId="2305" xr:uid="{00000000-0005-0000-0000-00007C090000}"/>
    <cellStyle name="Normal 18 11" xfId="2306" xr:uid="{00000000-0005-0000-0000-00007D090000}"/>
    <cellStyle name="Normal 18 11 2" xfId="2307" xr:uid="{00000000-0005-0000-0000-00007E090000}"/>
    <cellStyle name="Normal 18 11 2 2" xfId="2308" xr:uid="{00000000-0005-0000-0000-00007F090000}"/>
    <cellStyle name="Normal 18 11 3" xfId="2309" xr:uid="{00000000-0005-0000-0000-000080090000}"/>
    <cellStyle name="Normal 18 12" xfId="2310" xr:uid="{00000000-0005-0000-0000-000081090000}"/>
    <cellStyle name="Normal 18 12 2" xfId="2311" xr:uid="{00000000-0005-0000-0000-000082090000}"/>
    <cellStyle name="Normal 18 12 2 2" xfId="2312" xr:uid="{00000000-0005-0000-0000-000083090000}"/>
    <cellStyle name="Normal 18 12 3" xfId="2313" xr:uid="{00000000-0005-0000-0000-000084090000}"/>
    <cellStyle name="Normal 18 13" xfId="2314" xr:uid="{00000000-0005-0000-0000-000085090000}"/>
    <cellStyle name="Normal 18 13 2" xfId="2315" xr:uid="{00000000-0005-0000-0000-000086090000}"/>
    <cellStyle name="Normal 18 13 2 2" xfId="2316" xr:uid="{00000000-0005-0000-0000-000087090000}"/>
    <cellStyle name="Normal 18 13 3" xfId="2317" xr:uid="{00000000-0005-0000-0000-000088090000}"/>
    <cellStyle name="Normal 18 14" xfId="2318" xr:uid="{00000000-0005-0000-0000-000089090000}"/>
    <cellStyle name="Normal 18 14 2" xfId="2319" xr:uid="{00000000-0005-0000-0000-00008A090000}"/>
    <cellStyle name="Normal 18 14 2 2" xfId="2320" xr:uid="{00000000-0005-0000-0000-00008B090000}"/>
    <cellStyle name="Normal 18 14 3" xfId="2321" xr:uid="{00000000-0005-0000-0000-00008C090000}"/>
    <cellStyle name="Normal 18 15" xfId="2322" xr:uid="{00000000-0005-0000-0000-00008D090000}"/>
    <cellStyle name="Normal 18 15 2" xfId="2323" xr:uid="{00000000-0005-0000-0000-00008E090000}"/>
    <cellStyle name="Normal 18 15 2 2" xfId="2324" xr:uid="{00000000-0005-0000-0000-00008F090000}"/>
    <cellStyle name="Normal 18 15 3" xfId="2325" xr:uid="{00000000-0005-0000-0000-000090090000}"/>
    <cellStyle name="Normal 18 16" xfId="2326" xr:uid="{00000000-0005-0000-0000-000091090000}"/>
    <cellStyle name="Normal 18 16 2" xfId="2327" xr:uid="{00000000-0005-0000-0000-000092090000}"/>
    <cellStyle name="Normal 18 17" xfId="2328" xr:uid="{00000000-0005-0000-0000-000093090000}"/>
    <cellStyle name="Normal 18 17 2" xfId="2329" xr:uid="{00000000-0005-0000-0000-000094090000}"/>
    <cellStyle name="Normal 18 18" xfId="2330" xr:uid="{00000000-0005-0000-0000-000095090000}"/>
    <cellStyle name="Normal 18 18 2" xfId="2331" xr:uid="{00000000-0005-0000-0000-000096090000}"/>
    <cellStyle name="Normal 18 19" xfId="2332" xr:uid="{00000000-0005-0000-0000-000097090000}"/>
    <cellStyle name="Normal 18 19 2" xfId="2333" xr:uid="{00000000-0005-0000-0000-000098090000}"/>
    <cellStyle name="Normal 18 2" xfId="2334" xr:uid="{00000000-0005-0000-0000-000099090000}"/>
    <cellStyle name="Normal 18 2 2" xfId="2335" xr:uid="{00000000-0005-0000-0000-00009A090000}"/>
    <cellStyle name="Normal 18 2 2 2" xfId="2336" xr:uid="{00000000-0005-0000-0000-00009B090000}"/>
    <cellStyle name="Normal 18 2 3" xfId="2337" xr:uid="{00000000-0005-0000-0000-00009C090000}"/>
    <cellStyle name="Normal 18 20" xfId="2338" xr:uid="{00000000-0005-0000-0000-00009D090000}"/>
    <cellStyle name="Normal 18 20 2" xfId="2339" xr:uid="{00000000-0005-0000-0000-00009E090000}"/>
    <cellStyle name="Normal 18 21" xfId="2340" xr:uid="{00000000-0005-0000-0000-00009F090000}"/>
    <cellStyle name="Normal 18 21 2" xfId="2341" xr:uid="{00000000-0005-0000-0000-0000A0090000}"/>
    <cellStyle name="Normal 18 22" xfId="2342" xr:uid="{00000000-0005-0000-0000-0000A1090000}"/>
    <cellStyle name="Normal 18 3" xfId="2343" xr:uid="{00000000-0005-0000-0000-0000A2090000}"/>
    <cellStyle name="Normal 18 3 2" xfId="2344" xr:uid="{00000000-0005-0000-0000-0000A3090000}"/>
    <cellStyle name="Normal 18 3 2 2" xfId="2345" xr:uid="{00000000-0005-0000-0000-0000A4090000}"/>
    <cellStyle name="Normal 18 3 3" xfId="2346" xr:uid="{00000000-0005-0000-0000-0000A5090000}"/>
    <cellStyle name="Normal 18 4" xfId="2347" xr:uid="{00000000-0005-0000-0000-0000A6090000}"/>
    <cellStyle name="Normal 18 4 2" xfId="2348" xr:uid="{00000000-0005-0000-0000-0000A7090000}"/>
    <cellStyle name="Normal 18 4 2 2" xfId="2349" xr:uid="{00000000-0005-0000-0000-0000A8090000}"/>
    <cellStyle name="Normal 18 4 3" xfId="2350" xr:uid="{00000000-0005-0000-0000-0000A9090000}"/>
    <cellStyle name="Normal 18 5" xfId="2351" xr:uid="{00000000-0005-0000-0000-0000AA090000}"/>
    <cellStyle name="Normal 18 5 2" xfId="2352" xr:uid="{00000000-0005-0000-0000-0000AB090000}"/>
    <cellStyle name="Normal 18 5 2 2" xfId="2353" xr:uid="{00000000-0005-0000-0000-0000AC090000}"/>
    <cellStyle name="Normal 18 5 3" xfId="2354" xr:uid="{00000000-0005-0000-0000-0000AD090000}"/>
    <cellStyle name="Normal 18 6" xfId="2355" xr:uid="{00000000-0005-0000-0000-0000AE090000}"/>
    <cellStyle name="Normal 18 6 2" xfId="2356" xr:uid="{00000000-0005-0000-0000-0000AF090000}"/>
    <cellStyle name="Normal 18 6 2 2" xfId="2357" xr:uid="{00000000-0005-0000-0000-0000B0090000}"/>
    <cellStyle name="Normal 18 6 3" xfId="2358" xr:uid="{00000000-0005-0000-0000-0000B1090000}"/>
    <cellStyle name="Normal 18 7" xfId="2359" xr:uid="{00000000-0005-0000-0000-0000B2090000}"/>
    <cellStyle name="Normal 18 7 2" xfId="2360" xr:uid="{00000000-0005-0000-0000-0000B3090000}"/>
    <cellStyle name="Normal 18 7 2 2" xfId="2361" xr:uid="{00000000-0005-0000-0000-0000B4090000}"/>
    <cellStyle name="Normal 18 7 3" xfId="2362" xr:uid="{00000000-0005-0000-0000-0000B5090000}"/>
    <cellStyle name="Normal 18 8" xfId="2363" xr:uid="{00000000-0005-0000-0000-0000B6090000}"/>
    <cellStyle name="Normal 18 8 2" xfId="2364" xr:uid="{00000000-0005-0000-0000-0000B7090000}"/>
    <cellStyle name="Normal 18 8 2 2" xfId="2365" xr:uid="{00000000-0005-0000-0000-0000B8090000}"/>
    <cellStyle name="Normal 18 8 3" xfId="2366" xr:uid="{00000000-0005-0000-0000-0000B9090000}"/>
    <cellStyle name="Normal 18 9" xfId="2367" xr:uid="{00000000-0005-0000-0000-0000BA090000}"/>
    <cellStyle name="Normal 18 9 2" xfId="2368" xr:uid="{00000000-0005-0000-0000-0000BB090000}"/>
    <cellStyle name="Normal 18 9 2 2" xfId="2369" xr:uid="{00000000-0005-0000-0000-0000BC090000}"/>
    <cellStyle name="Normal 18 9 3" xfId="2370" xr:uid="{00000000-0005-0000-0000-0000BD090000}"/>
    <cellStyle name="Normal 19" xfId="2371" xr:uid="{00000000-0005-0000-0000-0000BE090000}"/>
    <cellStyle name="Normal 19 10" xfId="2372" xr:uid="{00000000-0005-0000-0000-0000BF090000}"/>
    <cellStyle name="Normal 19 10 2" xfId="2373" xr:uid="{00000000-0005-0000-0000-0000C0090000}"/>
    <cellStyle name="Normal 19 10 2 2" xfId="2374" xr:uid="{00000000-0005-0000-0000-0000C1090000}"/>
    <cellStyle name="Normal 19 10 3" xfId="2375" xr:uid="{00000000-0005-0000-0000-0000C2090000}"/>
    <cellStyle name="Normal 19 11" xfId="2376" xr:uid="{00000000-0005-0000-0000-0000C3090000}"/>
    <cellStyle name="Normal 19 11 2" xfId="2377" xr:uid="{00000000-0005-0000-0000-0000C4090000}"/>
    <cellStyle name="Normal 19 11 2 2" xfId="2378" xr:uid="{00000000-0005-0000-0000-0000C5090000}"/>
    <cellStyle name="Normal 19 11 3" xfId="2379" xr:uid="{00000000-0005-0000-0000-0000C6090000}"/>
    <cellStyle name="Normal 19 12" xfId="2380" xr:uid="{00000000-0005-0000-0000-0000C7090000}"/>
    <cellStyle name="Normal 19 12 2" xfId="2381" xr:uid="{00000000-0005-0000-0000-0000C8090000}"/>
    <cellStyle name="Normal 19 12 2 2" xfId="2382" xr:uid="{00000000-0005-0000-0000-0000C9090000}"/>
    <cellStyle name="Normal 19 12 3" xfId="2383" xr:uid="{00000000-0005-0000-0000-0000CA090000}"/>
    <cellStyle name="Normal 19 13" xfId="2384" xr:uid="{00000000-0005-0000-0000-0000CB090000}"/>
    <cellStyle name="Normal 19 13 2" xfId="2385" xr:uid="{00000000-0005-0000-0000-0000CC090000}"/>
    <cellStyle name="Normal 19 13 2 2" xfId="2386" xr:uid="{00000000-0005-0000-0000-0000CD090000}"/>
    <cellStyle name="Normal 19 13 3" xfId="2387" xr:uid="{00000000-0005-0000-0000-0000CE090000}"/>
    <cellStyle name="Normal 19 14" xfId="2388" xr:uid="{00000000-0005-0000-0000-0000CF090000}"/>
    <cellStyle name="Normal 19 14 2" xfId="2389" xr:uid="{00000000-0005-0000-0000-0000D0090000}"/>
    <cellStyle name="Normal 19 14 2 2" xfId="2390" xr:uid="{00000000-0005-0000-0000-0000D1090000}"/>
    <cellStyle name="Normal 19 14 3" xfId="2391" xr:uid="{00000000-0005-0000-0000-0000D2090000}"/>
    <cellStyle name="Normal 19 15" xfId="2392" xr:uid="{00000000-0005-0000-0000-0000D3090000}"/>
    <cellStyle name="Normal 19 15 2" xfId="2393" xr:uid="{00000000-0005-0000-0000-0000D4090000}"/>
    <cellStyle name="Normal 19 15 2 2" xfId="2394" xr:uid="{00000000-0005-0000-0000-0000D5090000}"/>
    <cellStyle name="Normal 19 15 3" xfId="2395" xr:uid="{00000000-0005-0000-0000-0000D6090000}"/>
    <cellStyle name="Normal 19 16" xfId="2396" xr:uid="{00000000-0005-0000-0000-0000D7090000}"/>
    <cellStyle name="Normal 19 16 2" xfId="2397" xr:uid="{00000000-0005-0000-0000-0000D8090000}"/>
    <cellStyle name="Normal 19 17" xfId="2398" xr:uid="{00000000-0005-0000-0000-0000D9090000}"/>
    <cellStyle name="Normal 19 17 2" xfId="2399" xr:uid="{00000000-0005-0000-0000-0000DA090000}"/>
    <cellStyle name="Normal 19 18" xfId="2400" xr:uid="{00000000-0005-0000-0000-0000DB090000}"/>
    <cellStyle name="Normal 19 18 2" xfId="2401" xr:uid="{00000000-0005-0000-0000-0000DC090000}"/>
    <cellStyle name="Normal 19 19" xfId="2402" xr:uid="{00000000-0005-0000-0000-0000DD090000}"/>
    <cellStyle name="Normal 19 19 2" xfId="2403" xr:uid="{00000000-0005-0000-0000-0000DE090000}"/>
    <cellStyle name="Normal 19 2" xfId="2404" xr:uid="{00000000-0005-0000-0000-0000DF090000}"/>
    <cellStyle name="Normal 19 2 2" xfId="2405" xr:uid="{00000000-0005-0000-0000-0000E0090000}"/>
    <cellStyle name="Normal 19 2 2 2" xfId="2406" xr:uid="{00000000-0005-0000-0000-0000E1090000}"/>
    <cellStyle name="Normal 19 2 3" xfId="2407" xr:uid="{00000000-0005-0000-0000-0000E2090000}"/>
    <cellStyle name="Normal 19 20" xfId="2408" xr:uid="{00000000-0005-0000-0000-0000E3090000}"/>
    <cellStyle name="Normal 19 20 2" xfId="2409" xr:uid="{00000000-0005-0000-0000-0000E4090000}"/>
    <cellStyle name="Normal 19 21" xfId="2410" xr:uid="{00000000-0005-0000-0000-0000E5090000}"/>
    <cellStyle name="Normal 19 21 2" xfId="2411" xr:uid="{00000000-0005-0000-0000-0000E6090000}"/>
    <cellStyle name="Normal 19 22" xfId="2412" xr:uid="{00000000-0005-0000-0000-0000E7090000}"/>
    <cellStyle name="Normal 19 3" xfId="2413" xr:uid="{00000000-0005-0000-0000-0000E8090000}"/>
    <cellStyle name="Normal 19 3 2" xfId="2414" xr:uid="{00000000-0005-0000-0000-0000E9090000}"/>
    <cellStyle name="Normal 19 3 2 2" xfId="2415" xr:uid="{00000000-0005-0000-0000-0000EA090000}"/>
    <cellStyle name="Normal 19 3 3" xfId="2416" xr:uid="{00000000-0005-0000-0000-0000EB090000}"/>
    <cellStyle name="Normal 19 4" xfId="2417" xr:uid="{00000000-0005-0000-0000-0000EC090000}"/>
    <cellStyle name="Normal 19 4 2" xfId="2418" xr:uid="{00000000-0005-0000-0000-0000ED090000}"/>
    <cellStyle name="Normal 19 4 2 2" xfId="2419" xr:uid="{00000000-0005-0000-0000-0000EE090000}"/>
    <cellStyle name="Normal 19 4 3" xfId="2420" xr:uid="{00000000-0005-0000-0000-0000EF090000}"/>
    <cellStyle name="Normal 19 5" xfId="2421" xr:uid="{00000000-0005-0000-0000-0000F0090000}"/>
    <cellStyle name="Normal 19 5 2" xfId="2422" xr:uid="{00000000-0005-0000-0000-0000F1090000}"/>
    <cellStyle name="Normal 19 5 2 2" xfId="2423" xr:uid="{00000000-0005-0000-0000-0000F2090000}"/>
    <cellStyle name="Normal 19 5 3" xfId="2424" xr:uid="{00000000-0005-0000-0000-0000F3090000}"/>
    <cellStyle name="Normal 19 6" xfId="2425" xr:uid="{00000000-0005-0000-0000-0000F4090000}"/>
    <cellStyle name="Normal 19 6 2" xfId="2426" xr:uid="{00000000-0005-0000-0000-0000F5090000}"/>
    <cellStyle name="Normal 19 6 2 2" xfId="2427" xr:uid="{00000000-0005-0000-0000-0000F6090000}"/>
    <cellStyle name="Normal 19 6 3" xfId="2428" xr:uid="{00000000-0005-0000-0000-0000F7090000}"/>
    <cellStyle name="Normal 19 7" xfId="2429" xr:uid="{00000000-0005-0000-0000-0000F8090000}"/>
    <cellStyle name="Normal 19 7 2" xfId="2430" xr:uid="{00000000-0005-0000-0000-0000F9090000}"/>
    <cellStyle name="Normal 19 7 2 2" xfId="2431" xr:uid="{00000000-0005-0000-0000-0000FA090000}"/>
    <cellStyle name="Normal 19 7 3" xfId="2432" xr:uid="{00000000-0005-0000-0000-0000FB090000}"/>
    <cellStyle name="Normal 19 8" xfId="2433" xr:uid="{00000000-0005-0000-0000-0000FC090000}"/>
    <cellStyle name="Normal 19 8 2" xfId="2434" xr:uid="{00000000-0005-0000-0000-0000FD090000}"/>
    <cellStyle name="Normal 19 8 2 2" xfId="2435" xr:uid="{00000000-0005-0000-0000-0000FE090000}"/>
    <cellStyle name="Normal 19 8 3" xfId="2436" xr:uid="{00000000-0005-0000-0000-0000FF090000}"/>
    <cellStyle name="Normal 19 9" xfId="2437" xr:uid="{00000000-0005-0000-0000-0000000A0000}"/>
    <cellStyle name="Normal 19 9 2" xfId="2438" xr:uid="{00000000-0005-0000-0000-0000010A0000}"/>
    <cellStyle name="Normal 19 9 2 2" xfId="2439" xr:uid="{00000000-0005-0000-0000-0000020A0000}"/>
    <cellStyle name="Normal 19 9 3" xfId="2440" xr:uid="{00000000-0005-0000-0000-0000030A0000}"/>
    <cellStyle name="Normal 2" xfId="121" xr:uid="{00000000-0005-0000-0000-0000040A0000}"/>
    <cellStyle name="Normal 2 10" xfId="2441" xr:uid="{00000000-0005-0000-0000-0000050A0000}"/>
    <cellStyle name="Normal 2 10 2" xfId="2442" xr:uid="{00000000-0005-0000-0000-0000060A0000}"/>
    <cellStyle name="Normal 2 10 2 2" xfId="2443" xr:uid="{00000000-0005-0000-0000-0000070A0000}"/>
    <cellStyle name="Normal 2 10 3" xfId="2444" xr:uid="{00000000-0005-0000-0000-0000080A0000}"/>
    <cellStyle name="Normal 2 11" xfId="2445" xr:uid="{00000000-0005-0000-0000-0000090A0000}"/>
    <cellStyle name="Normal 2 11 2" xfId="2446" xr:uid="{00000000-0005-0000-0000-00000A0A0000}"/>
    <cellStyle name="Normal 2 11 2 2" xfId="2447" xr:uid="{00000000-0005-0000-0000-00000B0A0000}"/>
    <cellStyle name="Normal 2 11 3" xfId="2448" xr:uid="{00000000-0005-0000-0000-00000C0A0000}"/>
    <cellStyle name="Normal 2 12" xfId="2449" xr:uid="{00000000-0005-0000-0000-00000D0A0000}"/>
    <cellStyle name="Normal 2 12 2" xfId="2450" xr:uid="{00000000-0005-0000-0000-00000E0A0000}"/>
    <cellStyle name="Normal 2 12 2 2" xfId="2451" xr:uid="{00000000-0005-0000-0000-00000F0A0000}"/>
    <cellStyle name="Normal 2 12 3" xfId="2452" xr:uid="{00000000-0005-0000-0000-0000100A0000}"/>
    <cellStyle name="Normal 2 13" xfId="2453" xr:uid="{00000000-0005-0000-0000-0000110A0000}"/>
    <cellStyle name="Normal 2 13 2" xfId="2454" xr:uid="{00000000-0005-0000-0000-0000120A0000}"/>
    <cellStyle name="Normal 2 13 2 2" xfId="2455" xr:uid="{00000000-0005-0000-0000-0000130A0000}"/>
    <cellStyle name="Normal 2 13 3" xfId="2456" xr:uid="{00000000-0005-0000-0000-0000140A0000}"/>
    <cellStyle name="Normal 2 14" xfId="2457" xr:uid="{00000000-0005-0000-0000-0000150A0000}"/>
    <cellStyle name="Normal 2 14 2" xfId="2458" xr:uid="{00000000-0005-0000-0000-0000160A0000}"/>
    <cellStyle name="Normal 2 14 2 2" xfId="2459" xr:uid="{00000000-0005-0000-0000-0000170A0000}"/>
    <cellStyle name="Normal 2 14 3" xfId="2460" xr:uid="{00000000-0005-0000-0000-0000180A0000}"/>
    <cellStyle name="Normal 2 15" xfId="2461" xr:uid="{00000000-0005-0000-0000-0000190A0000}"/>
    <cellStyle name="Normal 2 15 2" xfId="2462" xr:uid="{00000000-0005-0000-0000-00001A0A0000}"/>
    <cellStyle name="Normal 2 15 2 2" xfId="2463" xr:uid="{00000000-0005-0000-0000-00001B0A0000}"/>
    <cellStyle name="Normal 2 15 3" xfId="2464" xr:uid="{00000000-0005-0000-0000-00001C0A0000}"/>
    <cellStyle name="Normal 2 16" xfId="2465" xr:uid="{00000000-0005-0000-0000-00001D0A0000}"/>
    <cellStyle name="Normal 2 16 2" xfId="2466" xr:uid="{00000000-0005-0000-0000-00001E0A0000}"/>
    <cellStyle name="Normal 2 17" xfId="2467" xr:uid="{00000000-0005-0000-0000-00001F0A0000}"/>
    <cellStyle name="Normal 2 17 2" xfId="2468" xr:uid="{00000000-0005-0000-0000-0000200A0000}"/>
    <cellStyle name="Normal 2 18" xfId="2469" xr:uid="{00000000-0005-0000-0000-0000210A0000}"/>
    <cellStyle name="Normal 2 18 2" xfId="2470" xr:uid="{00000000-0005-0000-0000-0000220A0000}"/>
    <cellStyle name="Normal 2 19" xfId="2471" xr:uid="{00000000-0005-0000-0000-0000230A0000}"/>
    <cellStyle name="Normal 2 19 2" xfId="2472" xr:uid="{00000000-0005-0000-0000-0000240A0000}"/>
    <cellStyle name="Normal 2 19 2 2" xfId="2473" xr:uid="{00000000-0005-0000-0000-0000250A0000}"/>
    <cellStyle name="Normal 2 19 3" xfId="2474" xr:uid="{00000000-0005-0000-0000-0000260A0000}"/>
    <cellStyle name="Normal 2 2" xfId="122" xr:uid="{00000000-0005-0000-0000-0000270A0000}"/>
    <cellStyle name="Normal 2 2 10" xfId="2475" xr:uid="{00000000-0005-0000-0000-0000280A0000}"/>
    <cellStyle name="Normal 2 2 2" xfId="2476" xr:uid="{00000000-0005-0000-0000-0000290A0000}"/>
    <cellStyle name="Normal 2 2 2 2" xfId="2477" xr:uid="{00000000-0005-0000-0000-00002A0A0000}"/>
    <cellStyle name="Normal 2 2 3" xfId="2478" xr:uid="{00000000-0005-0000-0000-00002B0A0000}"/>
    <cellStyle name="Normal 2 2 3 2" xfId="2479" xr:uid="{00000000-0005-0000-0000-00002C0A0000}"/>
    <cellStyle name="Normal 2 2 4" xfId="2480" xr:uid="{00000000-0005-0000-0000-00002D0A0000}"/>
    <cellStyle name="Normal 2 2 4 2" xfId="2481" xr:uid="{00000000-0005-0000-0000-00002E0A0000}"/>
    <cellStyle name="Normal 2 2 5" xfId="2482" xr:uid="{00000000-0005-0000-0000-00002F0A0000}"/>
    <cellStyle name="Normal 2 2 5 2" xfId="2483" xr:uid="{00000000-0005-0000-0000-0000300A0000}"/>
    <cellStyle name="Normal 2 2 6" xfId="2484" xr:uid="{00000000-0005-0000-0000-0000310A0000}"/>
    <cellStyle name="Normal 2 2 6 2" xfId="2485" xr:uid="{00000000-0005-0000-0000-0000320A0000}"/>
    <cellStyle name="Normal 2 2 7" xfId="2486" xr:uid="{00000000-0005-0000-0000-0000330A0000}"/>
    <cellStyle name="Normal 2 2 7 2" xfId="2487" xr:uid="{00000000-0005-0000-0000-0000340A0000}"/>
    <cellStyle name="Normal 2 2 8" xfId="2488" xr:uid="{00000000-0005-0000-0000-0000350A0000}"/>
    <cellStyle name="Normal 2 2 8 2" xfId="2489" xr:uid="{00000000-0005-0000-0000-0000360A0000}"/>
    <cellStyle name="Normal 2 2 9" xfId="2490" xr:uid="{00000000-0005-0000-0000-0000370A0000}"/>
    <cellStyle name="Normal 2 20" xfId="2491" xr:uid="{00000000-0005-0000-0000-0000380A0000}"/>
    <cellStyle name="Normal 2 21" xfId="2492" xr:uid="{00000000-0005-0000-0000-0000390A0000}"/>
    <cellStyle name="Normal 2 22" xfId="2493" xr:uid="{00000000-0005-0000-0000-00003A0A0000}"/>
    <cellStyle name="Normal 2 23" xfId="4698" xr:uid="{D7292CA5-C0CF-443E-AD4F-5B3D53AC8D4B}"/>
    <cellStyle name="Normal 2 3" xfId="2494" xr:uid="{00000000-0005-0000-0000-00003B0A0000}"/>
    <cellStyle name="Normal 2 3 2" xfId="2495" xr:uid="{00000000-0005-0000-0000-00003C0A0000}"/>
    <cellStyle name="Normal 2 3 2 2" xfId="2496" xr:uid="{00000000-0005-0000-0000-00003D0A0000}"/>
    <cellStyle name="Normal 2 3 3" xfId="2497" xr:uid="{00000000-0005-0000-0000-00003E0A0000}"/>
    <cellStyle name="Normal 2 4" xfId="2498" xr:uid="{00000000-0005-0000-0000-00003F0A0000}"/>
    <cellStyle name="Normal 2 4 2" xfId="2499" xr:uid="{00000000-0005-0000-0000-0000400A0000}"/>
    <cellStyle name="Normal 2 4 2 2" xfId="2500" xr:uid="{00000000-0005-0000-0000-0000410A0000}"/>
    <cellStyle name="Normal 2 4 3" xfId="2501" xr:uid="{00000000-0005-0000-0000-0000420A0000}"/>
    <cellStyle name="Normal 2 5" xfId="2502" xr:uid="{00000000-0005-0000-0000-0000430A0000}"/>
    <cellStyle name="Normal 2 5 2" xfId="2503" xr:uid="{00000000-0005-0000-0000-0000440A0000}"/>
    <cellStyle name="Normal 2 5 2 2" xfId="2504" xr:uid="{00000000-0005-0000-0000-0000450A0000}"/>
    <cellStyle name="Normal 2 5 3" xfId="2505" xr:uid="{00000000-0005-0000-0000-0000460A0000}"/>
    <cellStyle name="Normal 2 6" xfId="2506" xr:uid="{00000000-0005-0000-0000-0000470A0000}"/>
    <cellStyle name="Normal 2 6 2" xfId="2507" xr:uid="{00000000-0005-0000-0000-0000480A0000}"/>
    <cellStyle name="Normal 2 6 2 2" xfId="2508" xr:uid="{00000000-0005-0000-0000-0000490A0000}"/>
    <cellStyle name="Normal 2 6 3" xfId="2509" xr:uid="{00000000-0005-0000-0000-00004A0A0000}"/>
    <cellStyle name="Normal 2 7" xfId="2510" xr:uid="{00000000-0005-0000-0000-00004B0A0000}"/>
    <cellStyle name="Normal 2 7 2" xfId="2511" xr:uid="{00000000-0005-0000-0000-00004C0A0000}"/>
    <cellStyle name="Normal 2 7 2 2" xfId="2512" xr:uid="{00000000-0005-0000-0000-00004D0A0000}"/>
    <cellStyle name="Normal 2 7 3" xfId="2513" xr:uid="{00000000-0005-0000-0000-00004E0A0000}"/>
    <cellStyle name="Normal 2 8" xfId="2514" xr:uid="{00000000-0005-0000-0000-00004F0A0000}"/>
    <cellStyle name="Normal 2 8 2" xfId="2515" xr:uid="{00000000-0005-0000-0000-0000500A0000}"/>
    <cellStyle name="Normal 2 8 2 2" xfId="2516" xr:uid="{00000000-0005-0000-0000-0000510A0000}"/>
    <cellStyle name="Normal 2 8 3" xfId="2517" xr:uid="{00000000-0005-0000-0000-0000520A0000}"/>
    <cellStyle name="Normal 2 9" xfId="2518" xr:uid="{00000000-0005-0000-0000-0000530A0000}"/>
    <cellStyle name="Normal 2 9 2" xfId="2519" xr:uid="{00000000-0005-0000-0000-0000540A0000}"/>
    <cellStyle name="Normal 2 9 2 2" xfId="2520" xr:uid="{00000000-0005-0000-0000-0000550A0000}"/>
    <cellStyle name="Normal 2 9 3" xfId="2521" xr:uid="{00000000-0005-0000-0000-0000560A0000}"/>
    <cellStyle name="Normal 20" xfId="2522" xr:uid="{00000000-0005-0000-0000-0000570A0000}"/>
    <cellStyle name="Normal 20 10" xfId="2523" xr:uid="{00000000-0005-0000-0000-0000580A0000}"/>
    <cellStyle name="Normal 20 10 2" xfId="2524" xr:uid="{00000000-0005-0000-0000-0000590A0000}"/>
    <cellStyle name="Normal 20 10 2 2" xfId="2525" xr:uid="{00000000-0005-0000-0000-00005A0A0000}"/>
    <cellStyle name="Normal 20 10 3" xfId="2526" xr:uid="{00000000-0005-0000-0000-00005B0A0000}"/>
    <cellStyle name="Normal 20 10 3 2" xfId="2527" xr:uid="{00000000-0005-0000-0000-00005C0A0000}"/>
    <cellStyle name="Normal 20 10 4" xfId="2528" xr:uid="{00000000-0005-0000-0000-00005D0A0000}"/>
    <cellStyle name="Normal 20 11" xfId="2529" xr:uid="{00000000-0005-0000-0000-00005E0A0000}"/>
    <cellStyle name="Normal 20 11 2" xfId="2530" xr:uid="{00000000-0005-0000-0000-00005F0A0000}"/>
    <cellStyle name="Normal 20 11 2 2" xfId="2531" xr:uid="{00000000-0005-0000-0000-0000600A0000}"/>
    <cellStyle name="Normal 20 11 3" xfId="2532" xr:uid="{00000000-0005-0000-0000-0000610A0000}"/>
    <cellStyle name="Normal 20 12" xfId="2533" xr:uid="{00000000-0005-0000-0000-0000620A0000}"/>
    <cellStyle name="Normal 20 12 2" xfId="2534" xr:uid="{00000000-0005-0000-0000-0000630A0000}"/>
    <cellStyle name="Normal 20 12 2 2" xfId="2535" xr:uid="{00000000-0005-0000-0000-0000640A0000}"/>
    <cellStyle name="Normal 20 12 3" xfId="2536" xr:uid="{00000000-0005-0000-0000-0000650A0000}"/>
    <cellStyle name="Normal 20 13" xfId="2537" xr:uid="{00000000-0005-0000-0000-0000660A0000}"/>
    <cellStyle name="Normal 20 13 2" xfId="2538" xr:uid="{00000000-0005-0000-0000-0000670A0000}"/>
    <cellStyle name="Normal 20 13 2 2" xfId="2539" xr:uid="{00000000-0005-0000-0000-0000680A0000}"/>
    <cellStyle name="Normal 20 13 3" xfId="2540" xr:uid="{00000000-0005-0000-0000-0000690A0000}"/>
    <cellStyle name="Normal 20 14" xfId="2541" xr:uid="{00000000-0005-0000-0000-00006A0A0000}"/>
    <cellStyle name="Normal 20 14 2" xfId="2542" xr:uid="{00000000-0005-0000-0000-00006B0A0000}"/>
    <cellStyle name="Normal 20 14 2 2" xfId="2543" xr:uid="{00000000-0005-0000-0000-00006C0A0000}"/>
    <cellStyle name="Normal 20 14 3" xfId="2544" xr:uid="{00000000-0005-0000-0000-00006D0A0000}"/>
    <cellStyle name="Normal 20 15" xfId="2545" xr:uid="{00000000-0005-0000-0000-00006E0A0000}"/>
    <cellStyle name="Normal 20 15 2" xfId="2546" xr:uid="{00000000-0005-0000-0000-00006F0A0000}"/>
    <cellStyle name="Normal 20 15 2 2" xfId="2547" xr:uid="{00000000-0005-0000-0000-0000700A0000}"/>
    <cellStyle name="Normal 20 15 3" xfId="2548" xr:uid="{00000000-0005-0000-0000-0000710A0000}"/>
    <cellStyle name="Normal 20 16" xfId="2549" xr:uid="{00000000-0005-0000-0000-0000720A0000}"/>
    <cellStyle name="Normal 20 16 2" xfId="2550" xr:uid="{00000000-0005-0000-0000-0000730A0000}"/>
    <cellStyle name="Normal 20 17" xfId="2551" xr:uid="{00000000-0005-0000-0000-0000740A0000}"/>
    <cellStyle name="Normal 20 17 2" xfId="2552" xr:uid="{00000000-0005-0000-0000-0000750A0000}"/>
    <cellStyle name="Normal 20 18" xfId="2553" xr:uid="{00000000-0005-0000-0000-0000760A0000}"/>
    <cellStyle name="Normal 20 18 2" xfId="2554" xr:uid="{00000000-0005-0000-0000-0000770A0000}"/>
    <cellStyle name="Normal 20 19" xfId="2555" xr:uid="{00000000-0005-0000-0000-0000780A0000}"/>
    <cellStyle name="Normal 20 19 2" xfId="2556" xr:uid="{00000000-0005-0000-0000-0000790A0000}"/>
    <cellStyle name="Normal 20 2" xfId="2557" xr:uid="{00000000-0005-0000-0000-00007A0A0000}"/>
    <cellStyle name="Normal 20 2 2" xfId="2558" xr:uid="{00000000-0005-0000-0000-00007B0A0000}"/>
    <cellStyle name="Normal 20 2 2 2" xfId="2559" xr:uid="{00000000-0005-0000-0000-00007C0A0000}"/>
    <cellStyle name="Normal 20 2 3" xfId="2560" xr:uid="{00000000-0005-0000-0000-00007D0A0000}"/>
    <cellStyle name="Normal 20 20" xfId="2561" xr:uid="{00000000-0005-0000-0000-00007E0A0000}"/>
    <cellStyle name="Normal 20 20 2" xfId="2562" xr:uid="{00000000-0005-0000-0000-00007F0A0000}"/>
    <cellStyle name="Normal 20 21" xfId="2563" xr:uid="{00000000-0005-0000-0000-0000800A0000}"/>
    <cellStyle name="Normal 20 3" xfId="2564" xr:uid="{00000000-0005-0000-0000-0000810A0000}"/>
    <cellStyle name="Normal 20 3 2" xfId="2565" xr:uid="{00000000-0005-0000-0000-0000820A0000}"/>
    <cellStyle name="Normal 20 3 2 2" xfId="2566" xr:uid="{00000000-0005-0000-0000-0000830A0000}"/>
    <cellStyle name="Normal 20 3 3" xfId="2567" xr:uid="{00000000-0005-0000-0000-0000840A0000}"/>
    <cellStyle name="Normal 20 4" xfId="2568" xr:uid="{00000000-0005-0000-0000-0000850A0000}"/>
    <cellStyle name="Normal 20 4 2" xfId="2569" xr:uid="{00000000-0005-0000-0000-0000860A0000}"/>
    <cellStyle name="Normal 20 4 2 2" xfId="2570" xr:uid="{00000000-0005-0000-0000-0000870A0000}"/>
    <cellStyle name="Normal 20 4 3" xfId="2571" xr:uid="{00000000-0005-0000-0000-0000880A0000}"/>
    <cellStyle name="Normal 20 5" xfId="2572" xr:uid="{00000000-0005-0000-0000-0000890A0000}"/>
    <cellStyle name="Normal 20 5 2" xfId="2573" xr:uid="{00000000-0005-0000-0000-00008A0A0000}"/>
    <cellStyle name="Normal 20 5 2 2" xfId="2574" xr:uid="{00000000-0005-0000-0000-00008B0A0000}"/>
    <cellStyle name="Normal 20 5 3" xfId="2575" xr:uid="{00000000-0005-0000-0000-00008C0A0000}"/>
    <cellStyle name="Normal 20 6" xfId="2576" xr:uid="{00000000-0005-0000-0000-00008D0A0000}"/>
    <cellStyle name="Normal 20 6 2" xfId="2577" xr:uid="{00000000-0005-0000-0000-00008E0A0000}"/>
    <cellStyle name="Normal 20 6 2 2" xfId="2578" xr:uid="{00000000-0005-0000-0000-00008F0A0000}"/>
    <cellStyle name="Normal 20 6 3" xfId="2579" xr:uid="{00000000-0005-0000-0000-0000900A0000}"/>
    <cellStyle name="Normal 20 7" xfId="2580" xr:uid="{00000000-0005-0000-0000-0000910A0000}"/>
    <cellStyle name="Normal 20 7 2" xfId="2581" xr:uid="{00000000-0005-0000-0000-0000920A0000}"/>
    <cellStyle name="Normal 20 7 2 2" xfId="2582" xr:uid="{00000000-0005-0000-0000-0000930A0000}"/>
    <cellStyle name="Normal 20 7 3" xfId="2583" xr:uid="{00000000-0005-0000-0000-0000940A0000}"/>
    <cellStyle name="Normal 20 8" xfId="2584" xr:uid="{00000000-0005-0000-0000-0000950A0000}"/>
    <cellStyle name="Normal 20 8 2" xfId="2585" xr:uid="{00000000-0005-0000-0000-0000960A0000}"/>
    <cellStyle name="Normal 20 8 2 2" xfId="2586" xr:uid="{00000000-0005-0000-0000-0000970A0000}"/>
    <cellStyle name="Normal 20 8 3" xfId="2587" xr:uid="{00000000-0005-0000-0000-0000980A0000}"/>
    <cellStyle name="Normal 20 9" xfId="2588" xr:uid="{00000000-0005-0000-0000-0000990A0000}"/>
    <cellStyle name="Normal 20 9 2" xfId="2589" xr:uid="{00000000-0005-0000-0000-00009A0A0000}"/>
    <cellStyle name="Normal 20 9 2 2" xfId="2590" xr:uid="{00000000-0005-0000-0000-00009B0A0000}"/>
    <cellStyle name="Normal 20 9 3" xfId="2591" xr:uid="{00000000-0005-0000-0000-00009C0A0000}"/>
    <cellStyle name="Normal 21" xfId="2592" xr:uid="{00000000-0005-0000-0000-00009D0A0000}"/>
    <cellStyle name="Normal 21 10" xfId="2593" xr:uid="{00000000-0005-0000-0000-00009E0A0000}"/>
    <cellStyle name="Normal 21 10 2" xfId="2594" xr:uid="{00000000-0005-0000-0000-00009F0A0000}"/>
    <cellStyle name="Normal 21 10 2 2" xfId="2595" xr:uid="{00000000-0005-0000-0000-0000A00A0000}"/>
    <cellStyle name="Normal 21 10 3" xfId="2596" xr:uid="{00000000-0005-0000-0000-0000A10A0000}"/>
    <cellStyle name="Normal 21 11" xfId="2597" xr:uid="{00000000-0005-0000-0000-0000A20A0000}"/>
    <cellStyle name="Normal 21 11 2" xfId="2598" xr:uid="{00000000-0005-0000-0000-0000A30A0000}"/>
    <cellStyle name="Normal 21 11 2 2" xfId="2599" xr:uid="{00000000-0005-0000-0000-0000A40A0000}"/>
    <cellStyle name="Normal 21 11 3" xfId="2600" xr:uid="{00000000-0005-0000-0000-0000A50A0000}"/>
    <cellStyle name="Normal 21 12" xfId="2601" xr:uid="{00000000-0005-0000-0000-0000A60A0000}"/>
    <cellStyle name="Normal 21 12 2" xfId="2602" xr:uid="{00000000-0005-0000-0000-0000A70A0000}"/>
    <cellStyle name="Normal 21 12 2 2" xfId="2603" xr:uid="{00000000-0005-0000-0000-0000A80A0000}"/>
    <cellStyle name="Normal 21 12 3" xfId="2604" xr:uid="{00000000-0005-0000-0000-0000A90A0000}"/>
    <cellStyle name="Normal 21 13" xfId="2605" xr:uid="{00000000-0005-0000-0000-0000AA0A0000}"/>
    <cellStyle name="Normal 21 13 2" xfId="2606" xr:uid="{00000000-0005-0000-0000-0000AB0A0000}"/>
    <cellStyle name="Normal 21 13 2 2" xfId="2607" xr:uid="{00000000-0005-0000-0000-0000AC0A0000}"/>
    <cellStyle name="Normal 21 13 3" xfId="2608" xr:uid="{00000000-0005-0000-0000-0000AD0A0000}"/>
    <cellStyle name="Normal 21 14" xfId="2609" xr:uid="{00000000-0005-0000-0000-0000AE0A0000}"/>
    <cellStyle name="Normal 21 14 2" xfId="2610" xr:uid="{00000000-0005-0000-0000-0000AF0A0000}"/>
    <cellStyle name="Normal 21 14 2 2" xfId="2611" xr:uid="{00000000-0005-0000-0000-0000B00A0000}"/>
    <cellStyle name="Normal 21 14 3" xfId="2612" xr:uid="{00000000-0005-0000-0000-0000B10A0000}"/>
    <cellStyle name="Normal 21 15" xfId="2613" xr:uid="{00000000-0005-0000-0000-0000B20A0000}"/>
    <cellStyle name="Normal 21 15 2" xfId="2614" xr:uid="{00000000-0005-0000-0000-0000B30A0000}"/>
    <cellStyle name="Normal 21 15 2 2" xfId="2615" xr:uid="{00000000-0005-0000-0000-0000B40A0000}"/>
    <cellStyle name="Normal 21 15 3" xfId="2616" xr:uid="{00000000-0005-0000-0000-0000B50A0000}"/>
    <cellStyle name="Normal 21 16" xfId="2617" xr:uid="{00000000-0005-0000-0000-0000B60A0000}"/>
    <cellStyle name="Normal 21 16 2" xfId="2618" xr:uid="{00000000-0005-0000-0000-0000B70A0000}"/>
    <cellStyle name="Normal 21 17" xfId="2619" xr:uid="{00000000-0005-0000-0000-0000B80A0000}"/>
    <cellStyle name="Normal 21 2" xfId="2620" xr:uid="{00000000-0005-0000-0000-0000B90A0000}"/>
    <cellStyle name="Normal 21 2 2" xfId="2621" xr:uid="{00000000-0005-0000-0000-0000BA0A0000}"/>
    <cellStyle name="Normal 21 2 2 2" xfId="2622" xr:uid="{00000000-0005-0000-0000-0000BB0A0000}"/>
    <cellStyle name="Normal 21 2 3" xfId="2623" xr:uid="{00000000-0005-0000-0000-0000BC0A0000}"/>
    <cellStyle name="Normal 21 3" xfId="2624" xr:uid="{00000000-0005-0000-0000-0000BD0A0000}"/>
    <cellStyle name="Normal 21 3 2" xfId="2625" xr:uid="{00000000-0005-0000-0000-0000BE0A0000}"/>
    <cellStyle name="Normal 21 3 2 2" xfId="2626" xr:uid="{00000000-0005-0000-0000-0000BF0A0000}"/>
    <cellStyle name="Normal 21 3 3" xfId="2627" xr:uid="{00000000-0005-0000-0000-0000C00A0000}"/>
    <cellStyle name="Normal 21 4" xfId="2628" xr:uid="{00000000-0005-0000-0000-0000C10A0000}"/>
    <cellStyle name="Normal 21 4 2" xfId="2629" xr:uid="{00000000-0005-0000-0000-0000C20A0000}"/>
    <cellStyle name="Normal 21 4 2 2" xfId="2630" xr:uid="{00000000-0005-0000-0000-0000C30A0000}"/>
    <cellStyle name="Normal 21 4 3" xfId="2631" xr:uid="{00000000-0005-0000-0000-0000C40A0000}"/>
    <cellStyle name="Normal 21 5" xfId="2632" xr:uid="{00000000-0005-0000-0000-0000C50A0000}"/>
    <cellStyle name="Normal 21 5 2" xfId="2633" xr:uid="{00000000-0005-0000-0000-0000C60A0000}"/>
    <cellStyle name="Normal 21 5 2 2" xfId="2634" xr:uid="{00000000-0005-0000-0000-0000C70A0000}"/>
    <cellStyle name="Normal 21 5 3" xfId="2635" xr:uid="{00000000-0005-0000-0000-0000C80A0000}"/>
    <cellStyle name="Normal 21 6" xfId="2636" xr:uid="{00000000-0005-0000-0000-0000C90A0000}"/>
    <cellStyle name="Normal 21 6 2" xfId="2637" xr:uid="{00000000-0005-0000-0000-0000CA0A0000}"/>
    <cellStyle name="Normal 21 6 2 2" xfId="2638" xr:uid="{00000000-0005-0000-0000-0000CB0A0000}"/>
    <cellStyle name="Normal 21 6 3" xfId="2639" xr:uid="{00000000-0005-0000-0000-0000CC0A0000}"/>
    <cellStyle name="Normal 21 7" xfId="2640" xr:uid="{00000000-0005-0000-0000-0000CD0A0000}"/>
    <cellStyle name="Normal 21 7 2" xfId="2641" xr:uid="{00000000-0005-0000-0000-0000CE0A0000}"/>
    <cellStyle name="Normal 21 7 2 2" xfId="2642" xr:uid="{00000000-0005-0000-0000-0000CF0A0000}"/>
    <cellStyle name="Normal 21 7 3" xfId="2643" xr:uid="{00000000-0005-0000-0000-0000D00A0000}"/>
    <cellStyle name="Normal 21 8" xfId="2644" xr:uid="{00000000-0005-0000-0000-0000D10A0000}"/>
    <cellStyle name="Normal 21 8 2" xfId="2645" xr:uid="{00000000-0005-0000-0000-0000D20A0000}"/>
    <cellStyle name="Normal 21 8 2 2" xfId="2646" xr:uid="{00000000-0005-0000-0000-0000D30A0000}"/>
    <cellStyle name="Normal 21 8 3" xfId="2647" xr:uid="{00000000-0005-0000-0000-0000D40A0000}"/>
    <cellStyle name="Normal 21 9" xfId="2648" xr:uid="{00000000-0005-0000-0000-0000D50A0000}"/>
    <cellStyle name="Normal 21 9 2" xfId="2649" xr:uid="{00000000-0005-0000-0000-0000D60A0000}"/>
    <cellStyle name="Normal 21 9 2 2" xfId="2650" xr:uid="{00000000-0005-0000-0000-0000D70A0000}"/>
    <cellStyle name="Normal 21 9 3" xfId="2651" xr:uid="{00000000-0005-0000-0000-0000D80A0000}"/>
    <cellStyle name="Normal 22" xfId="2652" xr:uid="{00000000-0005-0000-0000-0000D90A0000}"/>
    <cellStyle name="Normal 22 10" xfId="2653" xr:uid="{00000000-0005-0000-0000-0000DA0A0000}"/>
    <cellStyle name="Normal 22 10 2" xfId="2654" xr:uid="{00000000-0005-0000-0000-0000DB0A0000}"/>
    <cellStyle name="Normal 22 10 2 2" xfId="2655" xr:uid="{00000000-0005-0000-0000-0000DC0A0000}"/>
    <cellStyle name="Normal 22 10 3" xfId="2656" xr:uid="{00000000-0005-0000-0000-0000DD0A0000}"/>
    <cellStyle name="Normal 22 11" xfId="2657" xr:uid="{00000000-0005-0000-0000-0000DE0A0000}"/>
    <cellStyle name="Normal 22 11 2" xfId="2658" xr:uid="{00000000-0005-0000-0000-0000DF0A0000}"/>
    <cellStyle name="Normal 22 11 2 2" xfId="2659" xr:uid="{00000000-0005-0000-0000-0000E00A0000}"/>
    <cellStyle name="Normal 22 11 3" xfId="2660" xr:uid="{00000000-0005-0000-0000-0000E10A0000}"/>
    <cellStyle name="Normal 22 12" xfId="2661" xr:uid="{00000000-0005-0000-0000-0000E20A0000}"/>
    <cellStyle name="Normal 22 12 2" xfId="2662" xr:uid="{00000000-0005-0000-0000-0000E30A0000}"/>
    <cellStyle name="Normal 22 12 2 2" xfId="2663" xr:uid="{00000000-0005-0000-0000-0000E40A0000}"/>
    <cellStyle name="Normal 22 12 3" xfId="2664" xr:uid="{00000000-0005-0000-0000-0000E50A0000}"/>
    <cellStyle name="Normal 22 13" xfId="2665" xr:uid="{00000000-0005-0000-0000-0000E60A0000}"/>
    <cellStyle name="Normal 22 13 2" xfId="2666" xr:uid="{00000000-0005-0000-0000-0000E70A0000}"/>
    <cellStyle name="Normal 22 13 2 2" xfId="2667" xr:uid="{00000000-0005-0000-0000-0000E80A0000}"/>
    <cellStyle name="Normal 22 13 3" xfId="2668" xr:uid="{00000000-0005-0000-0000-0000E90A0000}"/>
    <cellStyle name="Normal 22 14" xfId="2669" xr:uid="{00000000-0005-0000-0000-0000EA0A0000}"/>
    <cellStyle name="Normal 22 14 2" xfId="2670" xr:uid="{00000000-0005-0000-0000-0000EB0A0000}"/>
    <cellStyle name="Normal 22 14 2 2" xfId="2671" xr:uid="{00000000-0005-0000-0000-0000EC0A0000}"/>
    <cellStyle name="Normal 22 14 3" xfId="2672" xr:uid="{00000000-0005-0000-0000-0000ED0A0000}"/>
    <cellStyle name="Normal 22 15" xfId="2673" xr:uid="{00000000-0005-0000-0000-0000EE0A0000}"/>
    <cellStyle name="Normal 22 15 2" xfId="2674" xr:uid="{00000000-0005-0000-0000-0000EF0A0000}"/>
    <cellStyle name="Normal 22 15 2 2" xfId="2675" xr:uid="{00000000-0005-0000-0000-0000F00A0000}"/>
    <cellStyle name="Normal 22 15 3" xfId="2676" xr:uid="{00000000-0005-0000-0000-0000F10A0000}"/>
    <cellStyle name="Normal 22 16" xfId="2677" xr:uid="{00000000-0005-0000-0000-0000F20A0000}"/>
    <cellStyle name="Normal 22 16 2" xfId="2678" xr:uid="{00000000-0005-0000-0000-0000F30A0000}"/>
    <cellStyle name="Normal 22 17" xfId="2679" xr:uid="{00000000-0005-0000-0000-0000F40A0000}"/>
    <cellStyle name="Normal 22 2" xfId="2680" xr:uid="{00000000-0005-0000-0000-0000F50A0000}"/>
    <cellStyle name="Normal 22 2 2" xfId="2681" xr:uid="{00000000-0005-0000-0000-0000F60A0000}"/>
    <cellStyle name="Normal 22 2 2 2" xfId="2682" xr:uid="{00000000-0005-0000-0000-0000F70A0000}"/>
    <cellStyle name="Normal 22 2 3" xfId="2683" xr:uid="{00000000-0005-0000-0000-0000F80A0000}"/>
    <cellStyle name="Normal 22 3" xfId="2684" xr:uid="{00000000-0005-0000-0000-0000F90A0000}"/>
    <cellStyle name="Normal 22 3 2" xfId="2685" xr:uid="{00000000-0005-0000-0000-0000FA0A0000}"/>
    <cellStyle name="Normal 22 3 2 2" xfId="2686" xr:uid="{00000000-0005-0000-0000-0000FB0A0000}"/>
    <cellStyle name="Normal 22 3 3" xfId="2687" xr:uid="{00000000-0005-0000-0000-0000FC0A0000}"/>
    <cellStyle name="Normal 22 4" xfId="2688" xr:uid="{00000000-0005-0000-0000-0000FD0A0000}"/>
    <cellStyle name="Normal 22 4 2" xfId="2689" xr:uid="{00000000-0005-0000-0000-0000FE0A0000}"/>
    <cellStyle name="Normal 22 4 2 2" xfId="2690" xr:uid="{00000000-0005-0000-0000-0000FF0A0000}"/>
    <cellStyle name="Normal 22 4 3" xfId="2691" xr:uid="{00000000-0005-0000-0000-0000000B0000}"/>
    <cellStyle name="Normal 22 5" xfId="2692" xr:uid="{00000000-0005-0000-0000-0000010B0000}"/>
    <cellStyle name="Normal 22 5 2" xfId="2693" xr:uid="{00000000-0005-0000-0000-0000020B0000}"/>
    <cellStyle name="Normal 22 5 2 2" xfId="2694" xr:uid="{00000000-0005-0000-0000-0000030B0000}"/>
    <cellStyle name="Normal 22 5 3" xfId="2695" xr:uid="{00000000-0005-0000-0000-0000040B0000}"/>
    <cellStyle name="Normal 22 6" xfId="2696" xr:uid="{00000000-0005-0000-0000-0000050B0000}"/>
    <cellStyle name="Normal 22 6 2" xfId="2697" xr:uid="{00000000-0005-0000-0000-0000060B0000}"/>
    <cellStyle name="Normal 22 6 2 2" xfId="2698" xr:uid="{00000000-0005-0000-0000-0000070B0000}"/>
    <cellStyle name="Normal 22 6 3" xfId="2699" xr:uid="{00000000-0005-0000-0000-0000080B0000}"/>
    <cellStyle name="Normal 22 7" xfId="2700" xr:uid="{00000000-0005-0000-0000-0000090B0000}"/>
    <cellStyle name="Normal 22 7 2" xfId="2701" xr:uid="{00000000-0005-0000-0000-00000A0B0000}"/>
    <cellStyle name="Normal 22 7 2 2" xfId="2702" xr:uid="{00000000-0005-0000-0000-00000B0B0000}"/>
    <cellStyle name="Normal 22 7 3" xfId="2703" xr:uid="{00000000-0005-0000-0000-00000C0B0000}"/>
    <cellStyle name="Normal 22 8" xfId="2704" xr:uid="{00000000-0005-0000-0000-00000D0B0000}"/>
    <cellStyle name="Normal 22 8 2" xfId="2705" xr:uid="{00000000-0005-0000-0000-00000E0B0000}"/>
    <cellStyle name="Normal 22 8 2 2" xfId="2706" xr:uid="{00000000-0005-0000-0000-00000F0B0000}"/>
    <cellStyle name="Normal 22 8 3" xfId="2707" xr:uid="{00000000-0005-0000-0000-0000100B0000}"/>
    <cellStyle name="Normal 22 9" xfId="2708" xr:uid="{00000000-0005-0000-0000-0000110B0000}"/>
    <cellStyle name="Normal 22 9 2" xfId="2709" xr:uid="{00000000-0005-0000-0000-0000120B0000}"/>
    <cellStyle name="Normal 22 9 2 2" xfId="2710" xr:uid="{00000000-0005-0000-0000-0000130B0000}"/>
    <cellStyle name="Normal 22 9 3" xfId="2711" xr:uid="{00000000-0005-0000-0000-0000140B0000}"/>
    <cellStyle name="Normal 23" xfId="2712" xr:uid="{00000000-0005-0000-0000-0000150B0000}"/>
    <cellStyle name="Normal 23 10" xfId="2713" xr:uid="{00000000-0005-0000-0000-0000160B0000}"/>
    <cellStyle name="Normal 23 10 2" xfId="2714" xr:uid="{00000000-0005-0000-0000-0000170B0000}"/>
    <cellStyle name="Normal 23 10 2 2" xfId="2715" xr:uid="{00000000-0005-0000-0000-0000180B0000}"/>
    <cellStyle name="Normal 23 10 3" xfId="2716" xr:uid="{00000000-0005-0000-0000-0000190B0000}"/>
    <cellStyle name="Normal 23 11" xfId="2717" xr:uid="{00000000-0005-0000-0000-00001A0B0000}"/>
    <cellStyle name="Normal 23 11 2" xfId="2718" xr:uid="{00000000-0005-0000-0000-00001B0B0000}"/>
    <cellStyle name="Normal 23 11 2 2" xfId="2719" xr:uid="{00000000-0005-0000-0000-00001C0B0000}"/>
    <cellStyle name="Normal 23 11 3" xfId="2720" xr:uid="{00000000-0005-0000-0000-00001D0B0000}"/>
    <cellStyle name="Normal 23 12" xfId="2721" xr:uid="{00000000-0005-0000-0000-00001E0B0000}"/>
    <cellStyle name="Normal 23 12 2" xfId="2722" xr:uid="{00000000-0005-0000-0000-00001F0B0000}"/>
    <cellStyle name="Normal 23 12 2 2" xfId="2723" xr:uid="{00000000-0005-0000-0000-0000200B0000}"/>
    <cellStyle name="Normal 23 12 3" xfId="2724" xr:uid="{00000000-0005-0000-0000-0000210B0000}"/>
    <cellStyle name="Normal 23 13" xfId="2725" xr:uid="{00000000-0005-0000-0000-0000220B0000}"/>
    <cellStyle name="Normal 23 13 2" xfId="2726" xr:uid="{00000000-0005-0000-0000-0000230B0000}"/>
    <cellStyle name="Normal 23 13 2 2" xfId="2727" xr:uid="{00000000-0005-0000-0000-0000240B0000}"/>
    <cellStyle name="Normal 23 13 3" xfId="2728" xr:uid="{00000000-0005-0000-0000-0000250B0000}"/>
    <cellStyle name="Normal 23 14" xfId="2729" xr:uid="{00000000-0005-0000-0000-0000260B0000}"/>
    <cellStyle name="Normal 23 14 2" xfId="2730" xr:uid="{00000000-0005-0000-0000-0000270B0000}"/>
    <cellStyle name="Normal 23 14 2 2" xfId="2731" xr:uid="{00000000-0005-0000-0000-0000280B0000}"/>
    <cellStyle name="Normal 23 14 3" xfId="2732" xr:uid="{00000000-0005-0000-0000-0000290B0000}"/>
    <cellStyle name="Normal 23 15" xfId="2733" xr:uid="{00000000-0005-0000-0000-00002A0B0000}"/>
    <cellStyle name="Normal 23 15 2" xfId="2734" xr:uid="{00000000-0005-0000-0000-00002B0B0000}"/>
    <cellStyle name="Normal 23 15 2 2" xfId="2735" xr:uid="{00000000-0005-0000-0000-00002C0B0000}"/>
    <cellStyle name="Normal 23 15 3" xfId="2736" xr:uid="{00000000-0005-0000-0000-00002D0B0000}"/>
    <cellStyle name="Normal 23 16" xfId="2737" xr:uid="{00000000-0005-0000-0000-00002E0B0000}"/>
    <cellStyle name="Normal 23 16 2" xfId="2738" xr:uid="{00000000-0005-0000-0000-00002F0B0000}"/>
    <cellStyle name="Normal 23 17" xfId="2739" xr:uid="{00000000-0005-0000-0000-0000300B0000}"/>
    <cellStyle name="Normal 23 2" xfId="2740" xr:uid="{00000000-0005-0000-0000-0000310B0000}"/>
    <cellStyle name="Normal 23 2 2" xfId="2741" xr:uid="{00000000-0005-0000-0000-0000320B0000}"/>
    <cellStyle name="Normal 23 2 2 2" xfId="2742" xr:uid="{00000000-0005-0000-0000-0000330B0000}"/>
    <cellStyle name="Normal 23 2 3" xfId="2743" xr:uid="{00000000-0005-0000-0000-0000340B0000}"/>
    <cellStyle name="Normal 23 3" xfId="2744" xr:uid="{00000000-0005-0000-0000-0000350B0000}"/>
    <cellStyle name="Normal 23 3 2" xfId="2745" xr:uid="{00000000-0005-0000-0000-0000360B0000}"/>
    <cellStyle name="Normal 23 3 2 2" xfId="2746" xr:uid="{00000000-0005-0000-0000-0000370B0000}"/>
    <cellStyle name="Normal 23 3 3" xfId="2747" xr:uid="{00000000-0005-0000-0000-0000380B0000}"/>
    <cellStyle name="Normal 23 4" xfId="2748" xr:uid="{00000000-0005-0000-0000-0000390B0000}"/>
    <cellStyle name="Normal 23 4 2" xfId="2749" xr:uid="{00000000-0005-0000-0000-00003A0B0000}"/>
    <cellStyle name="Normal 23 4 2 2" xfId="2750" xr:uid="{00000000-0005-0000-0000-00003B0B0000}"/>
    <cellStyle name="Normal 23 4 3" xfId="2751" xr:uid="{00000000-0005-0000-0000-00003C0B0000}"/>
    <cellStyle name="Normal 23 5" xfId="2752" xr:uid="{00000000-0005-0000-0000-00003D0B0000}"/>
    <cellStyle name="Normal 23 5 2" xfId="2753" xr:uid="{00000000-0005-0000-0000-00003E0B0000}"/>
    <cellStyle name="Normal 23 5 2 2" xfId="2754" xr:uid="{00000000-0005-0000-0000-00003F0B0000}"/>
    <cellStyle name="Normal 23 5 3" xfId="2755" xr:uid="{00000000-0005-0000-0000-0000400B0000}"/>
    <cellStyle name="Normal 23 6" xfId="2756" xr:uid="{00000000-0005-0000-0000-0000410B0000}"/>
    <cellStyle name="Normal 23 6 2" xfId="2757" xr:uid="{00000000-0005-0000-0000-0000420B0000}"/>
    <cellStyle name="Normal 23 6 2 2" xfId="2758" xr:uid="{00000000-0005-0000-0000-0000430B0000}"/>
    <cellStyle name="Normal 23 6 3" xfId="2759" xr:uid="{00000000-0005-0000-0000-0000440B0000}"/>
    <cellStyle name="Normal 23 7" xfId="2760" xr:uid="{00000000-0005-0000-0000-0000450B0000}"/>
    <cellStyle name="Normal 23 7 2" xfId="2761" xr:uid="{00000000-0005-0000-0000-0000460B0000}"/>
    <cellStyle name="Normal 23 7 2 2" xfId="2762" xr:uid="{00000000-0005-0000-0000-0000470B0000}"/>
    <cellStyle name="Normal 23 7 3" xfId="2763" xr:uid="{00000000-0005-0000-0000-0000480B0000}"/>
    <cellStyle name="Normal 23 8" xfId="2764" xr:uid="{00000000-0005-0000-0000-0000490B0000}"/>
    <cellStyle name="Normal 23 8 2" xfId="2765" xr:uid="{00000000-0005-0000-0000-00004A0B0000}"/>
    <cellStyle name="Normal 23 8 2 2" xfId="2766" xr:uid="{00000000-0005-0000-0000-00004B0B0000}"/>
    <cellStyle name="Normal 23 8 3" xfId="2767" xr:uid="{00000000-0005-0000-0000-00004C0B0000}"/>
    <cellStyle name="Normal 23 9" xfId="2768" xr:uid="{00000000-0005-0000-0000-00004D0B0000}"/>
    <cellStyle name="Normal 23 9 2" xfId="2769" xr:uid="{00000000-0005-0000-0000-00004E0B0000}"/>
    <cellStyle name="Normal 23 9 2 2" xfId="2770" xr:uid="{00000000-0005-0000-0000-00004F0B0000}"/>
    <cellStyle name="Normal 23 9 3" xfId="2771" xr:uid="{00000000-0005-0000-0000-0000500B0000}"/>
    <cellStyle name="Normal 24" xfId="2772" xr:uid="{00000000-0005-0000-0000-0000510B0000}"/>
    <cellStyle name="Normal 24 10" xfId="2773" xr:uid="{00000000-0005-0000-0000-0000520B0000}"/>
    <cellStyle name="Normal 24 10 2" xfId="2774" xr:uid="{00000000-0005-0000-0000-0000530B0000}"/>
    <cellStyle name="Normal 24 10 2 2" xfId="2775" xr:uid="{00000000-0005-0000-0000-0000540B0000}"/>
    <cellStyle name="Normal 24 10 3" xfId="2776" xr:uid="{00000000-0005-0000-0000-0000550B0000}"/>
    <cellStyle name="Normal 24 11" xfId="2777" xr:uid="{00000000-0005-0000-0000-0000560B0000}"/>
    <cellStyle name="Normal 24 11 2" xfId="2778" xr:uid="{00000000-0005-0000-0000-0000570B0000}"/>
    <cellStyle name="Normal 24 11 2 2" xfId="2779" xr:uid="{00000000-0005-0000-0000-0000580B0000}"/>
    <cellStyle name="Normal 24 11 3" xfId="2780" xr:uid="{00000000-0005-0000-0000-0000590B0000}"/>
    <cellStyle name="Normal 24 12" xfId="2781" xr:uid="{00000000-0005-0000-0000-00005A0B0000}"/>
    <cellStyle name="Normal 24 12 2" xfId="2782" xr:uid="{00000000-0005-0000-0000-00005B0B0000}"/>
    <cellStyle name="Normal 24 12 2 2" xfId="2783" xr:uid="{00000000-0005-0000-0000-00005C0B0000}"/>
    <cellStyle name="Normal 24 12 3" xfId="2784" xr:uid="{00000000-0005-0000-0000-00005D0B0000}"/>
    <cellStyle name="Normal 24 13" xfId="2785" xr:uid="{00000000-0005-0000-0000-00005E0B0000}"/>
    <cellStyle name="Normal 24 13 2" xfId="2786" xr:uid="{00000000-0005-0000-0000-00005F0B0000}"/>
    <cellStyle name="Normal 24 13 2 2" xfId="2787" xr:uid="{00000000-0005-0000-0000-0000600B0000}"/>
    <cellStyle name="Normal 24 13 3" xfId="2788" xr:uid="{00000000-0005-0000-0000-0000610B0000}"/>
    <cellStyle name="Normal 24 14" xfId="2789" xr:uid="{00000000-0005-0000-0000-0000620B0000}"/>
    <cellStyle name="Normal 24 14 2" xfId="2790" xr:uid="{00000000-0005-0000-0000-0000630B0000}"/>
    <cellStyle name="Normal 24 14 2 2" xfId="2791" xr:uid="{00000000-0005-0000-0000-0000640B0000}"/>
    <cellStyle name="Normal 24 14 3" xfId="2792" xr:uid="{00000000-0005-0000-0000-0000650B0000}"/>
    <cellStyle name="Normal 24 15" xfId="2793" xr:uid="{00000000-0005-0000-0000-0000660B0000}"/>
    <cellStyle name="Normal 24 15 2" xfId="2794" xr:uid="{00000000-0005-0000-0000-0000670B0000}"/>
    <cellStyle name="Normal 24 15 2 2" xfId="2795" xr:uid="{00000000-0005-0000-0000-0000680B0000}"/>
    <cellStyle name="Normal 24 15 3" xfId="2796" xr:uid="{00000000-0005-0000-0000-0000690B0000}"/>
    <cellStyle name="Normal 24 16" xfId="2797" xr:uid="{00000000-0005-0000-0000-00006A0B0000}"/>
    <cellStyle name="Normal 24 16 2" xfId="2798" xr:uid="{00000000-0005-0000-0000-00006B0B0000}"/>
    <cellStyle name="Normal 24 17" xfId="2799" xr:uid="{00000000-0005-0000-0000-00006C0B0000}"/>
    <cellStyle name="Normal 24 17 2" xfId="2800" xr:uid="{00000000-0005-0000-0000-00006D0B0000}"/>
    <cellStyle name="Normal 24 18" xfId="2801" xr:uid="{00000000-0005-0000-0000-00006E0B0000}"/>
    <cellStyle name="Normal 24 18 2" xfId="2802" xr:uid="{00000000-0005-0000-0000-00006F0B0000}"/>
    <cellStyle name="Normal 24 19" xfId="2803" xr:uid="{00000000-0005-0000-0000-0000700B0000}"/>
    <cellStyle name="Normal 24 19 2" xfId="2804" xr:uid="{00000000-0005-0000-0000-0000710B0000}"/>
    <cellStyle name="Normal 24 2" xfId="2805" xr:uid="{00000000-0005-0000-0000-0000720B0000}"/>
    <cellStyle name="Normal 24 2 2" xfId="2806" xr:uid="{00000000-0005-0000-0000-0000730B0000}"/>
    <cellStyle name="Normal 24 2 2 2" xfId="2807" xr:uid="{00000000-0005-0000-0000-0000740B0000}"/>
    <cellStyle name="Normal 24 2 3" xfId="2808" xr:uid="{00000000-0005-0000-0000-0000750B0000}"/>
    <cellStyle name="Normal 24 20" xfId="2809" xr:uid="{00000000-0005-0000-0000-0000760B0000}"/>
    <cellStyle name="Normal 24 20 2" xfId="2810" xr:uid="{00000000-0005-0000-0000-0000770B0000}"/>
    <cellStyle name="Normal 24 21" xfId="2811" xr:uid="{00000000-0005-0000-0000-0000780B0000}"/>
    <cellStyle name="Normal 24 21 2" xfId="2812" xr:uid="{00000000-0005-0000-0000-0000790B0000}"/>
    <cellStyle name="Normal 24 22" xfId="2813" xr:uid="{00000000-0005-0000-0000-00007A0B0000}"/>
    <cellStyle name="Normal 24 3" xfId="2814" xr:uid="{00000000-0005-0000-0000-00007B0B0000}"/>
    <cellStyle name="Normal 24 3 2" xfId="2815" xr:uid="{00000000-0005-0000-0000-00007C0B0000}"/>
    <cellStyle name="Normal 24 3 2 2" xfId="2816" xr:uid="{00000000-0005-0000-0000-00007D0B0000}"/>
    <cellStyle name="Normal 24 3 3" xfId="2817" xr:uid="{00000000-0005-0000-0000-00007E0B0000}"/>
    <cellStyle name="Normal 24 4" xfId="2818" xr:uid="{00000000-0005-0000-0000-00007F0B0000}"/>
    <cellStyle name="Normal 24 4 2" xfId="2819" xr:uid="{00000000-0005-0000-0000-0000800B0000}"/>
    <cellStyle name="Normal 24 4 2 2" xfId="2820" xr:uid="{00000000-0005-0000-0000-0000810B0000}"/>
    <cellStyle name="Normal 24 4 3" xfId="2821" xr:uid="{00000000-0005-0000-0000-0000820B0000}"/>
    <cellStyle name="Normal 24 5" xfId="2822" xr:uid="{00000000-0005-0000-0000-0000830B0000}"/>
    <cellStyle name="Normal 24 5 2" xfId="2823" xr:uid="{00000000-0005-0000-0000-0000840B0000}"/>
    <cellStyle name="Normal 24 5 2 2" xfId="2824" xr:uid="{00000000-0005-0000-0000-0000850B0000}"/>
    <cellStyle name="Normal 24 5 3" xfId="2825" xr:uid="{00000000-0005-0000-0000-0000860B0000}"/>
    <cellStyle name="Normal 24 6" xfId="2826" xr:uid="{00000000-0005-0000-0000-0000870B0000}"/>
    <cellStyle name="Normal 24 6 2" xfId="2827" xr:uid="{00000000-0005-0000-0000-0000880B0000}"/>
    <cellStyle name="Normal 24 6 2 2" xfId="2828" xr:uid="{00000000-0005-0000-0000-0000890B0000}"/>
    <cellStyle name="Normal 24 6 3" xfId="2829" xr:uid="{00000000-0005-0000-0000-00008A0B0000}"/>
    <cellStyle name="Normal 24 7" xfId="2830" xr:uid="{00000000-0005-0000-0000-00008B0B0000}"/>
    <cellStyle name="Normal 24 7 2" xfId="2831" xr:uid="{00000000-0005-0000-0000-00008C0B0000}"/>
    <cellStyle name="Normal 24 7 2 2" xfId="2832" xr:uid="{00000000-0005-0000-0000-00008D0B0000}"/>
    <cellStyle name="Normal 24 7 3" xfId="2833" xr:uid="{00000000-0005-0000-0000-00008E0B0000}"/>
    <cellStyle name="Normal 24 8" xfId="2834" xr:uid="{00000000-0005-0000-0000-00008F0B0000}"/>
    <cellStyle name="Normal 24 8 2" xfId="2835" xr:uid="{00000000-0005-0000-0000-0000900B0000}"/>
    <cellStyle name="Normal 24 8 2 2" xfId="2836" xr:uid="{00000000-0005-0000-0000-0000910B0000}"/>
    <cellStyle name="Normal 24 8 3" xfId="2837" xr:uid="{00000000-0005-0000-0000-0000920B0000}"/>
    <cellStyle name="Normal 24 9" xfId="2838" xr:uid="{00000000-0005-0000-0000-0000930B0000}"/>
    <cellStyle name="Normal 24 9 2" xfId="2839" xr:uid="{00000000-0005-0000-0000-0000940B0000}"/>
    <cellStyle name="Normal 24 9 2 2" xfId="2840" xr:uid="{00000000-0005-0000-0000-0000950B0000}"/>
    <cellStyle name="Normal 24 9 3" xfId="2841" xr:uid="{00000000-0005-0000-0000-0000960B0000}"/>
    <cellStyle name="Normal 25" xfId="2842" xr:uid="{00000000-0005-0000-0000-0000970B0000}"/>
    <cellStyle name="Normal 25 10" xfId="2843" xr:uid="{00000000-0005-0000-0000-0000980B0000}"/>
    <cellStyle name="Normal 25 10 2" xfId="2844" xr:uid="{00000000-0005-0000-0000-0000990B0000}"/>
    <cellStyle name="Normal 25 10 2 2" xfId="2845" xr:uid="{00000000-0005-0000-0000-00009A0B0000}"/>
    <cellStyle name="Normal 25 10 3" xfId="2846" xr:uid="{00000000-0005-0000-0000-00009B0B0000}"/>
    <cellStyle name="Normal 25 11" xfId="2847" xr:uid="{00000000-0005-0000-0000-00009C0B0000}"/>
    <cellStyle name="Normal 25 11 2" xfId="2848" xr:uid="{00000000-0005-0000-0000-00009D0B0000}"/>
    <cellStyle name="Normal 25 11 2 2" xfId="2849" xr:uid="{00000000-0005-0000-0000-00009E0B0000}"/>
    <cellStyle name="Normal 25 11 3" xfId="2850" xr:uid="{00000000-0005-0000-0000-00009F0B0000}"/>
    <cellStyle name="Normal 25 12" xfId="2851" xr:uid="{00000000-0005-0000-0000-0000A00B0000}"/>
    <cellStyle name="Normal 25 12 2" xfId="2852" xr:uid="{00000000-0005-0000-0000-0000A10B0000}"/>
    <cellStyle name="Normal 25 12 2 2" xfId="2853" xr:uid="{00000000-0005-0000-0000-0000A20B0000}"/>
    <cellStyle name="Normal 25 12 3" xfId="2854" xr:uid="{00000000-0005-0000-0000-0000A30B0000}"/>
    <cellStyle name="Normal 25 13" xfId="2855" xr:uid="{00000000-0005-0000-0000-0000A40B0000}"/>
    <cellStyle name="Normal 25 13 2" xfId="2856" xr:uid="{00000000-0005-0000-0000-0000A50B0000}"/>
    <cellStyle name="Normal 25 13 2 2" xfId="2857" xr:uid="{00000000-0005-0000-0000-0000A60B0000}"/>
    <cellStyle name="Normal 25 13 3" xfId="2858" xr:uid="{00000000-0005-0000-0000-0000A70B0000}"/>
    <cellStyle name="Normal 25 14" xfId="2859" xr:uid="{00000000-0005-0000-0000-0000A80B0000}"/>
    <cellStyle name="Normal 25 14 2" xfId="2860" xr:uid="{00000000-0005-0000-0000-0000A90B0000}"/>
    <cellStyle name="Normal 25 14 2 2" xfId="2861" xr:uid="{00000000-0005-0000-0000-0000AA0B0000}"/>
    <cellStyle name="Normal 25 14 3" xfId="2862" xr:uid="{00000000-0005-0000-0000-0000AB0B0000}"/>
    <cellStyle name="Normal 25 15" xfId="2863" xr:uid="{00000000-0005-0000-0000-0000AC0B0000}"/>
    <cellStyle name="Normal 25 15 2" xfId="2864" xr:uid="{00000000-0005-0000-0000-0000AD0B0000}"/>
    <cellStyle name="Normal 25 15 2 2" xfId="2865" xr:uid="{00000000-0005-0000-0000-0000AE0B0000}"/>
    <cellStyle name="Normal 25 15 3" xfId="2866" xr:uid="{00000000-0005-0000-0000-0000AF0B0000}"/>
    <cellStyle name="Normal 25 16" xfId="2867" xr:uid="{00000000-0005-0000-0000-0000B00B0000}"/>
    <cellStyle name="Normal 25 16 2" xfId="2868" xr:uid="{00000000-0005-0000-0000-0000B10B0000}"/>
    <cellStyle name="Normal 25 17" xfId="2869" xr:uid="{00000000-0005-0000-0000-0000B20B0000}"/>
    <cellStyle name="Normal 25 17 2" xfId="2870" xr:uid="{00000000-0005-0000-0000-0000B30B0000}"/>
    <cellStyle name="Normal 25 18" xfId="2871" xr:uid="{00000000-0005-0000-0000-0000B40B0000}"/>
    <cellStyle name="Normal 25 18 2" xfId="2872" xr:uid="{00000000-0005-0000-0000-0000B50B0000}"/>
    <cellStyle name="Normal 25 19" xfId="2873" xr:uid="{00000000-0005-0000-0000-0000B60B0000}"/>
    <cellStyle name="Normal 25 19 2" xfId="2874" xr:uid="{00000000-0005-0000-0000-0000B70B0000}"/>
    <cellStyle name="Normal 25 2" xfId="2875" xr:uid="{00000000-0005-0000-0000-0000B80B0000}"/>
    <cellStyle name="Normal 25 2 2" xfId="2876" xr:uid="{00000000-0005-0000-0000-0000B90B0000}"/>
    <cellStyle name="Normal 25 2 2 2" xfId="2877" xr:uid="{00000000-0005-0000-0000-0000BA0B0000}"/>
    <cellStyle name="Normal 25 2 3" xfId="2878" xr:uid="{00000000-0005-0000-0000-0000BB0B0000}"/>
    <cellStyle name="Normal 25 20" xfId="2879" xr:uid="{00000000-0005-0000-0000-0000BC0B0000}"/>
    <cellStyle name="Normal 25 20 2" xfId="2880" xr:uid="{00000000-0005-0000-0000-0000BD0B0000}"/>
    <cellStyle name="Normal 25 21" xfId="2881" xr:uid="{00000000-0005-0000-0000-0000BE0B0000}"/>
    <cellStyle name="Normal 25 21 2" xfId="2882" xr:uid="{00000000-0005-0000-0000-0000BF0B0000}"/>
    <cellStyle name="Normal 25 22" xfId="2883" xr:uid="{00000000-0005-0000-0000-0000C00B0000}"/>
    <cellStyle name="Normal 25 3" xfId="2884" xr:uid="{00000000-0005-0000-0000-0000C10B0000}"/>
    <cellStyle name="Normal 25 3 2" xfId="2885" xr:uid="{00000000-0005-0000-0000-0000C20B0000}"/>
    <cellStyle name="Normal 25 3 2 2" xfId="2886" xr:uid="{00000000-0005-0000-0000-0000C30B0000}"/>
    <cellStyle name="Normal 25 3 3" xfId="2887" xr:uid="{00000000-0005-0000-0000-0000C40B0000}"/>
    <cellStyle name="Normal 25 4" xfId="2888" xr:uid="{00000000-0005-0000-0000-0000C50B0000}"/>
    <cellStyle name="Normal 25 4 2" xfId="2889" xr:uid="{00000000-0005-0000-0000-0000C60B0000}"/>
    <cellStyle name="Normal 25 4 2 2" xfId="2890" xr:uid="{00000000-0005-0000-0000-0000C70B0000}"/>
    <cellStyle name="Normal 25 4 3" xfId="2891" xr:uid="{00000000-0005-0000-0000-0000C80B0000}"/>
    <cellStyle name="Normal 25 5" xfId="2892" xr:uid="{00000000-0005-0000-0000-0000C90B0000}"/>
    <cellStyle name="Normal 25 5 2" xfId="2893" xr:uid="{00000000-0005-0000-0000-0000CA0B0000}"/>
    <cellStyle name="Normal 25 5 2 2" xfId="2894" xr:uid="{00000000-0005-0000-0000-0000CB0B0000}"/>
    <cellStyle name="Normal 25 5 3" xfId="2895" xr:uid="{00000000-0005-0000-0000-0000CC0B0000}"/>
    <cellStyle name="Normal 25 6" xfId="2896" xr:uid="{00000000-0005-0000-0000-0000CD0B0000}"/>
    <cellStyle name="Normal 25 6 2" xfId="2897" xr:uid="{00000000-0005-0000-0000-0000CE0B0000}"/>
    <cellStyle name="Normal 25 6 2 2" xfId="2898" xr:uid="{00000000-0005-0000-0000-0000CF0B0000}"/>
    <cellStyle name="Normal 25 6 3" xfId="2899" xr:uid="{00000000-0005-0000-0000-0000D00B0000}"/>
    <cellStyle name="Normal 25 7" xfId="2900" xr:uid="{00000000-0005-0000-0000-0000D10B0000}"/>
    <cellStyle name="Normal 25 7 2" xfId="2901" xr:uid="{00000000-0005-0000-0000-0000D20B0000}"/>
    <cellStyle name="Normal 25 7 2 2" xfId="2902" xr:uid="{00000000-0005-0000-0000-0000D30B0000}"/>
    <cellStyle name="Normal 25 7 3" xfId="2903" xr:uid="{00000000-0005-0000-0000-0000D40B0000}"/>
    <cellStyle name="Normal 25 8" xfId="2904" xr:uid="{00000000-0005-0000-0000-0000D50B0000}"/>
    <cellStyle name="Normal 25 8 2" xfId="2905" xr:uid="{00000000-0005-0000-0000-0000D60B0000}"/>
    <cellStyle name="Normal 25 8 2 2" xfId="2906" xr:uid="{00000000-0005-0000-0000-0000D70B0000}"/>
    <cellStyle name="Normal 25 8 3" xfId="2907" xr:uid="{00000000-0005-0000-0000-0000D80B0000}"/>
    <cellStyle name="Normal 25 9" xfId="2908" xr:uid="{00000000-0005-0000-0000-0000D90B0000}"/>
    <cellStyle name="Normal 25 9 2" xfId="2909" xr:uid="{00000000-0005-0000-0000-0000DA0B0000}"/>
    <cellStyle name="Normal 25 9 2 2" xfId="2910" xr:uid="{00000000-0005-0000-0000-0000DB0B0000}"/>
    <cellStyle name="Normal 25 9 3" xfId="2911" xr:uid="{00000000-0005-0000-0000-0000DC0B0000}"/>
    <cellStyle name="Normal 26" xfId="2912" xr:uid="{00000000-0005-0000-0000-0000DD0B0000}"/>
    <cellStyle name="Normal 26 10" xfId="2913" xr:uid="{00000000-0005-0000-0000-0000DE0B0000}"/>
    <cellStyle name="Normal 26 10 2" xfId="2914" xr:uid="{00000000-0005-0000-0000-0000DF0B0000}"/>
    <cellStyle name="Normal 26 10 2 2" xfId="2915" xr:uid="{00000000-0005-0000-0000-0000E00B0000}"/>
    <cellStyle name="Normal 26 10 3" xfId="2916" xr:uid="{00000000-0005-0000-0000-0000E10B0000}"/>
    <cellStyle name="Normal 26 11" xfId="2917" xr:uid="{00000000-0005-0000-0000-0000E20B0000}"/>
    <cellStyle name="Normal 26 11 2" xfId="2918" xr:uid="{00000000-0005-0000-0000-0000E30B0000}"/>
    <cellStyle name="Normal 26 11 2 2" xfId="2919" xr:uid="{00000000-0005-0000-0000-0000E40B0000}"/>
    <cellStyle name="Normal 26 11 3" xfId="2920" xr:uid="{00000000-0005-0000-0000-0000E50B0000}"/>
    <cellStyle name="Normal 26 12" xfId="2921" xr:uid="{00000000-0005-0000-0000-0000E60B0000}"/>
    <cellStyle name="Normal 26 12 2" xfId="2922" xr:uid="{00000000-0005-0000-0000-0000E70B0000}"/>
    <cellStyle name="Normal 26 12 2 2" xfId="2923" xr:uid="{00000000-0005-0000-0000-0000E80B0000}"/>
    <cellStyle name="Normal 26 12 3" xfId="2924" xr:uid="{00000000-0005-0000-0000-0000E90B0000}"/>
    <cellStyle name="Normal 26 13" xfId="2925" xr:uid="{00000000-0005-0000-0000-0000EA0B0000}"/>
    <cellStyle name="Normal 26 13 2" xfId="2926" xr:uid="{00000000-0005-0000-0000-0000EB0B0000}"/>
    <cellStyle name="Normal 26 13 2 2" xfId="2927" xr:uid="{00000000-0005-0000-0000-0000EC0B0000}"/>
    <cellStyle name="Normal 26 13 3" xfId="2928" xr:uid="{00000000-0005-0000-0000-0000ED0B0000}"/>
    <cellStyle name="Normal 26 14" xfId="2929" xr:uid="{00000000-0005-0000-0000-0000EE0B0000}"/>
    <cellStyle name="Normal 26 14 2" xfId="2930" xr:uid="{00000000-0005-0000-0000-0000EF0B0000}"/>
    <cellStyle name="Normal 26 14 2 2" xfId="2931" xr:uid="{00000000-0005-0000-0000-0000F00B0000}"/>
    <cellStyle name="Normal 26 14 3" xfId="2932" xr:uid="{00000000-0005-0000-0000-0000F10B0000}"/>
    <cellStyle name="Normal 26 15" xfId="2933" xr:uid="{00000000-0005-0000-0000-0000F20B0000}"/>
    <cellStyle name="Normal 26 15 2" xfId="2934" xr:uid="{00000000-0005-0000-0000-0000F30B0000}"/>
    <cellStyle name="Normal 26 15 2 2" xfId="2935" xr:uid="{00000000-0005-0000-0000-0000F40B0000}"/>
    <cellStyle name="Normal 26 15 3" xfId="2936" xr:uid="{00000000-0005-0000-0000-0000F50B0000}"/>
    <cellStyle name="Normal 26 16" xfId="2937" xr:uid="{00000000-0005-0000-0000-0000F60B0000}"/>
    <cellStyle name="Normal 26 16 2" xfId="2938" xr:uid="{00000000-0005-0000-0000-0000F70B0000}"/>
    <cellStyle name="Normal 26 17" xfId="2939" xr:uid="{00000000-0005-0000-0000-0000F80B0000}"/>
    <cellStyle name="Normal 26 2" xfId="2940" xr:uid="{00000000-0005-0000-0000-0000F90B0000}"/>
    <cellStyle name="Normal 26 2 2" xfId="2941" xr:uid="{00000000-0005-0000-0000-0000FA0B0000}"/>
    <cellStyle name="Normal 26 2 2 2" xfId="2942" xr:uid="{00000000-0005-0000-0000-0000FB0B0000}"/>
    <cellStyle name="Normal 26 2 3" xfId="2943" xr:uid="{00000000-0005-0000-0000-0000FC0B0000}"/>
    <cellStyle name="Normal 26 3" xfId="2944" xr:uid="{00000000-0005-0000-0000-0000FD0B0000}"/>
    <cellStyle name="Normal 26 3 2" xfId="2945" xr:uid="{00000000-0005-0000-0000-0000FE0B0000}"/>
    <cellStyle name="Normal 26 3 2 2" xfId="2946" xr:uid="{00000000-0005-0000-0000-0000FF0B0000}"/>
    <cellStyle name="Normal 26 3 3" xfId="2947" xr:uid="{00000000-0005-0000-0000-0000000C0000}"/>
    <cellStyle name="Normal 26 4" xfId="2948" xr:uid="{00000000-0005-0000-0000-0000010C0000}"/>
    <cellStyle name="Normal 26 4 2" xfId="2949" xr:uid="{00000000-0005-0000-0000-0000020C0000}"/>
    <cellStyle name="Normal 26 4 2 2" xfId="2950" xr:uid="{00000000-0005-0000-0000-0000030C0000}"/>
    <cellStyle name="Normal 26 4 3" xfId="2951" xr:uid="{00000000-0005-0000-0000-0000040C0000}"/>
    <cellStyle name="Normal 26 5" xfId="2952" xr:uid="{00000000-0005-0000-0000-0000050C0000}"/>
    <cellStyle name="Normal 26 5 2" xfId="2953" xr:uid="{00000000-0005-0000-0000-0000060C0000}"/>
    <cellStyle name="Normal 26 5 2 2" xfId="2954" xr:uid="{00000000-0005-0000-0000-0000070C0000}"/>
    <cellStyle name="Normal 26 5 3" xfId="2955" xr:uid="{00000000-0005-0000-0000-0000080C0000}"/>
    <cellStyle name="Normal 26 6" xfId="2956" xr:uid="{00000000-0005-0000-0000-0000090C0000}"/>
    <cellStyle name="Normal 26 6 2" xfId="2957" xr:uid="{00000000-0005-0000-0000-00000A0C0000}"/>
    <cellStyle name="Normal 26 6 2 2" xfId="2958" xr:uid="{00000000-0005-0000-0000-00000B0C0000}"/>
    <cellStyle name="Normal 26 6 3" xfId="2959" xr:uid="{00000000-0005-0000-0000-00000C0C0000}"/>
    <cellStyle name="Normal 26 7" xfId="2960" xr:uid="{00000000-0005-0000-0000-00000D0C0000}"/>
    <cellStyle name="Normal 26 7 2" xfId="2961" xr:uid="{00000000-0005-0000-0000-00000E0C0000}"/>
    <cellStyle name="Normal 26 7 2 2" xfId="2962" xr:uid="{00000000-0005-0000-0000-00000F0C0000}"/>
    <cellStyle name="Normal 26 7 3" xfId="2963" xr:uid="{00000000-0005-0000-0000-0000100C0000}"/>
    <cellStyle name="Normal 26 8" xfId="2964" xr:uid="{00000000-0005-0000-0000-0000110C0000}"/>
    <cellStyle name="Normal 26 8 2" xfId="2965" xr:uid="{00000000-0005-0000-0000-0000120C0000}"/>
    <cellStyle name="Normal 26 8 2 2" xfId="2966" xr:uid="{00000000-0005-0000-0000-0000130C0000}"/>
    <cellStyle name="Normal 26 8 3" xfId="2967" xr:uid="{00000000-0005-0000-0000-0000140C0000}"/>
    <cellStyle name="Normal 26 9" xfId="2968" xr:uid="{00000000-0005-0000-0000-0000150C0000}"/>
    <cellStyle name="Normal 26 9 2" xfId="2969" xr:uid="{00000000-0005-0000-0000-0000160C0000}"/>
    <cellStyle name="Normal 26 9 2 2" xfId="2970" xr:uid="{00000000-0005-0000-0000-0000170C0000}"/>
    <cellStyle name="Normal 26 9 3" xfId="2971" xr:uid="{00000000-0005-0000-0000-0000180C0000}"/>
    <cellStyle name="Normal 27" xfId="2972" xr:uid="{00000000-0005-0000-0000-0000190C0000}"/>
    <cellStyle name="Normal 27 10" xfId="2973" xr:uid="{00000000-0005-0000-0000-00001A0C0000}"/>
    <cellStyle name="Normal 27 10 2" xfId="2974" xr:uid="{00000000-0005-0000-0000-00001B0C0000}"/>
    <cellStyle name="Normal 27 10 2 2" xfId="2975" xr:uid="{00000000-0005-0000-0000-00001C0C0000}"/>
    <cellStyle name="Normal 27 10 3" xfId="2976" xr:uid="{00000000-0005-0000-0000-00001D0C0000}"/>
    <cellStyle name="Normal 27 11" xfId="2977" xr:uid="{00000000-0005-0000-0000-00001E0C0000}"/>
    <cellStyle name="Normal 27 11 2" xfId="2978" xr:uid="{00000000-0005-0000-0000-00001F0C0000}"/>
    <cellStyle name="Normal 27 11 2 2" xfId="2979" xr:uid="{00000000-0005-0000-0000-0000200C0000}"/>
    <cellStyle name="Normal 27 11 3" xfId="2980" xr:uid="{00000000-0005-0000-0000-0000210C0000}"/>
    <cellStyle name="Normal 27 12" xfId="2981" xr:uid="{00000000-0005-0000-0000-0000220C0000}"/>
    <cellStyle name="Normal 27 12 2" xfId="2982" xr:uid="{00000000-0005-0000-0000-0000230C0000}"/>
    <cellStyle name="Normal 27 12 2 2" xfId="2983" xr:uid="{00000000-0005-0000-0000-0000240C0000}"/>
    <cellStyle name="Normal 27 12 3" xfId="2984" xr:uid="{00000000-0005-0000-0000-0000250C0000}"/>
    <cellStyle name="Normal 27 13" xfId="2985" xr:uid="{00000000-0005-0000-0000-0000260C0000}"/>
    <cellStyle name="Normal 27 13 2" xfId="2986" xr:uid="{00000000-0005-0000-0000-0000270C0000}"/>
    <cellStyle name="Normal 27 13 2 2" xfId="2987" xr:uid="{00000000-0005-0000-0000-0000280C0000}"/>
    <cellStyle name="Normal 27 13 3" xfId="2988" xr:uid="{00000000-0005-0000-0000-0000290C0000}"/>
    <cellStyle name="Normal 27 14" xfId="2989" xr:uid="{00000000-0005-0000-0000-00002A0C0000}"/>
    <cellStyle name="Normal 27 14 2" xfId="2990" xr:uid="{00000000-0005-0000-0000-00002B0C0000}"/>
    <cellStyle name="Normal 27 14 2 2" xfId="2991" xr:uid="{00000000-0005-0000-0000-00002C0C0000}"/>
    <cellStyle name="Normal 27 14 3" xfId="2992" xr:uid="{00000000-0005-0000-0000-00002D0C0000}"/>
    <cellStyle name="Normal 27 15" xfId="2993" xr:uid="{00000000-0005-0000-0000-00002E0C0000}"/>
    <cellStyle name="Normal 27 15 2" xfId="2994" xr:uid="{00000000-0005-0000-0000-00002F0C0000}"/>
    <cellStyle name="Normal 27 15 2 2" xfId="2995" xr:uid="{00000000-0005-0000-0000-0000300C0000}"/>
    <cellStyle name="Normal 27 15 3" xfId="2996" xr:uid="{00000000-0005-0000-0000-0000310C0000}"/>
    <cellStyle name="Normal 27 16" xfId="2997" xr:uid="{00000000-0005-0000-0000-0000320C0000}"/>
    <cellStyle name="Normal 27 16 2" xfId="2998" xr:uid="{00000000-0005-0000-0000-0000330C0000}"/>
    <cellStyle name="Normal 27 17" xfId="2999" xr:uid="{00000000-0005-0000-0000-0000340C0000}"/>
    <cellStyle name="Normal 27 17 2" xfId="3000" xr:uid="{00000000-0005-0000-0000-0000350C0000}"/>
    <cellStyle name="Normal 27 18" xfId="3001" xr:uid="{00000000-0005-0000-0000-0000360C0000}"/>
    <cellStyle name="Normal 27 18 2" xfId="3002" xr:uid="{00000000-0005-0000-0000-0000370C0000}"/>
    <cellStyle name="Normal 27 19" xfId="3003" xr:uid="{00000000-0005-0000-0000-0000380C0000}"/>
    <cellStyle name="Normal 27 19 2" xfId="3004" xr:uid="{00000000-0005-0000-0000-0000390C0000}"/>
    <cellStyle name="Normal 27 2" xfId="3005" xr:uid="{00000000-0005-0000-0000-00003A0C0000}"/>
    <cellStyle name="Normal 27 2 2" xfId="3006" xr:uid="{00000000-0005-0000-0000-00003B0C0000}"/>
    <cellStyle name="Normal 27 2 2 2" xfId="3007" xr:uid="{00000000-0005-0000-0000-00003C0C0000}"/>
    <cellStyle name="Normal 27 2 3" xfId="3008" xr:uid="{00000000-0005-0000-0000-00003D0C0000}"/>
    <cellStyle name="Normal 27 20" xfId="3009" xr:uid="{00000000-0005-0000-0000-00003E0C0000}"/>
    <cellStyle name="Normal 27 20 2" xfId="3010" xr:uid="{00000000-0005-0000-0000-00003F0C0000}"/>
    <cellStyle name="Normal 27 21" xfId="3011" xr:uid="{00000000-0005-0000-0000-0000400C0000}"/>
    <cellStyle name="Normal 27 21 2" xfId="3012" xr:uid="{00000000-0005-0000-0000-0000410C0000}"/>
    <cellStyle name="Normal 27 22" xfId="3013" xr:uid="{00000000-0005-0000-0000-0000420C0000}"/>
    <cellStyle name="Normal 27 3" xfId="3014" xr:uid="{00000000-0005-0000-0000-0000430C0000}"/>
    <cellStyle name="Normal 27 3 2" xfId="3015" xr:uid="{00000000-0005-0000-0000-0000440C0000}"/>
    <cellStyle name="Normal 27 3 2 2" xfId="3016" xr:uid="{00000000-0005-0000-0000-0000450C0000}"/>
    <cellStyle name="Normal 27 3 3" xfId="3017" xr:uid="{00000000-0005-0000-0000-0000460C0000}"/>
    <cellStyle name="Normal 27 4" xfId="3018" xr:uid="{00000000-0005-0000-0000-0000470C0000}"/>
    <cellStyle name="Normal 27 4 2" xfId="3019" xr:uid="{00000000-0005-0000-0000-0000480C0000}"/>
    <cellStyle name="Normal 27 4 2 2" xfId="3020" xr:uid="{00000000-0005-0000-0000-0000490C0000}"/>
    <cellStyle name="Normal 27 4 3" xfId="3021" xr:uid="{00000000-0005-0000-0000-00004A0C0000}"/>
    <cellStyle name="Normal 27 5" xfId="3022" xr:uid="{00000000-0005-0000-0000-00004B0C0000}"/>
    <cellStyle name="Normal 27 5 2" xfId="3023" xr:uid="{00000000-0005-0000-0000-00004C0C0000}"/>
    <cellStyle name="Normal 27 5 2 2" xfId="3024" xr:uid="{00000000-0005-0000-0000-00004D0C0000}"/>
    <cellStyle name="Normal 27 5 3" xfId="3025" xr:uid="{00000000-0005-0000-0000-00004E0C0000}"/>
    <cellStyle name="Normal 27 6" xfId="3026" xr:uid="{00000000-0005-0000-0000-00004F0C0000}"/>
    <cellStyle name="Normal 27 6 2" xfId="3027" xr:uid="{00000000-0005-0000-0000-0000500C0000}"/>
    <cellStyle name="Normal 27 6 2 2" xfId="3028" xr:uid="{00000000-0005-0000-0000-0000510C0000}"/>
    <cellStyle name="Normal 27 6 3" xfId="3029" xr:uid="{00000000-0005-0000-0000-0000520C0000}"/>
    <cellStyle name="Normal 27 7" xfId="3030" xr:uid="{00000000-0005-0000-0000-0000530C0000}"/>
    <cellStyle name="Normal 27 7 2" xfId="3031" xr:uid="{00000000-0005-0000-0000-0000540C0000}"/>
    <cellStyle name="Normal 27 7 2 2" xfId="3032" xr:uid="{00000000-0005-0000-0000-0000550C0000}"/>
    <cellStyle name="Normal 27 7 3" xfId="3033" xr:uid="{00000000-0005-0000-0000-0000560C0000}"/>
    <cellStyle name="Normal 27 8" xfId="3034" xr:uid="{00000000-0005-0000-0000-0000570C0000}"/>
    <cellStyle name="Normal 27 8 2" xfId="3035" xr:uid="{00000000-0005-0000-0000-0000580C0000}"/>
    <cellStyle name="Normal 27 8 2 2" xfId="3036" xr:uid="{00000000-0005-0000-0000-0000590C0000}"/>
    <cellStyle name="Normal 27 8 3" xfId="3037" xr:uid="{00000000-0005-0000-0000-00005A0C0000}"/>
    <cellStyle name="Normal 27 9" xfId="3038" xr:uid="{00000000-0005-0000-0000-00005B0C0000}"/>
    <cellStyle name="Normal 27 9 2" xfId="3039" xr:uid="{00000000-0005-0000-0000-00005C0C0000}"/>
    <cellStyle name="Normal 27 9 2 2" xfId="3040" xr:uid="{00000000-0005-0000-0000-00005D0C0000}"/>
    <cellStyle name="Normal 27 9 3" xfId="3041" xr:uid="{00000000-0005-0000-0000-00005E0C0000}"/>
    <cellStyle name="Normal 28" xfId="3042" xr:uid="{00000000-0005-0000-0000-00005F0C0000}"/>
    <cellStyle name="Normal 28 10" xfId="3043" xr:uid="{00000000-0005-0000-0000-0000600C0000}"/>
    <cellStyle name="Normal 28 10 2" xfId="3044" xr:uid="{00000000-0005-0000-0000-0000610C0000}"/>
    <cellStyle name="Normal 28 10 2 2" xfId="3045" xr:uid="{00000000-0005-0000-0000-0000620C0000}"/>
    <cellStyle name="Normal 28 10 3" xfId="3046" xr:uid="{00000000-0005-0000-0000-0000630C0000}"/>
    <cellStyle name="Normal 28 11" xfId="3047" xr:uid="{00000000-0005-0000-0000-0000640C0000}"/>
    <cellStyle name="Normal 28 11 2" xfId="3048" xr:uid="{00000000-0005-0000-0000-0000650C0000}"/>
    <cellStyle name="Normal 28 11 2 2" xfId="3049" xr:uid="{00000000-0005-0000-0000-0000660C0000}"/>
    <cellStyle name="Normal 28 11 3" xfId="3050" xr:uid="{00000000-0005-0000-0000-0000670C0000}"/>
    <cellStyle name="Normal 28 12" xfId="3051" xr:uid="{00000000-0005-0000-0000-0000680C0000}"/>
    <cellStyle name="Normal 28 12 2" xfId="3052" xr:uid="{00000000-0005-0000-0000-0000690C0000}"/>
    <cellStyle name="Normal 28 12 2 2" xfId="3053" xr:uid="{00000000-0005-0000-0000-00006A0C0000}"/>
    <cellStyle name="Normal 28 12 3" xfId="3054" xr:uid="{00000000-0005-0000-0000-00006B0C0000}"/>
    <cellStyle name="Normal 28 13" xfId="3055" xr:uid="{00000000-0005-0000-0000-00006C0C0000}"/>
    <cellStyle name="Normal 28 13 2" xfId="3056" xr:uid="{00000000-0005-0000-0000-00006D0C0000}"/>
    <cellStyle name="Normal 28 13 2 2" xfId="3057" xr:uid="{00000000-0005-0000-0000-00006E0C0000}"/>
    <cellStyle name="Normal 28 13 3" xfId="3058" xr:uid="{00000000-0005-0000-0000-00006F0C0000}"/>
    <cellStyle name="Normal 28 14" xfId="3059" xr:uid="{00000000-0005-0000-0000-0000700C0000}"/>
    <cellStyle name="Normal 28 14 2" xfId="3060" xr:uid="{00000000-0005-0000-0000-0000710C0000}"/>
    <cellStyle name="Normal 28 14 2 2" xfId="3061" xr:uid="{00000000-0005-0000-0000-0000720C0000}"/>
    <cellStyle name="Normal 28 14 3" xfId="3062" xr:uid="{00000000-0005-0000-0000-0000730C0000}"/>
    <cellStyle name="Normal 28 15" xfId="3063" xr:uid="{00000000-0005-0000-0000-0000740C0000}"/>
    <cellStyle name="Normal 28 15 2" xfId="3064" xr:uid="{00000000-0005-0000-0000-0000750C0000}"/>
    <cellStyle name="Normal 28 15 2 2" xfId="3065" xr:uid="{00000000-0005-0000-0000-0000760C0000}"/>
    <cellStyle name="Normal 28 15 3" xfId="3066" xr:uid="{00000000-0005-0000-0000-0000770C0000}"/>
    <cellStyle name="Normal 28 16" xfId="3067" xr:uid="{00000000-0005-0000-0000-0000780C0000}"/>
    <cellStyle name="Normal 28 16 2" xfId="3068" xr:uid="{00000000-0005-0000-0000-0000790C0000}"/>
    <cellStyle name="Normal 28 17" xfId="3069" xr:uid="{00000000-0005-0000-0000-00007A0C0000}"/>
    <cellStyle name="Normal 28 2" xfId="3070" xr:uid="{00000000-0005-0000-0000-00007B0C0000}"/>
    <cellStyle name="Normal 28 2 2" xfId="3071" xr:uid="{00000000-0005-0000-0000-00007C0C0000}"/>
    <cellStyle name="Normal 28 2 2 2" xfId="3072" xr:uid="{00000000-0005-0000-0000-00007D0C0000}"/>
    <cellStyle name="Normal 28 2 3" xfId="3073" xr:uid="{00000000-0005-0000-0000-00007E0C0000}"/>
    <cellStyle name="Normal 28 3" xfId="3074" xr:uid="{00000000-0005-0000-0000-00007F0C0000}"/>
    <cellStyle name="Normal 28 3 2" xfId="3075" xr:uid="{00000000-0005-0000-0000-0000800C0000}"/>
    <cellStyle name="Normal 28 3 2 2" xfId="3076" xr:uid="{00000000-0005-0000-0000-0000810C0000}"/>
    <cellStyle name="Normal 28 3 3" xfId="3077" xr:uid="{00000000-0005-0000-0000-0000820C0000}"/>
    <cellStyle name="Normal 28 4" xfId="3078" xr:uid="{00000000-0005-0000-0000-0000830C0000}"/>
    <cellStyle name="Normal 28 4 2" xfId="3079" xr:uid="{00000000-0005-0000-0000-0000840C0000}"/>
    <cellStyle name="Normal 28 4 2 2" xfId="3080" xr:uid="{00000000-0005-0000-0000-0000850C0000}"/>
    <cellStyle name="Normal 28 4 3" xfId="3081" xr:uid="{00000000-0005-0000-0000-0000860C0000}"/>
    <cellStyle name="Normal 28 5" xfId="3082" xr:uid="{00000000-0005-0000-0000-0000870C0000}"/>
    <cellStyle name="Normal 28 5 2" xfId="3083" xr:uid="{00000000-0005-0000-0000-0000880C0000}"/>
    <cellStyle name="Normal 28 5 2 2" xfId="3084" xr:uid="{00000000-0005-0000-0000-0000890C0000}"/>
    <cellStyle name="Normal 28 5 3" xfId="3085" xr:uid="{00000000-0005-0000-0000-00008A0C0000}"/>
    <cellStyle name="Normal 28 6" xfId="3086" xr:uid="{00000000-0005-0000-0000-00008B0C0000}"/>
    <cellStyle name="Normal 28 6 2" xfId="3087" xr:uid="{00000000-0005-0000-0000-00008C0C0000}"/>
    <cellStyle name="Normal 28 6 2 2" xfId="3088" xr:uid="{00000000-0005-0000-0000-00008D0C0000}"/>
    <cellStyle name="Normal 28 6 3" xfId="3089" xr:uid="{00000000-0005-0000-0000-00008E0C0000}"/>
    <cellStyle name="Normal 28 7" xfId="3090" xr:uid="{00000000-0005-0000-0000-00008F0C0000}"/>
    <cellStyle name="Normal 28 7 2" xfId="3091" xr:uid="{00000000-0005-0000-0000-0000900C0000}"/>
    <cellStyle name="Normal 28 7 2 2" xfId="3092" xr:uid="{00000000-0005-0000-0000-0000910C0000}"/>
    <cellStyle name="Normal 28 7 3" xfId="3093" xr:uid="{00000000-0005-0000-0000-0000920C0000}"/>
    <cellStyle name="Normal 28 8" xfId="3094" xr:uid="{00000000-0005-0000-0000-0000930C0000}"/>
    <cellStyle name="Normal 28 8 2" xfId="3095" xr:uid="{00000000-0005-0000-0000-0000940C0000}"/>
    <cellStyle name="Normal 28 8 2 2" xfId="3096" xr:uid="{00000000-0005-0000-0000-0000950C0000}"/>
    <cellStyle name="Normal 28 8 3" xfId="3097" xr:uid="{00000000-0005-0000-0000-0000960C0000}"/>
    <cellStyle name="Normal 28 9" xfId="3098" xr:uid="{00000000-0005-0000-0000-0000970C0000}"/>
    <cellStyle name="Normal 28 9 2" xfId="3099" xr:uid="{00000000-0005-0000-0000-0000980C0000}"/>
    <cellStyle name="Normal 28 9 2 2" xfId="3100" xr:uid="{00000000-0005-0000-0000-0000990C0000}"/>
    <cellStyle name="Normal 28 9 3" xfId="3101" xr:uid="{00000000-0005-0000-0000-00009A0C0000}"/>
    <cellStyle name="Normal 29" xfId="3102" xr:uid="{00000000-0005-0000-0000-00009B0C0000}"/>
    <cellStyle name="Normal 29 10" xfId="3103" xr:uid="{00000000-0005-0000-0000-00009C0C0000}"/>
    <cellStyle name="Normal 29 10 2" xfId="3104" xr:uid="{00000000-0005-0000-0000-00009D0C0000}"/>
    <cellStyle name="Normal 29 10 2 2" xfId="3105" xr:uid="{00000000-0005-0000-0000-00009E0C0000}"/>
    <cellStyle name="Normal 29 10 3" xfId="3106" xr:uid="{00000000-0005-0000-0000-00009F0C0000}"/>
    <cellStyle name="Normal 29 11" xfId="3107" xr:uid="{00000000-0005-0000-0000-0000A00C0000}"/>
    <cellStyle name="Normal 29 11 2" xfId="3108" xr:uid="{00000000-0005-0000-0000-0000A10C0000}"/>
    <cellStyle name="Normal 29 11 2 2" xfId="3109" xr:uid="{00000000-0005-0000-0000-0000A20C0000}"/>
    <cellStyle name="Normal 29 11 3" xfId="3110" xr:uid="{00000000-0005-0000-0000-0000A30C0000}"/>
    <cellStyle name="Normal 29 12" xfId="3111" xr:uid="{00000000-0005-0000-0000-0000A40C0000}"/>
    <cellStyle name="Normal 29 12 2" xfId="3112" xr:uid="{00000000-0005-0000-0000-0000A50C0000}"/>
    <cellStyle name="Normal 29 12 2 2" xfId="3113" xr:uid="{00000000-0005-0000-0000-0000A60C0000}"/>
    <cellStyle name="Normal 29 12 3" xfId="3114" xr:uid="{00000000-0005-0000-0000-0000A70C0000}"/>
    <cellStyle name="Normal 29 13" xfId="3115" xr:uid="{00000000-0005-0000-0000-0000A80C0000}"/>
    <cellStyle name="Normal 29 13 2" xfId="3116" xr:uid="{00000000-0005-0000-0000-0000A90C0000}"/>
    <cellStyle name="Normal 29 13 2 2" xfId="3117" xr:uid="{00000000-0005-0000-0000-0000AA0C0000}"/>
    <cellStyle name="Normal 29 13 3" xfId="3118" xr:uid="{00000000-0005-0000-0000-0000AB0C0000}"/>
    <cellStyle name="Normal 29 14" xfId="3119" xr:uid="{00000000-0005-0000-0000-0000AC0C0000}"/>
    <cellStyle name="Normal 29 14 2" xfId="3120" xr:uid="{00000000-0005-0000-0000-0000AD0C0000}"/>
    <cellStyle name="Normal 29 14 2 2" xfId="3121" xr:uid="{00000000-0005-0000-0000-0000AE0C0000}"/>
    <cellStyle name="Normal 29 14 3" xfId="3122" xr:uid="{00000000-0005-0000-0000-0000AF0C0000}"/>
    <cellStyle name="Normal 29 15" xfId="3123" xr:uid="{00000000-0005-0000-0000-0000B00C0000}"/>
    <cellStyle name="Normal 29 15 2" xfId="3124" xr:uid="{00000000-0005-0000-0000-0000B10C0000}"/>
    <cellStyle name="Normal 29 15 2 2" xfId="3125" xr:uid="{00000000-0005-0000-0000-0000B20C0000}"/>
    <cellStyle name="Normal 29 15 3" xfId="3126" xr:uid="{00000000-0005-0000-0000-0000B30C0000}"/>
    <cellStyle name="Normal 29 16" xfId="3127" xr:uid="{00000000-0005-0000-0000-0000B40C0000}"/>
    <cellStyle name="Normal 29 16 2" xfId="3128" xr:uid="{00000000-0005-0000-0000-0000B50C0000}"/>
    <cellStyle name="Normal 29 17" xfId="3129" xr:uid="{00000000-0005-0000-0000-0000B60C0000}"/>
    <cellStyle name="Normal 29 2" xfId="3130" xr:uid="{00000000-0005-0000-0000-0000B70C0000}"/>
    <cellStyle name="Normal 29 2 2" xfId="3131" xr:uid="{00000000-0005-0000-0000-0000B80C0000}"/>
    <cellStyle name="Normal 29 2 2 2" xfId="3132" xr:uid="{00000000-0005-0000-0000-0000B90C0000}"/>
    <cellStyle name="Normal 29 2 3" xfId="3133" xr:uid="{00000000-0005-0000-0000-0000BA0C0000}"/>
    <cellStyle name="Normal 29 3" xfId="3134" xr:uid="{00000000-0005-0000-0000-0000BB0C0000}"/>
    <cellStyle name="Normal 29 3 2" xfId="3135" xr:uid="{00000000-0005-0000-0000-0000BC0C0000}"/>
    <cellStyle name="Normal 29 3 2 2" xfId="3136" xr:uid="{00000000-0005-0000-0000-0000BD0C0000}"/>
    <cellStyle name="Normal 29 3 3" xfId="3137" xr:uid="{00000000-0005-0000-0000-0000BE0C0000}"/>
    <cellStyle name="Normal 29 4" xfId="3138" xr:uid="{00000000-0005-0000-0000-0000BF0C0000}"/>
    <cellStyle name="Normal 29 4 2" xfId="3139" xr:uid="{00000000-0005-0000-0000-0000C00C0000}"/>
    <cellStyle name="Normal 29 4 2 2" xfId="3140" xr:uid="{00000000-0005-0000-0000-0000C10C0000}"/>
    <cellStyle name="Normal 29 4 3" xfId="3141" xr:uid="{00000000-0005-0000-0000-0000C20C0000}"/>
    <cellStyle name="Normal 29 5" xfId="3142" xr:uid="{00000000-0005-0000-0000-0000C30C0000}"/>
    <cellStyle name="Normal 29 5 2" xfId="3143" xr:uid="{00000000-0005-0000-0000-0000C40C0000}"/>
    <cellStyle name="Normal 29 5 2 2" xfId="3144" xr:uid="{00000000-0005-0000-0000-0000C50C0000}"/>
    <cellStyle name="Normal 29 5 3" xfId="3145" xr:uid="{00000000-0005-0000-0000-0000C60C0000}"/>
    <cellStyle name="Normal 29 6" xfId="3146" xr:uid="{00000000-0005-0000-0000-0000C70C0000}"/>
    <cellStyle name="Normal 29 6 2" xfId="3147" xr:uid="{00000000-0005-0000-0000-0000C80C0000}"/>
    <cellStyle name="Normal 29 6 2 2" xfId="3148" xr:uid="{00000000-0005-0000-0000-0000C90C0000}"/>
    <cellStyle name="Normal 29 6 3" xfId="3149" xr:uid="{00000000-0005-0000-0000-0000CA0C0000}"/>
    <cellStyle name="Normal 29 7" xfId="3150" xr:uid="{00000000-0005-0000-0000-0000CB0C0000}"/>
    <cellStyle name="Normal 29 7 2" xfId="3151" xr:uid="{00000000-0005-0000-0000-0000CC0C0000}"/>
    <cellStyle name="Normal 29 7 2 2" xfId="3152" xr:uid="{00000000-0005-0000-0000-0000CD0C0000}"/>
    <cellStyle name="Normal 29 7 3" xfId="3153" xr:uid="{00000000-0005-0000-0000-0000CE0C0000}"/>
    <cellStyle name="Normal 29 8" xfId="3154" xr:uid="{00000000-0005-0000-0000-0000CF0C0000}"/>
    <cellStyle name="Normal 29 8 2" xfId="3155" xr:uid="{00000000-0005-0000-0000-0000D00C0000}"/>
    <cellStyle name="Normal 29 8 2 2" xfId="3156" xr:uid="{00000000-0005-0000-0000-0000D10C0000}"/>
    <cellStyle name="Normal 29 8 3" xfId="3157" xr:uid="{00000000-0005-0000-0000-0000D20C0000}"/>
    <cellStyle name="Normal 29 9" xfId="3158" xr:uid="{00000000-0005-0000-0000-0000D30C0000}"/>
    <cellStyle name="Normal 29 9 2" xfId="3159" xr:uid="{00000000-0005-0000-0000-0000D40C0000}"/>
    <cellStyle name="Normal 29 9 2 2" xfId="3160" xr:uid="{00000000-0005-0000-0000-0000D50C0000}"/>
    <cellStyle name="Normal 29 9 3" xfId="3161" xr:uid="{00000000-0005-0000-0000-0000D60C0000}"/>
    <cellStyle name="Normal 3" xfId="123" xr:uid="{00000000-0005-0000-0000-0000D70C0000}"/>
    <cellStyle name="Normal 3 2" xfId="124" xr:uid="{00000000-0005-0000-0000-0000D80C0000}"/>
    <cellStyle name="Normal 3 2 2" xfId="3162" xr:uid="{00000000-0005-0000-0000-0000D90C0000}"/>
    <cellStyle name="Normal 3 2 3" xfId="3163" xr:uid="{00000000-0005-0000-0000-0000DA0C0000}"/>
    <cellStyle name="Normal 3 2 4" xfId="4157" xr:uid="{00000000-0005-0000-0000-0000DB0C0000}"/>
    <cellStyle name="Normal 3 3" xfId="3164" xr:uid="{00000000-0005-0000-0000-0000DC0C0000}"/>
    <cellStyle name="Normal 3 3 2" xfId="3165" xr:uid="{00000000-0005-0000-0000-0000DD0C0000}"/>
    <cellStyle name="Normal 3 4" xfId="3166" xr:uid="{00000000-0005-0000-0000-0000DE0C0000}"/>
    <cellStyle name="Normal 3 4 2" xfId="3167" xr:uid="{00000000-0005-0000-0000-0000DF0C0000}"/>
    <cellStyle name="Normal 3 5" xfId="3168" xr:uid="{00000000-0005-0000-0000-0000E00C0000}"/>
    <cellStyle name="Normal 3 5 2" xfId="3169" xr:uid="{00000000-0005-0000-0000-0000E10C0000}"/>
    <cellStyle name="Normal 3 6" xfId="3170" xr:uid="{00000000-0005-0000-0000-0000E20C0000}"/>
    <cellStyle name="Normal 3 6 2" xfId="3171" xr:uid="{00000000-0005-0000-0000-0000E30C0000}"/>
    <cellStyle name="Normal 3 7" xfId="3172" xr:uid="{00000000-0005-0000-0000-0000E40C0000}"/>
    <cellStyle name="Normal 3_Attach O, GG, Support -New Method 2-14-11" xfId="4228" xr:uid="{00000000-0005-0000-0000-0000E50C0000}"/>
    <cellStyle name="Normal 30" xfId="3173" xr:uid="{00000000-0005-0000-0000-0000E60C0000}"/>
    <cellStyle name="Normal 30 10" xfId="3174" xr:uid="{00000000-0005-0000-0000-0000E70C0000}"/>
    <cellStyle name="Normal 30 10 2" xfId="3175" xr:uid="{00000000-0005-0000-0000-0000E80C0000}"/>
    <cellStyle name="Normal 30 10 2 2" xfId="3176" xr:uid="{00000000-0005-0000-0000-0000E90C0000}"/>
    <cellStyle name="Normal 30 10 3" xfId="3177" xr:uid="{00000000-0005-0000-0000-0000EA0C0000}"/>
    <cellStyle name="Normal 30 11" xfId="3178" xr:uid="{00000000-0005-0000-0000-0000EB0C0000}"/>
    <cellStyle name="Normal 30 11 2" xfId="3179" xr:uid="{00000000-0005-0000-0000-0000EC0C0000}"/>
    <cellStyle name="Normal 30 11 2 2" xfId="3180" xr:uid="{00000000-0005-0000-0000-0000ED0C0000}"/>
    <cellStyle name="Normal 30 11 3" xfId="3181" xr:uid="{00000000-0005-0000-0000-0000EE0C0000}"/>
    <cellStyle name="Normal 30 12" xfId="3182" xr:uid="{00000000-0005-0000-0000-0000EF0C0000}"/>
    <cellStyle name="Normal 30 12 2" xfId="3183" xr:uid="{00000000-0005-0000-0000-0000F00C0000}"/>
    <cellStyle name="Normal 30 12 2 2" xfId="3184" xr:uid="{00000000-0005-0000-0000-0000F10C0000}"/>
    <cellStyle name="Normal 30 12 3" xfId="3185" xr:uid="{00000000-0005-0000-0000-0000F20C0000}"/>
    <cellStyle name="Normal 30 13" xfId="3186" xr:uid="{00000000-0005-0000-0000-0000F30C0000}"/>
    <cellStyle name="Normal 30 13 2" xfId="3187" xr:uid="{00000000-0005-0000-0000-0000F40C0000}"/>
    <cellStyle name="Normal 30 13 2 2" xfId="3188" xr:uid="{00000000-0005-0000-0000-0000F50C0000}"/>
    <cellStyle name="Normal 30 13 3" xfId="3189" xr:uid="{00000000-0005-0000-0000-0000F60C0000}"/>
    <cellStyle name="Normal 30 14" xfId="3190" xr:uid="{00000000-0005-0000-0000-0000F70C0000}"/>
    <cellStyle name="Normal 30 14 2" xfId="3191" xr:uid="{00000000-0005-0000-0000-0000F80C0000}"/>
    <cellStyle name="Normal 30 14 2 2" xfId="3192" xr:uid="{00000000-0005-0000-0000-0000F90C0000}"/>
    <cellStyle name="Normal 30 14 3" xfId="3193" xr:uid="{00000000-0005-0000-0000-0000FA0C0000}"/>
    <cellStyle name="Normal 30 15" xfId="3194" xr:uid="{00000000-0005-0000-0000-0000FB0C0000}"/>
    <cellStyle name="Normal 30 15 2" xfId="3195" xr:uid="{00000000-0005-0000-0000-0000FC0C0000}"/>
    <cellStyle name="Normal 30 15 2 2" xfId="3196" xr:uid="{00000000-0005-0000-0000-0000FD0C0000}"/>
    <cellStyle name="Normal 30 15 3" xfId="3197" xr:uid="{00000000-0005-0000-0000-0000FE0C0000}"/>
    <cellStyle name="Normal 30 16" xfId="3198" xr:uid="{00000000-0005-0000-0000-0000FF0C0000}"/>
    <cellStyle name="Normal 30 16 2" xfId="3199" xr:uid="{00000000-0005-0000-0000-0000000D0000}"/>
    <cellStyle name="Normal 30 17" xfId="3200" xr:uid="{00000000-0005-0000-0000-0000010D0000}"/>
    <cellStyle name="Normal 30 17 2" xfId="3201" xr:uid="{00000000-0005-0000-0000-0000020D0000}"/>
    <cellStyle name="Normal 30 18" xfId="3202" xr:uid="{00000000-0005-0000-0000-0000030D0000}"/>
    <cellStyle name="Normal 30 18 2" xfId="3203" xr:uid="{00000000-0005-0000-0000-0000040D0000}"/>
    <cellStyle name="Normal 30 19" xfId="3204" xr:uid="{00000000-0005-0000-0000-0000050D0000}"/>
    <cellStyle name="Normal 30 19 2" xfId="3205" xr:uid="{00000000-0005-0000-0000-0000060D0000}"/>
    <cellStyle name="Normal 30 2" xfId="3206" xr:uid="{00000000-0005-0000-0000-0000070D0000}"/>
    <cellStyle name="Normal 30 2 2" xfId="3207" xr:uid="{00000000-0005-0000-0000-0000080D0000}"/>
    <cellStyle name="Normal 30 2 2 2" xfId="3208" xr:uid="{00000000-0005-0000-0000-0000090D0000}"/>
    <cellStyle name="Normal 30 2 3" xfId="3209" xr:uid="{00000000-0005-0000-0000-00000A0D0000}"/>
    <cellStyle name="Normal 30 20" xfId="3210" xr:uid="{00000000-0005-0000-0000-00000B0D0000}"/>
    <cellStyle name="Normal 30 20 2" xfId="3211" xr:uid="{00000000-0005-0000-0000-00000C0D0000}"/>
    <cellStyle name="Normal 30 21" xfId="3212" xr:uid="{00000000-0005-0000-0000-00000D0D0000}"/>
    <cellStyle name="Normal 30 21 2" xfId="3213" xr:uid="{00000000-0005-0000-0000-00000E0D0000}"/>
    <cellStyle name="Normal 30 22" xfId="3214" xr:uid="{00000000-0005-0000-0000-00000F0D0000}"/>
    <cellStyle name="Normal 30 3" xfId="3215" xr:uid="{00000000-0005-0000-0000-0000100D0000}"/>
    <cellStyle name="Normal 30 3 2" xfId="3216" xr:uid="{00000000-0005-0000-0000-0000110D0000}"/>
    <cellStyle name="Normal 30 3 2 2" xfId="3217" xr:uid="{00000000-0005-0000-0000-0000120D0000}"/>
    <cellStyle name="Normal 30 3 3" xfId="3218" xr:uid="{00000000-0005-0000-0000-0000130D0000}"/>
    <cellStyle name="Normal 30 4" xfId="3219" xr:uid="{00000000-0005-0000-0000-0000140D0000}"/>
    <cellStyle name="Normal 30 4 2" xfId="3220" xr:uid="{00000000-0005-0000-0000-0000150D0000}"/>
    <cellStyle name="Normal 30 4 2 2" xfId="3221" xr:uid="{00000000-0005-0000-0000-0000160D0000}"/>
    <cellStyle name="Normal 30 4 3" xfId="3222" xr:uid="{00000000-0005-0000-0000-0000170D0000}"/>
    <cellStyle name="Normal 30 5" xfId="3223" xr:uid="{00000000-0005-0000-0000-0000180D0000}"/>
    <cellStyle name="Normal 30 5 2" xfId="3224" xr:uid="{00000000-0005-0000-0000-0000190D0000}"/>
    <cellStyle name="Normal 30 5 2 2" xfId="3225" xr:uid="{00000000-0005-0000-0000-00001A0D0000}"/>
    <cellStyle name="Normal 30 5 3" xfId="3226" xr:uid="{00000000-0005-0000-0000-00001B0D0000}"/>
    <cellStyle name="Normal 30 6" xfId="3227" xr:uid="{00000000-0005-0000-0000-00001C0D0000}"/>
    <cellStyle name="Normal 30 6 2" xfId="3228" xr:uid="{00000000-0005-0000-0000-00001D0D0000}"/>
    <cellStyle name="Normal 30 6 2 2" xfId="3229" xr:uid="{00000000-0005-0000-0000-00001E0D0000}"/>
    <cellStyle name="Normal 30 6 3" xfId="3230" xr:uid="{00000000-0005-0000-0000-00001F0D0000}"/>
    <cellStyle name="Normal 30 7" xfId="3231" xr:uid="{00000000-0005-0000-0000-0000200D0000}"/>
    <cellStyle name="Normal 30 7 2" xfId="3232" xr:uid="{00000000-0005-0000-0000-0000210D0000}"/>
    <cellStyle name="Normal 30 7 2 2" xfId="3233" xr:uid="{00000000-0005-0000-0000-0000220D0000}"/>
    <cellStyle name="Normal 30 7 3" xfId="3234" xr:uid="{00000000-0005-0000-0000-0000230D0000}"/>
    <cellStyle name="Normal 30 8" xfId="3235" xr:uid="{00000000-0005-0000-0000-0000240D0000}"/>
    <cellStyle name="Normal 30 8 2" xfId="3236" xr:uid="{00000000-0005-0000-0000-0000250D0000}"/>
    <cellStyle name="Normal 30 8 2 2" xfId="3237" xr:uid="{00000000-0005-0000-0000-0000260D0000}"/>
    <cellStyle name="Normal 30 8 3" xfId="3238" xr:uid="{00000000-0005-0000-0000-0000270D0000}"/>
    <cellStyle name="Normal 30 9" xfId="3239" xr:uid="{00000000-0005-0000-0000-0000280D0000}"/>
    <cellStyle name="Normal 30 9 2" xfId="3240" xr:uid="{00000000-0005-0000-0000-0000290D0000}"/>
    <cellStyle name="Normal 30 9 2 2" xfId="3241" xr:uid="{00000000-0005-0000-0000-00002A0D0000}"/>
    <cellStyle name="Normal 30 9 3" xfId="3242" xr:uid="{00000000-0005-0000-0000-00002B0D0000}"/>
    <cellStyle name="Normal 31" xfId="3243" xr:uid="{00000000-0005-0000-0000-00002C0D0000}"/>
    <cellStyle name="Normal 31 10" xfId="3244" xr:uid="{00000000-0005-0000-0000-00002D0D0000}"/>
    <cellStyle name="Normal 31 10 2" xfId="3245" xr:uid="{00000000-0005-0000-0000-00002E0D0000}"/>
    <cellStyle name="Normal 31 10 2 2" xfId="3246" xr:uid="{00000000-0005-0000-0000-00002F0D0000}"/>
    <cellStyle name="Normal 31 10 3" xfId="3247" xr:uid="{00000000-0005-0000-0000-0000300D0000}"/>
    <cellStyle name="Normal 31 10 3 2" xfId="3248" xr:uid="{00000000-0005-0000-0000-0000310D0000}"/>
    <cellStyle name="Normal 31 10 4" xfId="3249" xr:uid="{00000000-0005-0000-0000-0000320D0000}"/>
    <cellStyle name="Normal 31 11" xfId="3250" xr:uid="{00000000-0005-0000-0000-0000330D0000}"/>
    <cellStyle name="Normal 31 11 2" xfId="3251" xr:uid="{00000000-0005-0000-0000-0000340D0000}"/>
    <cellStyle name="Normal 31 11 2 2" xfId="3252" xr:uid="{00000000-0005-0000-0000-0000350D0000}"/>
    <cellStyle name="Normal 31 11 3" xfId="3253" xr:uid="{00000000-0005-0000-0000-0000360D0000}"/>
    <cellStyle name="Normal 31 12" xfId="3254" xr:uid="{00000000-0005-0000-0000-0000370D0000}"/>
    <cellStyle name="Normal 31 12 2" xfId="3255" xr:uid="{00000000-0005-0000-0000-0000380D0000}"/>
    <cellStyle name="Normal 31 12 2 2" xfId="3256" xr:uid="{00000000-0005-0000-0000-0000390D0000}"/>
    <cellStyle name="Normal 31 12 3" xfId="3257" xr:uid="{00000000-0005-0000-0000-00003A0D0000}"/>
    <cellStyle name="Normal 31 13" xfId="3258" xr:uid="{00000000-0005-0000-0000-00003B0D0000}"/>
    <cellStyle name="Normal 31 13 2" xfId="3259" xr:uid="{00000000-0005-0000-0000-00003C0D0000}"/>
    <cellStyle name="Normal 31 13 2 2" xfId="3260" xr:uid="{00000000-0005-0000-0000-00003D0D0000}"/>
    <cellStyle name="Normal 31 13 3" xfId="3261" xr:uid="{00000000-0005-0000-0000-00003E0D0000}"/>
    <cellStyle name="Normal 31 14" xfId="3262" xr:uid="{00000000-0005-0000-0000-00003F0D0000}"/>
    <cellStyle name="Normal 31 14 2" xfId="3263" xr:uid="{00000000-0005-0000-0000-0000400D0000}"/>
    <cellStyle name="Normal 31 14 2 2" xfId="3264" xr:uid="{00000000-0005-0000-0000-0000410D0000}"/>
    <cellStyle name="Normal 31 14 3" xfId="3265" xr:uid="{00000000-0005-0000-0000-0000420D0000}"/>
    <cellStyle name="Normal 31 15" xfId="3266" xr:uid="{00000000-0005-0000-0000-0000430D0000}"/>
    <cellStyle name="Normal 31 15 2" xfId="3267" xr:uid="{00000000-0005-0000-0000-0000440D0000}"/>
    <cellStyle name="Normal 31 15 2 2" xfId="3268" xr:uid="{00000000-0005-0000-0000-0000450D0000}"/>
    <cellStyle name="Normal 31 15 3" xfId="3269" xr:uid="{00000000-0005-0000-0000-0000460D0000}"/>
    <cellStyle name="Normal 31 16" xfId="3270" xr:uid="{00000000-0005-0000-0000-0000470D0000}"/>
    <cellStyle name="Normal 31 16 2" xfId="3271" xr:uid="{00000000-0005-0000-0000-0000480D0000}"/>
    <cellStyle name="Normal 31 17" xfId="3272" xr:uid="{00000000-0005-0000-0000-0000490D0000}"/>
    <cellStyle name="Normal 31 17 2" xfId="3273" xr:uid="{00000000-0005-0000-0000-00004A0D0000}"/>
    <cellStyle name="Normal 31 2" xfId="3274" xr:uid="{00000000-0005-0000-0000-00004B0D0000}"/>
    <cellStyle name="Normal 31 2 2" xfId="3275" xr:uid="{00000000-0005-0000-0000-00004C0D0000}"/>
    <cellStyle name="Normal 31 2 2 2" xfId="3276" xr:uid="{00000000-0005-0000-0000-00004D0D0000}"/>
    <cellStyle name="Normal 31 2 3" xfId="3277" xr:uid="{00000000-0005-0000-0000-00004E0D0000}"/>
    <cellStyle name="Normal 31 3" xfId="3278" xr:uid="{00000000-0005-0000-0000-00004F0D0000}"/>
    <cellStyle name="Normal 31 3 2" xfId="3279" xr:uid="{00000000-0005-0000-0000-0000500D0000}"/>
    <cellStyle name="Normal 31 3 2 2" xfId="3280" xr:uid="{00000000-0005-0000-0000-0000510D0000}"/>
    <cellStyle name="Normal 31 3 3" xfId="3281" xr:uid="{00000000-0005-0000-0000-0000520D0000}"/>
    <cellStyle name="Normal 31 4" xfId="3282" xr:uid="{00000000-0005-0000-0000-0000530D0000}"/>
    <cellStyle name="Normal 31 4 2" xfId="3283" xr:uid="{00000000-0005-0000-0000-0000540D0000}"/>
    <cellStyle name="Normal 31 4 2 2" xfId="3284" xr:uid="{00000000-0005-0000-0000-0000550D0000}"/>
    <cellStyle name="Normal 31 4 3" xfId="3285" xr:uid="{00000000-0005-0000-0000-0000560D0000}"/>
    <cellStyle name="Normal 31 5" xfId="3286" xr:uid="{00000000-0005-0000-0000-0000570D0000}"/>
    <cellStyle name="Normal 31 5 2" xfId="3287" xr:uid="{00000000-0005-0000-0000-0000580D0000}"/>
    <cellStyle name="Normal 31 5 2 2" xfId="3288" xr:uid="{00000000-0005-0000-0000-0000590D0000}"/>
    <cellStyle name="Normal 31 5 3" xfId="3289" xr:uid="{00000000-0005-0000-0000-00005A0D0000}"/>
    <cellStyle name="Normal 31 6" xfId="3290" xr:uid="{00000000-0005-0000-0000-00005B0D0000}"/>
    <cellStyle name="Normal 31 6 2" xfId="3291" xr:uid="{00000000-0005-0000-0000-00005C0D0000}"/>
    <cellStyle name="Normal 31 6 2 2" xfId="3292" xr:uid="{00000000-0005-0000-0000-00005D0D0000}"/>
    <cellStyle name="Normal 31 6 3" xfId="3293" xr:uid="{00000000-0005-0000-0000-00005E0D0000}"/>
    <cellStyle name="Normal 31 7" xfId="3294" xr:uid="{00000000-0005-0000-0000-00005F0D0000}"/>
    <cellStyle name="Normal 31 7 2" xfId="3295" xr:uid="{00000000-0005-0000-0000-0000600D0000}"/>
    <cellStyle name="Normal 31 7 2 2" xfId="3296" xr:uid="{00000000-0005-0000-0000-0000610D0000}"/>
    <cellStyle name="Normal 31 7 3" xfId="3297" xr:uid="{00000000-0005-0000-0000-0000620D0000}"/>
    <cellStyle name="Normal 31 8" xfId="3298" xr:uid="{00000000-0005-0000-0000-0000630D0000}"/>
    <cellStyle name="Normal 31 8 2" xfId="3299" xr:uid="{00000000-0005-0000-0000-0000640D0000}"/>
    <cellStyle name="Normal 31 8 2 2" xfId="3300" xr:uid="{00000000-0005-0000-0000-0000650D0000}"/>
    <cellStyle name="Normal 31 8 3" xfId="3301" xr:uid="{00000000-0005-0000-0000-0000660D0000}"/>
    <cellStyle name="Normal 31 9" xfId="3302" xr:uid="{00000000-0005-0000-0000-0000670D0000}"/>
    <cellStyle name="Normal 31 9 2" xfId="3303" xr:uid="{00000000-0005-0000-0000-0000680D0000}"/>
    <cellStyle name="Normal 31 9 2 2" xfId="3304" xr:uid="{00000000-0005-0000-0000-0000690D0000}"/>
    <cellStyle name="Normal 31 9 3" xfId="3305" xr:uid="{00000000-0005-0000-0000-00006A0D0000}"/>
    <cellStyle name="Normal 32" xfId="3306" xr:uid="{00000000-0005-0000-0000-00006B0D0000}"/>
    <cellStyle name="Normal 32 10" xfId="3307" xr:uid="{00000000-0005-0000-0000-00006C0D0000}"/>
    <cellStyle name="Normal 32 10 2" xfId="3308" xr:uid="{00000000-0005-0000-0000-00006D0D0000}"/>
    <cellStyle name="Normal 32 10 2 2" xfId="3309" xr:uid="{00000000-0005-0000-0000-00006E0D0000}"/>
    <cellStyle name="Normal 32 10 3" xfId="3310" xr:uid="{00000000-0005-0000-0000-00006F0D0000}"/>
    <cellStyle name="Normal 32 10 3 2" xfId="3311" xr:uid="{00000000-0005-0000-0000-0000700D0000}"/>
    <cellStyle name="Normal 32 10 4" xfId="3312" xr:uid="{00000000-0005-0000-0000-0000710D0000}"/>
    <cellStyle name="Normal 32 11" xfId="3313" xr:uid="{00000000-0005-0000-0000-0000720D0000}"/>
    <cellStyle name="Normal 32 11 2" xfId="3314" xr:uid="{00000000-0005-0000-0000-0000730D0000}"/>
    <cellStyle name="Normal 32 11 2 2" xfId="3315" xr:uid="{00000000-0005-0000-0000-0000740D0000}"/>
    <cellStyle name="Normal 32 11 3" xfId="3316" xr:uid="{00000000-0005-0000-0000-0000750D0000}"/>
    <cellStyle name="Normal 32 12" xfId="3317" xr:uid="{00000000-0005-0000-0000-0000760D0000}"/>
    <cellStyle name="Normal 32 12 2" xfId="3318" xr:uid="{00000000-0005-0000-0000-0000770D0000}"/>
    <cellStyle name="Normal 32 12 2 2" xfId="3319" xr:uid="{00000000-0005-0000-0000-0000780D0000}"/>
    <cellStyle name="Normal 32 12 3" xfId="3320" xr:uid="{00000000-0005-0000-0000-0000790D0000}"/>
    <cellStyle name="Normal 32 13" xfId="3321" xr:uid="{00000000-0005-0000-0000-00007A0D0000}"/>
    <cellStyle name="Normal 32 13 2" xfId="3322" xr:uid="{00000000-0005-0000-0000-00007B0D0000}"/>
    <cellStyle name="Normal 32 13 2 2" xfId="3323" xr:uid="{00000000-0005-0000-0000-00007C0D0000}"/>
    <cellStyle name="Normal 32 13 3" xfId="3324" xr:uid="{00000000-0005-0000-0000-00007D0D0000}"/>
    <cellStyle name="Normal 32 14" xfId="3325" xr:uid="{00000000-0005-0000-0000-00007E0D0000}"/>
    <cellStyle name="Normal 32 14 2" xfId="3326" xr:uid="{00000000-0005-0000-0000-00007F0D0000}"/>
    <cellStyle name="Normal 32 14 2 2" xfId="3327" xr:uid="{00000000-0005-0000-0000-0000800D0000}"/>
    <cellStyle name="Normal 32 14 3" xfId="3328" xr:uid="{00000000-0005-0000-0000-0000810D0000}"/>
    <cellStyle name="Normal 32 15" xfId="3329" xr:uid="{00000000-0005-0000-0000-0000820D0000}"/>
    <cellStyle name="Normal 32 15 2" xfId="3330" xr:uid="{00000000-0005-0000-0000-0000830D0000}"/>
    <cellStyle name="Normal 32 15 2 2" xfId="3331" xr:uid="{00000000-0005-0000-0000-0000840D0000}"/>
    <cellStyle name="Normal 32 15 3" xfId="3332" xr:uid="{00000000-0005-0000-0000-0000850D0000}"/>
    <cellStyle name="Normal 32 16" xfId="3333" xr:uid="{00000000-0005-0000-0000-0000860D0000}"/>
    <cellStyle name="Normal 32 16 2" xfId="3334" xr:uid="{00000000-0005-0000-0000-0000870D0000}"/>
    <cellStyle name="Normal 32 2" xfId="3335" xr:uid="{00000000-0005-0000-0000-0000880D0000}"/>
    <cellStyle name="Normal 32 2 2" xfId="3336" xr:uid="{00000000-0005-0000-0000-0000890D0000}"/>
    <cellStyle name="Normal 32 2 2 2" xfId="3337" xr:uid="{00000000-0005-0000-0000-00008A0D0000}"/>
    <cellStyle name="Normal 32 2 3" xfId="3338" xr:uid="{00000000-0005-0000-0000-00008B0D0000}"/>
    <cellStyle name="Normal 32 3" xfId="3339" xr:uid="{00000000-0005-0000-0000-00008C0D0000}"/>
    <cellStyle name="Normal 32 3 2" xfId="3340" xr:uid="{00000000-0005-0000-0000-00008D0D0000}"/>
    <cellStyle name="Normal 32 3 2 2" xfId="3341" xr:uid="{00000000-0005-0000-0000-00008E0D0000}"/>
    <cellStyle name="Normal 32 3 3" xfId="3342" xr:uid="{00000000-0005-0000-0000-00008F0D0000}"/>
    <cellStyle name="Normal 32 4" xfId="3343" xr:uid="{00000000-0005-0000-0000-0000900D0000}"/>
    <cellStyle name="Normal 32 4 2" xfId="3344" xr:uid="{00000000-0005-0000-0000-0000910D0000}"/>
    <cellStyle name="Normal 32 4 2 2" xfId="3345" xr:uid="{00000000-0005-0000-0000-0000920D0000}"/>
    <cellStyle name="Normal 32 4 3" xfId="3346" xr:uid="{00000000-0005-0000-0000-0000930D0000}"/>
    <cellStyle name="Normal 32 5" xfId="3347" xr:uid="{00000000-0005-0000-0000-0000940D0000}"/>
    <cellStyle name="Normal 32 5 2" xfId="3348" xr:uid="{00000000-0005-0000-0000-0000950D0000}"/>
    <cellStyle name="Normal 32 5 2 2" xfId="3349" xr:uid="{00000000-0005-0000-0000-0000960D0000}"/>
    <cellStyle name="Normal 32 5 3" xfId="3350" xr:uid="{00000000-0005-0000-0000-0000970D0000}"/>
    <cellStyle name="Normal 32 6" xfId="3351" xr:uid="{00000000-0005-0000-0000-0000980D0000}"/>
    <cellStyle name="Normal 32 6 2" xfId="3352" xr:uid="{00000000-0005-0000-0000-0000990D0000}"/>
    <cellStyle name="Normal 32 6 2 2" xfId="3353" xr:uid="{00000000-0005-0000-0000-00009A0D0000}"/>
    <cellStyle name="Normal 32 6 3" xfId="3354" xr:uid="{00000000-0005-0000-0000-00009B0D0000}"/>
    <cellStyle name="Normal 32 7" xfId="3355" xr:uid="{00000000-0005-0000-0000-00009C0D0000}"/>
    <cellStyle name="Normal 32 7 2" xfId="3356" xr:uid="{00000000-0005-0000-0000-00009D0D0000}"/>
    <cellStyle name="Normal 32 7 2 2" xfId="3357" xr:uid="{00000000-0005-0000-0000-00009E0D0000}"/>
    <cellStyle name="Normal 32 7 3" xfId="3358" xr:uid="{00000000-0005-0000-0000-00009F0D0000}"/>
    <cellStyle name="Normal 32 8" xfId="3359" xr:uid="{00000000-0005-0000-0000-0000A00D0000}"/>
    <cellStyle name="Normal 32 8 2" xfId="3360" xr:uid="{00000000-0005-0000-0000-0000A10D0000}"/>
    <cellStyle name="Normal 32 8 2 2" xfId="3361" xr:uid="{00000000-0005-0000-0000-0000A20D0000}"/>
    <cellStyle name="Normal 32 8 3" xfId="3362" xr:uid="{00000000-0005-0000-0000-0000A30D0000}"/>
    <cellStyle name="Normal 32 9" xfId="3363" xr:uid="{00000000-0005-0000-0000-0000A40D0000}"/>
    <cellStyle name="Normal 32 9 2" xfId="3364" xr:uid="{00000000-0005-0000-0000-0000A50D0000}"/>
    <cellStyle name="Normal 32 9 2 2" xfId="3365" xr:uid="{00000000-0005-0000-0000-0000A60D0000}"/>
    <cellStyle name="Normal 32 9 3" xfId="3366" xr:uid="{00000000-0005-0000-0000-0000A70D0000}"/>
    <cellStyle name="Normal 33" xfId="3367" xr:uid="{00000000-0005-0000-0000-0000A80D0000}"/>
    <cellStyle name="Normal 33 2" xfId="3368" xr:uid="{00000000-0005-0000-0000-0000A90D0000}"/>
    <cellStyle name="Normal 33 2 2" xfId="3369" xr:uid="{00000000-0005-0000-0000-0000AA0D0000}"/>
    <cellStyle name="Normal 33 3" xfId="3370" xr:uid="{00000000-0005-0000-0000-0000AB0D0000}"/>
    <cellStyle name="Normal 33 3 2" xfId="3371" xr:uid="{00000000-0005-0000-0000-0000AC0D0000}"/>
    <cellStyle name="Normal 33 4" xfId="3372" xr:uid="{00000000-0005-0000-0000-0000AD0D0000}"/>
    <cellStyle name="Normal 33 4 2" xfId="3373" xr:uid="{00000000-0005-0000-0000-0000AE0D0000}"/>
    <cellStyle name="Normal 33 5" xfId="3374" xr:uid="{00000000-0005-0000-0000-0000AF0D0000}"/>
    <cellStyle name="Normal 33 5 2" xfId="3375" xr:uid="{00000000-0005-0000-0000-0000B00D0000}"/>
    <cellStyle name="Normal 33 6" xfId="3376" xr:uid="{00000000-0005-0000-0000-0000B10D0000}"/>
    <cellStyle name="Normal 33 6 2" xfId="3377" xr:uid="{00000000-0005-0000-0000-0000B20D0000}"/>
    <cellStyle name="Normal 33 7" xfId="3378" xr:uid="{00000000-0005-0000-0000-0000B30D0000}"/>
    <cellStyle name="Normal 33 7 2" xfId="3379" xr:uid="{00000000-0005-0000-0000-0000B40D0000}"/>
    <cellStyle name="Normal 33 8" xfId="3380" xr:uid="{00000000-0005-0000-0000-0000B50D0000}"/>
    <cellStyle name="Normal 34" xfId="3381" xr:uid="{00000000-0005-0000-0000-0000B60D0000}"/>
    <cellStyle name="Normal 34 2" xfId="3382" xr:uid="{00000000-0005-0000-0000-0000B70D0000}"/>
    <cellStyle name="Normal 34 2 2" xfId="3383" xr:uid="{00000000-0005-0000-0000-0000B80D0000}"/>
    <cellStyle name="Normal 34 3" xfId="3384" xr:uid="{00000000-0005-0000-0000-0000B90D0000}"/>
    <cellStyle name="Normal 34 3 2" xfId="3385" xr:uid="{00000000-0005-0000-0000-0000BA0D0000}"/>
    <cellStyle name="Normal 34 4" xfId="3386" xr:uid="{00000000-0005-0000-0000-0000BB0D0000}"/>
    <cellStyle name="Normal 34 4 2" xfId="3387" xr:uid="{00000000-0005-0000-0000-0000BC0D0000}"/>
    <cellStyle name="Normal 34 5" xfId="3388" xr:uid="{00000000-0005-0000-0000-0000BD0D0000}"/>
    <cellStyle name="Normal 34 5 2" xfId="3389" xr:uid="{00000000-0005-0000-0000-0000BE0D0000}"/>
    <cellStyle name="Normal 34 6" xfId="3390" xr:uid="{00000000-0005-0000-0000-0000BF0D0000}"/>
    <cellStyle name="Normal 34 6 2" xfId="3391" xr:uid="{00000000-0005-0000-0000-0000C00D0000}"/>
    <cellStyle name="Normal 34 7" xfId="3392" xr:uid="{00000000-0005-0000-0000-0000C10D0000}"/>
    <cellStyle name="Normal 34 7 2" xfId="3393" xr:uid="{00000000-0005-0000-0000-0000C20D0000}"/>
    <cellStyle name="Normal 34 8" xfId="3394" xr:uid="{00000000-0005-0000-0000-0000C30D0000}"/>
    <cellStyle name="Normal 35" xfId="3395" xr:uid="{00000000-0005-0000-0000-0000C40D0000}"/>
    <cellStyle name="Normal 35 2" xfId="3396" xr:uid="{00000000-0005-0000-0000-0000C50D0000}"/>
    <cellStyle name="Normal 35 2 2" xfId="3397" xr:uid="{00000000-0005-0000-0000-0000C60D0000}"/>
    <cellStyle name="Normal 35 3" xfId="3398" xr:uid="{00000000-0005-0000-0000-0000C70D0000}"/>
    <cellStyle name="Normal 35 3 2" xfId="3399" xr:uid="{00000000-0005-0000-0000-0000C80D0000}"/>
    <cellStyle name="Normal 35 4" xfId="3400" xr:uid="{00000000-0005-0000-0000-0000C90D0000}"/>
    <cellStyle name="Normal 36" xfId="3401" xr:uid="{00000000-0005-0000-0000-0000CA0D0000}"/>
    <cellStyle name="Normal 36 2" xfId="3402" xr:uid="{00000000-0005-0000-0000-0000CB0D0000}"/>
    <cellStyle name="Normal 36 2 2" xfId="3403" xr:uid="{00000000-0005-0000-0000-0000CC0D0000}"/>
    <cellStyle name="Normal 36 3" xfId="3404" xr:uid="{00000000-0005-0000-0000-0000CD0D0000}"/>
    <cellStyle name="Normal 37" xfId="3405" xr:uid="{00000000-0005-0000-0000-0000CE0D0000}"/>
    <cellStyle name="Normal 37 2" xfId="3406" xr:uid="{00000000-0005-0000-0000-0000CF0D0000}"/>
    <cellStyle name="Normal 37 2 2" xfId="3407" xr:uid="{00000000-0005-0000-0000-0000D00D0000}"/>
    <cellStyle name="Normal 37 3" xfId="3408" xr:uid="{00000000-0005-0000-0000-0000D10D0000}"/>
    <cellStyle name="Normal 37 3 2" xfId="3409" xr:uid="{00000000-0005-0000-0000-0000D20D0000}"/>
    <cellStyle name="Normal 37 4" xfId="3410" xr:uid="{00000000-0005-0000-0000-0000D30D0000}"/>
    <cellStyle name="Normal 37 4 2" xfId="3411" xr:uid="{00000000-0005-0000-0000-0000D40D0000}"/>
    <cellStyle name="Normal 37 5" xfId="3412" xr:uid="{00000000-0005-0000-0000-0000D50D0000}"/>
    <cellStyle name="Normal 37 5 2" xfId="3413" xr:uid="{00000000-0005-0000-0000-0000D60D0000}"/>
    <cellStyle name="Normal 37 6" xfId="3414" xr:uid="{00000000-0005-0000-0000-0000D70D0000}"/>
    <cellStyle name="Normal 37 6 2" xfId="3415" xr:uid="{00000000-0005-0000-0000-0000D80D0000}"/>
    <cellStyle name="Normal 37 7" xfId="3416" xr:uid="{00000000-0005-0000-0000-0000D90D0000}"/>
    <cellStyle name="Normal 37 7 2" xfId="3417" xr:uid="{00000000-0005-0000-0000-0000DA0D0000}"/>
    <cellStyle name="Normal 37 8" xfId="3418" xr:uid="{00000000-0005-0000-0000-0000DB0D0000}"/>
    <cellStyle name="Normal 38" xfId="3419" xr:uid="{00000000-0005-0000-0000-0000DC0D0000}"/>
    <cellStyle name="Normal 38 2" xfId="3420" xr:uid="{00000000-0005-0000-0000-0000DD0D0000}"/>
    <cellStyle name="Normal 38 2 2" xfId="3421" xr:uid="{00000000-0005-0000-0000-0000DE0D0000}"/>
    <cellStyle name="Normal 38 3" xfId="3422" xr:uid="{00000000-0005-0000-0000-0000DF0D0000}"/>
    <cellStyle name="Normal 38 3 2" xfId="3423" xr:uid="{00000000-0005-0000-0000-0000E00D0000}"/>
    <cellStyle name="Normal 39" xfId="3424" xr:uid="{00000000-0005-0000-0000-0000E10D0000}"/>
    <cellStyle name="Normal 39 2" xfId="3425" xr:uid="{00000000-0005-0000-0000-0000E20D0000}"/>
    <cellStyle name="Normal 39 2 2" xfId="3426" xr:uid="{00000000-0005-0000-0000-0000E30D0000}"/>
    <cellStyle name="Normal 39 3" xfId="3427" xr:uid="{00000000-0005-0000-0000-0000E40D0000}"/>
    <cellStyle name="Normal 39 3 2" xfId="3428" xr:uid="{00000000-0005-0000-0000-0000E50D0000}"/>
    <cellStyle name="Normal 39 4" xfId="3429" xr:uid="{00000000-0005-0000-0000-0000E60D0000}"/>
    <cellStyle name="Normal 39 4 2" xfId="3430" xr:uid="{00000000-0005-0000-0000-0000E70D0000}"/>
    <cellStyle name="Normal 39 5" xfId="3431" xr:uid="{00000000-0005-0000-0000-0000E80D0000}"/>
    <cellStyle name="Normal 39 5 2" xfId="3432" xr:uid="{00000000-0005-0000-0000-0000E90D0000}"/>
    <cellStyle name="Normal 39 6" xfId="3433" xr:uid="{00000000-0005-0000-0000-0000EA0D0000}"/>
    <cellStyle name="Normal 39 6 2" xfId="3434" xr:uid="{00000000-0005-0000-0000-0000EB0D0000}"/>
    <cellStyle name="Normal 39 7" xfId="3435" xr:uid="{00000000-0005-0000-0000-0000EC0D0000}"/>
    <cellStyle name="Normal 39 7 2" xfId="3436" xr:uid="{00000000-0005-0000-0000-0000ED0D0000}"/>
    <cellStyle name="Normal 39 8" xfId="3437" xr:uid="{00000000-0005-0000-0000-0000EE0D0000}"/>
    <cellStyle name="Normal 4" xfId="3438" xr:uid="{00000000-0005-0000-0000-0000EF0D0000}"/>
    <cellStyle name="Normal 4 10" xfId="3439" xr:uid="{00000000-0005-0000-0000-0000F00D0000}"/>
    <cellStyle name="Normal 4 10 2" xfId="3440" xr:uid="{00000000-0005-0000-0000-0000F10D0000}"/>
    <cellStyle name="Normal 4 10 2 2" xfId="3441" xr:uid="{00000000-0005-0000-0000-0000F20D0000}"/>
    <cellStyle name="Normal 4 10 3" xfId="3442" xr:uid="{00000000-0005-0000-0000-0000F30D0000}"/>
    <cellStyle name="Normal 4 11" xfId="3443" xr:uid="{00000000-0005-0000-0000-0000F40D0000}"/>
    <cellStyle name="Normal 4 11 2" xfId="3444" xr:uid="{00000000-0005-0000-0000-0000F50D0000}"/>
    <cellStyle name="Normal 4 11 2 2" xfId="3445" xr:uid="{00000000-0005-0000-0000-0000F60D0000}"/>
    <cellStyle name="Normal 4 11 3" xfId="3446" xr:uid="{00000000-0005-0000-0000-0000F70D0000}"/>
    <cellStyle name="Normal 4 12" xfId="3447" xr:uid="{00000000-0005-0000-0000-0000F80D0000}"/>
    <cellStyle name="Normal 4 12 2" xfId="3448" xr:uid="{00000000-0005-0000-0000-0000F90D0000}"/>
    <cellStyle name="Normal 4 12 2 2" xfId="3449" xr:uid="{00000000-0005-0000-0000-0000FA0D0000}"/>
    <cellStyle name="Normal 4 12 3" xfId="3450" xr:uid="{00000000-0005-0000-0000-0000FB0D0000}"/>
    <cellStyle name="Normal 4 13" xfId="3451" xr:uid="{00000000-0005-0000-0000-0000FC0D0000}"/>
    <cellStyle name="Normal 4 13 2" xfId="3452" xr:uid="{00000000-0005-0000-0000-0000FD0D0000}"/>
    <cellStyle name="Normal 4 13 2 2" xfId="3453" xr:uid="{00000000-0005-0000-0000-0000FE0D0000}"/>
    <cellStyle name="Normal 4 13 3" xfId="3454" xr:uid="{00000000-0005-0000-0000-0000FF0D0000}"/>
    <cellStyle name="Normal 4 14" xfId="3455" xr:uid="{00000000-0005-0000-0000-0000000E0000}"/>
    <cellStyle name="Normal 4 14 2" xfId="3456" xr:uid="{00000000-0005-0000-0000-0000010E0000}"/>
    <cellStyle name="Normal 4 14 2 2" xfId="3457" xr:uid="{00000000-0005-0000-0000-0000020E0000}"/>
    <cellStyle name="Normal 4 14 3" xfId="3458" xr:uid="{00000000-0005-0000-0000-0000030E0000}"/>
    <cellStyle name="Normal 4 15" xfId="3459" xr:uid="{00000000-0005-0000-0000-0000040E0000}"/>
    <cellStyle name="Normal 4 15 2" xfId="3460" xr:uid="{00000000-0005-0000-0000-0000050E0000}"/>
    <cellStyle name="Normal 4 15 2 2" xfId="3461" xr:uid="{00000000-0005-0000-0000-0000060E0000}"/>
    <cellStyle name="Normal 4 15 3" xfId="3462" xr:uid="{00000000-0005-0000-0000-0000070E0000}"/>
    <cellStyle name="Normal 4 16" xfId="3463" xr:uid="{00000000-0005-0000-0000-0000080E0000}"/>
    <cellStyle name="Normal 4 16 2" xfId="3464" xr:uid="{00000000-0005-0000-0000-0000090E0000}"/>
    <cellStyle name="Normal 4 17" xfId="3465" xr:uid="{00000000-0005-0000-0000-00000A0E0000}"/>
    <cellStyle name="Normal 4 17 2" xfId="3466" xr:uid="{00000000-0005-0000-0000-00000B0E0000}"/>
    <cellStyle name="Normal 4 18" xfId="3467" xr:uid="{00000000-0005-0000-0000-00000C0E0000}"/>
    <cellStyle name="Normal 4 19" xfId="3468" xr:uid="{00000000-0005-0000-0000-00000D0E0000}"/>
    <cellStyle name="Normal 4 2" xfId="3469" xr:uid="{00000000-0005-0000-0000-00000E0E0000}"/>
    <cellStyle name="Normal 4 2 2" xfId="3470" xr:uid="{00000000-0005-0000-0000-00000F0E0000}"/>
    <cellStyle name="Normal 4 2 2 2" xfId="3471" xr:uid="{00000000-0005-0000-0000-0000100E0000}"/>
    <cellStyle name="Normal 4 2 3" xfId="3472" xr:uid="{00000000-0005-0000-0000-0000110E0000}"/>
    <cellStyle name="Normal 4 2 4" xfId="3473" xr:uid="{00000000-0005-0000-0000-0000120E0000}"/>
    <cellStyle name="Normal 4 3" xfId="3474" xr:uid="{00000000-0005-0000-0000-0000130E0000}"/>
    <cellStyle name="Normal 4 3 2" xfId="3475" xr:uid="{00000000-0005-0000-0000-0000140E0000}"/>
    <cellStyle name="Normal 4 3 2 2" xfId="3476" xr:uid="{00000000-0005-0000-0000-0000150E0000}"/>
    <cellStyle name="Normal 4 3 3" xfId="3477" xr:uid="{00000000-0005-0000-0000-0000160E0000}"/>
    <cellStyle name="Normal 4 4" xfId="3478" xr:uid="{00000000-0005-0000-0000-0000170E0000}"/>
    <cellStyle name="Normal 4 4 2" xfId="3479" xr:uid="{00000000-0005-0000-0000-0000180E0000}"/>
    <cellStyle name="Normal 4 4 2 2" xfId="3480" xr:uid="{00000000-0005-0000-0000-0000190E0000}"/>
    <cellStyle name="Normal 4 4 3" xfId="3481" xr:uid="{00000000-0005-0000-0000-00001A0E0000}"/>
    <cellStyle name="Normal 4 5" xfId="3482" xr:uid="{00000000-0005-0000-0000-00001B0E0000}"/>
    <cellStyle name="Normal 4 5 2" xfId="3483" xr:uid="{00000000-0005-0000-0000-00001C0E0000}"/>
    <cellStyle name="Normal 4 5 2 2" xfId="3484" xr:uid="{00000000-0005-0000-0000-00001D0E0000}"/>
    <cellStyle name="Normal 4 5 3" xfId="3485" xr:uid="{00000000-0005-0000-0000-00001E0E0000}"/>
    <cellStyle name="Normal 4 6" xfId="3486" xr:uid="{00000000-0005-0000-0000-00001F0E0000}"/>
    <cellStyle name="Normal 4 6 2" xfId="3487" xr:uid="{00000000-0005-0000-0000-0000200E0000}"/>
    <cellStyle name="Normal 4 6 2 2" xfId="3488" xr:uid="{00000000-0005-0000-0000-0000210E0000}"/>
    <cellStyle name="Normal 4 6 3" xfId="3489" xr:uid="{00000000-0005-0000-0000-0000220E0000}"/>
    <cellStyle name="Normal 4 7" xfId="3490" xr:uid="{00000000-0005-0000-0000-0000230E0000}"/>
    <cellStyle name="Normal 4 7 2" xfId="3491" xr:uid="{00000000-0005-0000-0000-0000240E0000}"/>
    <cellStyle name="Normal 4 7 2 2" xfId="3492" xr:uid="{00000000-0005-0000-0000-0000250E0000}"/>
    <cellStyle name="Normal 4 7 3" xfId="3493" xr:uid="{00000000-0005-0000-0000-0000260E0000}"/>
    <cellStyle name="Normal 4 8" xfId="3494" xr:uid="{00000000-0005-0000-0000-0000270E0000}"/>
    <cellStyle name="Normal 4 8 2" xfId="3495" xr:uid="{00000000-0005-0000-0000-0000280E0000}"/>
    <cellStyle name="Normal 4 8 2 2" xfId="3496" xr:uid="{00000000-0005-0000-0000-0000290E0000}"/>
    <cellStyle name="Normal 4 8 3" xfId="3497" xr:uid="{00000000-0005-0000-0000-00002A0E0000}"/>
    <cellStyle name="Normal 4 9" xfId="3498" xr:uid="{00000000-0005-0000-0000-00002B0E0000}"/>
    <cellStyle name="Normal 4 9 2" xfId="3499" xr:uid="{00000000-0005-0000-0000-00002C0E0000}"/>
    <cellStyle name="Normal 4 9 2 2" xfId="3500" xr:uid="{00000000-0005-0000-0000-00002D0E0000}"/>
    <cellStyle name="Normal 4 9 3" xfId="3501" xr:uid="{00000000-0005-0000-0000-00002E0E0000}"/>
    <cellStyle name="Normal 4_Attach O, GG, Support -New Method 2-14-11" xfId="4529" xr:uid="{00000000-0005-0000-0000-00002F0E0000}"/>
    <cellStyle name="Normal 40" xfId="3502" xr:uid="{00000000-0005-0000-0000-0000300E0000}"/>
    <cellStyle name="Normal 40 2" xfId="3503" xr:uid="{00000000-0005-0000-0000-0000310E0000}"/>
    <cellStyle name="Normal 40 2 2" xfId="3504" xr:uid="{00000000-0005-0000-0000-0000320E0000}"/>
    <cellStyle name="Normal 40 3" xfId="3505" xr:uid="{00000000-0005-0000-0000-0000330E0000}"/>
    <cellStyle name="Normal 41" xfId="3506" xr:uid="{00000000-0005-0000-0000-0000340E0000}"/>
    <cellStyle name="Normal 41 2" xfId="3507" xr:uid="{00000000-0005-0000-0000-0000350E0000}"/>
    <cellStyle name="Normal 41 2 2" xfId="3508" xr:uid="{00000000-0005-0000-0000-0000360E0000}"/>
    <cellStyle name="Normal 41 3" xfId="3509" xr:uid="{00000000-0005-0000-0000-0000370E0000}"/>
    <cellStyle name="Normal 41 3 2" xfId="3510" xr:uid="{00000000-0005-0000-0000-0000380E0000}"/>
    <cellStyle name="Normal 41 4" xfId="3511" xr:uid="{00000000-0005-0000-0000-0000390E0000}"/>
    <cellStyle name="Normal 42" xfId="3512" xr:uid="{00000000-0005-0000-0000-00003A0E0000}"/>
    <cellStyle name="Normal 42 2" xfId="3513" xr:uid="{00000000-0005-0000-0000-00003B0E0000}"/>
    <cellStyle name="Normal 42 2 2" xfId="3514" xr:uid="{00000000-0005-0000-0000-00003C0E0000}"/>
    <cellStyle name="Normal 42 3" xfId="3515" xr:uid="{00000000-0005-0000-0000-00003D0E0000}"/>
    <cellStyle name="Normal 42 3 2" xfId="3516" xr:uid="{00000000-0005-0000-0000-00003E0E0000}"/>
    <cellStyle name="Normal 43" xfId="3517" xr:uid="{00000000-0005-0000-0000-00003F0E0000}"/>
    <cellStyle name="Normal 43 2" xfId="3518" xr:uid="{00000000-0005-0000-0000-0000400E0000}"/>
    <cellStyle name="Normal 43 2 2" xfId="3519" xr:uid="{00000000-0005-0000-0000-0000410E0000}"/>
    <cellStyle name="Normal 43 3" xfId="3520" xr:uid="{00000000-0005-0000-0000-0000420E0000}"/>
    <cellStyle name="Normal 43 3 2" xfId="3521" xr:uid="{00000000-0005-0000-0000-0000430E0000}"/>
    <cellStyle name="Normal 43 4" xfId="3522" xr:uid="{00000000-0005-0000-0000-0000440E0000}"/>
    <cellStyle name="Normal 43 4 2" xfId="3523" xr:uid="{00000000-0005-0000-0000-0000450E0000}"/>
    <cellStyle name="Normal 43 5" xfId="3524" xr:uid="{00000000-0005-0000-0000-0000460E0000}"/>
    <cellStyle name="Normal 43 5 2" xfId="3525" xr:uid="{00000000-0005-0000-0000-0000470E0000}"/>
    <cellStyle name="Normal 43 6" xfId="3526" xr:uid="{00000000-0005-0000-0000-0000480E0000}"/>
    <cellStyle name="Normal 44" xfId="3527" xr:uid="{00000000-0005-0000-0000-0000490E0000}"/>
    <cellStyle name="Normal 44 2" xfId="3528" xr:uid="{00000000-0005-0000-0000-00004A0E0000}"/>
    <cellStyle name="Normal 45" xfId="3529" xr:uid="{00000000-0005-0000-0000-00004B0E0000}"/>
    <cellStyle name="Normal 45 2" xfId="3530" xr:uid="{00000000-0005-0000-0000-00004C0E0000}"/>
    <cellStyle name="Normal 46" xfId="3531" xr:uid="{00000000-0005-0000-0000-00004D0E0000}"/>
    <cellStyle name="Normal 47" xfId="3532" xr:uid="{00000000-0005-0000-0000-00004E0E0000}"/>
    <cellStyle name="Normal 47 2" xfId="3533" xr:uid="{00000000-0005-0000-0000-00004F0E0000}"/>
    <cellStyle name="Normal 47 2 2" xfId="3534" xr:uid="{00000000-0005-0000-0000-0000500E0000}"/>
    <cellStyle name="Normal 47 3" xfId="3535" xr:uid="{00000000-0005-0000-0000-0000510E0000}"/>
    <cellStyle name="Normal 47 3 2" xfId="3536" xr:uid="{00000000-0005-0000-0000-0000520E0000}"/>
    <cellStyle name="Normal 47 4" xfId="3537" xr:uid="{00000000-0005-0000-0000-0000530E0000}"/>
    <cellStyle name="Normal 47 4 2" xfId="3538" xr:uid="{00000000-0005-0000-0000-0000540E0000}"/>
    <cellStyle name="Normal 47 5" xfId="3539" xr:uid="{00000000-0005-0000-0000-0000550E0000}"/>
    <cellStyle name="Normal 47 5 2" xfId="3540" xr:uid="{00000000-0005-0000-0000-0000560E0000}"/>
    <cellStyle name="Normal 47 6" xfId="3541" xr:uid="{00000000-0005-0000-0000-0000570E0000}"/>
    <cellStyle name="Normal 48" xfId="3542" xr:uid="{00000000-0005-0000-0000-0000580E0000}"/>
    <cellStyle name="Normal 48 2" xfId="3543" xr:uid="{00000000-0005-0000-0000-0000590E0000}"/>
    <cellStyle name="Normal 48 2 2" xfId="3544" xr:uid="{00000000-0005-0000-0000-00005A0E0000}"/>
    <cellStyle name="Normal 48 3" xfId="3545" xr:uid="{00000000-0005-0000-0000-00005B0E0000}"/>
    <cellStyle name="Normal 48 3 2" xfId="3546" xr:uid="{00000000-0005-0000-0000-00005C0E0000}"/>
    <cellStyle name="Normal 48 4" xfId="3547" xr:uid="{00000000-0005-0000-0000-00005D0E0000}"/>
    <cellStyle name="Normal 48 4 2" xfId="3548" xr:uid="{00000000-0005-0000-0000-00005E0E0000}"/>
    <cellStyle name="Normal 48 5" xfId="3549" xr:uid="{00000000-0005-0000-0000-00005F0E0000}"/>
    <cellStyle name="Normal 48 5 2" xfId="3550" xr:uid="{00000000-0005-0000-0000-0000600E0000}"/>
    <cellStyle name="Normal 48 6" xfId="3551" xr:uid="{00000000-0005-0000-0000-0000610E0000}"/>
    <cellStyle name="Normal 49" xfId="4326" xr:uid="{00000000-0005-0000-0000-0000620E0000}"/>
    <cellStyle name="Normal 5" xfId="3552" xr:uid="{00000000-0005-0000-0000-0000630E0000}"/>
    <cellStyle name="Normal 5 10" xfId="3553" xr:uid="{00000000-0005-0000-0000-0000640E0000}"/>
    <cellStyle name="Normal 5 10 2" xfId="3554" xr:uid="{00000000-0005-0000-0000-0000650E0000}"/>
    <cellStyle name="Normal 5 10 2 2" xfId="3555" xr:uid="{00000000-0005-0000-0000-0000660E0000}"/>
    <cellStyle name="Normal 5 10 3" xfId="3556" xr:uid="{00000000-0005-0000-0000-0000670E0000}"/>
    <cellStyle name="Normal 5 11" xfId="3557" xr:uid="{00000000-0005-0000-0000-0000680E0000}"/>
    <cellStyle name="Normal 5 11 2" xfId="3558" xr:uid="{00000000-0005-0000-0000-0000690E0000}"/>
    <cellStyle name="Normal 5 11 2 2" xfId="3559" xr:uid="{00000000-0005-0000-0000-00006A0E0000}"/>
    <cellStyle name="Normal 5 11 3" xfId="3560" xr:uid="{00000000-0005-0000-0000-00006B0E0000}"/>
    <cellStyle name="Normal 5 12" xfId="3561" xr:uid="{00000000-0005-0000-0000-00006C0E0000}"/>
    <cellStyle name="Normal 5 12 2" xfId="3562" xr:uid="{00000000-0005-0000-0000-00006D0E0000}"/>
    <cellStyle name="Normal 5 12 2 2" xfId="3563" xr:uid="{00000000-0005-0000-0000-00006E0E0000}"/>
    <cellStyle name="Normal 5 12 3" xfId="3564" xr:uid="{00000000-0005-0000-0000-00006F0E0000}"/>
    <cellStyle name="Normal 5 13" xfId="3565" xr:uid="{00000000-0005-0000-0000-0000700E0000}"/>
    <cellStyle name="Normal 5 13 2" xfId="3566" xr:uid="{00000000-0005-0000-0000-0000710E0000}"/>
    <cellStyle name="Normal 5 13 2 2" xfId="3567" xr:uid="{00000000-0005-0000-0000-0000720E0000}"/>
    <cellStyle name="Normal 5 13 3" xfId="3568" xr:uid="{00000000-0005-0000-0000-0000730E0000}"/>
    <cellStyle name="Normal 5 14" xfId="3569" xr:uid="{00000000-0005-0000-0000-0000740E0000}"/>
    <cellStyle name="Normal 5 14 2" xfId="3570" xr:uid="{00000000-0005-0000-0000-0000750E0000}"/>
    <cellStyle name="Normal 5 14 2 2" xfId="3571" xr:uid="{00000000-0005-0000-0000-0000760E0000}"/>
    <cellStyle name="Normal 5 14 3" xfId="3572" xr:uid="{00000000-0005-0000-0000-0000770E0000}"/>
    <cellStyle name="Normal 5 15" xfId="3573" xr:uid="{00000000-0005-0000-0000-0000780E0000}"/>
    <cellStyle name="Normal 5 15 2" xfId="3574" xr:uid="{00000000-0005-0000-0000-0000790E0000}"/>
    <cellStyle name="Normal 5 15 2 2" xfId="3575" xr:uid="{00000000-0005-0000-0000-00007A0E0000}"/>
    <cellStyle name="Normal 5 15 3" xfId="3576" xr:uid="{00000000-0005-0000-0000-00007B0E0000}"/>
    <cellStyle name="Normal 5 16" xfId="3577" xr:uid="{00000000-0005-0000-0000-00007C0E0000}"/>
    <cellStyle name="Normal 5 16 2" xfId="3578" xr:uid="{00000000-0005-0000-0000-00007D0E0000}"/>
    <cellStyle name="Normal 5 17" xfId="3579" xr:uid="{00000000-0005-0000-0000-00007E0E0000}"/>
    <cellStyle name="Normal 5 17 2" xfId="3580" xr:uid="{00000000-0005-0000-0000-00007F0E0000}"/>
    <cellStyle name="Normal 5 18" xfId="3581" xr:uid="{00000000-0005-0000-0000-0000800E0000}"/>
    <cellStyle name="Normal 5 19" xfId="3582" xr:uid="{00000000-0005-0000-0000-0000810E0000}"/>
    <cellStyle name="Normal 5 2" xfId="3583" xr:uid="{00000000-0005-0000-0000-0000820E0000}"/>
    <cellStyle name="Normal 5 2 2" xfId="3584" xr:uid="{00000000-0005-0000-0000-0000830E0000}"/>
    <cellStyle name="Normal 5 2 2 2" xfId="3585" xr:uid="{00000000-0005-0000-0000-0000840E0000}"/>
    <cellStyle name="Normal 5 2 3" xfId="3586" xr:uid="{00000000-0005-0000-0000-0000850E0000}"/>
    <cellStyle name="Normal 5 2 4" xfId="3587" xr:uid="{00000000-0005-0000-0000-0000860E0000}"/>
    <cellStyle name="Normal 5 2 5" xfId="4156" xr:uid="{00000000-0005-0000-0000-0000870E0000}"/>
    <cellStyle name="Normal 5 3" xfId="3588" xr:uid="{00000000-0005-0000-0000-0000880E0000}"/>
    <cellStyle name="Normal 5 3 2" xfId="3589" xr:uid="{00000000-0005-0000-0000-0000890E0000}"/>
    <cellStyle name="Normal 5 3 2 2" xfId="3590" xr:uid="{00000000-0005-0000-0000-00008A0E0000}"/>
    <cellStyle name="Normal 5 3 3" xfId="3591" xr:uid="{00000000-0005-0000-0000-00008B0E0000}"/>
    <cellStyle name="Normal 5 4" xfId="3592" xr:uid="{00000000-0005-0000-0000-00008C0E0000}"/>
    <cellStyle name="Normal 5 4 2" xfId="3593" xr:uid="{00000000-0005-0000-0000-00008D0E0000}"/>
    <cellStyle name="Normal 5 4 2 2" xfId="3594" xr:uid="{00000000-0005-0000-0000-00008E0E0000}"/>
    <cellStyle name="Normal 5 4 3" xfId="3595" xr:uid="{00000000-0005-0000-0000-00008F0E0000}"/>
    <cellStyle name="Normal 5 5" xfId="3596" xr:uid="{00000000-0005-0000-0000-0000900E0000}"/>
    <cellStyle name="Normal 5 5 2" xfId="3597" xr:uid="{00000000-0005-0000-0000-0000910E0000}"/>
    <cellStyle name="Normal 5 5 2 2" xfId="3598" xr:uid="{00000000-0005-0000-0000-0000920E0000}"/>
    <cellStyle name="Normal 5 5 3" xfId="3599" xr:uid="{00000000-0005-0000-0000-0000930E0000}"/>
    <cellStyle name="Normal 5 6" xfId="3600" xr:uid="{00000000-0005-0000-0000-0000940E0000}"/>
    <cellStyle name="Normal 5 6 2" xfId="3601" xr:uid="{00000000-0005-0000-0000-0000950E0000}"/>
    <cellStyle name="Normal 5 6 2 2" xfId="3602" xr:uid="{00000000-0005-0000-0000-0000960E0000}"/>
    <cellStyle name="Normal 5 6 3" xfId="3603" xr:uid="{00000000-0005-0000-0000-0000970E0000}"/>
    <cellStyle name="Normal 5 7" xfId="3604" xr:uid="{00000000-0005-0000-0000-0000980E0000}"/>
    <cellStyle name="Normal 5 7 2" xfId="3605" xr:uid="{00000000-0005-0000-0000-0000990E0000}"/>
    <cellStyle name="Normal 5 7 2 2" xfId="3606" xr:uid="{00000000-0005-0000-0000-00009A0E0000}"/>
    <cellStyle name="Normal 5 7 3" xfId="3607" xr:uid="{00000000-0005-0000-0000-00009B0E0000}"/>
    <cellStyle name="Normal 5 8" xfId="3608" xr:uid="{00000000-0005-0000-0000-00009C0E0000}"/>
    <cellStyle name="Normal 5 8 2" xfId="3609" xr:uid="{00000000-0005-0000-0000-00009D0E0000}"/>
    <cellStyle name="Normal 5 8 2 2" xfId="3610" xr:uid="{00000000-0005-0000-0000-00009E0E0000}"/>
    <cellStyle name="Normal 5 8 3" xfId="3611" xr:uid="{00000000-0005-0000-0000-00009F0E0000}"/>
    <cellStyle name="Normal 5 9" xfId="3612" xr:uid="{00000000-0005-0000-0000-0000A00E0000}"/>
    <cellStyle name="Normal 5 9 2" xfId="3613" xr:uid="{00000000-0005-0000-0000-0000A10E0000}"/>
    <cellStyle name="Normal 5 9 2 2" xfId="3614" xr:uid="{00000000-0005-0000-0000-0000A20E0000}"/>
    <cellStyle name="Normal 5 9 3" xfId="3615" xr:uid="{00000000-0005-0000-0000-0000A30E0000}"/>
    <cellStyle name="Normal 50" xfId="4327" xr:uid="{00000000-0005-0000-0000-0000A40E0000}"/>
    <cellStyle name="Normal 51" xfId="4328" xr:uid="{00000000-0005-0000-0000-0000A50E0000}"/>
    <cellStyle name="Normal 52" xfId="4329" xr:uid="{00000000-0005-0000-0000-0000A60E0000}"/>
    <cellStyle name="Normal 53" xfId="4330" xr:uid="{00000000-0005-0000-0000-0000A70E0000}"/>
    <cellStyle name="Normal 54" xfId="4331" xr:uid="{00000000-0005-0000-0000-0000A80E0000}"/>
    <cellStyle name="Normal 54 2" xfId="4332" xr:uid="{00000000-0005-0000-0000-0000A90E0000}"/>
    <cellStyle name="Normal 55" xfId="4333" xr:uid="{00000000-0005-0000-0000-0000AA0E0000}"/>
    <cellStyle name="Normal 55 2" xfId="4334" xr:uid="{00000000-0005-0000-0000-0000AB0E0000}"/>
    <cellStyle name="Normal 56" xfId="4335" xr:uid="{00000000-0005-0000-0000-0000AC0E0000}"/>
    <cellStyle name="Normal 57" xfId="4336" xr:uid="{00000000-0005-0000-0000-0000AD0E0000}"/>
    <cellStyle name="Normal 58" xfId="4337" xr:uid="{00000000-0005-0000-0000-0000AE0E0000}"/>
    <cellStyle name="Normal 59" xfId="4338" xr:uid="{00000000-0005-0000-0000-0000AF0E0000}"/>
    <cellStyle name="Normal 6" xfId="3616" xr:uid="{00000000-0005-0000-0000-0000B00E0000}"/>
    <cellStyle name="Normal 6 2" xfId="3617" xr:uid="{00000000-0005-0000-0000-0000B10E0000}"/>
    <cellStyle name="Normal 6 2 2" xfId="3618" xr:uid="{00000000-0005-0000-0000-0000B20E0000}"/>
    <cellStyle name="Normal 6 2 2 2" xfId="4530" xr:uid="{00000000-0005-0000-0000-0000B30E0000}"/>
    <cellStyle name="Normal 6 2 2 2 2" xfId="4531" xr:uid="{00000000-0005-0000-0000-0000B40E0000}"/>
    <cellStyle name="Normal 6 2 2 2 2 2" xfId="4532" xr:uid="{00000000-0005-0000-0000-0000B50E0000}"/>
    <cellStyle name="Normal 6 2 2 2 2 3" xfId="4533" xr:uid="{00000000-0005-0000-0000-0000B60E0000}"/>
    <cellStyle name="Normal 6 2 2 2 2 4" xfId="4534" xr:uid="{00000000-0005-0000-0000-0000B70E0000}"/>
    <cellStyle name="Normal 6 2 2 2 3" xfId="4535" xr:uid="{00000000-0005-0000-0000-0000B80E0000}"/>
    <cellStyle name="Normal 6 2 2 2 4" xfId="4536" xr:uid="{00000000-0005-0000-0000-0000B90E0000}"/>
    <cellStyle name="Normal 6 2 2 2 5" xfId="4537" xr:uid="{00000000-0005-0000-0000-0000BA0E0000}"/>
    <cellStyle name="Normal 6 2 2 3" xfId="4538" xr:uid="{00000000-0005-0000-0000-0000BB0E0000}"/>
    <cellStyle name="Normal 6 2 2 3 2" xfId="4539" xr:uid="{00000000-0005-0000-0000-0000BC0E0000}"/>
    <cellStyle name="Normal 6 2 2 3 3" xfId="4540" xr:uid="{00000000-0005-0000-0000-0000BD0E0000}"/>
    <cellStyle name="Normal 6 2 2 3 4" xfId="4541" xr:uid="{00000000-0005-0000-0000-0000BE0E0000}"/>
    <cellStyle name="Normal 6 2 2 4" xfId="4542" xr:uid="{00000000-0005-0000-0000-0000BF0E0000}"/>
    <cellStyle name="Normal 6 2 2 5" xfId="4543" xr:uid="{00000000-0005-0000-0000-0000C00E0000}"/>
    <cellStyle name="Normal 6 2 2 6" xfId="4544" xr:uid="{00000000-0005-0000-0000-0000C10E0000}"/>
    <cellStyle name="Normal 6 2 3" xfId="4545" xr:uid="{00000000-0005-0000-0000-0000C20E0000}"/>
    <cellStyle name="Normal 6 2 3 2" xfId="4546" xr:uid="{00000000-0005-0000-0000-0000C30E0000}"/>
    <cellStyle name="Normal 6 2 3 2 2" xfId="4547" xr:uid="{00000000-0005-0000-0000-0000C40E0000}"/>
    <cellStyle name="Normal 6 2 3 2 3" xfId="4548" xr:uid="{00000000-0005-0000-0000-0000C50E0000}"/>
    <cellStyle name="Normal 6 2 3 2 4" xfId="4549" xr:uid="{00000000-0005-0000-0000-0000C60E0000}"/>
    <cellStyle name="Normal 6 2 3 3" xfId="4550" xr:uid="{00000000-0005-0000-0000-0000C70E0000}"/>
    <cellStyle name="Normal 6 2 3 4" xfId="4551" xr:uid="{00000000-0005-0000-0000-0000C80E0000}"/>
    <cellStyle name="Normal 6 2 3 5" xfId="4552" xr:uid="{00000000-0005-0000-0000-0000C90E0000}"/>
    <cellStyle name="Normal 6 2 4" xfId="4553" xr:uid="{00000000-0005-0000-0000-0000CA0E0000}"/>
    <cellStyle name="Normal 6 2 4 2" xfId="4554" xr:uid="{00000000-0005-0000-0000-0000CB0E0000}"/>
    <cellStyle name="Normal 6 2 4 3" xfId="4555" xr:uid="{00000000-0005-0000-0000-0000CC0E0000}"/>
    <cellStyle name="Normal 6 2 4 4" xfId="4556" xr:uid="{00000000-0005-0000-0000-0000CD0E0000}"/>
    <cellStyle name="Normal 6 2 5" xfId="4557" xr:uid="{00000000-0005-0000-0000-0000CE0E0000}"/>
    <cellStyle name="Normal 6 2 6" xfId="4558" xr:uid="{00000000-0005-0000-0000-0000CF0E0000}"/>
    <cellStyle name="Normal 6 2 7" xfId="4559" xr:uid="{00000000-0005-0000-0000-0000D00E0000}"/>
    <cellStyle name="Normal 6 3" xfId="3619" xr:uid="{00000000-0005-0000-0000-0000D10E0000}"/>
    <cellStyle name="Normal 6 3 2" xfId="3620" xr:uid="{00000000-0005-0000-0000-0000D20E0000}"/>
    <cellStyle name="Normal 6 3 2 2" xfId="4560" xr:uid="{00000000-0005-0000-0000-0000D30E0000}"/>
    <cellStyle name="Normal 6 3 2 2 2" xfId="4561" xr:uid="{00000000-0005-0000-0000-0000D40E0000}"/>
    <cellStyle name="Normal 6 3 2 2 3" xfId="4562" xr:uid="{00000000-0005-0000-0000-0000D50E0000}"/>
    <cellStyle name="Normal 6 3 2 2 4" xfId="4563" xr:uid="{00000000-0005-0000-0000-0000D60E0000}"/>
    <cellStyle name="Normal 6 3 2 3" xfId="4564" xr:uid="{00000000-0005-0000-0000-0000D70E0000}"/>
    <cellStyle name="Normal 6 3 2 4" xfId="4565" xr:uid="{00000000-0005-0000-0000-0000D80E0000}"/>
    <cellStyle name="Normal 6 3 2 5" xfId="4566" xr:uid="{00000000-0005-0000-0000-0000D90E0000}"/>
    <cellStyle name="Normal 6 3 3" xfId="4567" xr:uid="{00000000-0005-0000-0000-0000DA0E0000}"/>
    <cellStyle name="Normal 6 3 3 2" xfId="4568" xr:uid="{00000000-0005-0000-0000-0000DB0E0000}"/>
    <cellStyle name="Normal 6 3 3 3" xfId="4569" xr:uid="{00000000-0005-0000-0000-0000DC0E0000}"/>
    <cellStyle name="Normal 6 3 3 4" xfId="4570" xr:uid="{00000000-0005-0000-0000-0000DD0E0000}"/>
    <cellStyle name="Normal 6 3 4" xfId="4571" xr:uid="{00000000-0005-0000-0000-0000DE0E0000}"/>
    <cellStyle name="Normal 6 3 5" xfId="4572" xr:uid="{00000000-0005-0000-0000-0000DF0E0000}"/>
    <cellStyle name="Normal 6 3 6" xfId="4573" xr:uid="{00000000-0005-0000-0000-0000E00E0000}"/>
    <cellStyle name="Normal 6 4" xfId="3621" xr:uid="{00000000-0005-0000-0000-0000E10E0000}"/>
    <cellStyle name="Normal 6 4 2" xfId="3622" xr:uid="{00000000-0005-0000-0000-0000E20E0000}"/>
    <cellStyle name="Normal 6 4 2 2" xfId="4574" xr:uid="{00000000-0005-0000-0000-0000E30E0000}"/>
    <cellStyle name="Normal 6 4 2 3" xfId="4575" xr:uid="{00000000-0005-0000-0000-0000E40E0000}"/>
    <cellStyle name="Normal 6 4 2 4" xfId="4576" xr:uid="{00000000-0005-0000-0000-0000E50E0000}"/>
    <cellStyle name="Normal 6 4 3" xfId="4577" xr:uid="{00000000-0005-0000-0000-0000E60E0000}"/>
    <cellStyle name="Normal 6 4 4" xfId="4578" xr:uid="{00000000-0005-0000-0000-0000E70E0000}"/>
    <cellStyle name="Normal 6 4 5" xfId="4579" xr:uid="{00000000-0005-0000-0000-0000E80E0000}"/>
    <cellStyle name="Normal 6 5" xfId="3623" xr:uid="{00000000-0005-0000-0000-0000E90E0000}"/>
    <cellStyle name="Normal 6 5 2" xfId="3624" xr:uid="{00000000-0005-0000-0000-0000EA0E0000}"/>
    <cellStyle name="Normal 6 5 3" xfId="4580" xr:uid="{00000000-0005-0000-0000-0000EB0E0000}"/>
    <cellStyle name="Normal 6 5 4" xfId="4581" xr:uid="{00000000-0005-0000-0000-0000EC0E0000}"/>
    <cellStyle name="Normal 6 6" xfId="3625" xr:uid="{00000000-0005-0000-0000-0000ED0E0000}"/>
    <cellStyle name="Normal 6 7" xfId="3626" xr:uid="{00000000-0005-0000-0000-0000EE0E0000}"/>
    <cellStyle name="Normal 6 8" xfId="3627" xr:uid="{00000000-0005-0000-0000-0000EF0E0000}"/>
    <cellStyle name="Normal 6 9" xfId="4682" xr:uid="{00000000-0005-0000-0000-0000F00E0000}"/>
    <cellStyle name="Normal 60" xfId="4339" xr:uid="{00000000-0005-0000-0000-0000F10E0000}"/>
    <cellStyle name="Normal 61" xfId="4340" xr:uid="{00000000-0005-0000-0000-0000F20E0000}"/>
    <cellStyle name="Normal 62" xfId="4341" xr:uid="{00000000-0005-0000-0000-0000F30E0000}"/>
    <cellStyle name="Normal 63" xfId="4342" xr:uid="{00000000-0005-0000-0000-0000F40E0000}"/>
    <cellStyle name="Normal 64" xfId="4343" xr:uid="{00000000-0005-0000-0000-0000F50E0000}"/>
    <cellStyle name="Normal 65" xfId="4470" xr:uid="{00000000-0005-0000-0000-0000F60E0000}"/>
    <cellStyle name="Normal 66" xfId="4667" xr:uid="{00000000-0005-0000-0000-0000F70E0000}"/>
    <cellStyle name="Normal 67" xfId="4671" xr:uid="{00000000-0005-0000-0000-0000F80E0000}"/>
    <cellStyle name="Normal 68" xfId="4695" xr:uid="{488DE982-EBC2-4F81-B9CC-791E96D6B332}"/>
    <cellStyle name="Normal 68 2" xfId="4700" xr:uid="{C1446051-E83D-475E-8858-6F8D89257D24}"/>
    <cellStyle name="Normal 69" xfId="4344" xr:uid="{00000000-0005-0000-0000-0000F90E0000}"/>
    <cellStyle name="Normal 69 3" xfId="4345" xr:uid="{00000000-0005-0000-0000-0000FA0E0000}"/>
    <cellStyle name="Normal 7" xfId="3628" xr:uid="{00000000-0005-0000-0000-0000FB0E0000}"/>
    <cellStyle name="Normal 7 2" xfId="3629" xr:uid="{00000000-0005-0000-0000-0000FC0E0000}"/>
    <cellStyle name="Normal 7 2 2" xfId="3630" xr:uid="{00000000-0005-0000-0000-0000FD0E0000}"/>
    <cellStyle name="Normal 7 3" xfId="3631" xr:uid="{00000000-0005-0000-0000-0000FE0E0000}"/>
    <cellStyle name="Normal 7 3 2" xfId="3632" xr:uid="{00000000-0005-0000-0000-0000FF0E0000}"/>
    <cellStyle name="Normal 7 4" xfId="3633" xr:uid="{00000000-0005-0000-0000-0000000F0000}"/>
    <cellStyle name="Normal 7 4 2" xfId="3634" xr:uid="{00000000-0005-0000-0000-0000010F0000}"/>
    <cellStyle name="Normal 7 5" xfId="3635" xr:uid="{00000000-0005-0000-0000-0000020F0000}"/>
    <cellStyle name="Normal 7 5 2" xfId="3636" xr:uid="{00000000-0005-0000-0000-0000030F0000}"/>
    <cellStyle name="Normal 7 6" xfId="3637" xr:uid="{00000000-0005-0000-0000-0000040F0000}"/>
    <cellStyle name="Normal 7 7" xfId="4155" xr:uid="{00000000-0005-0000-0000-0000050F0000}"/>
    <cellStyle name="Normal 72" xfId="4346" xr:uid="{00000000-0005-0000-0000-0000060F0000}"/>
    <cellStyle name="Normal 8" xfId="3638" xr:uid="{00000000-0005-0000-0000-0000070F0000}"/>
    <cellStyle name="Normal 8 14" xfId="4673" xr:uid="{00000000-0005-0000-0000-0000080F0000}"/>
    <cellStyle name="Normal 8 2" xfId="3639" xr:uid="{00000000-0005-0000-0000-0000090F0000}"/>
    <cellStyle name="Normal 8 2 2" xfId="3640" xr:uid="{00000000-0005-0000-0000-00000A0F0000}"/>
    <cellStyle name="Normal 8 2 2 2" xfId="4582" xr:uid="{00000000-0005-0000-0000-00000B0F0000}"/>
    <cellStyle name="Normal 8 2 2 3" xfId="4583" xr:uid="{00000000-0005-0000-0000-00000C0F0000}"/>
    <cellStyle name="Normal 8 2 2 4" xfId="4584" xr:uid="{00000000-0005-0000-0000-00000D0F0000}"/>
    <cellStyle name="Normal 8 2 3" xfId="4585" xr:uid="{00000000-0005-0000-0000-00000E0F0000}"/>
    <cellStyle name="Normal 8 2 4" xfId="4586" xr:uid="{00000000-0005-0000-0000-00000F0F0000}"/>
    <cellStyle name="Normal 8 2 5" xfId="4587" xr:uid="{00000000-0005-0000-0000-0000100F0000}"/>
    <cellStyle name="Normal 8 3" xfId="3641" xr:uid="{00000000-0005-0000-0000-0000110F0000}"/>
    <cellStyle name="Normal 8 3 2" xfId="3642" xr:uid="{00000000-0005-0000-0000-0000120F0000}"/>
    <cellStyle name="Normal 8 3 3" xfId="4588" xr:uid="{00000000-0005-0000-0000-0000130F0000}"/>
    <cellStyle name="Normal 8 3 4" xfId="4589" xr:uid="{00000000-0005-0000-0000-0000140F0000}"/>
    <cellStyle name="Normal 8 4" xfId="3643" xr:uid="{00000000-0005-0000-0000-0000150F0000}"/>
    <cellStyle name="Normal 8 4 2" xfId="3644" xr:uid="{00000000-0005-0000-0000-0000160F0000}"/>
    <cellStyle name="Normal 8 5" xfId="3645" xr:uid="{00000000-0005-0000-0000-0000170F0000}"/>
    <cellStyle name="Normal 8 5 2" xfId="3646" xr:uid="{00000000-0005-0000-0000-0000180F0000}"/>
    <cellStyle name="Normal 8 6" xfId="3647" xr:uid="{00000000-0005-0000-0000-0000190F0000}"/>
    <cellStyle name="Normal 9" xfId="3648" xr:uid="{00000000-0005-0000-0000-00001A0F0000}"/>
    <cellStyle name="Normal 9 10" xfId="3649" xr:uid="{00000000-0005-0000-0000-00001B0F0000}"/>
    <cellStyle name="Normal 9 10 2" xfId="3650" xr:uid="{00000000-0005-0000-0000-00001C0F0000}"/>
    <cellStyle name="Normal 9 10 2 2" xfId="3651" xr:uid="{00000000-0005-0000-0000-00001D0F0000}"/>
    <cellStyle name="Normal 9 10 3" xfId="3652" xr:uid="{00000000-0005-0000-0000-00001E0F0000}"/>
    <cellStyle name="Normal 9 11" xfId="3653" xr:uid="{00000000-0005-0000-0000-00001F0F0000}"/>
    <cellStyle name="Normal 9 11 2" xfId="3654" xr:uid="{00000000-0005-0000-0000-0000200F0000}"/>
    <cellStyle name="Normal 9 11 2 2" xfId="3655" xr:uid="{00000000-0005-0000-0000-0000210F0000}"/>
    <cellStyle name="Normal 9 11 3" xfId="3656" xr:uid="{00000000-0005-0000-0000-0000220F0000}"/>
    <cellStyle name="Normal 9 12" xfId="3657" xr:uid="{00000000-0005-0000-0000-0000230F0000}"/>
    <cellStyle name="Normal 9 12 2" xfId="3658" xr:uid="{00000000-0005-0000-0000-0000240F0000}"/>
    <cellStyle name="Normal 9 12 2 2" xfId="3659" xr:uid="{00000000-0005-0000-0000-0000250F0000}"/>
    <cellStyle name="Normal 9 12 3" xfId="3660" xr:uid="{00000000-0005-0000-0000-0000260F0000}"/>
    <cellStyle name="Normal 9 13" xfId="3661" xr:uid="{00000000-0005-0000-0000-0000270F0000}"/>
    <cellStyle name="Normal 9 13 2" xfId="3662" xr:uid="{00000000-0005-0000-0000-0000280F0000}"/>
    <cellStyle name="Normal 9 13 2 2" xfId="3663" xr:uid="{00000000-0005-0000-0000-0000290F0000}"/>
    <cellStyle name="Normal 9 13 3" xfId="3664" xr:uid="{00000000-0005-0000-0000-00002A0F0000}"/>
    <cellStyle name="Normal 9 14" xfId="3665" xr:uid="{00000000-0005-0000-0000-00002B0F0000}"/>
    <cellStyle name="Normal 9 14 2" xfId="3666" xr:uid="{00000000-0005-0000-0000-00002C0F0000}"/>
    <cellStyle name="Normal 9 14 2 2" xfId="3667" xr:uid="{00000000-0005-0000-0000-00002D0F0000}"/>
    <cellStyle name="Normal 9 14 3" xfId="3668" xr:uid="{00000000-0005-0000-0000-00002E0F0000}"/>
    <cellStyle name="Normal 9 15" xfId="3669" xr:uid="{00000000-0005-0000-0000-00002F0F0000}"/>
    <cellStyle name="Normal 9 15 2" xfId="3670" xr:uid="{00000000-0005-0000-0000-0000300F0000}"/>
    <cellStyle name="Normal 9 15 2 2" xfId="3671" xr:uid="{00000000-0005-0000-0000-0000310F0000}"/>
    <cellStyle name="Normal 9 15 3" xfId="3672" xr:uid="{00000000-0005-0000-0000-0000320F0000}"/>
    <cellStyle name="Normal 9 16" xfId="3673" xr:uid="{00000000-0005-0000-0000-0000330F0000}"/>
    <cellStyle name="Normal 9 16 2" xfId="3674" xr:uid="{00000000-0005-0000-0000-0000340F0000}"/>
    <cellStyle name="Normal 9 17" xfId="3675" xr:uid="{00000000-0005-0000-0000-0000350F0000}"/>
    <cellStyle name="Normal 9 2" xfId="3676" xr:uid="{00000000-0005-0000-0000-0000360F0000}"/>
    <cellStyle name="Normal 9 2 2" xfId="3677" xr:uid="{00000000-0005-0000-0000-0000370F0000}"/>
    <cellStyle name="Normal 9 2 2 2" xfId="3678" xr:uid="{00000000-0005-0000-0000-0000380F0000}"/>
    <cellStyle name="Normal 9 2 2 3" xfId="4590" xr:uid="{00000000-0005-0000-0000-0000390F0000}"/>
    <cellStyle name="Normal 9 2 2 4" xfId="4591" xr:uid="{00000000-0005-0000-0000-00003A0F0000}"/>
    <cellStyle name="Normal 9 2 3" xfId="3679" xr:uid="{00000000-0005-0000-0000-00003B0F0000}"/>
    <cellStyle name="Normal 9 2 4" xfId="4592" xr:uid="{00000000-0005-0000-0000-00003C0F0000}"/>
    <cellStyle name="Normal 9 2 5" xfId="4593" xr:uid="{00000000-0005-0000-0000-00003D0F0000}"/>
    <cellStyle name="Normal 9 3" xfId="3680" xr:uid="{00000000-0005-0000-0000-00003E0F0000}"/>
    <cellStyle name="Normal 9 3 2" xfId="3681" xr:uid="{00000000-0005-0000-0000-00003F0F0000}"/>
    <cellStyle name="Normal 9 3 2 2" xfId="3682" xr:uid="{00000000-0005-0000-0000-0000400F0000}"/>
    <cellStyle name="Normal 9 3 3" xfId="3683" xr:uid="{00000000-0005-0000-0000-0000410F0000}"/>
    <cellStyle name="Normal 9 3 4" xfId="4594" xr:uid="{00000000-0005-0000-0000-0000420F0000}"/>
    <cellStyle name="Normal 9 4" xfId="3684" xr:uid="{00000000-0005-0000-0000-0000430F0000}"/>
    <cellStyle name="Normal 9 4 2" xfId="3685" xr:uid="{00000000-0005-0000-0000-0000440F0000}"/>
    <cellStyle name="Normal 9 4 2 2" xfId="3686" xr:uid="{00000000-0005-0000-0000-0000450F0000}"/>
    <cellStyle name="Normal 9 4 3" xfId="3687" xr:uid="{00000000-0005-0000-0000-0000460F0000}"/>
    <cellStyle name="Normal 9 5" xfId="3688" xr:uid="{00000000-0005-0000-0000-0000470F0000}"/>
    <cellStyle name="Normal 9 5 2" xfId="3689" xr:uid="{00000000-0005-0000-0000-0000480F0000}"/>
    <cellStyle name="Normal 9 5 2 2" xfId="3690" xr:uid="{00000000-0005-0000-0000-0000490F0000}"/>
    <cellStyle name="Normal 9 5 3" xfId="3691" xr:uid="{00000000-0005-0000-0000-00004A0F0000}"/>
    <cellStyle name="Normal 9 6" xfId="3692" xr:uid="{00000000-0005-0000-0000-00004B0F0000}"/>
    <cellStyle name="Normal 9 6 2" xfId="3693" xr:uid="{00000000-0005-0000-0000-00004C0F0000}"/>
    <cellStyle name="Normal 9 6 2 2" xfId="3694" xr:uid="{00000000-0005-0000-0000-00004D0F0000}"/>
    <cellStyle name="Normal 9 6 3" xfId="3695" xr:uid="{00000000-0005-0000-0000-00004E0F0000}"/>
    <cellStyle name="Normal 9 7" xfId="3696" xr:uid="{00000000-0005-0000-0000-00004F0F0000}"/>
    <cellStyle name="Normal 9 7 2" xfId="3697" xr:uid="{00000000-0005-0000-0000-0000500F0000}"/>
    <cellStyle name="Normal 9 7 2 2" xfId="3698" xr:uid="{00000000-0005-0000-0000-0000510F0000}"/>
    <cellStyle name="Normal 9 7 3" xfId="3699" xr:uid="{00000000-0005-0000-0000-0000520F0000}"/>
    <cellStyle name="Normal 9 8" xfId="3700" xr:uid="{00000000-0005-0000-0000-0000530F0000}"/>
    <cellStyle name="Normal 9 8 2" xfId="3701" xr:uid="{00000000-0005-0000-0000-0000540F0000}"/>
    <cellStyle name="Normal 9 8 2 2" xfId="3702" xr:uid="{00000000-0005-0000-0000-0000550F0000}"/>
    <cellStyle name="Normal 9 8 3" xfId="3703" xr:uid="{00000000-0005-0000-0000-0000560F0000}"/>
    <cellStyle name="Normal 9 9" xfId="3704" xr:uid="{00000000-0005-0000-0000-0000570F0000}"/>
    <cellStyle name="Normal 9 9 2" xfId="3705" xr:uid="{00000000-0005-0000-0000-0000580F0000}"/>
    <cellStyle name="Normal 9 9 2 2" xfId="3706" xr:uid="{00000000-0005-0000-0000-0000590F0000}"/>
    <cellStyle name="Normal 9 9 3" xfId="3707" xr:uid="{00000000-0005-0000-0000-00005A0F0000}"/>
    <cellStyle name="Normal 96" xfId="3708" xr:uid="{00000000-0005-0000-0000-00005B0F0000}"/>
    <cellStyle name="Normal 96 2" xfId="3709" xr:uid="{00000000-0005-0000-0000-00005C0F0000}"/>
    <cellStyle name="Normal CEN" xfId="125" xr:uid="{00000000-0005-0000-0000-00005D0F0000}"/>
    <cellStyle name="Normal Centered" xfId="126" xr:uid="{00000000-0005-0000-0000-00005E0F0000}"/>
    <cellStyle name="NORMAL CTR" xfId="127" xr:uid="{00000000-0005-0000-0000-00005F0F0000}"/>
    <cellStyle name="Normal_0112 No Link Exp" xfId="4473" xr:uid="{00000000-0005-0000-0000-0000600F0000}"/>
    <cellStyle name="Normal_21 Exh B" xfId="4595" xr:uid="{00000000-0005-0000-0000-0000610F0000}"/>
    <cellStyle name="Normal_ADITAnalysisID090805" xfId="4670" xr:uid="{00000000-0005-0000-0000-0000620F0000}"/>
    <cellStyle name="Normal_ATC Projected 2008 Monthly Plant Balances for Attachment O 2 (2)" xfId="4596" xr:uid="{00000000-0005-0000-0000-0000630F0000}"/>
    <cellStyle name="Normal_Attachment O &amp; GG Final 11_11_09" xfId="4664" xr:uid="{00000000-0005-0000-0000-0000640F0000}"/>
    <cellStyle name="Normal_Attachment Os for 2002 True-up" xfId="4597" xr:uid="{00000000-0005-0000-0000-0000650F0000}"/>
    <cellStyle name="Normal_Duquesne Settled Fromula 10-3-07" xfId="4476" xr:uid="{00000000-0005-0000-0000-0000660F0000}"/>
    <cellStyle name="Normal_FN1 Ratebase Draft SPP template (6-11-04) v2" xfId="4668" xr:uid="{00000000-0005-0000-0000-0000670F0000}"/>
    <cellStyle name="Normal_KCPL Transmission  Formula Rate 9-11-09ach" xfId="4669" xr:uid="{00000000-0005-0000-0000-0000680F0000}"/>
    <cellStyle name="Normal_PRECorp2002HeintzResponse 8-21-03" xfId="4" xr:uid="{00000000-0005-0000-0000-0000690F0000}"/>
    <cellStyle name="Normal_Revised Table 8 &amp; 22" xfId="4471" xr:uid="{00000000-0005-0000-0000-00006A0F0000}"/>
    <cellStyle name="Normal_Schedule O Info for Mike" xfId="4598" xr:uid="{00000000-0005-0000-0000-00006B0F0000}"/>
    <cellStyle name="Note 10" xfId="3710" xr:uid="{00000000-0005-0000-0000-00006C0F0000}"/>
    <cellStyle name="Note 10 2" xfId="3711" xr:uid="{00000000-0005-0000-0000-00006D0F0000}"/>
    <cellStyle name="Note 10 2 2" xfId="3712" xr:uid="{00000000-0005-0000-0000-00006E0F0000}"/>
    <cellStyle name="Note 10 3" xfId="3713" xr:uid="{00000000-0005-0000-0000-00006F0F0000}"/>
    <cellStyle name="Note 11" xfId="3714" xr:uid="{00000000-0005-0000-0000-0000700F0000}"/>
    <cellStyle name="Note 11 2" xfId="3715" xr:uid="{00000000-0005-0000-0000-0000710F0000}"/>
    <cellStyle name="Note 11 2 2" xfId="3716" xr:uid="{00000000-0005-0000-0000-0000720F0000}"/>
    <cellStyle name="Note 11 3" xfId="3717" xr:uid="{00000000-0005-0000-0000-0000730F0000}"/>
    <cellStyle name="Note 12" xfId="3718" xr:uid="{00000000-0005-0000-0000-0000740F0000}"/>
    <cellStyle name="Note 12 2" xfId="3719" xr:uid="{00000000-0005-0000-0000-0000750F0000}"/>
    <cellStyle name="Note 12 2 2" xfId="3720" xr:uid="{00000000-0005-0000-0000-0000760F0000}"/>
    <cellStyle name="Note 12 3" xfId="3721" xr:uid="{00000000-0005-0000-0000-0000770F0000}"/>
    <cellStyle name="Note 13" xfId="3722" xr:uid="{00000000-0005-0000-0000-0000780F0000}"/>
    <cellStyle name="Note 13 2" xfId="3723" xr:uid="{00000000-0005-0000-0000-0000790F0000}"/>
    <cellStyle name="Note 13 2 2" xfId="3724" xr:uid="{00000000-0005-0000-0000-00007A0F0000}"/>
    <cellStyle name="Note 13 3" xfId="3725" xr:uid="{00000000-0005-0000-0000-00007B0F0000}"/>
    <cellStyle name="Note 14" xfId="3726" xr:uid="{00000000-0005-0000-0000-00007C0F0000}"/>
    <cellStyle name="Note 14 2" xfId="3727" xr:uid="{00000000-0005-0000-0000-00007D0F0000}"/>
    <cellStyle name="Note 14 2 2" xfId="3728" xr:uid="{00000000-0005-0000-0000-00007E0F0000}"/>
    <cellStyle name="Note 14 3" xfId="3729" xr:uid="{00000000-0005-0000-0000-00007F0F0000}"/>
    <cellStyle name="Note 15" xfId="3730" xr:uid="{00000000-0005-0000-0000-0000800F0000}"/>
    <cellStyle name="Note 15 2" xfId="3731" xr:uid="{00000000-0005-0000-0000-0000810F0000}"/>
    <cellStyle name="Note 15 2 2" xfId="3732" xr:uid="{00000000-0005-0000-0000-0000820F0000}"/>
    <cellStyle name="Note 15 3" xfId="3733" xr:uid="{00000000-0005-0000-0000-0000830F0000}"/>
    <cellStyle name="Note 15 3 2" xfId="3734" xr:uid="{00000000-0005-0000-0000-0000840F0000}"/>
    <cellStyle name="Note 15 4" xfId="3735" xr:uid="{00000000-0005-0000-0000-0000850F0000}"/>
    <cellStyle name="Note 15 4 2" xfId="3736" xr:uid="{00000000-0005-0000-0000-0000860F0000}"/>
    <cellStyle name="Note 15 5" xfId="3737" xr:uid="{00000000-0005-0000-0000-0000870F0000}"/>
    <cellStyle name="Note 15 5 2" xfId="3738" xr:uid="{00000000-0005-0000-0000-0000880F0000}"/>
    <cellStyle name="Note 15 6" xfId="3739" xr:uid="{00000000-0005-0000-0000-0000890F0000}"/>
    <cellStyle name="Note 16" xfId="3740" xr:uid="{00000000-0005-0000-0000-00008A0F0000}"/>
    <cellStyle name="Note 16 2" xfId="3741" xr:uid="{00000000-0005-0000-0000-00008B0F0000}"/>
    <cellStyle name="Note 16 2 2" xfId="3742" xr:uid="{00000000-0005-0000-0000-00008C0F0000}"/>
    <cellStyle name="Note 16 3" xfId="3743" xr:uid="{00000000-0005-0000-0000-00008D0F0000}"/>
    <cellStyle name="Note 16 3 2" xfId="3744" xr:uid="{00000000-0005-0000-0000-00008E0F0000}"/>
    <cellStyle name="Note 16 4" xfId="3745" xr:uid="{00000000-0005-0000-0000-00008F0F0000}"/>
    <cellStyle name="Note 16 4 2" xfId="3746" xr:uid="{00000000-0005-0000-0000-0000900F0000}"/>
    <cellStyle name="Note 16 5" xfId="3747" xr:uid="{00000000-0005-0000-0000-0000910F0000}"/>
    <cellStyle name="Note 16 5 2" xfId="3748" xr:uid="{00000000-0005-0000-0000-0000920F0000}"/>
    <cellStyle name="Note 16 6" xfId="3749" xr:uid="{00000000-0005-0000-0000-0000930F0000}"/>
    <cellStyle name="Note 17" xfId="3750" xr:uid="{00000000-0005-0000-0000-0000940F0000}"/>
    <cellStyle name="Note 17 2" xfId="3751" xr:uid="{00000000-0005-0000-0000-0000950F0000}"/>
    <cellStyle name="Note 17 2 2" xfId="3752" xr:uid="{00000000-0005-0000-0000-0000960F0000}"/>
    <cellStyle name="Note 17 3" xfId="3753" xr:uid="{00000000-0005-0000-0000-0000970F0000}"/>
    <cellStyle name="Note 17 3 2" xfId="3754" xr:uid="{00000000-0005-0000-0000-0000980F0000}"/>
    <cellStyle name="Note 17 4" xfId="3755" xr:uid="{00000000-0005-0000-0000-0000990F0000}"/>
    <cellStyle name="Note 17 4 2" xfId="3756" xr:uid="{00000000-0005-0000-0000-00009A0F0000}"/>
    <cellStyle name="Note 17 5" xfId="3757" xr:uid="{00000000-0005-0000-0000-00009B0F0000}"/>
    <cellStyle name="Note 17 5 2" xfId="3758" xr:uid="{00000000-0005-0000-0000-00009C0F0000}"/>
    <cellStyle name="Note 17 6" xfId="3759" xr:uid="{00000000-0005-0000-0000-00009D0F0000}"/>
    <cellStyle name="Note 18" xfId="3760" xr:uid="{00000000-0005-0000-0000-00009E0F0000}"/>
    <cellStyle name="Note 18 2" xfId="3761" xr:uid="{00000000-0005-0000-0000-00009F0F0000}"/>
    <cellStyle name="Note 18 2 2" xfId="3762" xr:uid="{00000000-0005-0000-0000-0000A00F0000}"/>
    <cellStyle name="Note 18 3" xfId="3763" xr:uid="{00000000-0005-0000-0000-0000A10F0000}"/>
    <cellStyle name="Note 18 3 2" xfId="3764" xr:uid="{00000000-0005-0000-0000-0000A20F0000}"/>
    <cellStyle name="Note 18 4" xfId="3765" xr:uid="{00000000-0005-0000-0000-0000A30F0000}"/>
    <cellStyle name="Note 18 4 2" xfId="3766" xr:uid="{00000000-0005-0000-0000-0000A40F0000}"/>
    <cellStyle name="Note 18 5" xfId="3767" xr:uid="{00000000-0005-0000-0000-0000A50F0000}"/>
    <cellStyle name="Note 18 5 2" xfId="3768" xr:uid="{00000000-0005-0000-0000-0000A60F0000}"/>
    <cellStyle name="Note 18 6" xfId="3769" xr:uid="{00000000-0005-0000-0000-0000A70F0000}"/>
    <cellStyle name="Note 19" xfId="3770" xr:uid="{00000000-0005-0000-0000-0000A80F0000}"/>
    <cellStyle name="Note 19 2" xfId="3771" xr:uid="{00000000-0005-0000-0000-0000A90F0000}"/>
    <cellStyle name="Note 19 2 2" xfId="3772" xr:uid="{00000000-0005-0000-0000-0000AA0F0000}"/>
    <cellStyle name="Note 19 3" xfId="3773" xr:uid="{00000000-0005-0000-0000-0000AB0F0000}"/>
    <cellStyle name="Note 19 3 2" xfId="3774" xr:uid="{00000000-0005-0000-0000-0000AC0F0000}"/>
    <cellStyle name="Note 19 4" xfId="3775" xr:uid="{00000000-0005-0000-0000-0000AD0F0000}"/>
    <cellStyle name="Note 19 4 2" xfId="3776" xr:uid="{00000000-0005-0000-0000-0000AE0F0000}"/>
    <cellStyle name="Note 19 5" xfId="3777" xr:uid="{00000000-0005-0000-0000-0000AF0F0000}"/>
    <cellStyle name="Note 19 5 2" xfId="3778" xr:uid="{00000000-0005-0000-0000-0000B00F0000}"/>
    <cellStyle name="Note 19 6" xfId="3779" xr:uid="{00000000-0005-0000-0000-0000B10F0000}"/>
    <cellStyle name="Note 2" xfId="128" xr:uid="{00000000-0005-0000-0000-0000B20F0000}"/>
    <cellStyle name="Note 2 2" xfId="3780" xr:uid="{00000000-0005-0000-0000-0000B30F0000}"/>
    <cellStyle name="Note 2 2 2" xfId="3781" xr:uid="{00000000-0005-0000-0000-0000B40F0000}"/>
    <cellStyle name="Note 2 3" xfId="3782" xr:uid="{00000000-0005-0000-0000-0000B50F0000}"/>
    <cellStyle name="Note 20" xfId="3783" xr:uid="{00000000-0005-0000-0000-0000B60F0000}"/>
    <cellStyle name="Note 20 2" xfId="3784" xr:uid="{00000000-0005-0000-0000-0000B70F0000}"/>
    <cellStyle name="Note 20 2 2" xfId="3785" xr:uid="{00000000-0005-0000-0000-0000B80F0000}"/>
    <cellStyle name="Note 20 3" xfId="3786" xr:uid="{00000000-0005-0000-0000-0000B90F0000}"/>
    <cellStyle name="Note 20 3 2" xfId="3787" xr:uid="{00000000-0005-0000-0000-0000BA0F0000}"/>
    <cellStyle name="Note 20 4" xfId="3788" xr:uid="{00000000-0005-0000-0000-0000BB0F0000}"/>
    <cellStyle name="Note 20 4 2" xfId="3789" xr:uid="{00000000-0005-0000-0000-0000BC0F0000}"/>
    <cellStyle name="Note 20 5" xfId="3790" xr:uid="{00000000-0005-0000-0000-0000BD0F0000}"/>
    <cellStyle name="Note 20 5 2" xfId="3791" xr:uid="{00000000-0005-0000-0000-0000BE0F0000}"/>
    <cellStyle name="Note 20 6" xfId="3792" xr:uid="{00000000-0005-0000-0000-0000BF0F0000}"/>
    <cellStyle name="Note 21" xfId="3793" xr:uid="{00000000-0005-0000-0000-0000C00F0000}"/>
    <cellStyle name="Note 21 2" xfId="3794" xr:uid="{00000000-0005-0000-0000-0000C10F0000}"/>
    <cellStyle name="Note 21 2 2" xfId="3795" xr:uid="{00000000-0005-0000-0000-0000C20F0000}"/>
    <cellStyle name="Note 21 3" xfId="3796" xr:uid="{00000000-0005-0000-0000-0000C30F0000}"/>
    <cellStyle name="Note 21 3 2" xfId="3797" xr:uid="{00000000-0005-0000-0000-0000C40F0000}"/>
    <cellStyle name="Note 21 4" xfId="3798" xr:uid="{00000000-0005-0000-0000-0000C50F0000}"/>
    <cellStyle name="Note 21 4 2" xfId="3799" xr:uid="{00000000-0005-0000-0000-0000C60F0000}"/>
    <cellStyle name="Note 21 5" xfId="3800" xr:uid="{00000000-0005-0000-0000-0000C70F0000}"/>
    <cellStyle name="Note 21 5 2" xfId="3801" xr:uid="{00000000-0005-0000-0000-0000C80F0000}"/>
    <cellStyle name="Note 21 6" xfId="3802" xr:uid="{00000000-0005-0000-0000-0000C90F0000}"/>
    <cellStyle name="Note 21 6 2" xfId="3803" xr:uid="{00000000-0005-0000-0000-0000CA0F0000}"/>
    <cellStyle name="Note 21 7" xfId="3804" xr:uid="{00000000-0005-0000-0000-0000CB0F0000}"/>
    <cellStyle name="Note 21 7 2" xfId="3805" xr:uid="{00000000-0005-0000-0000-0000CC0F0000}"/>
    <cellStyle name="Note 21 8" xfId="3806" xr:uid="{00000000-0005-0000-0000-0000CD0F0000}"/>
    <cellStyle name="Note 22" xfId="3807" xr:uid="{00000000-0005-0000-0000-0000CE0F0000}"/>
    <cellStyle name="Note 22 2" xfId="3808" xr:uid="{00000000-0005-0000-0000-0000CF0F0000}"/>
    <cellStyle name="Note 22 2 2" xfId="3809" xr:uid="{00000000-0005-0000-0000-0000D00F0000}"/>
    <cellStyle name="Note 22 3" xfId="3810" xr:uid="{00000000-0005-0000-0000-0000D10F0000}"/>
    <cellStyle name="Note 22 3 2" xfId="3811" xr:uid="{00000000-0005-0000-0000-0000D20F0000}"/>
    <cellStyle name="Note 22 4" xfId="3812" xr:uid="{00000000-0005-0000-0000-0000D30F0000}"/>
    <cellStyle name="Note 22 4 2" xfId="3813" xr:uid="{00000000-0005-0000-0000-0000D40F0000}"/>
    <cellStyle name="Note 22 5" xfId="3814" xr:uid="{00000000-0005-0000-0000-0000D50F0000}"/>
    <cellStyle name="Note 22 5 2" xfId="3815" xr:uid="{00000000-0005-0000-0000-0000D60F0000}"/>
    <cellStyle name="Note 22 6" xfId="3816" xr:uid="{00000000-0005-0000-0000-0000D70F0000}"/>
    <cellStyle name="Note 22 6 2" xfId="3817" xr:uid="{00000000-0005-0000-0000-0000D80F0000}"/>
    <cellStyle name="Note 22 7" xfId="3818" xr:uid="{00000000-0005-0000-0000-0000D90F0000}"/>
    <cellStyle name="Note 22 7 2" xfId="3819" xr:uid="{00000000-0005-0000-0000-0000DA0F0000}"/>
    <cellStyle name="Note 22 8" xfId="3820" xr:uid="{00000000-0005-0000-0000-0000DB0F0000}"/>
    <cellStyle name="Note 23" xfId="3821" xr:uid="{00000000-0005-0000-0000-0000DC0F0000}"/>
    <cellStyle name="Note 23 2" xfId="3822" xr:uid="{00000000-0005-0000-0000-0000DD0F0000}"/>
    <cellStyle name="Note 23 2 2" xfId="3823" xr:uid="{00000000-0005-0000-0000-0000DE0F0000}"/>
    <cellStyle name="Note 23 3" xfId="3824" xr:uid="{00000000-0005-0000-0000-0000DF0F0000}"/>
    <cellStyle name="Note 23 3 2" xfId="3825" xr:uid="{00000000-0005-0000-0000-0000E00F0000}"/>
    <cellStyle name="Note 23 4" xfId="3826" xr:uid="{00000000-0005-0000-0000-0000E10F0000}"/>
    <cellStyle name="Note 23 4 2" xfId="3827" xr:uid="{00000000-0005-0000-0000-0000E20F0000}"/>
    <cellStyle name="Note 23 5" xfId="3828" xr:uid="{00000000-0005-0000-0000-0000E30F0000}"/>
    <cellStyle name="Note 23 5 2" xfId="3829" xr:uid="{00000000-0005-0000-0000-0000E40F0000}"/>
    <cellStyle name="Note 23 6" xfId="3830" xr:uid="{00000000-0005-0000-0000-0000E50F0000}"/>
    <cellStyle name="Note 23 6 2" xfId="3831" xr:uid="{00000000-0005-0000-0000-0000E60F0000}"/>
    <cellStyle name="Note 23 7" xfId="3832" xr:uid="{00000000-0005-0000-0000-0000E70F0000}"/>
    <cellStyle name="Note 23 7 2" xfId="3833" xr:uid="{00000000-0005-0000-0000-0000E80F0000}"/>
    <cellStyle name="Note 23 8" xfId="3834" xr:uid="{00000000-0005-0000-0000-0000E90F0000}"/>
    <cellStyle name="Note 24" xfId="3835" xr:uid="{00000000-0005-0000-0000-0000EA0F0000}"/>
    <cellStyle name="Note 24 2" xfId="3836" xr:uid="{00000000-0005-0000-0000-0000EB0F0000}"/>
    <cellStyle name="Note 24 2 2" xfId="3837" xr:uid="{00000000-0005-0000-0000-0000EC0F0000}"/>
    <cellStyle name="Note 24 3" xfId="3838" xr:uid="{00000000-0005-0000-0000-0000ED0F0000}"/>
    <cellStyle name="Note 24 3 2" xfId="3839" xr:uid="{00000000-0005-0000-0000-0000EE0F0000}"/>
    <cellStyle name="Note 24 4" xfId="3840" xr:uid="{00000000-0005-0000-0000-0000EF0F0000}"/>
    <cellStyle name="Note 24 4 2" xfId="3841" xr:uid="{00000000-0005-0000-0000-0000F00F0000}"/>
    <cellStyle name="Note 24 5" xfId="3842" xr:uid="{00000000-0005-0000-0000-0000F10F0000}"/>
    <cellStyle name="Note 24 5 2" xfId="3843" xr:uid="{00000000-0005-0000-0000-0000F20F0000}"/>
    <cellStyle name="Note 24 6" xfId="3844" xr:uid="{00000000-0005-0000-0000-0000F30F0000}"/>
    <cellStyle name="Note 24 6 2" xfId="3845" xr:uid="{00000000-0005-0000-0000-0000F40F0000}"/>
    <cellStyle name="Note 24 7" xfId="3846" xr:uid="{00000000-0005-0000-0000-0000F50F0000}"/>
    <cellStyle name="Note 24 7 2" xfId="3847" xr:uid="{00000000-0005-0000-0000-0000F60F0000}"/>
    <cellStyle name="Note 24 8" xfId="3848" xr:uid="{00000000-0005-0000-0000-0000F70F0000}"/>
    <cellStyle name="Note 25" xfId="3849" xr:uid="{00000000-0005-0000-0000-0000F80F0000}"/>
    <cellStyle name="Note 25 2" xfId="3850" xr:uid="{00000000-0005-0000-0000-0000F90F0000}"/>
    <cellStyle name="Note 25 2 2" xfId="3851" xr:uid="{00000000-0005-0000-0000-0000FA0F0000}"/>
    <cellStyle name="Note 25 3" xfId="3852" xr:uid="{00000000-0005-0000-0000-0000FB0F0000}"/>
    <cellStyle name="Note 25 3 2" xfId="3853" xr:uid="{00000000-0005-0000-0000-0000FC0F0000}"/>
    <cellStyle name="Note 25 4" xfId="3854" xr:uid="{00000000-0005-0000-0000-0000FD0F0000}"/>
    <cellStyle name="Note 25 4 2" xfId="3855" xr:uid="{00000000-0005-0000-0000-0000FE0F0000}"/>
    <cellStyle name="Note 25 5" xfId="3856" xr:uid="{00000000-0005-0000-0000-0000FF0F0000}"/>
    <cellStyle name="Note 25 5 2" xfId="3857" xr:uid="{00000000-0005-0000-0000-000000100000}"/>
    <cellStyle name="Note 25 6" xfId="3858" xr:uid="{00000000-0005-0000-0000-000001100000}"/>
    <cellStyle name="Note 26" xfId="3859" xr:uid="{00000000-0005-0000-0000-000002100000}"/>
    <cellStyle name="Note 26 2" xfId="3860" xr:uid="{00000000-0005-0000-0000-000003100000}"/>
    <cellStyle name="Note 26 2 2" xfId="3861" xr:uid="{00000000-0005-0000-0000-000004100000}"/>
    <cellStyle name="Note 26 3" xfId="3862" xr:uid="{00000000-0005-0000-0000-000005100000}"/>
    <cellStyle name="Note 26 3 2" xfId="3863" xr:uid="{00000000-0005-0000-0000-000006100000}"/>
    <cellStyle name="Note 26 4" xfId="3864" xr:uid="{00000000-0005-0000-0000-000007100000}"/>
    <cellStyle name="Note 26 4 2" xfId="3865" xr:uid="{00000000-0005-0000-0000-000008100000}"/>
    <cellStyle name="Note 26 5" xfId="3866" xr:uid="{00000000-0005-0000-0000-000009100000}"/>
    <cellStyle name="Note 26 5 2" xfId="3867" xr:uid="{00000000-0005-0000-0000-00000A100000}"/>
    <cellStyle name="Note 26 6" xfId="3868" xr:uid="{00000000-0005-0000-0000-00000B100000}"/>
    <cellStyle name="Note 27" xfId="3869" xr:uid="{00000000-0005-0000-0000-00000C100000}"/>
    <cellStyle name="Note 27 2" xfId="3870" xr:uid="{00000000-0005-0000-0000-00000D100000}"/>
    <cellStyle name="Note 27 2 2" xfId="3871" xr:uid="{00000000-0005-0000-0000-00000E100000}"/>
    <cellStyle name="Note 27 3" xfId="3872" xr:uid="{00000000-0005-0000-0000-00000F100000}"/>
    <cellStyle name="Note 27 3 2" xfId="3873" xr:uid="{00000000-0005-0000-0000-000010100000}"/>
    <cellStyle name="Note 27 4" xfId="3874" xr:uid="{00000000-0005-0000-0000-000011100000}"/>
    <cellStyle name="Note 27 4 2" xfId="3875" xr:uid="{00000000-0005-0000-0000-000012100000}"/>
    <cellStyle name="Note 27 5" xfId="3876" xr:uid="{00000000-0005-0000-0000-000013100000}"/>
    <cellStyle name="Note 27 5 2" xfId="3877" xr:uid="{00000000-0005-0000-0000-000014100000}"/>
    <cellStyle name="Note 27 6" xfId="3878" xr:uid="{00000000-0005-0000-0000-000015100000}"/>
    <cellStyle name="Note 28" xfId="3879" xr:uid="{00000000-0005-0000-0000-000016100000}"/>
    <cellStyle name="Note 28 2" xfId="3880" xr:uid="{00000000-0005-0000-0000-000017100000}"/>
    <cellStyle name="Note 28 2 2" xfId="3881" xr:uid="{00000000-0005-0000-0000-000018100000}"/>
    <cellStyle name="Note 28 3" xfId="3882" xr:uid="{00000000-0005-0000-0000-000019100000}"/>
    <cellStyle name="Note 28 3 2" xfId="3883" xr:uid="{00000000-0005-0000-0000-00001A100000}"/>
    <cellStyle name="Note 28 4" xfId="3884" xr:uid="{00000000-0005-0000-0000-00001B100000}"/>
    <cellStyle name="Note 28 4 2" xfId="3885" xr:uid="{00000000-0005-0000-0000-00001C100000}"/>
    <cellStyle name="Note 28 5" xfId="3886" xr:uid="{00000000-0005-0000-0000-00001D100000}"/>
    <cellStyle name="Note 28 5 2" xfId="3887" xr:uid="{00000000-0005-0000-0000-00001E100000}"/>
    <cellStyle name="Note 28 6" xfId="3888" xr:uid="{00000000-0005-0000-0000-00001F100000}"/>
    <cellStyle name="Note 29" xfId="3889" xr:uid="{00000000-0005-0000-0000-000020100000}"/>
    <cellStyle name="Note 29 2" xfId="3890" xr:uid="{00000000-0005-0000-0000-000021100000}"/>
    <cellStyle name="Note 29 2 2" xfId="3891" xr:uid="{00000000-0005-0000-0000-000022100000}"/>
    <cellStyle name="Note 29 3" xfId="3892" xr:uid="{00000000-0005-0000-0000-000023100000}"/>
    <cellStyle name="Note 29 3 2" xfId="3893" xr:uid="{00000000-0005-0000-0000-000024100000}"/>
    <cellStyle name="Note 29 4" xfId="3894" xr:uid="{00000000-0005-0000-0000-000025100000}"/>
    <cellStyle name="Note 29 4 2" xfId="3895" xr:uid="{00000000-0005-0000-0000-000026100000}"/>
    <cellStyle name="Note 29 5" xfId="3896" xr:uid="{00000000-0005-0000-0000-000027100000}"/>
    <cellStyle name="Note 29 5 2" xfId="3897" xr:uid="{00000000-0005-0000-0000-000028100000}"/>
    <cellStyle name="Note 29 6" xfId="3898" xr:uid="{00000000-0005-0000-0000-000029100000}"/>
    <cellStyle name="Note 3" xfId="3899" xr:uid="{00000000-0005-0000-0000-00002A100000}"/>
    <cellStyle name="Note 3 2" xfId="3900" xr:uid="{00000000-0005-0000-0000-00002B100000}"/>
    <cellStyle name="Note 3 2 2" xfId="3901" xr:uid="{00000000-0005-0000-0000-00002C100000}"/>
    <cellStyle name="Note 3 3" xfId="3902" xr:uid="{00000000-0005-0000-0000-00002D100000}"/>
    <cellStyle name="Note 30" xfId="3903" xr:uid="{00000000-0005-0000-0000-00002E100000}"/>
    <cellStyle name="Note 30 2" xfId="3904" xr:uid="{00000000-0005-0000-0000-00002F100000}"/>
    <cellStyle name="Note 30 2 2" xfId="3905" xr:uid="{00000000-0005-0000-0000-000030100000}"/>
    <cellStyle name="Note 30 3" xfId="3906" xr:uid="{00000000-0005-0000-0000-000031100000}"/>
    <cellStyle name="Note 30 3 2" xfId="3907" xr:uid="{00000000-0005-0000-0000-000032100000}"/>
    <cellStyle name="Note 30 4" xfId="3908" xr:uid="{00000000-0005-0000-0000-000033100000}"/>
    <cellStyle name="Note 30 4 2" xfId="3909" xr:uid="{00000000-0005-0000-0000-000034100000}"/>
    <cellStyle name="Note 30 5" xfId="3910" xr:uid="{00000000-0005-0000-0000-000035100000}"/>
    <cellStyle name="Note 30 5 2" xfId="3911" xr:uid="{00000000-0005-0000-0000-000036100000}"/>
    <cellStyle name="Note 30 6" xfId="3912" xr:uid="{00000000-0005-0000-0000-000037100000}"/>
    <cellStyle name="Note 31" xfId="3913" xr:uid="{00000000-0005-0000-0000-000038100000}"/>
    <cellStyle name="Note 31 2" xfId="3914" xr:uid="{00000000-0005-0000-0000-000039100000}"/>
    <cellStyle name="Note 31 2 2" xfId="3915" xr:uid="{00000000-0005-0000-0000-00003A100000}"/>
    <cellStyle name="Note 31 3" xfId="3916" xr:uid="{00000000-0005-0000-0000-00003B100000}"/>
    <cellStyle name="Note 31 3 2" xfId="3917" xr:uid="{00000000-0005-0000-0000-00003C100000}"/>
    <cellStyle name="Note 31 4" xfId="3918" xr:uid="{00000000-0005-0000-0000-00003D100000}"/>
    <cellStyle name="Note 31 4 2" xfId="3919" xr:uid="{00000000-0005-0000-0000-00003E100000}"/>
    <cellStyle name="Note 31 5" xfId="3920" xr:uid="{00000000-0005-0000-0000-00003F100000}"/>
    <cellStyle name="Note 31 5 2" xfId="3921" xr:uid="{00000000-0005-0000-0000-000040100000}"/>
    <cellStyle name="Note 31 6" xfId="3922" xr:uid="{00000000-0005-0000-0000-000041100000}"/>
    <cellStyle name="Note 31 6 2" xfId="3923" xr:uid="{00000000-0005-0000-0000-000042100000}"/>
    <cellStyle name="Note 31 7" xfId="3924" xr:uid="{00000000-0005-0000-0000-000043100000}"/>
    <cellStyle name="Note 31 7 2" xfId="3925" xr:uid="{00000000-0005-0000-0000-000044100000}"/>
    <cellStyle name="Note 31 8" xfId="3926" xr:uid="{00000000-0005-0000-0000-000045100000}"/>
    <cellStyle name="Note 32" xfId="3927" xr:uid="{00000000-0005-0000-0000-000046100000}"/>
    <cellStyle name="Note 32 2" xfId="3928" xr:uid="{00000000-0005-0000-0000-000047100000}"/>
    <cellStyle name="Note 32 2 2" xfId="3929" xr:uid="{00000000-0005-0000-0000-000048100000}"/>
    <cellStyle name="Note 32 3" xfId="3930" xr:uid="{00000000-0005-0000-0000-000049100000}"/>
    <cellStyle name="Note 32 3 2" xfId="3931" xr:uid="{00000000-0005-0000-0000-00004A100000}"/>
    <cellStyle name="Note 32 4" xfId="3932" xr:uid="{00000000-0005-0000-0000-00004B100000}"/>
    <cellStyle name="Note 32 4 2" xfId="3933" xr:uid="{00000000-0005-0000-0000-00004C100000}"/>
    <cellStyle name="Note 32 5" xfId="3934" xr:uid="{00000000-0005-0000-0000-00004D100000}"/>
    <cellStyle name="Note 32 5 2" xfId="3935" xr:uid="{00000000-0005-0000-0000-00004E100000}"/>
    <cellStyle name="Note 32 6" xfId="3936" xr:uid="{00000000-0005-0000-0000-00004F100000}"/>
    <cellStyle name="Note 32 6 2" xfId="3937" xr:uid="{00000000-0005-0000-0000-000050100000}"/>
    <cellStyle name="Note 32 7" xfId="3938" xr:uid="{00000000-0005-0000-0000-000051100000}"/>
    <cellStyle name="Note 32 7 2" xfId="3939" xr:uid="{00000000-0005-0000-0000-000052100000}"/>
    <cellStyle name="Note 32 8" xfId="3940" xr:uid="{00000000-0005-0000-0000-000053100000}"/>
    <cellStyle name="Note 33" xfId="3941" xr:uid="{00000000-0005-0000-0000-000054100000}"/>
    <cellStyle name="Note 33 2" xfId="3942" xr:uid="{00000000-0005-0000-0000-000055100000}"/>
    <cellStyle name="Note 33 2 2" xfId="3943" xr:uid="{00000000-0005-0000-0000-000056100000}"/>
    <cellStyle name="Note 33 3" xfId="3944" xr:uid="{00000000-0005-0000-0000-000057100000}"/>
    <cellStyle name="Note 33 3 2" xfId="3945" xr:uid="{00000000-0005-0000-0000-000058100000}"/>
    <cellStyle name="Note 33 4" xfId="3946" xr:uid="{00000000-0005-0000-0000-000059100000}"/>
    <cellStyle name="Note 33 4 2" xfId="3947" xr:uid="{00000000-0005-0000-0000-00005A100000}"/>
    <cellStyle name="Note 33 5" xfId="3948" xr:uid="{00000000-0005-0000-0000-00005B100000}"/>
    <cellStyle name="Note 33 5 2" xfId="3949" xr:uid="{00000000-0005-0000-0000-00005C100000}"/>
    <cellStyle name="Note 33 6" xfId="3950" xr:uid="{00000000-0005-0000-0000-00005D100000}"/>
    <cellStyle name="Note 33 6 2" xfId="3951" xr:uid="{00000000-0005-0000-0000-00005E100000}"/>
    <cellStyle name="Note 33 7" xfId="3952" xr:uid="{00000000-0005-0000-0000-00005F100000}"/>
    <cellStyle name="Note 33 7 2" xfId="3953" xr:uid="{00000000-0005-0000-0000-000060100000}"/>
    <cellStyle name="Note 33 8" xfId="3954" xr:uid="{00000000-0005-0000-0000-000061100000}"/>
    <cellStyle name="Note 34" xfId="3955" xr:uid="{00000000-0005-0000-0000-000062100000}"/>
    <cellStyle name="Note 34 2" xfId="3956" xr:uid="{00000000-0005-0000-0000-000063100000}"/>
    <cellStyle name="Note 34 2 2" xfId="3957" xr:uid="{00000000-0005-0000-0000-000064100000}"/>
    <cellStyle name="Note 34 3" xfId="3958" xr:uid="{00000000-0005-0000-0000-000065100000}"/>
    <cellStyle name="Note 34 3 2" xfId="3959" xr:uid="{00000000-0005-0000-0000-000066100000}"/>
    <cellStyle name="Note 34 4" xfId="3960" xr:uid="{00000000-0005-0000-0000-000067100000}"/>
    <cellStyle name="Note 34 4 2" xfId="3961" xr:uid="{00000000-0005-0000-0000-000068100000}"/>
    <cellStyle name="Note 34 5" xfId="3962" xr:uid="{00000000-0005-0000-0000-000069100000}"/>
    <cellStyle name="Note 34 5 2" xfId="3963" xr:uid="{00000000-0005-0000-0000-00006A100000}"/>
    <cellStyle name="Note 34 6" xfId="3964" xr:uid="{00000000-0005-0000-0000-00006B100000}"/>
    <cellStyle name="Note 34 6 2" xfId="3965" xr:uid="{00000000-0005-0000-0000-00006C100000}"/>
    <cellStyle name="Note 34 7" xfId="3966" xr:uid="{00000000-0005-0000-0000-00006D100000}"/>
    <cellStyle name="Note 34 7 2" xfId="3967" xr:uid="{00000000-0005-0000-0000-00006E100000}"/>
    <cellStyle name="Note 34 8" xfId="3968" xr:uid="{00000000-0005-0000-0000-00006F100000}"/>
    <cellStyle name="Note 35" xfId="3969" xr:uid="{00000000-0005-0000-0000-000070100000}"/>
    <cellStyle name="Note 35 2" xfId="3970" xr:uid="{00000000-0005-0000-0000-000071100000}"/>
    <cellStyle name="Note 35 2 2" xfId="3971" xr:uid="{00000000-0005-0000-0000-000072100000}"/>
    <cellStyle name="Note 35 3" xfId="3972" xr:uid="{00000000-0005-0000-0000-000073100000}"/>
    <cellStyle name="Note 35 3 2" xfId="3973" xr:uid="{00000000-0005-0000-0000-000074100000}"/>
    <cellStyle name="Note 35 4" xfId="3974" xr:uid="{00000000-0005-0000-0000-000075100000}"/>
    <cellStyle name="Note 35 4 2" xfId="3975" xr:uid="{00000000-0005-0000-0000-000076100000}"/>
    <cellStyle name="Note 35 5" xfId="3976" xr:uid="{00000000-0005-0000-0000-000077100000}"/>
    <cellStyle name="Note 35 5 2" xfId="3977" xr:uid="{00000000-0005-0000-0000-000078100000}"/>
    <cellStyle name="Note 35 6" xfId="3978" xr:uid="{00000000-0005-0000-0000-000079100000}"/>
    <cellStyle name="Note 35 6 2" xfId="3979" xr:uid="{00000000-0005-0000-0000-00007A100000}"/>
    <cellStyle name="Note 35 7" xfId="3980" xr:uid="{00000000-0005-0000-0000-00007B100000}"/>
    <cellStyle name="Note 35 7 2" xfId="3981" xr:uid="{00000000-0005-0000-0000-00007C100000}"/>
    <cellStyle name="Note 35 8" xfId="3982" xr:uid="{00000000-0005-0000-0000-00007D100000}"/>
    <cellStyle name="Note 36" xfId="3983" xr:uid="{00000000-0005-0000-0000-00007E100000}"/>
    <cellStyle name="Note 36 2" xfId="3984" xr:uid="{00000000-0005-0000-0000-00007F100000}"/>
    <cellStyle name="Note 36 2 2" xfId="3985" xr:uid="{00000000-0005-0000-0000-000080100000}"/>
    <cellStyle name="Note 36 3" xfId="3986" xr:uid="{00000000-0005-0000-0000-000081100000}"/>
    <cellStyle name="Note 36 3 2" xfId="3987" xr:uid="{00000000-0005-0000-0000-000082100000}"/>
    <cellStyle name="Note 36 4" xfId="3988" xr:uid="{00000000-0005-0000-0000-000083100000}"/>
    <cellStyle name="Note 36 4 2" xfId="3989" xr:uid="{00000000-0005-0000-0000-000084100000}"/>
    <cellStyle name="Note 36 5" xfId="3990" xr:uid="{00000000-0005-0000-0000-000085100000}"/>
    <cellStyle name="Note 36 5 2" xfId="3991" xr:uid="{00000000-0005-0000-0000-000086100000}"/>
    <cellStyle name="Note 36 6" xfId="3992" xr:uid="{00000000-0005-0000-0000-000087100000}"/>
    <cellStyle name="Note 36 6 2" xfId="3993" xr:uid="{00000000-0005-0000-0000-000088100000}"/>
    <cellStyle name="Note 36 7" xfId="3994" xr:uid="{00000000-0005-0000-0000-000089100000}"/>
    <cellStyle name="Note 36 7 2" xfId="3995" xr:uid="{00000000-0005-0000-0000-00008A100000}"/>
    <cellStyle name="Note 36 8" xfId="3996" xr:uid="{00000000-0005-0000-0000-00008B100000}"/>
    <cellStyle name="Note 37" xfId="3997" xr:uid="{00000000-0005-0000-0000-00008C100000}"/>
    <cellStyle name="Note 37 2" xfId="3998" xr:uid="{00000000-0005-0000-0000-00008D100000}"/>
    <cellStyle name="Note 37 2 2" xfId="3999" xr:uid="{00000000-0005-0000-0000-00008E100000}"/>
    <cellStyle name="Note 37 3" xfId="4000" xr:uid="{00000000-0005-0000-0000-00008F100000}"/>
    <cellStyle name="Note 37 3 2" xfId="4001" xr:uid="{00000000-0005-0000-0000-000090100000}"/>
    <cellStyle name="Note 37 4" xfId="4002" xr:uid="{00000000-0005-0000-0000-000091100000}"/>
    <cellStyle name="Note 37 4 2" xfId="4003" xr:uid="{00000000-0005-0000-0000-000092100000}"/>
    <cellStyle name="Note 37 5" xfId="4004" xr:uid="{00000000-0005-0000-0000-000093100000}"/>
    <cellStyle name="Note 37 5 2" xfId="4005" xr:uid="{00000000-0005-0000-0000-000094100000}"/>
    <cellStyle name="Note 37 6" xfId="4006" xr:uid="{00000000-0005-0000-0000-000095100000}"/>
    <cellStyle name="Note 37 6 2" xfId="4007" xr:uid="{00000000-0005-0000-0000-000096100000}"/>
    <cellStyle name="Note 37 7" xfId="4008" xr:uid="{00000000-0005-0000-0000-000097100000}"/>
    <cellStyle name="Note 37 7 2" xfId="4009" xr:uid="{00000000-0005-0000-0000-000098100000}"/>
    <cellStyle name="Note 37 8" xfId="4010" xr:uid="{00000000-0005-0000-0000-000099100000}"/>
    <cellStyle name="Note 38" xfId="4011" xr:uid="{00000000-0005-0000-0000-00009A100000}"/>
    <cellStyle name="Note 38 2" xfId="4012" xr:uid="{00000000-0005-0000-0000-00009B100000}"/>
    <cellStyle name="Note 38 2 2" xfId="4013" xr:uid="{00000000-0005-0000-0000-00009C100000}"/>
    <cellStyle name="Note 38 3" xfId="4014" xr:uid="{00000000-0005-0000-0000-00009D100000}"/>
    <cellStyle name="Note 38 3 2" xfId="4015" xr:uid="{00000000-0005-0000-0000-00009E100000}"/>
    <cellStyle name="Note 38 4" xfId="4016" xr:uid="{00000000-0005-0000-0000-00009F100000}"/>
    <cellStyle name="Note 38 4 2" xfId="4017" xr:uid="{00000000-0005-0000-0000-0000A0100000}"/>
    <cellStyle name="Note 38 5" xfId="4018" xr:uid="{00000000-0005-0000-0000-0000A1100000}"/>
    <cellStyle name="Note 38 5 2" xfId="4019" xr:uid="{00000000-0005-0000-0000-0000A2100000}"/>
    <cellStyle name="Note 38 6" xfId="4020" xr:uid="{00000000-0005-0000-0000-0000A3100000}"/>
    <cellStyle name="Note 38 6 2" xfId="4021" xr:uid="{00000000-0005-0000-0000-0000A4100000}"/>
    <cellStyle name="Note 38 7" xfId="4022" xr:uid="{00000000-0005-0000-0000-0000A5100000}"/>
    <cellStyle name="Note 38 7 2" xfId="4023" xr:uid="{00000000-0005-0000-0000-0000A6100000}"/>
    <cellStyle name="Note 38 8" xfId="4024" xr:uid="{00000000-0005-0000-0000-0000A7100000}"/>
    <cellStyle name="Note 39" xfId="4025" xr:uid="{00000000-0005-0000-0000-0000A8100000}"/>
    <cellStyle name="Note 39 2" xfId="4026" xr:uid="{00000000-0005-0000-0000-0000A9100000}"/>
    <cellStyle name="Note 4" xfId="4027" xr:uid="{00000000-0005-0000-0000-0000AA100000}"/>
    <cellStyle name="Note 4 2" xfId="4028" xr:uid="{00000000-0005-0000-0000-0000AB100000}"/>
    <cellStyle name="Note 4 2 2" xfId="4029" xr:uid="{00000000-0005-0000-0000-0000AC100000}"/>
    <cellStyle name="Note 4 3" xfId="4030" xr:uid="{00000000-0005-0000-0000-0000AD100000}"/>
    <cellStyle name="Note 40" xfId="4031" xr:uid="{00000000-0005-0000-0000-0000AE100000}"/>
    <cellStyle name="Note 40 2" xfId="4032" xr:uid="{00000000-0005-0000-0000-0000AF100000}"/>
    <cellStyle name="Note 41" xfId="4033" xr:uid="{00000000-0005-0000-0000-0000B0100000}"/>
    <cellStyle name="Note 41 2" xfId="4034" xr:uid="{00000000-0005-0000-0000-0000B1100000}"/>
    <cellStyle name="Note 42" xfId="4035" xr:uid="{00000000-0005-0000-0000-0000B2100000}"/>
    <cellStyle name="Note 42 2" xfId="4036" xr:uid="{00000000-0005-0000-0000-0000B3100000}"/>
    <cellStyle name="Note 43" xfId="4037" xr:uid="{00000000-0005-0000-0000-0000B4100000}"/>
    <cellStyle name="Note 43 2" xfId="4038" xr:uid="{00000000-0005-0000-0000-0000B5100000}"/>
    <cellStyle name="Note 44" xfId="4039" xr:uid="{00000000-0005-0000-0000-0000B6100000}"/>
    <cellStyle name="Note 5" xfId="4040" xr:uid="{00000000-0005-0000-0000-0000B7100000}"/>
    <cellStyle name="Note 5 2" xfId="4041" xr:uid="{00000000-0005-0000-0000-0000B8100000}"/>
    <cellStyle name="Note 5 2 2" xfId="4042" xr:uid="{00000000-0005-0000-0000-0000B9100000}"/>
    <cellStyle name="Note 5 3" xfId="4043" xr:uid="{00000000-0005-0000-0000-0000BA100000}"/>
    <cellStyle name="Note 6" xfId="4044" xr:uid="{00000000-0005-0000-0000-0000BB100000}"/>
    <cellStyle name="Note 6 2" xfId="4045" xr:uid="{00000000-0005-0000-0000-0000BC100000}"/>
    <cellStyle name="Note 6 2 2" xfId="4046" xr:uid="{00000000-0005-0000-0000-0000BD100000}"/>
    <cellStyle name="Note 6 3" xfId="4047" xr:uid="{00000000-0005-0000-0000-0000BE100000}"/>
    <cellStyle name="Note 7" xfId="4048" xr:uid="{00000000-0005-0000-0000-0000BF100000}"/>
    <cellStyle name="Note 7 2" xfId="4049" xr:uid="{00000000-0005-0000-0000-0000C0100000}"/>
    <cellStyle name="Note 8" xfId="4050" xr:uid="{00000000-0005-0000-0000-0000C1100000}"/>
    <cellStyle name="Note 8 2" xfId="4051" xr:uid="{00000000-0005-0000-0000-0000C2100000}"/>
    <cellStyle name="Note 9" xfId="4052" xr:uid="{00000000-0005-0000-0000-0000C3100000}"/>
    <cellStyle name="Note 9 2" xfId="4053" xr:uid="{00000000-0005-0000-0000-0000C4100000}"/>
    <cellStyle name="nozero" xfId="4347" xr:uid="{00000000-0005-0000-0000-0000C5100000}"/>
    <cellStyle name="nozero 2" xfId="4348" xr:uid="{00000000-0005-0000-0000-0000C6100000}"/>
    <cellStyle name="nUMBER" xfId="129" xr:uid="{00000000-0005-0000-0000-0000C7100000}"/>
    <cellStyle name="Output 10" xfId="4054" xr:uid="{00000000-0005-0000-0000-0000C8100000}"/>
    <cellStyle name="Output 11" xfId="4055" xr:uid="{00000000-0005-0000-0000-0000C9100000}"/>
    <cellStyle name="Output 12" xfId="4056" xr:uid="{00000000-0005-0000-0000-0000CA100000}"/>
    <cellStyle name="Output 13" xfId="4057" xr:uid="{00000000-0005-0000-0000-0000CB100000}"/>
    <cellStyle name="Output 14" xfId="4058" xr:uid="{00000000-0005-0000-0000-0000CC100000}"/>
    <cellStyle name="Output 15" xfId="4059" xr:uid="{00000000-0005-0000-0000-0000CD100000}"/>
    <cellStyle name="Output 16" xfId="4060" xr:uid="{00000000-0005-0000-0000-0000CE100000}"/>
    <cellStyle name="Output 17" xfId="4061" xr:uid="{00000000-0005-0000-0000-0000CF100000}"/>
    <cellStyle name="Output 18" xfId="4062" xr:uid="{00000000-0005-0000-0000-0000D0100000}"/>
    <cellStyle name="Output 2" xfId="130" xr:uid="{00000000-0005-0000-0000-0000D1100000}"/>
    <cellStyle name="Output 2 2" xfId="4063" xr:uid="{00000000-0005-0000-0000-0000D2100000}"/>
    <cellStyle name="Output 2 3" xfId="4064" xr:uid="{00000000-0005-0000-0000-0000D3100000}"/>
    <cellStyle name="Output 2 4" xfId="4065" xr:uid="{00000000-0005-0000-0000-0000D4100000}"/>
    <cellStyle name="Output 2 5" xfId="4066" xr:uid="{00000000-0005-0000-0000-0000D5100000}"/>
    <cellStyle name="Output 3" xfId="4067" xr:uid="{00000000-0005-0000-0000-0000D6100000}"/>
    <cellStyle name="Output 4" xfId="4068" xr:uid="{00000000-0005-0000-0000-0000D7100000}"/>
    <cellStyle name="Output 5" xfId="4069" xr:uid="{00000000-0005-0000-0000-0000D8100000}"/>
    <cellStyle name="Output 6" xfId="4070" xr:uid="{00000000-0005-0000-0000-0000D9100000}"/>
    <cellStyle name="Output 7" xfId="4071" xr:uid="{00000000-0005-0000-0000-0000DA100000}"/>
    <cellStyle name="Output 8" xfId="4072" xr:uid="{00000000-0005-0000-0000-0000DB100000}"/>
    <cellStyle name="Output 9" xfId="4073" xr:uid="{00000000-0005-0000-0000-0000DC100000}"/>
    <cellStyle name="Output1_Back" xfId="4599" xr:uid="{00000000-0005-0000-0000-0000DD100000}"/>
    <cellStyle name="p" xfId="4229" xr:uid="{00000000-0005-0000-0000-0000DE100000}"/>
    <cellStyle name="p_2010 Attachment O  GG_082709" xfId="4600" xr:uid="{00000000-0005-0000-0000-0000DF100000}"/>
    <cellStyle name="p_2010 Attachment O Template Supporting Work Papers_ITC Midwest" xfId="4601" xr:uid="{00000000-0005-0000-0000-0000E0100000}"/>
    <cellStyle name="p_2010 Attachment O Template Supporting Work Papers_ITCTransmission" xfId="4602" xr:uid="{00000000-0005-0000-0000-0000E1100000}"/>
    <cellStyle name="p_2010 Attachment O Template Supporting Work Papers_METC" xfId="4603" xr:uid="{00000000-0005-0000-0000-0000E2100000}"/>
    <cellStyle name="p_2Mod11" xfId="4604" xr:uid="{00000000-0005-0000-0000-0000E3100000}"/>
    <cellStyle name="p_aavidmod11.xls Chart 1" xfId="4605" xr:uid="{00000000-0005-0000-0000-0000E4100000}"/>
    <cellStyle name="p_aavidmod11.xls Chart 2" xfId="4606" xr:uid="{00000000-0005-0000-0000-0000E5100000}"/>
    <cellStyle name="p_Attachment O &amp; GG" xfId="4607" xr:uid="{00000000-0005-0000-0000-0000E6100000}"/>
    <cellStyle name="p_charts for capm" xfId="4608" xr:uid="{00000000-0005-0000-0000-0000E7100000}"/>
    <cellStyle name="p_DCF" xfId="4609" xr:uid="{00000000-0005-0000-0000-0000E8100000}"/>
    <cellStyle name="p_DCF_2Mod11" xfId="4610" xr:uid="{00000000-0005-0000-0000-0000E9100000}"/>
    <cellStyle name="p_DCF_aavidmod11.xls Chart 1" xfId="4611" xr:uid="{00000000-0005-0000-0000-0000EA100000}"/>
    <cellStyle name="p_DCF_aavidmod11.xls Chart 2" xfId="4612" xr:uid="{00000000-0005-0000-0000-0000EB100000}"/>
    <cellStyle name="p_DCF_charts for capm" xfId="4613" xr:uid="{00000000-0005-0000-0000-0000EC100000}"/>
    <cellStyle name="p_DCF_DCF5" xfId="4614" xr:uid="{00000000-0005-0000-0000-0000ED100000}"/>
    <cellStyle name="p_DCF_Template2" xfId="4615" xr:uid="{00000000-0005-0000-0000-0000EE100000}"/>
    <cellStyle name="p_DCF_Template2_1" xfId="4616" xr:uid="{00000000-0005-0000-0000-0000EF100000}"/>
    <cellStyle name="p_DCF_VERA" xfId="4617" xr:uid="{00000000-0005-0000-0000-0000F0100000}"/>
    <cellStyle name="p_DCF_VERA_1" xfId="4618" xr:uid="{00000000-0005-0000-0000-0000F1100000}"/>
    <cellStyle name="p_DCF_VERA_1_Template2" xfId="4619" xr:uid="{00000000-0005-0000-0000-0000F2100000}"/>
    <cellStyle name="p_DCF_VERA_aavidmod11.xls Chart 2" xfId="4620" xr:uid="{00000000-0005-0000-0000-0000F3100000}"/>
    <cellStyle name="p_DCF_VERA_Model02" xfId="4621" xr:uid="{00000000-0005-0000-0000-0000F4100000}"/>
    <cellStyle name="p_DCF_VERA_Template2" xfId="4622" xr:uid="{00000000-0005-0000-0000-0000F5100000}"/>
    <cellStyle name="p_DCF_VERA_VERA" xfId="4623" xr:uid="{00000000-0005-0000-0000-0000F6100000}"/>
    <cellStyle name="p_DCF_VERA_VERA_1" xfId="4624" xr:uid="{00000000-0005-0000-0000-0000F7100000}"/>
    <cellStyle name="p_DCF_VERA_VERA_2" xfId="4625" xr:uid="{00000000-0005-0000-0000-0000F8100000}"/>
    <cellStyle name="p_DCF_VERA_VERA_Template2" xfId="4626" xr:uid="{00000000-0005-0000-0000-0000F9100000}"/>
    <cellStyle name="p_DCF5" xfId="4627" xr:uid="{00000000-0005-0000-0000-0000FA100000}"/>
    <cellStyle name="p_ITC Great Plains Formula 1-12-09a" xfId="4628" xr:uid="{00000000-0005-0000-0000-0000FB100000}"/>
    <cellStyle name="p_ITCM 2010 Template" xfId="4629" xr:uid="{00000000-0005-0000-0000-0000FC100000}"/>
    <cellStyle name="p_ITCMW 2009 Rate" xfId="4630" xr:uid="{00000000-0005-0000-0000-0000FD100000}"/>
    <cellStyle name="p_ITCMW 2010 Rate_083109" xfId="4631" xr:uid="{00000000-0005-0000-0000-0000FE100000}"/>
    <cellStyle name="p_ITCOP 2010 Rate_083109" xfId="4632" xr:uid="{00000000-0005-0000-0000-0000FF100000}"/>
    <cellStyle name="p_ITCT 2009 Rate" xfId="4633" xr:uid="{00000000-0005-0000-0000-000000110000}"/>
    <cellStyle name="p_ITCT New 2010 Attachment O &amp; GG_111209NL" xfId="4634" xr:uid="{00000000-0005-0000-0000-000001110000}"/>
    <cellStyle name="p_METC 2010 Rate_083109" xfId="4635" xr:uid="{00000000-0005-0000-0000-000002110000}"/>
    <cellStyle name="p_Template2" xfId="4636" xr:uid="{00000000-0005-0000-0000-000003110000}"/>
    <cellStyle name="p_Template2_1" xfId="4637" xr:uid="{00000000-0005-0000-0000-000004110000}"/>
    <cellStyle name="p_VERA" xfId="4638" xr:uid="{00000000-0005-0000-0000-000005110000}"/>
    <cellStyle name="p_VERA_1" xfId="4639" xr:uid="{00000000-0005-0000-0000-000006110000}"/>
    <cellStyle name="p_VERA_1_Template2" xfId="4640" xr:uid="{00000000-0005-0000-0000-000007110000}"/>
    <cellStyle name="p_VERA_aavidmod11.xls Chart 2" xfId="4641" xr:uid="{00000000-0005-0000-0000-000008110000}"/>
    <cellStyle name="p_VERA_Model02" xfId="4642" xr:uid="{00000000-0005-0000-0000-000009110000}"/>
    <cellStyle name="p_VERA_Template2" xfId="4643" xr:uid="{00000000-0005-0000-0000-00000A110000}"/>
    <cellStyle name="p_VERA_VERA" xfId="4644" xr:uid="{00000000-0005-0000-0000-00000B110000}"/>
    <cellStyle name="p_VERA_VERA_1" xfId="4645" xr:uid="{00000000-0005-0000-0000-00000C110000}"/>
    <cellStyle name="p_VERA_VERA_2" xfId="4646" xr:uid="{00000000-0005-0000-0000-00000D110000}"/>
    <cellStyle name="p_VERA_VERA_Template2" xfId="4647" xr:uid="{00000000-0005-0000-0000-00000E110000}"/>
    <cellStyle name="p1" xfId="4230" xr:uid="{00000000-0005-0000-0000-00000F110000}"/>
    <cellStyle name="p2" xfId="4231" xr:uid="{00000000-0005-0000-0000-000010110000}"/>
    <cellStyle name="p3" xfId="4232" xr:uid="{00000000-0005-0000-0000-000011110000}"/>
    <cellStyle name="Percent" xfId="4666" builtinId="5"/>
    <cellStyle name="Percent %" xfId="4233" xr:uid="{00000000-0005-0000-0000-000013110000}"/>
    <cellStyle name="Percent % Long Underline" xfId="4234" xr:uid="{00000000-0005-0000-0000-000014110000}"/>
    <cellStyle name="Percent (0)" xfId="4235" xr:uid="{00000000-0005-0000-0000-000015110000}"/>
    <cellStyle name="Percent [0]" xfId="4349" xr:uid="{00000000-0005-0000-0000-000016110000}"/>
    <cellStyle name="Percent [1]" xfId="4648" xr:uid="{00000000-0005-0000-0000-000017110000}"/>
    <cellStyle name="Percent [2]" xfId="131" xr:uid="{00000000-0005-0000-0000-000018110000}"/>
    <cellStyle name="Percent [2] 2" xfId="4350" xr:uid="{00000000-0005-0000-0000-000019110000}"/>
    <cellStyle name="Percent [2] 3" xfId="4351" xr:uid="{00000000-0005-0000-0000-00001A110000}"/>
    <cellStyle name="Percent [3]" xfId="4649" xr:uid="{00000000-0005-0000-0000-00001B110000}"/>
    <cellStyle name="Percent 0.0%" xfId="4236" xr:uid="{00000000-0005-0000-0000-00001C110000}"/>
    <cellStyle name="Percent 0.0% Long Underline" xfId="4237" xr:uid="{00000000-0005-0000-0000-00001D110000}"/>
    <cellStyle name="Percent 0.00%" xfId="4238" xr:uid="{00000000-0005-0000-0000-00001E110000}"/>
    <cellStyle name="Percent 0.00% Long Underline" xfId="4239" xr:uid="{00000000-0005-0000-0000-00001F110000}"/>
    <cellStyle name="Percent 0.000%" xfId="4240" xr:uid="{00000000-0005-0000-0000-000020110000}"/>
    <cellStyle name="Percent 0.000% Long Underline" xfId="4241" xr:uid="{00000000-0005-0000-0000-000021110000}"/>
    <cellStyle name="Percent 0.0000%" xfId="4242" xr:uid="{00000000-0005-0000-0000-000022110000}"/>
    <cellStyle name="Percent 0.0000% Long Underline" xfId="4243" xr:uid="{00000000-0005-0000-0000-000023110000}"/>
    <cellStyle name="Percent 10" xfId="4352" xr:uid="{00000000-0005-0000-0000-000024110000}"/>
    <cellStyle name="Percent 11" xfId="4353" xr:uid="{00000000-0005-0000-0000-000025110000}"/>
    <cellStyle name="Percent 12" xfId="4354" xr:uid="{00000000-0005-0000-0000-000026110000}"/>
    <cellStyle name="Percent 13" xfId="4355" xr:uid="{00000000-0005-0000-0000-000027110000}"/>
    <cellStyle name="Percent 14" xfId="4356" xr:uid="{00000000-0005-0000-0000-000028110000}"/>
    <cellStyle name="Percent 15" xfId="4357" xr:uid="{00000000-0005-0000-0000-000029110000}"/>
    <cellStyle name="Percent 16" xfId="4358" xr:uid="{00000000-0005-0000-0000-00002A110000}"/>
    <cellStyle name="Percent 17" xfId="4359" xr:uid="{00000000-0005-0000-0000-00002B110000}"/>
    <cellStyle name="Percent 18" xfId="4360" xr:uid="{00000000-0005-0000-0000-00002C110000}"/>
    <cellStyle name="Percent 19" xfId="4361" xr:uid="{00000000-0005-0000-0000-00002D110000}"/>
    <cellStyle name="Percent 2" xfId="3" xr:uid="{00000000-0005-0000-0000-00002E110000}"/>
    <cellStyle name="Percent 2 2" xfId="4074" xr:uid="{00000000-0005-0000-0000-00002F110000}"/>
    <cellStyle name="Percent 2 2 2" xfId="4075" xr:uid="{00000000-0005-0000-0000-000030110000}"/>
    <cellStyle name="Percent 2 2 3" xfId="4076" xr:uid="{00000000-0005-0000-0000-000031110000}"/>
    <cellStyle name="Percent 2 3" xfId="4077" xr:uid="{00000000-0005-0000-0000-000032110000}"/>
    <cellStyle name="Percent 2 3 2" xfId="4078" xr:uid="{00000000-0005-0000-0000-000033110000}"/>
    <cellStyle name="Percent 2 4" xfId="4079" xr:uid="{00000000-0005-0000-0000-000034110000}"/>
    <cellStyle name="Percent 20" xfId="4362" xr:uid="{00000000-0005-0000-0000-000035110000}"/>
    <cellStyle name="Percent 21" xfId="4363" xr:uid="{00000000-0005-0000-0000-000036110000}"/>
    <cellStyle name="Percent 22" xfId="4364" xr:uid="{00000000-0005-0000-0000-000037110000}"/>
    <cellStyle name="Percent 23" xfId="4365" xr:uid="{00000000-0005-0000-0000-000038110000}"/>
    <cellStyle name="Percent 24" xfId="4366" xr:uid="{00000000-0005-0000-0000-000039110000}"/>
    <cellStyle name="Percent 25" xfId="4367" xr:uid="{00000000-0005-0000-0000-00003A110000}"/>
    <cellStyle name="Percent 26" xfId="4368" xr:uid="{00000000-0005-0000-0000-00003B110000}"/>
    <cellStyle name="Percent 27" xfId="4369" xr:uid="{00000000-0005-0000-0000-00003C110000}"/>
    <cellStyle name="Percent 28" xfId="4370" xr:uid="{00000000-0005-0000-0000-00003D110000}"/>
    <cellStyle name="Percent 29" xfId="4371" xr:uid="{00000000-0005-0000-0000-00003E110000}"/>
    <cellStyle name="Percent 3" xfId="4080" xr:uid="{00000000-0005-0000-0000-00003F110000}"/>
    <cellStyle name="Percent 3 2" xfId="4081" xr:uid="{00000000-0005-0000-0000-000040110000}"/>
    <cellStyle name="Percent 3 3" xfId="4082" xr:uid="{00000000-0005-0000-0000-000041110000}"/>
    <cellStyle name="Percent 30" xfId="4372" xr:uid="{00000000-0005-0000-0000-000042110000}"/>
    <cellStyle name="Percent 31" xfId="4373" xr:uid="{00000000-0005-0000-0000-000043110000}"/>
    <cellStyle name="Percent 32" xfId="4374" xr:uid="{00000000-0005-0000-0000-000044110000}"/>
    <cellStyle name="Percent 33" xfId="4375" xr:uid="{00000000-0005-0000-0000-000045110000}"/>
    <cellStyle name="Percent 34" xfId="4376" xr:uid="{00000000-0005-0000-0000-000046110000}"/>
    <cellStyle name="Percent 35" xfId="4377" xr:uid="{00000000-0005-0000-0000-000047110000}"/>
    <cellStyle name="Percent 36" xfId="4378" xr:uid="{00000000-0005-0000-0000-000048110000}"/>
    <cellStyle name="Percent 37" xfId="4379" xr:uid="{00000000-0005-0000-0000-000049110000}"/>
    <cellStyle name="Percent 38" xfId="4380" xr:uid="{00000000-0005-0000-0000-00004A110000}"/>
    <cellStyle name="Percent 39" xfId="4381" xr:uid="{00000000-0005-0000-0000-00004B110000}"/>
    <cellStyle name="Percent 4" xfId="4244" xr:uid="{00000000-0005-0000-0000-00004C110000}"/>
    <cellStyle name="Percent 4 2" xfId="4382" xr:uid="{00000000-0005-0000-0000-00004D110000}"/>
    <cellStyle name="Percent 40" xfId="4383" xr:uid="{00000000-0005-0000-0000-00004E110000}"/>
    <cellStyle name="Percent 41" xfId="4384" xr:uid="{00000000-0005-0000-0000-00004F110000}"/>
    <cellStyle name="Percent 42" xfId="4385" xr:uid="{00000000-0005-0000-0000-000050110000}"/>
    <cellStyle name="Percent 43" xfId="4386" xr:uid="{00000000-0005-0000-0000-000051110000}"/>
    <cellStyle name="Percent 44" xfId="4387" xr:uid="{00000000-0005-0000-0000-000052110000}"/>
    <cellStyle name="Percent 45" xfId="4388" xr:uid="{00000000-0005-0000-0000-000053110000}"/>
    <cellStyle name="Percent 46" xfId="4389" xr:uid="{00000000-0005-0000-0000-000054110000}"/>
    <cellStyle name="Percent 47" xfId="4390" xr:uid="{00000000-0005-0000-0000-000055110000}"/>
    <cellStyle name="Percent 48" xfId="4391" xr:uid="{00000000-0005-0000-0000-000056110000}"/>
    <cellStyle name="Percent 49" xfId="4392" xr:uid="{00000000-0005-0000-0000-000057110000}"/>
    <cellStyle name="Percent 5" xfId="4245" xr:uid="{00000000-0005-0000-0000-000058110000}"/>
    <cellStyle name="Percent 50" xfId="4393" xr:uid="{00000000-0005-0000-0000-000059110000}"/>
    <cellStyle name="Percent 50 2" xfId="4394" xr:uid="{00000000-0005-0000-0000-00005A110000}"/>
    <cellStyle name="Percent 51" xfId="4395" xr:uid="{00000000-0005-0000-0000-00005B110000}"/>
    <cellStyle name="Percent 51 2" xfId="4396" xr:uid="{00000000-0005-0000-0000-00005C110000}"/>
    <cellStyle name="Percent 52" xfId="4397" xr:uid="{00000000-0005-0000-0000-00005D110000}"/>
    <cellStyle name="Percent 53" xfId="4398" xr:uid="{00000000-0005-0000-0000-00005E110000}"/>
    <cellStyle name="Percent 54" xfId="4399" xr:uid="{00000000-0005-0000-0000-00005F110000}"/>
    <cellStyle name="Percent 55" xfId="4400" xr:uid="{00000000-0005-0000-0000-000060110000}"/>
    <cellStyle name="Percent 56" xfId="4401" xr:uid="{00000000-0005-0000-0000-000061110000}"/>
    <cellStyle name="Percent 57" xfId="4402" xr:uid="{00000000-0005-0000-0000-000062110000}"/>
    <cellStyle name="Percent 58" xfId="4403" xr:uid="{00000000-0005-0000-0000-000063110000}"/>
    <cellStyle name="Percent 59" xfId="4404" xr:uid="{00000000-0005-0000-0000-000064110000}"/>
    <cellStyle name="Percent 6" xfId="4246" xr:uid="{00000000-0005-0000-0000-000065110000}"/>
    <cellStyle name="Percent 6 2" xfId="4650" xr:uid="{00000000-0005-0000-0000-000066110000}"/>
    <cellStyle name="Percent 6 3" xfId="4651" xr:uid="{00000000-0005-0000-0000-000067110000}"/>
    <cellStyle name="Percent 6 4" xfId="4652" xr:uid="{00000000-0005-0000-0000-000068110000}"/>
    <cellStyle name="Percent 6 5" xfId="4653" xr:uid="{00000000-0005-0000-0000-000069110000}"/>
    <cellStyle name="Percent 60" xfId="4405" xr:uid="{00000000-0005-0000-0000-00006A110000}"/>
    <cellStyle name="Percent 60 2" xfId="4475" xr:uid="{00000000-0005-0000-0000-00006B110000}"/>
    <cellStyle name="Percent 61" xfId="4406" xr:uid="{00000000-0005-0000-0000-00006C110000}"/>
    <cellStyle name="Percent 62" xfId="4407" xr:uid="{00000000-0005-0000-0000-00006D110000}"/>
    <cellStyle name="Percent 63" xfId="4696" xr:uid="{B394B1B1-9ADA-4400-AC2F-431937B0CA56}"/>
    <cellStyle name="Percent 7" xfId="4247" xr:uid="{00000000-0005-0000-0000-00006E110000}"/>
    <cellStyle name="Percent 7 2" xfId="4654" xr:uid="{00000000-0005-0000-0000-00006F110000}"/>
    <cellStyle name="Percent 70" xfId="4408" xr:uid="{00000000-0005-0000-0000-000070110000}"/>
    <cellStyle name="Percent 8" xfId="4409" xr:uid="{00000000-0005-0000-0000-000071110000}"/>
    <cellStyle name="Percent 9" xfId="4410" xr:uid="{00000000-0005-0000-0000-000072110000}"/>
    <cellStyle name="Percent 9 2" xfId="4688" xr:uid="{00000000-0005-0000-0000-000073110000}"/>
    <cellStyle name="Percent 9 2 2" xfId="4677" xr:uid="{00000000-0005-0000-0000-000074110000}"/>
    <cellStyle name="Percent 9 3" xfId="4689" xr:uid="{00000000-0005-0000-0000-000075110000}"/>
    <cellStyle name="Percent Input" xfId="4655" xr:uid="{00000000-0005-0000-0000-000076110000}"/>
    <cellStyle name="Percent0" xfId="4248" xr:uid="{00000000-0005-0000-0000-000077110000}"/>
    <cellStyle name="Percent1" xfId="4249" xr:uid="{00000000-0005-0000-0000-000078110000}"/>
    <cellStyle name="Percent2" xfId="4250" xr:uid="{00000000-0005-0000-0000-000079110000}"/>
    <cellStyle name="PSChar" xfId="132" xr:uid="{00000000-0005-0000-0000-00007A110000}"/>
    <cellStyle name="PSDate" xfId="133" xr:uid="{00000000-0005-0000-0000-00007B110000}"/>
    <cellStyle name="PSDec" xfId="134" xr:uid="{00000000-0005-0000-0000-00007C110000}"/>
    <cellStyle name="PSdesc" xfId="4251" xr:uid="{00000000-0005-0000-0000-00007D110000}"/>
    <cellStyle name="PSHeading" xfId="135" xr:uid="{00000000-0005-0000-0000-00007E110000}"/>
    <cellStyle name="PSInt" xfId="136" xr:uid="{00000000-0005-0000-0000-00007F110000}"/>
    <cellStyle name="PSSpacer" xfId="137" xr:uid="{00000000-0005-0000-0000-000080110000}"/>
    <cellStyle name="PStest" xfId="4252" xr:uid="{00000000-0005-0000-0000-000081110000}"/>
    <cellStyle name="R00A" xfId="138" xr:uid="{00000000-0005-0000-0000-000082110000}"/>
    <cellStyle name="R00B" xfId="139" xr:uid="{00000000-0005-0000-0000-000083110000}"/>
    <cellStyle name="R00L" xfId="140" xr:uid="{00000000-0005-0000-0000-000084110000}"/>
    <cellStyle name="R01A" xfId="141" xr:uid="{00000000-0005-0000-0000-000085110000}"/>
    <cellStyle name="R01B" xfId="142" xr:uid="{00000000-0005-0000-0000-000086110000}"/>
    <cellStyle name="R01H" xfId="143" xr:uid="{00000000-0005-0000-0000-000087110000}"/>
    <cellStyle name="R01L" xfId="144" xr:uid="{00000000-0005-0000-0000-000088110000}"/>
    <cellStyle name="R02A" xfId="145" xr:uid="{00000000-0005-0000-0000-000089110000}"/>
    <cellStyle name="R02B" xfId="146" xr:uid="{00000000-0005-0000-0000-00008A110000}"/>
    <cellStyle name="R02H" xfId="147" xr:uid="{00000000-0005-0000-0000-00008B110000}"/>
    <cellStyle name="R02L" xfId="148" xr:uid="{00000000-0005-0000-0000-00008C110000}"/>
    <cellStyle name="R03A" xfId="149" xr:uid="{00000000-0005-0000-0000-00008D110000}"/>
    <cellStyle name="R03B" xfId="150" xr:uid="{00000000-0005-0000-0000-00008E110000}"/>
    <cellStyle name="R03H" xfId="151" xr:uid="{00000000-0005-0000-0000-00008F110000}"/>
    <cellStyle name="R03L" xfId="152" xr:uid="{00000000-0005-0000-0000-000090110000}"/>
    <cellStyle name="R04A" xfId="153" xr:uid="{00000000-0005-0000-0000-000091110000}"/>
    <cellStyle name="R04B" xfId="154" xr:uid="{00000000-0005-0000-0000-000092110000}"/>
    <cellStyle name="R04H" xfId="155" xr:uid="{00000000-0005-0000-0000-000093110000}"/>
    <cellStyle name="R04L" xfId="156" xr:uid="{00000000-0005-0000-0000-000094110000}"/>
    <cellStyle name="R05A" xfId="157" xr:uid="{00000000-0005-0000-0000-000095110000}"/>
    <cellStyle name="R05B" xfId="158" xr:uid="{00000000-0005-0000-0000-000096110000}"/>
    <cellStyle name="R05H" xfId="159" xr:uid="{00000000-0005-0000-0000-000097110000}"/>
    <cellStyle name="R05L" xfId="160" xr:uid="{00000000-0005-0000-0000-000098110000}"/>
    <cellStyle name="R05L 2" xfId="4253" xr:uid="{00000000-0005-0000-0000-000099110000}"/>
    <cellStyle name="R06A" xfId="161" xr:uid="{00000000-0005-0000-0000-00009A110000}"/>
    <cellStyle name="R06B" xfId="162" xr:uid="{00000000-0005-0000-0000-00009B110000}"/>
    <cellStyle name="R06H" xfId="163" xr:uid="{00000000-0005-0000-0000-00009C110000}"/>
    <cellStyle name="R06L" xfId="164" xr:uid="{00000000-0005-0000-0000-00009D110000}"/>
    <cellStyle name="R07A" xfId="165" xr:uid="{00000000-0005-0000-0000-00009E110000}"/>
    <cellStyle name="R07B" xfId="166" xr:uid="{00000000-0005-0000-0000-00009F110000}"/>
    <cellStyle name="R07H" xfId="167" xr:uid="{00000000-0005-0000-0000-0000A0110000}"/>
    <cellStyle name="R07L" xfId="168" xr:uid="{00000000-0005-0000-0000-0000A1110000}"/>
    <cellStyle name="RangeBelow" xfId="4411" xr:uid="{00000000-0005-0000-0000-0000A2110000}"/>
    <cellStyle name="rborder" xfId="4254" xr:uid="{00000000-0005-0000-0000-0000A3110000}"/>
    <cellStyle name="red" xfId="4255" xr:uid="{00000000-0005-0000-0000-0000A4110000}"/>
    <cellStyle name="Reports" xfId="4412" xr:uid="{00000000-0005-0000-0000-0000A5110000}"/>
    <cellStyle name="Reports-0" xfId="4413" xr:uid="{00000000-0005-0000-0000-0000A6110000}"/>
    <cellStyle name="Reports-2" xfId="4414" xr:uid="{00000000-0005-0000-0000-0000A7110000}"/>
    <cellStyle name="Resource Detail" xfId="169" xr:uid="{00000000-0005-0000-0000-0000A8110000}"/>
    <cellStyle name="s_HardInc " xfId="4256" xr:uid="{00000000-0005-0000-0000-0000A9110000}"/>
    <cellStyle name="s_HardInc _ITC Great Plains Formula 1-12-09a" xfId="4656" xr:uid="{00000000-0005-0000-0000-0000AA110000}"/>
    <cellStyle name="SAPBEXchaText" xfId="4415" xr:uid="{00000000-0005-0000-0000-0000AB110000}"/>
    <cellStyle name="SAPBEXstdData" xfId="4416" xr:uid="{00000000-0005-0000-0000-0000AC110000}"/>
    <cellStyle name="SAPBEXstdItem" xfId="4417" xr:uid="{00000000-0005-0000-0000-0000AD110000}"/>
    <cellStyle name="SAPBEXstdItemX" xfId="4418" xr:uid="{00000000-0005-0000-0000-0000AE110000}"/>
    <cellStyle name="scenario" xfId="4657" xr:uid="{00000000-0005-0000-0000-0000AF110000}"/>
    <cellStyle name="SECTION" xfId="4257" xr:uid="{00000000-0005-0000-0000-0000B0110000}"/>
    <cellStyle name="Shade" xfId="170" xr:uid="{00000000-0005-0000-0000-0000B1110000}"/>
    <cellStyle name="Shading - Heavy" xfId="4419" xr:uid="{00000000-0005-0000-0000-0000B2110000}"/>
    <cellStyle name="Shading - Light" xfId="4420" xr:uid="{00000000-0005-0000-0000-0000B3110000}"/>
    <cellStyle name="Shading - Medium" xfId="4421" xr:uid="{00000000-0005-0000-0000-0000B4110000}"/>
    <cellStyle name="Sheetmult" xfId="4658" xr:uid="{00000000-0005-0000-0000-0000B5110000}"/>
    <cellStyle name="Shtmultx" xfId="4659" xr:uid="{00000000-0005-0000-0000-0000B6110000}"/>
    <cellStyle name="single acct" xfId="171" xr:uid="{00000000-0005-0000-0000-0000B7110000}"/>
    <cellStyle name="Single Border" xfId="172" xr:uid="{00000000-0005-0000-0000-0000B8110000}"/>
    <cellStyle name="Small Page Heading" xfId="173" xr:uid="{00000000-0005-0000-0000-0000B9110000}"/>
    <cellStyle name="Spaces-2" xfId="4422" xr:uid="{00000000-0005-0000-0000-0000BA110000}"/>
    <cellStyle name="Spaces-4" xfId="4423" xr:uid="{00000000-0005-0000-0000-0000BB110000}"/>
    <cellStyle name="Spaces-6" xfId="4424" xr:uid="{00000000-0005-0000-0000-0000BC110000}"/>
    <cellStyle name="ssn" xfId="174" xr:uid="{00000000-0005-0000-0000-0000BD110000}"/>
    <cellStyle name="Style 1" xfId="175" xr:uid="{00000000-0005-0000-0000-0000BE110000}"/>
    <cellStyle name="Style 1 2" xfId="4083" xr:uid="{00000000-0005-0000-0000-0000BF110000}"/>
    <cellStyle name="Style 1 2 2" xfId="4084" xr:uid="{00000000-0005-0000-0000-0000C0110000}"/>
    <cellStyle name="Style 1 3" xfId="4085" xr:uid="{00000000-0005-0000-0000-0000C1110000}"/>
    <cellStyle name="Style 1 3 2" xfId="4086" xr:uid="{00000000-0005-0000-0000-0000C2110000}"/>
    <cellStyle name="Style 1 4" xfId="4087" xr:uid="{00000000-0005-0000-0000-0000C3110000}"/>
    <cellStyle name="Style 1 4 2" xfId="4088" xr:uid="{00000000-0005-0000-0000-0000C4110000}"/>
    <cellStyle name="Style 1 5" xfId="4089" xr:uid="{00000000-0005-0000-0000-0000C5110000}"/>
    <cellStyle name="Style 1 5 2" xfId="4090" xr:uid="{00000000-0005-0000-0000-0000C6110000}"/>
    <cellStyle name="Style 1 6" xfId="4091" xr:uid="{00000000-0005-0000-0000-0000C7110000}"/>
    <cellStyle name="Style 1 6 2" xfId="4092" xr:uid="{00000000-0005-0000-0000-0000C8110000}"/>
    <cellStyle name="Style 1 7" xfId="4093" xr:uid="{00000000-0005-0000-0000-0000C9110000}"/>
    <cellStyle name="Style 1 7 2" xfId="4094" xr:uid="{00000000-0005-0000-0000-0000CA110000}"/>
    <cellStyle name="Style 1 8" xfId="4095" xr:uid="{00000000-0005-0000-0000-0000CB110000}"/>
    <cellStyle name="Style 2" xfId="176" xr:uid="{00000000-0005-0000-0000-0000CC110000}"/>
    <cellStyle name="Style 21" xfId="4425" xr:uid="{00000000-0005-0000-0000-0000CD110000}"/>
    <cellStyle name="Style 21 2" xfId="4426" xr:uid="{00000000-0005-0000-0000-0000CE110000}"/>
    <cellStyle name="Style 22" xfId="4427" xr:uid="{00000000-0005-0000-0000-0000CF110000}"/>
    <cellStyle name="Style 22 2" xfId="4428" xr:uid="{00000000-0005-0000-0000-0000D0110000}"/>
    <cellStyle name="Style 23" xfId="4429" xr:uid="{00000000-0005-0000-0000-0000D1110000}"/>
    <cellStyle name="Style 23 2" xfId="4430" xr:uid="{00000000-0005-0000-0000-0000D2110000}"/>
    <cellStyle name="Style 24" xfId="4431" xr:uid="{00000000-0005-0000-0000-0000D3110000}"/>
    <cellStyle name="Style 24 2" xfId="4432" xr:uid="{00000000-0005-0000-0000-0000D4110000}"/>
    <cellStyle name="Style 25" xfId="4433" xr:uid="{00000000-0005-0000-0000-0000D5110000}"/>
    <cellStyle name="Style 25 2" xfId="4434" xr:uid="{00000000-0005-0000-0000-0000D6110000}"/>
    <cellStyle name="Style 26" xfId="4435" xr:uid="{00000000-0005-0000-0000-0000D7110000}"/>
    <cellStyle name="Style 26 2" xfId="4436" xr:uid="{00000000-0005-0000-0000-0000D8110000}"/>
    <cellStyle name="Style 27" xfId="177" xr:uid="{00000000-0005-0000-0000-0000D9110000}"/>
    <cellStyle name="Style 27 2" xfId="4437" xr:uid="{00000000-0005-0000-0000-0000DA110000}"/>
    <cellStyle name="Style 28" xfId="178" xr:uid="{00000000-0005-0000-0000-0000DB110000}"/>
    <cellStyle name="Style 28 2" xfId="4438" xr:uid="{00000000-0005-0000-0000-0000DC110000}"/>
    <cellStyle name="Style 29" xfId="4439" xr:uid="{00000000-0005-0000-0000-0000DD110000}"/>
    <cellStyle name="Style 29 2" xfId="4440" xr:uid="{00000000-0005-0000-0000-0000DE110000}"/>
    <cellStyle name="Style 30" xfId="4441" xr:uid="{00000000-0005-0000-0000-0000DF110000}"/>
    <cellStyle name="Style 30 2" xfId="4442" xr:uid="{00000000-0005-0000-0000-0000E0110000}"/>
    <cellStyle name="Style 31" xfId="4443" xr:uid="{00000000-0005-0000-0000-0000E1110000}"/>
    <cellStyle name="Style 31 2" xfId="4444" xr:uid="{00000000-0005-0000-0000-0000E2110000}"/>
    <cellStyle name="Style 32" xfId="4445" xr:uid="{00000000-0005-0000-0000-0000E3110000}"/>
    <cellStyle name="Style 32 2" xfId="4446" xr:uid="{00000000-0005-0000-0000-0000E4110000}"/>
    <cellStyle name="Style 33" xfId="4447" xr:uid="{00000000-0005-0000-0000-0000E5110000}"/>
    <cellStyle name="Style 33 2" xfId="4448" xr:uid="{00000000-0005-0000-0000-0000E6110000}"/>
    <cellStyle name="Style 34" xfId="4449" xr:uid="{00000000-0005-0000-0000-0000E7110000}"/>
    <cellStyle name="Style 34 2" xfId="4450" xr:uid="{00000000-0005-0000-0000-0000E8110000}"/>
    <cellStyle name="Style 35" xfId="4451" xr:uid="{00000000-0005-0000-0000-0000E9110000}"/>
    <cellStyle name="Style 35 2" xfId="4452" xr:uid="{00000000-0005-0000-0000-0000EA110000}"/>
    <cellStyle name="STYLE1" xfId="4660" xr:uid="{00000000-0005-0000-0000-0000EB110000}"/>
    <cellStyle name="STYLE2" xfId="4661" xr:uid="{00000000-0005-0000-0000-0000EC110000}"/>
    <cellStyle name="SubRoutine" xfId="4453" xr:uid="{00000000-0005-0000-0000-0000ED110000}"/>
    <cellStyle name="System Defined" xfId="4258" xr:uid="{00000000-0005-0000-0000-0000EE110000}"/>
    <cellStyle name="Table Sub Heading" xfId="179" xr:uid="{00000000-0005-0000-0000-0000EF110000}"/>
    <cellStyle name="Table Title" xfId="180" xr:uid="{00000000-0005-0000-0000-0000F0110000}"/>
    <cellStyle name="Table Units" xfId="181" xr:uid="{00000000-0005-0000-0000-0000F1110000}"/>
    <cellStyle name="TableHeading" xfId="4259" xr:uid="{00000000-0005-0000-0000-0000F2110000}"/>
    <cellStyle name="Tabs" xfId="4454" xr:uid="{00000000-0005-0000-0000-0000F3110000}"/>
    <cellStyle name="tb" xfId="4260" xr:uid="{00000000-0005-0000-0000-0000F4110000}"/>
    <cellStyle name="Text Wrap" xfId="4455" xr:uid="{00000000-0005-0000-0000-0000F5110000}"/>
    <cellStyle name="Text Wrap Across Cells" xfId="4456" xr:uid="{00000000-0005-0000-0000-0000F6110000}"/>
    <cellStyle name="þ(Î'_x000c_ïþ÷_x000c_âþÖ_x0006__x0002_Þ”_x0013__x0007__x0001__x0001_" xfId="4457" xr:uid="{00000000-0005-0000-0000-0000F7110000}"/>
    <cellStyle name="þ(Î'_x000c_ïþ÷_x000c_âþÖ_x0006__x0002_Þ”_x0013__x0007__x0001__x0001_ 2" xfId="4458" xr:uid="{00000000-0005-0000-0000-0000F8110000}"/>
    <cellStyle name="Theirs" xfId="182" xr:uid="{00000000-0005-0000-0000-0000F9110000}"/>
    <cellStyle name="Thousands" xfId="4459" xr:uid="{00000000-0005-0000-0000-0000FA110000}"/>
    <cellStyle name="Thousands 2" xfId="4460" xr:uid="{00000000-0005-0000-0000-0000FB110000}"/>
    <cellStyle name="Thousands1" xfId="4461" xr:uid="{00000000-0005-0000-0000-0000FC110000}"/>
    <cellStyle name="Thousands1 2" xfId="4462" xr:uid="{00000000-0005-0000-0000-0000FD110000}"/>
    <cellStyle name="Tickmark" xfId="4261" xr:uid="{00000000-0005-0000-0000-0000FE110000}"/>
    <cellStyle name="Times New Roman" xfId="183" xr:uid="{00000000-0005-0000-0000-0000FF110000}"/>
    <cellStyle name="Title 10" xfId="4096" xr:uid="{00000000-0005-0000-0000-000000120000}"/>
    <cellStyle name="Title 11" xfId="4097" xr:uid="{00000000-0005-0000-0000-000001120000}"/>
    <cellStyle name="Title 12" xfId="4098" xr:uid="{00000000-0005-0000-0000-000002120000}"/>
    <cellStyle name="Title 13" xfId="4099" xr:uid="{00000000-0005-0000-0000-000003120000}"/>
    <cellStyle name="Title 14" xfId="4100" xr:uid="{00000000-0005-0000-0000-000004120000}"/>
    <cellStyle name="Title 15" xfId="4101" xr:uid="{00000000-0005-0000-0000-000005120000}"/>
    <cellStyle name="Title 16" xfId="4102" xr:uid="{00000000-0005-0000-0000-000006120000}"/>
    <cellStyle name="Title 17" xfId="4103" xr:uid="{00000000-0005-0000-0000-000007120000}"/>
    <cellStyle name="Title 2" xfId="184" xr:uid="{00000000-0005-0000-0000-000008120000}"/>
    <cellStyle name="Title 2 2" xfId="4104" xr:uid="{00000000-0005-0000-0000-000009120000}"/>
    <cellStyle name="Title 2 3" xfId="4105" xr:uid="{00000000-0005-0000-0000-00000A120000}"/>
    <cellStyle name="Title 2 4" xfId="4106" xr:uid="{00000000-0005-0000-0000-00000B120000}"/>
    <cellStyle name="Title 2 5" xfId="4107" xr:uid="{00000000-0005-0000-0000-00000C120000}"/>
    <cellStyle name="Title 3" xfId="4108" xr:uid="{00000000-0005-0000-0000-00000D120000}"/>
    <cellStyle name="Title 4" xfId="4109" xr:uid="{00000000-0005-0000-0000-00000E120000}"/>
    <cellStyle name="Title 5" xfId="4110" xr:uid="{00000000-0005-0000-0000-00000F120000}"/>
    <cellStyle name="Title 6" xfId="4111" xr:uid="{00000000-0005-0000-0000-000010120000}"/>
    <cellStyle name="Title 7" xfId="4112" xr:uid="{00000000-0005-0000-0000-000011120000}"/>
    <cellStyle name="Title 8" xfId="4113" xr:uid="{00000000-0005-0000-0000-000012120000}"/>
    <cellStyle name="Title 9" xfId="4114" xr:uid="{00000000-0005-0000-0000-000013120000}"/>
    <cellStyle name="Title1" xfId="4662" xr:uid="{00000000-0005-0000-0000-000014120000}"/>
    <cellStyle name="top" xfId="4262" xr:uid="{00000000-0005-0000-0000-000015120000}"/>
    <cellStyle name="Total 10" xfId="4115" xr:uid="{00000000-0005-0000-0000-000016120000}"/>
    <cellStyle name="Total 11" xfId="4116" xr:uid="{00000000-0005-0000-0000-000017120000}"/>
    <cellStyle name="Total 12" xfId="4117" xr:uid="{00000000-0005-0000-0000-000018120000}"/>
    <cellStyle name="Total 13" xfId="4118" xr:uid="{00000000-0005-0000-0000-000019120000}"/>
    <cellStyle name="Total 14" xfId="4119" xr:uid="{00000000-0005-0000-0000-00001A120000}"/>
    <cellStyle name="Total 15" xfId="4120" xr:uid="{00000000-0005-0000-0000-00001B120000}"/>
    <cellStyle name="Total 16" xfId="4121" xr:uid="{00000000-0005-0000-0000-00001C120000}"/>
    <cellStyle name="Total 17" xfId="4122" xr:uid="{00000000-0005-0000-0000-00001D120000}"/>
    <cellStyle name="Total 18" xfId="4123" xr:uid="{00000000-0005-0000-0000-00001E120000}"/>
    <cellStyle name="Total 2" xfId="185" xr:uid="{00000000-0005-0000-0000-00001F120000}"/>
    <cellStyle name="Total 2 2" xfId="4124" xr:uid="{00000000-0005-0000-0000-000020120000}"/>
    <cellStyle name="Total 2 3" xfId="4125" xr:uid="{00000000-0005-0000-0000-000021120000}"/>
    <cellStyle name="Total 2 4" xfId="4126" xr:uid="{00000000-0005-0000-0000-000022120000}"/>
    <cellStyle name="Total 2 5" xfId="4127" xr:uid="{00000000-0005-0000-0000-000023120000}"/>
    <cellStyle name="Total 3" xfId="4128" xr:uid="{00000000-0005-0000-0000-000024120000}"/>
    <cellStyle name="Total 4" xfId="4129" xr:uid="{00000000-0005-0000-0000-000025120000}"/>
    <cellStyle name="Total 5" xfId="4130" xr:uid="{00000000-0005-0000-0000-000026120000}"/>
    <cellStyle name="Total 6" xfId="4131" xr:uid="{00000000-0005-0000-0000-000027120000}"/>
    <cellStyle name="Total 7" xfId="4132" xr:uid="{00000000-0005-0000-0000-000028120000}"/>
    <cellStyle name="Total 8" xfId="4133" xr:uid="{00000000-0005-0000-0000-000029120000}"/>
    <cellStyle name="Total 9" xfId="4134" xr:uid="{00000000-0005-0000-0000-00002A120000}"/>
    <cellStyle name="Unprot" xfId="186" xr:uid="{00000000-0005-0000-0000-00002B120000}"/>
    <cellStyle name="Unprot 2" xfId="4463" xr:uid="{00000000-0005-0000-0000-00002C120000}"/>
    <cellStyle name="Unprot$" xfId="187" xr:uid="{00000000-0005-0000-0000-00002D120000}"/>
    <cellStyle name="Unprot$ 2" xfId="4464" xr:uid="{00000000-0005-0000-0000-00002E120000}"/>
    <cellStyle name="Unprotect" xfId="188" xr:uid="{00000000-0005-0000-0000-00002F120000}"/>
    <cellStyle name="User_Defined_A" xfId="4465" xr:uid="{00000000-0005-0000-0000-000030120000}"/>
    <cellStyle name="Valign-bottom" xfId="4466" xr:uid="{00000000-0005-0000-0000-000031120000}"/>
    <cellStyle name="Valign-centre" xfId="4467" xr:uid="{00000000-0005-0000-0000-000032120000}"/>
    <cellStyle name="Valign-top" xfId="4468" xr:uid="{00000000-0005-0000-0000-000033120000}"/>
    <cellStyle name="w" xfId="4263" xr:uid="{00000000-0005-0000-0000-000034120000}"/>
    <cellStyle name="Warning Text 10" xfId="4135" xr:uid="{00000000-0005-0000-0000-000035120000}"/>
    <cellStyle name="Warning Text 11" xfId="4136" xr:uid="{00000000-0005-0000-0000-000036120000}"/>
    <cellStyle name="Warning Text 12" xfId="4137" xr:uid="{00000000-0005-0000-0000-000037120000}"/>
    <cellStyle name="Warning Text 13" xfId="4138" xr:uid="{00000000-0005-0000-0000-000038120000}"/>
    <cellStyle name="Warning Text 14" xfId="4139" xr:uid="{00000000-0005-0000-0000-000039120000}"/>
    <cellStyle name="Warning Text 15" xfId="4140" xr:uid="{00000000-0005-0000-0000-00003A120000}"/>
    <cellStyle name="Warning Text 16" xfId="4141" xr:uid="{00000000-0005-0000-0000-00003B120000}"/>
    <cellStyle name="Warning Text 17" xfId="4142" xr:uid="{00000000-0005-0000-0000-00003C120000}"/>
    <cellStyle name="Warning Text 18" xfId="4143" xr:uid="{00000000-0005-0000-0000-00003D120000}"/>
    <cellStyle name="Warning Text 2" xfId="189" xr:uid="{00000000-0005-0000-0000-00003E120000}"/>
    <cellStyle name="Warning Text 2 2" xfId="4144" xr:uid="{00000000-0005-0000-0000-00003F120000}"/>
    <cellStyle name="Warning Text 2 3" xfId="4145" xr:uid="{00000000-0005-0000-0000-000040120000}"/>
    <cellStyle name="Warning Text 2 4" xfId="4146" xr:uid="{00000000-0005-0000-0000-000041120000}"/>
    <cellStyle name="Warning Text 2 5" xfId="4147" xr:uid="{00000000-0005-0000-0000-000042120000}"/>
    <cellStyle name="Warning Text 3" xfId="4148" xr:uid="{00000000-0005-0000-0000-000043120000}"/>
    <cellStyle name="Warning Text 4" xfId="4149" xr:uid="{00000000-0005-0000-0000-000044120000}"/>
    <cellStyle name="Warning Text 5" xfId="4150" xr:uid="{00000000-0005-0000-0000-000045120000}"/>
    <cellStyle name="Warning Text 6" xfId="4151" xr:uid="{00000000-0005-0000-0000-000046120000}"/>
    <cellStyle name="Warning Text 7" xfId="4152" xr:uid="{00000000-0005-0000-0000-000047120000}"/>
    <cellStyle name="Warning Text 8" xfId="4153" xr:uid="{00000000-0005-0000-0000-000048120000}"/>
    <cellStyle name="Warning Text 9" xfId="4154" xr:uid="{00000000-0005-0000-0000-000049120000}"/>
    <cellStyle name="Wrap Text" xfId="4469" xr:uid="{00000000-0005-0000-0000-00004A120000}"/>
    <cellStyle name="XComma" xfId="4264" xr:uid="{00000000-0005-0000-0000-00004B120000}"/>
    <cellStyle name="XComma 0.0" xfId="4265" xr:uid="{00000000-0005-0000-0000-00004C120000}"/>
    <cellStyle name="XComma 0.00" xfId="4266" xr:uid="{00000000-0005-0000-0000-00004D120000}"/>
    <cellStyle name="XComma 0.000" xfId="4267" xr:uid="{00000000-0005-0000-0000-00004E120000}"/>
    <cellStyle name="XCurrency" xfId="4268" xr:uid="{00000000-0005-0000-0000-00004F120000}"/>
    <cellStyle name="XCurrency 0.0" xfId="4269" xr:uid="{00000000-0005-0000-0000-000050120000}"/>
    <cellStyle name="XCurrency 0.00" xfId="4270" xr:uid="{00000000-0005-0000-0000-000051120000}"/>
    <cellStyle name="XCurrency 0.000" xfId="4271" xr:uid="{00000000-0005-0000-0000-000052120000}"/>
    <cellStyle name="yra" xfId="4272" xr:uid="{00000000-0005-0000-0000-000053120000}"/>
    <cellStyle name="yrActual" xfId="4273" xr:uid="{00000000-0005-0000-0000-000054120000}"/>
    <cellStyle name="yre" xfId="4274" xr:uid="{00000000-0005-0000-0000-000055120000}"/>
    <cellStyle name="yrExpect" xfId="4275" xr:uid="{00000000-0005-0000-0000-0000561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99"/>
      <color rgb="FFFFFF99"/>
      <color rgb="FFCCFFCC"/>
      <color rgb="FFFFFFCC"/>
      <color rgb="FF0000CC"/>
      <color rgb="FF80008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0.499984740745262"/>
    <pageSetUpPr fitToPage="1"/>
  </sheetPr>
  <dimension ref="A1:E58"/>
  <sheetViews>
    <sheetView tabSelected="1" zoomScale="80" zoomScaleNormal="80" workbookViewId="0">
      <selection activeCell="P27" sqref="P27"/>
    </sheetView>
  </sheetViews>
  <sheetFormatPr defaultColWidth="8.77734375" defaultRowHeight="15.75"/>
  <cols>
    <col min="1" max="1" width="23.77734375" style="188" customWidth="1"/>
    <col min="2" max="2" width="36.77734375" style="188" customWidth="1"/>
    <col min="3" max="3" width="67" style="188" bestFit="1" customWidth="1"/>
    <col min="4" max="4" width="18.77734375" style="188" customWidth="1"/>
    <col min="5" max="5" width="8.77734375" style="188"/>
    <col min="6" max="8" width="3.109375" style="188" customWidth="1"/>
    <col min="9" max="16384" width="8.77734375" style="188"/>
  </cols>
  <sheetData>
    <row r="1" spans="1:5" ht="20.25">
      <c r="A1" s="942" t="s">
        <v>0</v>
      </c>
      <c r="B1" s="942"/>
      <c r="C1" s="942"/>
      <c r="D1" s="942"/>
      <c r="E1" s="942"/>
    </row>
    <row r="2" spans="1:5" ht="20.25">
      <c r="A2" s="942" t="s">
        <v>1</v>
      </c>
      <c r="B2" s="942"/>
      <c r="C2" s="942"/>
      <c r="D2" s="942"/>
      <c r="E2" s="942"/>
    </row>
    <row r="3" spans="1:5">
      <c r="A3" s="189"/>
    </row>
    <row r="4" spans="1:5" ht="20.25">
      <c r="A4" s="942" t="s">
        <v>2</v>
      </c>
      <c r="B4" s="942"/>
      <c r="C4" s="942"/>
      <c r="D4" s="942"/>
      <c r="E4" s="942"/>
    </row>
    <row r="5" spans="1:5">
      <c r="A5" s="189"/>
      <c r="E5" s="190" t="s">
        <v>3</v>
      </c>
    </row>
    <row r="6" spans="1:5">
      <c r="A6" s="189" t="s">
        <v>4</v>
      </c>
    </row>
    <row r="7" spans="1:5" ht="47.25" customHeight="1">
      <c r="A7" s="940" t="s">
        <v>5</v>
      </c>
      <c r="B7" s="940"/>
      <c r="C7" s="940"/>
      <c r="D7" s="940"/>
      <c r="E7" s="940"/>
    </row>
    <row r="8" spans="1:5">
      <c r="A8" s="191"/>
      <c r="B8" s="191"/>
      <c r="C8" s="191"/>
      <c r="D8" s="191"/>
      <c r="E8" s="191"/>
    </row>
    <row r="9" spans="1:5" ht="36.75" customHeight="1">
      <c r="A9" s="940" t="s">
        <v>6</v>
      </c>
      <c r="B9" s="940"/>
      <c r="C9" s="940"/>
      <c r="D9" s="940"/>
      <c r="E9" s="940"/>
    </row>
    <row r="10" spans="1:5">
      <c r="A10" s="189"/>
    </row>
    <row r="11" spans="1:5" ht="51.75" customHeight="1">
      <c r="A11" s="940" t="s">
        <v>7</v>
      </c>
      <c r="B11" s="940"/>
      <c r="C11" s="940"/>
      <c r="D11" s="940"/>
      <c r="E11" s="940"/>
    </row>
    <row r="12" spans="1:5" ht="32.25" customHeight="1">
      <c r="A12" s="192"/>
      <c r="B12" s="941" t="s">
        <v>8</v>
      </c>
      <c r="C12" s="941"/>
      <c r="D12" s="941"/>
      <c r="E12" s="941"/>
    </row>
    <row r="13" spans="1:5" ht="19.5" customHeight="1">
      <c r="A13" s="193"/>
      <c r="B13" s="194" t="s">
        <v>9</v>
      </c>
      <c r="C13" s="194"/>
      <c r="D13" s="194"/>
      <c r="E13" s="194"/>
    </row>
    <row r="14" spans="1:5">
      <c r="A14" s="189"/>
      <c r="C14" s="188" t="s">
        <v>10</v>
      </c>
    </row>
    <row r="16" spans="1:5" ht="16.5" thickBot="1">
      <c r="A16" s="195" t="s">
        <v>11</v>
      </c>
      <c r="B16" s="195" t="s">
        <v>12</v>
      </c>
      <c r="C16" s="195" t="s">
        <v>13</v>
      </c>
      <c r="D16" s="196" t="s">
        <v>14</v>
      </c>
      <c r="E16" s="195"/>
    </row>
    <row r="17" spans="1:4">
      <c r="D17" s="197"/>
    </row>
    <row r="18" spans="1:4">
      <c r="A18" s="198"/>
      <c r="D18" s="199"/>
    </row>
    <row r="19" spans="1:4">
      <c r="D19" s="197"/>
    </row>
    <row r="20" spans="1:4">
      <c r="A20" s="200" t="s">
        <v>15</v>
      </c>
      <c r="B20" s="188" t="s">
        <v>16</v>
      </c>
      <c r="C20" s="188" t="s">
        <v>17</v>
      </c>
      <c r="D20" s="199" t="s">
        <v>18</v>
      </c>
    </row>
    <row r="21" spans="1:4" ht="17.25" customHeight="1">
      <c r="D21" s="197"/>
    </row>
    <row r="22" spans="1:4">
      <c r="A22" s="200" t="s">
        <v>19</v>
      </c>
      <c r="B22" s="188" t="s">
        <v>20</v>
      </c>
      <c r="C22" s="188" t="s">
        <v>21</v>
      </c>
      <c r="D22" s="199" t="s">
        <v>18</v>
      </c>
    </row>
    <row r="23" spans="1:4">
      <c r="D23" s="199"/>
    </row>
    <row r="24" spans="1:4">
      <c r="A24" s="200" t="s">
        <v>22</v>
      </c>
      <c r="B24" s="188" t="s">
        <v>23</v>
      </c>
      <c r="C24" s="188" t="s">
        <v>24</v>
      </c>
      <c r="D24" s="199" t="s">
        <v>18</v>
      </c>
    </row>
    <row r="25" spans="1:4">
      <c r="D25" s="199"/>
    </row>
    <row r="26" spans="1:4">
      <c r="A26" s="200" t="s">
        <v>25</v>
      </c>
      <c r="B26" s="188" t="s">
        <v>26</v>
      </c>
      <c r="C26" s="188" t="s">
        <v>27</v>
      </c>
      <c r="D26" s="199" t="s">
        <v>18</v>
      </c>
    </row>
    <row r="27" spans="1:4">
      <c r="A27" s="200"/>
      <c r="D27" s="199"/>
    </row>
    <row r="28" spans="1:4">
      <c r="A28" s="200" t="s">
        <v>28</v>
      </c>
      <c r="B28" s="188" t="s">
        <v>29</v>
      </c>
      <c r="C28" s="188" t="s">
        <v>30</v>
      </c>
      <c r="D28" s="199" t="s">
        <v>18</v>
      </c>
    </row>
    <row r="29" spans="1:4">
      <c r="A29" s="200"/>
      <c r="D29" s="199"/>
    </row>
    <row r="30" spans="1:4">
      <c r="A30" s="200" t="s">
        <v>31</v>
      </c>
      <c r="B30" s="188" t="s">
        <v>32</v>
      </c>
      <c r="C30" s="188" t="s">
        <v>33</v>
      </c>
      <c r="D30" s="199" t="s">
        <v>34</v>
      </c>
    </row>
    <row r="31" spans="1:4">
      <c r="D31" s="199"/>
    </row>
    <row r="32" spans="1:4">
      <c r="A32" s="200" t="s">
        <v>35</v>
      </c>
      <c r="B32" s="188" t="s">
        <v>36</v>
      </c>
      <c r="C32" s="188" t="s">
        <v>37</v>
      </c>
      <c r="D32" s="199" t="s">
        <v>18</v>
      </c>
    </row>
    <row r="33" spans="1:4">
      <c r="D33" s="199"/>
    </row>
    <row r="34" spans="1:4">
      <c r="A34" s="200" t="s">
        <v>38</v>
      </c>
      <c r="B34" s="188" t="s">
        <v>39</v>
      </c>
      <c r="C34" s="188" t="s">
        <v>40</v>
      </c>
      <c r="D34" s="199" t="s">
        <v>18</v>
      </c>
    </row>
    <row r="35" spans="1:4">
      <c r="D35" s="199"/>
    </row>
    <row r="36" spans="1:4">
      <c r="A36" s="200" t="s">
        <v>41</v>
      </c>
      <c r="B36" s="188" t="s">
        <v>42</v>
      </c>
      <c r="C36" s="188" t="s">
        <v>43</v>
      </c>
      <c r="D36" s="199" t="s">
        <v>18</v>
      </c>
    </row>
    <row r="37" spans="1:4">
      <c r="D37" s="199"/>
    </row>
    <row r="38" spans="1:4">
      <c r="A38" s="188" t="s">
        <v>44</v>
      </c>
      <c r="B38" s="188" t="s">
        <v>45</v>
      </c>
      <c r="C38" s="188" t="s">
        <v>46</v>
      </c>
      <c r="D38" s="199" t="s">
        <v>18</v>
      </c>
    </row>
    <row r="39" spans="1:4">
      <c r="D39" s="199"/>
    </row>
    <row r="40" spans="1:4">
      <c r="A40" s="188" t="s">
        <v>47</v>
      </c>
      <c r="B40" s="188" t="s">
        <v>48</v>
      </c>
      <c r="C40" s="188" t="s">
        <v>49</v>
      </c>
      <c r="D40" s="199" t="s">
        <v>18</v>
      </c>
    </row>
    <row r="41" spans="1:4">
      <c r="D41" s="199"/>
    </row>
    <row r="42" spans="1:4">
      <c r="A42" s="188" t="s">
        <v>50</v>
      </c>
      <c r="B42" s="188" t="s">
        <v>51</v>
      </c>
      <c r="C42" s="188" t="s">
        <v>52</v>
      </c>
      <c r="D42" s="199" t="s">
        <v>18</v>
      </c>
    </row>
    <row r="43" spans="1:4">
      <c r="D43" s="199"/>
    </row>
    <row r="44" spans="1:4">
      <c r="A44" s="200" t="s">
        <v>53</v>
      </c>
      <c r="B44" s="188" t="s">
        <v>54</v>
      </c>
      <c r="C44" s="188" t="s">
        <v>55</v>
      </c>
      <c r="D44" s="199" t="s">
        <v>56</v>
      </c>
    </row>
    <row r="45" spans="1:4">
      <c r="D45" s="199"/>
    </row>
    <row r="46" spans="1:4">
      <c r="A46" s="200" t="s">
        <v>57</v>
      </c>
      <c r="B46" s="188" t="s">
        <v>58</v>
      </c>
      <c r="C46" s="188" t="s">
        <v>59</v>
      </c>
      <c r="D46" s="199" t="s">
        <v>60</v>
      </c>
    </row>
    <row r="47" spans="1:4">
      <c r="D47" s="199"/>
    </row>
    <row r="48" spans="1:4">
      <c r="A48" s="200" t="s">
        <v>61</v>
      </c>
      <c r="B48" s="188" t="s">
        <v>62</v>
      </c>
      <c r="C48" s="188" t="s">
        <v>63</v>
      </c>
      <c r="D48" s="199" t="s">
        <v>60</v>
      </c>
    </row>
    <row r="49" spans="1:4">
      <c r="D49" s="199"/>
    </row>
    <row r="50" spans="1:4">
      <c r="A50" s="200" t="s">
        <v>64</v>
      </c>
      <c r="B50" s="188" t="s">
        <v>65</v>
      </c>
      <c r="C50" s="188" t="s">
        <v>66</v>
      </c>
      <c r="D50" s="199" t="s">
        <v>60</v>
      </c>
    </row>
    <row r="51" spans="1:4">
      <c r="D51" s="199"/>
    </row>
    <row r="52" spans="1:4">
      <c r="A52" s="200" t="s">
        <v>67</v>
      </c>
      <c r="B52" s="188" t="s">
        <v>68</v>
      </c>
      <c r="C52" s="188" t="s">
        <v>69</v>
      </c>
      <c r="D52" s="199" t="s">
        <v>60</v>
      </c>
    </row>
    <row r="53" spans="1:4">
      <c r="A53" s="201"/>
      <c r="B53" s="201"/>
      <c r="C53" s="201"/>
      <c r="D53" s="202"/>
    </row>
    <row r="54" spans="1:4">
      <c r="A54" s="200" t="s">
        <v>70</v>
      </c>
      <c r="B54" s="188" t="s">
        <v>71</v>
      </c>
      <c r="C54" s="188" t="s">
        <v>72</v>
      </c>
      <c r="D54" s="199" t="s">
        <v>60</v>
      </c>
    </row>
    <row r="55" spans="1:4">
      <c r="A55" s="201"/>
      <c r="B55" s="201"/>
      <c r="C55" s="201"/>
      <c r="D55" s="202"/>
    </row>
    <row r="56" spans="1:4">
      <c r="A56" s="200" t="s">
        <v>73</v>
      </c>
      <c r="B56" s="188" t="s">
        <v>74</v>
      </c>
      <c r="C56" s="188" t="s">
        <v>75</v>
      </c>
      <c r="D56" s="199" t="s">
        <v>60</v>
      </c>
    </row>
    <row r="57" spans="1:4">
      <c r="A57" s="201"/>
      <c r="B57" s="201"/>
      <c r="C57" s="201"/>
      <c r="D57" s="202"/>
    </row>
    <row r="58" spans="1:4">
      <c r="A58" s="200" t="s">
        <v>76</v>
      </c>
      <c r="B58" s="188" t="s">
        <v>76</v>
      </c>
      <c r="C58" s="188" t="s">
        <v>77</v>
      </c>
      <c r="D58" s="199" t="s">
        <v>56</v>
      </c>
    </row>
  </sheetData>
  <mergeCells count="7">
    <mergeCell ref="A7:E7"/>
    <mergeCell ref="A9:E9"/>
    <mergeCell ref="A11:E11"/>
    <mergeCell ref="B12:E12"/>
    <mergeCell ref="A1:E1"/>
    <mergeCell ref="A2:E2"/>
    <mergeCell ref="A4:E4"/>
  </mergeCells>
  <pageMargins left="0.75" right="0.75" top="1" bottom="1" header="0.5" footer="0.5"/>
  <pageSetup scale="48" orientation="portrait" r:id="rId1"/>
  <headerFooter differentFirst="1" alignWithMargins="0">
    <firstHeader>&amp;R&amp;"Times New Roman,Regular"Docket No. ER19-__-000
Exhibit No. CLP-106</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59999389629810485"/>
    <pageSetUpPr fitToPage="1"/>
  </sheetPr>
  <dimension ref="A1:H34"/>
  <sheetViews>
    <sheetView workbookViewId="0">
      <selection sqref="A1:G1"/>
    </sheetView>
  </sheetViews>
  <sheetFormatPr defaultColWidth="7.109375" defaultRowHeight="12.75"/>
  <cols>
    <col min="1" max="1" width="2.109375" style="203" customWidth="1"/>
    <col min="2" max="2" width="4.77734375" style="203" customWidth="1"/>
    <col min="3" max="3" width="11.21875" style="203" customWidth="1"/>
    <col min="4" max="4" width="9.44140625" style="203" bestFit="1" customWidth="1"/>
    <col min="5" max="5" width="11.21875" style="203" customWidth="1"/>
    <col min="6" max="6" width="13" style="203" customWidth="1"/>
    <col min="7" max="7" width="9.44140625" style="203" customWidth="1"/>
    <col min="8" max="8" width="8.21875" style="214" customWidth="1"/>
    <col min="9" max="248" width="7.109375" style="203"/>
    <col min="249" max="249" width="10.21875" style="203" customWidth="1"/>
    <col min="250" max="250" width="3.5546875" style="203" customWidth="1"/>
    <col min="251" max="252" width="1.77734375" style="203" customWidth="1"/>
    <col min="253" max="253" width="4" style="203" customWidth="1"/>
    <col min="254" max="254" width="24.21875" style="203" customWidth="1"/>
    <col min="255" max="255" width="1.77734375" style="203" customWidth="1"/>
    <col min="256" max="257" width="8.21875" style="203" customWidth="1"/>
    <col min="258" max="504" width="7.109375" style="203"/>
    <col min="505" max="505" width="10.21875" style="203" customWidth="1"/>
    <col min="506" max="506" width="3.5546875" style="203" customWidth="1"/>
    <col min="507" max="508" width="1.77734375" style="203" customWidth="1"/>
    <col min="509" max="509" width="4" style="203" customWidth="1"/>
    <col min="510" max="510" width="24.21875" style="203" customWidth="1"/>
    <col min="511" max="511" width="1.77734375" style="203" customWidth="1"/>
    <col min="512" max="513" width="8.21875" style="203" customWidth="1"/>
    <col min="514" max="760" width="7.109375" style="203"/>
    <col min="761" max="761" width="10.21875" style="203" customWidth="1"/>
    <col min="762" max="762" width="3.5546875" style="203" customWidth="1"/>
    <col min="763" max="764" width="1.77734375" style="203" customWidth="1"/>
    <col min="765" max="765" width="4" style="203" customWidth="1"/>
    <col min="766" max="766" width="24.21875" style="203" customWidth="1"/>
    <col min="767" max="767" width="1.77734375" style="203" customWidth="1"/>
    <col min="768" max="769" width="8.21875" style="203" customWidth="1"/>
    <col min="770" max="1016" width="7.109375" style="203"/>
    <col min="1017" max="1017" width="10.21875" style="203" customWidth="1"/>
    <col min="1018" max="1018" width="3.5546875" style="203" customWidth="1"/>
    <col min="1019" max="1020" width="1.77734375" style="203" customWidth="1"/>
    <col min="1021" max="1021" width="4" style="203" customWidth="1"/>
    <col min="1022" max="1022" width="24.21875" style="203" customWidth="1"/>
    <col min="1023" max="1023" width="1.77734375" style="203" customWidth="1"/>
    <col min="1024" max="1025" width="8.21875" style="203" customWidth="1"/>
    <col min="1026" max="1272" width="7.109375" style="203"/>
    <col min="1273" max="1273" width="10.21875" style="203" customWidth="1"/>
    <col min="1274" max="1274" width="3.5546875" style="203" customWidth="1"/>
    <col min="1275" max="1276" width="1.77734375" style="203" customWidth="1"/>
    <col min="1277" max="1277" width="4" style="203" customWidth="1"/>
    <col min="1278" max="1278" width="24.21875" style="203" customWidth="1"/>
    <col min="1279" max="1279" width="1.77734375" style="203" customWidth="1"/>
    <col min="1280" max="1281" width="8.21875" style="203" customWidth="1"/>
    <col min="1282" max="1528" width="7.109375" style="203"/>
    <col min="1529" max="1529" width="10.21875" style="203" customWidth="1"/>
    <col min="1530" max="1530" width="3.5546875" style="203" customWidth="1"/>
    <col min="1531" max="1532" width="1.77734375" style="203" customWidth="1"/>
    <col min="1533" max="1533" width="4" style="203" customWidth="1"/>
    <col min="1534" max="1534" width="24.21875" style="203" customWidth="1"/>
    <col min="1535" max="1535" width="1.77734375" style="203" customWidth="1"/>
    <col min="1536" max="1537" width="8.21875" style="203" customWidth="1"/>
    <col min="1538" max="1784" width="7.109375" style="203"/>
    <col min="1785" max="1785" width="10.21875" style="203" customWidth="1"/>
    <col min="1786" max="1786" width="3.5546875" style="203" customWidth="1"/>
    <col min="1787" max="1788" width="1.77734375" style="203" customWidth="1"/>
    <col min="1789" max="1789" width="4" style="203" customWidth="1"/>
    <col min="1790" max="1790" width="24.21875" style="203" customWidth="1"/>
    <col min="1791" max="1791" width="1.77734375" style="203" customWidth="1"/>
    <col min="1792" max="1793" width="8.21875" style="203" customWidth="1"/>
    <col min="1794" max="2040" width="7.109375" style="203"/>
    <col min="2041" max="2041" width="10.21875" style="203" customWidth="1"/>
    <col min="2042" max="2042" width="3.5546875" style="203" customWidth="1"/>
    <col min="2043" max="2044" width="1.77734375" style="203" customWidth="1"/>
    <col min="2045" max="2045" width="4" style="203" customWidth="1"/>
    <col min="2046" max="2046" width="24.21875" style="203" customWidth="1"/>
    <col min="2047" max="2047" width="1.77734375" style="203" customWidth="1"/>
    <col min="2048" max="2049" width="8.21875" style="203" customWidth="1"/>
    <col min="2050" max="2296" width="7.109375" style="203"/>
    <col min="2297" max="2297" width="10.21875" style="203" customWidth="1"/>
    <col min="2298" max="2298" width="3.5546875" style="203" customWidth="1"/>
    <col min="2299" max="2300" width="1.77734375" style="203" customWidth="1"/>
    <col min="2301" max="2301" width="4" style="203" customWidth="1"/>
    <col min="2302" max="2302" width="24.21875" style="203" customWidth="1"/>
    <col min="2303" max="2303" width="1.77734375" style="203" customWidth="1"/>
    <col min="2304" max="2305" width="8.21875" style="203" customWidth="1"/>
    <col min="2306" max="2552" width="7.109375" style="203"/>
    <col min="2553" max="2553" width="10.21875" style="203" customWidth="1"/>
    <col min="2554" max="2554" width="3.5546875" style="203" customWidth="1"/>
    <col min="2555" max="2556" width="1.77734375" style="203" customWidth="1"/>
    <col min="2557" max="2557" width="4" style="203" customWidth="1"/>
    <col min="2558" max="2558" width="24.21875" style="203" customWidth="1"/>
    <col min="2559" max="2559" width="1.77734375" style="203" customWidth="1"/>
    <col min="2560" max="2561" width="8.21875" style="203" customWidth="1"/>
    <col min="2562" max="2808" width="7.109375" style="203"/>
    <col min="2809" max="2809" width="10.21875" style="203" customWidth="1"/>
    <col min="2810" max="2810" width="3.5546875" style="203" customWidth="1"/>
    <col min="2811" max="2812" width="1.77734375" style="203" customWidth="1"/>
    <col min="2813" max="2813" width="4" style="203" customWidth="1"/>
    <col min="2814" max="2814" width="24.21875" style="203" customWidth="1"/>
    <col min="2815" max="2815" width="1.77734375" style="203" customWidth="1"/>
    <col min="2816" max="2817" width="8.21875" style="203" customWidth="1"/>
    <col min="2818" max="3064" width="7.109375" style="203"/>
    <col min="3065" max="3065" width="10.21875" style="203" customWidth="1"/>
    <col min="3066" max="3066" width="3.5546875" style="203" customWidth="1"/>
    <col min="3067" max="3068" width="1.77734375" style="203" customWidth="1"/>
    <col min="3069" max="3069" width="4" style="203" customWidth="1"/>
    <col min="3070" max="3070" width="24.21875" style="203" customWidth="1"/>
    <col min="3071" max="3071" width="1.77734375" style="203" customWidth="1"/>
    <col min="3072" max="3073" width="8.21875" style="203" customWidth="1"/>
    <col min="3074" max="3320" width="7.109375" style="203"/>
    <col min="3321" max="3321" width="10.21875" style="203" customWidth="1"/>
    <col min="3322" max="3322" width="3.5546875" style="203" customWidth="1"/>
    <col min="3323" max="3324" width="1.77734375" style="203" customWidth="1"/>
    <col min="3325" max="3325" width="4" style="203" customWidth="1"/>
    <col min="3326" max="3326" width="24.21875" style="203" customWidth="1"/>
    <col min="3327" max="3327" width="1.77734375" style="203" customWidth="1"/>
    <col min="3328" max="3329" width="8.21875" style="203" customWidth="1"/>
    <col min="3330" max="3576" width="7.109375" style="203"/>
    <col min="3577" max="3577" width="10.21875" style="203" customWidth="1"/>
    <col min="3578" max="3578" width="3.5546875" style="203" customWidth="1"/>
    <col min="3579" max="3580" width="1.77734375" style="203" customWidth="1"/>
    <col min="3581" max="3581" width="4" style="203" customWidth="1"/>
    <col min="3582" max="3582" width="24.21875" style="203" customWidth="1"/>
    <col min="3583" max="3583" width="1.77734375" style="203" customWidth="1"/>
    <col min="3584" max="3585" width="8.21875" style="203" customWidth="1"/>
    <col min="3586" max="3832" width="7.109375" style="203"/>
    <col min="3833" max="3833" width="10.21875" style="203" customWidth="1"/>
    <col min="3834" max="3834" width="3.5546875" style="203" customWidth="1"/>
    <col min="3835" max="3836" width="1.77734375" style="203" customWidth="1"/>
    <col min="3837" max="3837" width="4" style="203" customWidth="1"/>
    <col min="3838" max="3838" width="24.21875" style="203" customWidth="1"/>
    <col min="3839" max="3839" width="1.77734375" style="203" customWidth="1"/>
    <col min="3840" max="3841" width="8.21875" style="203" customWidth="1"/>
    <col min="3842" max="4088" width="7.109375" style="203"/>
    <col min="4089" max="4089" width="10.21875" style="203" customWidth="1"/>
    <col min="4090" max="4090" width="3.5546875" style="203" customWidth="1"/>
    <col min="4091" max="4092" width="1.77734375" style="203" customWidth="1"/>
    <col min="4093" max="4093" width="4" style="203" customWidth="1"/>
    <col min="4094" max="4094" width="24.21875" style="203" customWidth="1"/>
    <col min="4095" max="4095" width="1.77734375" style="203" customWidth="1"/>
    <col min="4096" max="4097" width="8.21875" style="203" customWidth="1"/>
    <col min="4098" max="4344" width="7.109375" style="203"/>
    <col min="4345" max="4345" width="10.21875" style="203" customWidth="1"/>
    <col min="4346" max="4346" width="3.5546875" style="203" customWidth="1"/>
    <col min="4347" max="4348" width="1.77734375" style="203" customWidth="1"/>
    <col min="4349" max="4349" width="4" style="203" customWidth="1"/>
    <col min="4350" max="4350" width="24.21875" style="203" customWidth="1"/>
    <col min="4351" max="4351" width="1.77734375" style="203" customWidth="1"/>
    <col min="4352" max="4353" width="8.21875" style="203" customWidth="1"/>
    <col min="4354" max="4600" width="7.109375" style="203"/>
    <col min="4601" max="4601" width="10.21875" style="203" customWidth="1"/>
    <col min="4602" max="4602" width="3.5546875" style="203" customWidth="1"/>
    <col min="4603" max="4604" width="1.77734375" style="203" customWidth="1"/>
    <col min="4605" max="4605" width="4" style="203" customWidth="1"/>
    <col min="4606" max="4606" width="24.21875" style="203" customWidth="1"/>
    <col min="4607" max="4607" width="1.77734375" style="203" customWidth="1"/>
    <col min="4608" max="4609" width="8.21875" style="203" customWidth="1"/>
    <col min="4610" max="4856" width="7.109375" style="203"/>
    <col min="4857" max="4857" width="10.21875" style="203" customWidth="1"/>
    <col min="4858" max="4858" width="3.5546875" style="203" customWidth="1"/>
    <col min="4859" max="4860" width="1.77734375" style="203" customWidth="1"/>
    <col min="4861" max="4861" width="4" style="203" customWidth="1"/>
    <col min="4862" max="4862" width="24.21875" style="203" customWidth="1"/>
    <col min="4863" max="4863" width="1.77734375" style="203" customWidth="1"/>
    <col min="4864" max="4865" width="8.21875" style="203" customWidth="1"/>
    <col min="4866" max="5112" width="7.109375" style="203"/>
    <col min="5113" max="5113" width="10.21875" style="203" customWidth="1"/>
    <col min="5114" max="5114" width="3.5546875" style="203" customWidth="1"/>
    <col min="5115" max="5116" width="1.77734375" style="203" customWidth="1"/>
    <col min="5117" max="5117" width="4" style="203" customWidth="1"/>
    <col min="5118" max="5118" width="24.21875" style="203" customWidth="1"/>
    <col min="5119" max="5119" width="1.77734375" style="203" customWidth="1"/>
    <col min="5120" max="5121" width="8.21875" style="203" customWidth="1"/>
    <col min="5122" max="5368" width="7.109375" style="203"/>
    <col min="5369" max="5369" width="10.21875" style="203" customWidth="1"/>
    <col min="5370" max="5370" width="3.5546875" style="203" customWidth="1"/>
    <col min="5371" max="5372" width="1.77734375" style="203" customWidth="1"/>
    <col min="5373" max="5373" width="4" style="203" customWidth="1"/>
    <col min="5374" max="5374" width="24.21875" style="203" customWidth="1"/>
    <col min="5375" max="5375" width="1.77734375" style="203" customWidth="1"/>
    <col min="5376" max="5377" width="8.21875" style="203" customWidth="1"/>
    <col min="5378" max="5624" width="7.109375" style="203"/>
    <col min="5625" max="5625" width="10.21875" style="203" customWidth="1"/>
    <col min="5626" max="5626" width="3.5546875" style="203" customWidth="1"/>
    <col min="5627" max="5628" width="1.77734375" style="203" customWidth="1"/>
    <col min="5629" max="5629" width="4" style="203" customWidth="1"/>
    <col min="5630" max="5630" width="24.21875" style="203" customWidth="1"/>
    <col min="5631" max="5631" width="1.77734375" style="203" customWidth="1"/>
    <col min="5632" max="5633" width="8.21875" style="203" customWidth="1"/>
    <col min="5634" max="5880" width="7.109375" style="203"/>
    <col min="5881" max="5881" width="10.21875" style="203" customWidth="1"/>
    <col min="5882" max="5882" width="3.5546875" style="203" customWidth="1"/>
    <col min="5883" max="5884" width="1.77734375" style="203" customWidth="1"/>
    <col min="5885" max="5885" width="4" style="203" customWidth="1"/>
    <col min="5886" max="5886" width="24.21875" style="203" customWidth="1"/>
    <col min="5887" max="5887" width="1.77734375" style="203" customWidth="1"/>
    <col min="5888" max="5889" width="8.21875" style="203" customWidth="1"/>
    <col min="5890" max="6136" width="7.109375" style="203"/>
    <col min="6137" max="6137" width="10.21875" style="203" customWidth="1"/>
    <col min="6138" max="6138" width="3.5546875" style="203" customWidth="1"/>
    <col min="6139" max="6140" width="1.77734375" style="203" customWidth="1"/>
    <col min="6141" max="6141" width="4" style="203" customWidth="1"/>
    <col min="6142" max="6142" width="24.21875" style="203" customWidth="1"/>
    <col min="6143" max="6143" width="1.77734375" style="203" customWidth="1"/>
    <col min="6144" max="6145" width="8.21875" style="203" customWidth="1"/>
    <col min="6146" max="6392" width="7.109375" style="203"/>
    <col min="6393" max="6393" width="10.21875" style="203" customWidth="1"/>
    <col min="6394" max="6394" width="3.5546875" style="203" customWidth="1"/>
    <col min="6395" max="6396" width="1.77734375" style="203" customWidth="1"/>
    <col min="6397" max="6397" width="4" style="203" customWidth="1"/>
    <col min="6398" max="6398" width="24.21875" style="203" customWidth="1"/>
    <col min="6399" max="6399" width="1.77734375" style="203" customWidth="1"/>
    <col min="6400" max="6401" width="8.21875" style="203" customWidth="1"/>
    <col min="6402" max="6648" width="7.109375" style="203"/>
    <col min="6649" max="6649" width="10.21875" style="203" customWidth="1"/>
    <col min="6650" max="6650" width="3.5546875" style="203" customWidth="1"/>
    <col min="6651" max="6652" width="1.77734375" style="203" customWidth="1"/>
    <col min="6653" max="6653" width="4" style="203" customWidth="1"/>
    <col min="6654" max="6654" width="24.21875" style="203" customWidth="1"/>
    <col min="6655" max="6655" width="1.77734375" style="203" customWidth="1"/>
    <col min="6656" max="6657" width="8.21875" style="203" customWidth="1"/>
    <col min="6658" max="6904" width="7.109375" style="203"/>
    <col min="6905" max="6905" width="10.21875" style="203" customWidth="1"/>
    <col min="6906" max="6906" width="3.5546875" style="203" customWidth="1"/>
    <col min="6907" max="6908" width="1.77734375" style="203" customWidth="1"/>
    <col min="6909" max="6909" width="4" style="203" customWidth="1"/>
    <col min="6910" max="6910" width="24.21875" style="203" customWidth="1"/>
    <col min="6911" max="6911" width="1.77734375" style="203" customWidth="1"/>
    <col min="6912" max="6913" width="8.21875" style="203" customWidth="1"/>
    <col min="6914" max="7160" width="7.109375" style="203"/>
    <col min="7161" max="7161" width="10.21875" style="203" customWidth="1"/>
    <col min="7162" max="7162" width="3.5546875" style="203" customWidth="1"/>
    <col min="7163" max="7164" width="1.77734375" style="203" customWidth="1"/>
    <col min="7165" max="7165" width="4" style="203" customWidth="1"/>
    <col min="7166" max="7166" width="24.21875" style="203" customWidth="1"/>
    <col min="7167" max="7167" width="1.77734375" style="203" customWidth="1"/>
    <col min="7168" max="7169" width="8.21875" style="203" customWidth="1"/>
    <col min="7170" max="7416" width="7.109375" style="203"/>
    <col min="7417" max="7417" width="10.21875" style="203" customWidth="1"/>
    <col min="7418" max="7418" width="3.5546875" style="203" customWidth="1"/>
    <col min="7419" max="7420" width="1.77734375" style="203" customWidth="1"/>
    <col min="7421" max="7421" width="4" style="203" customWidth="1"/>
    <col min="7422" max="7422" width="24.21875" style="203" customWidth="1"/>
    <col min="7423" max="7423" width="1.77734375" style="203" customWidth="1"/>
    <col min="7424" max="7425" width="8.21875" style="203" customWidth="1"/>
    <col min="7426" max="7672" width="7.109375" style="203"/>
    <col min="7673" max="7673" width="10.21875" style="203" customWidth="1"/>
    <col min="7674" max="7674" width="3.5546875" style="203" customWidth="1"/>
    <col min="7675" max="7676" width="1.77734375" style="203" customWidth="1"/>
    <col min="7677" max="7677" width="4" style="203" customWidth="1"/>
    <col min="7678" max="7678" width="24.21875" style="203" customWidth="1"/>
    <col min="7679" max="7679" width="1.77734375" style="203" customWidth="1"/>
    <col min="7680" max="7681" width="8.21875" style="203" customWidth="1"/>
    <col min="7682" max="7928" width="7.109375" style="203"/>
    <col min="7929" max="7929" width="10.21875" style="203" customWidth="1"/>
    <col min="7930" max="7930" width="3.5546875" style="203" customWidth="1"/>
    <col min="7931" max="7932" width="1.77734375" style="203" customWidth="1"/>
    <col min="7933" max="7933" width="4" style="203" customWidth="1"/>
    <col min="7934" max="7934" width="24.21875" style="203" customWidth="1"/>
    <col min="7935" max="7935" width="1.77734375" style="203" customWidth="1"/>
    <col min="7936" max="7937" width="8.21875" style="203" customWidth="1"/>
    <col min="7938" max="8184" width="7.109375" style="203"/>
    <col min="8185" max="8185" width="10.21875" style="203" customWidth="1"/>
    <col min="8186" max="8186" width="3.5546875" style="203" customWidth="1"/>
    <col min="8187" max="8188" width="1.77734375" style="203" customWidth="1"/>
    <col min="8189" max="8189" width="4" style="203" customWidth="1"/>
    <col min="8190" max="8190" width="24.21875" style="203" customWidth="1"/>
    <col min="8191" max="8191" width="1.77734375" style="203" customWidth="1"/>
    <col min="8192" max="8193" width="8.21875" style="203" customWidth="1"/>
    <col min="8194" max="8440" width="7.109375" style="203"/>
    <col min="8441" max="8441" width="10.21875" style="203" customWidth="1"/>
    <col min="8442" max="8442" width="3.5546875" style="203" customWidth="1"/>
    <col min="8443" max="8444" width="1.77734375" style="203" customWidth="1"/>
    <col min="8445" max="8445" width="4" style="203" customWidth="1"/>
    <col min="8446" max="8446" width="24.21875" style="203" customWidth="1"/>
    <col min="8447" max="8447" width="1.77734375" style="203" customWidth="1"/>
    <col min="8448" max="8449" width="8.21875" style="203" customWidth="1"/>
    <col min="8450" max="8696" width="7.109375" style="203"/>
    <col min="8697" max="8697" width="10.21875" style="203" customWidth="1"/>
    <col min="8698" max="8698" width="3.5546875" style="203" customWidth="1"/>
    <col min="8699" max="8700" width="1.77734375" style="203" customWidth="1"/>
    <col min="8701" max="8701" width="4" style="203" customWidth="1"/>
    <col min="8702" max="8702" width="24.21875" style="203" customWidth="1"/>
    <col min="8703" max="8703" width="1.77734375" style="203" customWidth="1"/>
    <col min="8704" max="8705" width="8.21875" style="203" customWidth="1"/>
    <col min="8706" max="8952" width="7.109375" style="203"/>
    <col min="8953" max="8953" width="10.21875" style="203" customWidth="1"/>
    <col min="8954" max="8954" width="3.5546875" style="203" customWidth="1"/>
    <col min="8955" max="8956" width="1.77734375" style="203" customWidth="1"/>
    <col min="8957" max="8957" width="4" style="203" customWidth="1"/>
    <col min="8958" max="8958" width="24.21875" style="203" customWidth="1"/>
    <col min="8959" max="8959" width="1.77734375" style="203" customWidth="1"/>
    <col min="8960" max="8961" width="8.21875" style="203" customWidth="1"/>
    <col min="8962" max="9208" width="7.109375" style="203"/>
    <col min="9209" max="9209" width="10.21875" style="203" customWidth="1"/>
    <col min="9210" max="9210" width="3.5546875" style="203" customWidth="1"/>
    <col min="9211" max="9212" width="1.77734375" style="203" customWidth="1"/>
    <col min="9213" max="9213" width="4" style="203" customWidth="1"/>
    <col min="9214" max="9214" width="24.21875" style="203" customWidth="1"/>
    <col min="9215" max="9215" width="1.77734375" style="203" customWidth="1"/>
    <col min="9216" max="9217" width="8.21875" style="203" customWidth="1"/>
    <col min="9218" max="9464" width="7.109375" style="203"/>
    <col min="9465" max="9465" width="10.21875" style="203" customWidth="1"/>
    <col min="9466" max="9466" width="3.5546875" style="203" customWidth="1"/>
    <col min="9467" max="9468" width="1.77734375" style="203" customWidth="1"/>
    <col min="9469" max="9469" width="4" style="203" customWidth="1"/>
    <col min="9470" max="9470" width="24.21875" style="203" customWidth="1"/>
    <col min="9471" max="9471" width="1.77734375" style="203" customWidth="1"/>
    <col min="9472" max="9473" width="8.21875" style="203" customWidth="1"/>
    <col min="9474" max="9720" width="7.109375" style="203"/>
    <col min="9721" max="9721" width="10.21875" style="203" customWidth="1"/>
    <col min="9722" max="9722" width="3.5546875" style="203" customWidth="1"/>
    <col min="9723" max="9724" width="1.77734375" style="203" customWidth="1"/>
    <col min="9725" max="9725" width="4" style="203" customWidth="1"/>
    <col min="9726" max="9726" width="24.21875" style="203" customWidth="1"/>
    <col min="9727" max="9727" width="1.77734375" style="203" customWidth="1"/>
    <col min="9728" max="9729" width="8.21875" style="203" customWidth="1"/>
    <col min="9730" max="9976" width="7.109375" style="203"/>
    <col min="9977" max="9977" width="10.21875" style="203" customWidth="1"/>
    <col min="9978" max="9978" width="3.5546875" style="203" customWidth="1"/>
    <col min="9979" max="9980" width="1.77734375" style="203" customWidth="1"/>
    <col min="9981" max="9981" width="4" style="203" customWidth="1"/>
    <col min="9982" max="9982" width="24.21875" style="203" customWidth="1"/>
    <col min="9983" max="9983" width="1.77734375" style="203" customWidth="1"/>
    <col min="9984" max="9985" width="8.21875" style="203" customWidth="1"/>
    <col min="9986" max="10232" width="7.109375" style="203"/>
    <col min="10233" max="10233" width="10.21875" style="203" customWidth="1"/>
    <col min="10234" max="10234" width="3.5546875" style="203" customWidth="1"/>
    <col min="10235" max="10236" width="1.77734375" style="203" customWidth="1"/>
    <col min="10237" max="10237" width="4" style="203" customWidth="1"/>
    <col min="10238" max="10238" width="24.21875" style="203" customWidth="1"/>
    <col min="10239" max="10239" width="1.77734375" style="203" customWidth="1"/>
    <col min="10240" max="10241" width="8.21875" style="203" customWidth="1"/>
    <col min="10242" max="10488" width="7.109375" style="203"/>
    <col min="10489" max="10489" width="10.21875" style="203" customWidth="1"/>
    <col min="10490" max="10490" width="3.5546875" style="203" customWidth="1"/>
    <col min="10491" max="10492" width="1.77734375" style="203" customWidth="1"/>
    <col min="10493" max="10493" width="4" style="203" customWidth="1"/>
    <col min="10494" max="10494" width="24.21875" style="203" customWidth="1"/>
    <col min="10495" max="10495" width="1.77734375" style="203" customWidth="1"/>
    <col min="10496" max="10497" width="8.21875" style="203" customWidth="1"/>
    <col min="10498" max="10744" width="7.109375" style="203"/>
    <col min="10745" max="10745" width="10.21875" style="203" customWidth="1"/>
    <col min="10746" max="10746" width="3.5546875" style="203" customWidth="1"/>
    <col min="10747" max="10748" width="1.77734375" style="203" customWidth="1"/>
    <col min="10749" max="10749" width="4" style="203" customWidth="1"/>
    <col min="10750" max="10750" width="24.21875" style="203" customWidth="1"/>
    <col min="10751" max="10751" width="1.77734375" style="203" customWidth="1"/>
    <col min="10752" max="10753" width="8.21875" style="203" customWidth="1"/>
    <col min="10754" max="11000" width="7.109375" style="203"/>
    <col min="11001" max="11001" width="10.21875" style="203" customWidth="1"/>
    <col min="11002" max="11002" width="3.5546875" style="203" customWidth="1"/>
    <col min="11003" max="11004" width="1.77734375" style="203" customWidth="1"/>
    <col min="11005" max="11005" width="4" style="203" customWidth="1"/>
    <col min="11006" max="11006" width="24.21875" style="203" customWidth="1"/>
    <col min="11007" max="11007" width="1.77734375" style="203" customWidth="1"/>
    <col min="11008" max="11009" width="8.21875" style="203" customWidth="1"/>
    <col min="11010" max="11256" width="7.109375" style="203"/>
    <col min="11257" max="11257" width="10.21875" style="203" customWidth="1"/>
    <col min="11258" max="11258" width="3.5546875" style="203" customWidth="1"/>
    <col min="11259" max="11260" width="1.77734375" style="203" customWidth="1"/>
    <col min="11261" max="11261" width="4" style="203" customWidth="1"/>
    <col min="11262" max="11262" width="24.21875" style="203" customWidth="1"/>
    <col min="11263" max="11263" width="1.77734375" style="203" customWidth="1"/>
    <col min="11264" max="11265" width="8.21875" style="203" customWidth="1"/>
    <col min="11266" max="11512" width="7.109375" style="203"/>
    <col min="11513" max="11513" width="10.21875" style="203" customWidth="1"/>
    <col min="11514" max="11514" width="3.5546875" style="203" customWidth="1"/>
    <col min="11515" max="11516" width="1.77734375" style="203" customWidth="1"/>
    <col min="11517" max="11517" width="4" style="203" customWidth="1"/>
    <col min="11518" max="11518" width="24.21875" style="203" customWidth="1"/>
    <col min="11519" max="11519" width="1.77734375" style="203" customWidth="1"/>
    <col min="11520" max="11521" width="8.21875" style="203" customWidth="1"/>
    <col min="11522" max="11768" width="7.109375" style="203"/>
    <col min="11769" max="11769" width="10.21875" style="203" customWidth="1"/>
    <col min="11770" max="11770" width="3.5546875" style="203" customWidth="1"/>
    <col min="11771" max="11772" width="1.77734375" style="203" customWidth="1"/>
    <col min="11773" max="11773" width="4" style="203" customWidth="1"/>
    <col min="11774" max="11774" width="24.21875" style="203" customWidth="1"/>
    <col min="11775" max="11775" width="1.77734375" style="203" customWidth="1"/>
    <col min="11776" max="11777" width="8.21875" style="203" customWidth="1"/>
    <col min="11778" max="12024" width="7.109375" style="203"/>
    <col min="12025" max="12025" width="10.21875" style="203" customWidth="1"/>
    <col min="12026" max="12026" width="3.5546875" style="203" customWidth="1"/>
    <col min="12027" max="12028" width="1.77734375" style="203" customWidth="1"/>
    <col min="12029" max="12029" width="4" style="203" customWidth="1"/>
    <col min="12030" max="12030" width="24.21875" style="203" customWidth="1"/>
    <col min="12031" max="12031" width="1.77734375" style="203" customWidth="1"/>
    <col min="12032" max="12033" width="8.21875" style="203" customWidth="1"/>
    <col min="12034" max="12280" width="7.109375" style="203"/>
    <col min="12281" max="12281" width="10.21875" style="203" customWidth="1"/>
    <col min="12282" max="12282" width="3.5546875" style="203" customWidth="1"/>
    <col min="12283" max="12284" width="1.77734375" style="203" customWidth="1"/>
    <col min="12285" max="12285" width="4" style="203" customWidth="1"/>
    <col min="12286" max="12286" width="24.21875" style="203" customWidth="1"/>
    <col min="12287" max="12287" width="1.77734375" style="203" customWidth="1"/>
    <col min="12288" max="12289" width="8.21875" style="203" customWidth="1"/>
    <col min="12290" max="12536" width="7.109375" style="203"/>
    <col min="12537" max="12537" width="10.21875" style="203" customWidth="1"/>
    <col min="12538" max="12538" width="3.5546875" style="203" customWidth="1"/>
    <col min="12539" max="12540" width="1.77734375" style="203" customWidth="1"/>
    <col min="12541" max="12541" width="4" style="203" customWidth="1"/>
    <col min="12542" max="12542" width="24.21875" style="203" customWidth="1"/>
    <col min="12543" max="12543" width="1.77734375" style="203" customWidth="1"/>
    <col min="12544" max="12545" width="8.21875" style="203" customWidth="1"/>
    <col min="12546" max="12792" width="7.109375" style="203"/>
    <col min="12793" max="12793" width="10.21875" style="203" customWidth="1"/>
    <col min="12794" max="12794" width="3.5546875" style="203" customWidth="1"/>
    <col min="12795" max="12796" width="1.77734375" style="203" customWidth="1"/>
    <col min="12797" max="12797" width="4" style="203" customWidth="1"/>
    <col min="12798" max="12798" width="24.21875" style="203" customWidth="1"/>
    <col min="12799" max="12799" width="1.77734375" style="203" customWidth="1"/>
    <col min="12800" max="12801" width="8.21875" style="203" customWidth="1"/>
    <col min="12802" max="13048" width="7.109375" style="203"/>
    <col min="13049" max="13049" width="10.21875" style="203" customWidth="1"/>
    <col min="13050" max="13050" width="3.5546875" style="203" customWidth="1"/>
    <col min="13051" max="13052" width="1.77734375" style="203" customWidth="1"/>
    <col min="13053" max="13053" width="4" style="203" customWidth="1"/>
    <col min="13054" max="13054" width="24.21875" style="203" customWidth="1"/>
    <col min="13055" max="13055" width="1.77734375" style="203" customWidth="1"/>
    <col min="13056" max="13057" width="8.21875" style="203" customWidth="1"/>
    <col min="13058" max="13304" width="7.109375" style="203"/>
    <col min="13305" max="13305" width="10.21875" style="203" customWidth="1"/>
    <col min="13306" max="13306" width="3.5546875" style="203" customWidth="1"/>
    <col min="13307" max="13308" width="1.77734375" style="203" customWidth="1"/>
    <col min="13309" max="13309" width="4" style="203" customWidth="1"/>
    <col min="13310" max="13310" width="24.21875" style="203" customWidth="1"/>
    <col min="13311" max="13311" width="1.77734375" style="203" customWidth="1"/>
    <col min="13312" max="13313" width="8.21875" style="203" customWidth="1"/>
    <col min="13314" max="13560" width="7.109375" style="203"/>
    <col min="13561" max="13561" width="10.21875" style="203" customWidth="1"/>
    <col min="13562" max="13562" width="3.5546875" style="203" customWidth="1"/>
    <col min="13563" max="13564" width="1.77734375" style="203" customWidth="1"/>
    <col min="13565" max="13565" width="4" style="203" customWidth="1"/>
    <col min="13566" max="13566" width="24.21875" style="203" customWidth="1"/>
    <col min="13567" max="13567" width="1.77734375" style="203" customWidth="1"/>
    <col min="13568" max="13569" width="8.21875" style="203" customWidth="1"/>
    <col min="13570" max="13816" width="7.109375" style="203"/>
    <col min="13817" max="13817" width="10.21875" style="203" customWidth="1"/>
    <col min="13818" max="13818" width="3.5546875" style="203" customWidth="1"/>
    <col min="13819" max="13820" width="1.77734375" style="203" customWidth="1"/>
    <col min="13821" max="13821" width="4" style="203" customWidth="1"/>
    <col min="13822" max="13822" width="24.21875" style="203" customWidth="1"/>
    <col min="13823" max="13823" width="1.77734375" style="203" customWidth="1"/>
    <col min="13824" max="13825" width="8.21875" style="203" customWidth="1"/>
    <col min="13826" max="14072" width="7.109375" style="203"/>
    <col min="14073" max="14073" width="10.21875" style="203" customWidth="1"/>
    <col min="14074" max="14074" width="3.5546875" style="203" customWidth="1"/>
    <col min="14075" max="14076" width="1.77734375" style="203" customWidth="1"/>
    <col min="14077" max="14077" width="4" style="203" customWidth="1"/>
    <col min="14078" max="14078" width="24.21875" style="203" customWidth="1"/>
    <col min="14079" max="14079" width="1.77734375" style="203" customWidth="1"/>
    <col min="14080" max="14081" width="8.21875" style="203" customWidth="1"/>
    <col min="14082" max="14328" width="7.109375" style="203"/>
    <col min="14329" max="14329" width="10.21875" style="203" customWidth="1"/>
    <col min="14330" max="14330" width="3.5546875" style="203" customWidth="1"/>
    <col min="14331" max="14332" width="1.77734375" style="203" customWidth="1"/>
    <col min="14333" max="14333" width="4" style="203" customWidth="1"/>
    <col min="14334" max="14334" width="24.21875" style="203" customWidth="1"/>
    <col min="14335" max="14335" width="1.77734375" style="203" customWidth="1"/>
    <col min="14336" max="14337" width="8.21875" style="203" customWidth="1"/>
    <col min="14338" max="14584" width="7.109375" style="203"/>
    <col min="14585" max="14585" width="10.21875" style="203" customWidth="1"/>
    <col min="14586" max="14586" width="3.5546875" style="203" customWidth="1"/>
    <col min="14587" max="14588" width="1.77734375" style="203" customWidth="1"/>
    <col min="14589" max="14589" width="4" style="203" customWidth="1"/>
    <col min="14590" max="14590" width="24.21875" style="203" customWidth="1"/>
    <col min="14591" max="14591" width="1.77734375" style="203" customWidth="1"/>
    <col min="14592" max="14593" width="8.21875" style="203" customWidth="1"/>
    <col min="14594" max="14840" width="7.109375" style="203"/>
    <col min="14841" max="14841" width="10.21875" style="203" customWidth="1"/>
    <col min="14842" max="14842" width="3.5546875" style="203" customWidth="1"/>
    <col min="14843" max="14844" width="1.77734375" style="203" customWidth="1"/>
    <col min="14845" max="14845" width="4" style="203" customWidth="1"/>
    <col min="14846" max="14846" width="24.21875" style="203" customWidth="1"/>
    <col min="14847" max="14847" width="1.77734375" style="203" customWidth="1"/>
    <col min="14848" max="14849" width="8.21875" style="203" customWidth="1"/>
    <col min="14850" max="15096" width="7.109375" style="203"/>
    <col min="15097" max="15097" width="10.21875" style="203" customWidth="1"/>
    <col min="15098" max="15098" width="3.5546875" style="203" customWidth="1"/>
    <col min="15099" max="15100" width="1.77734375" style="203" customWidth="1"/>
    <col min="15101" max="15101" width="4" style="203" customWidth="1"/>
    <col min="15102" max="15102" width="24.21875" style="203" customWidth="1"/>
    <col min="15103" max="15103" width="1.77734375" style="203" customWidth="1"/>
    <col min="15104" max="15105" width="8.21875" style="203" customWidth="1"/>
    <col min="15106" max="15352" width="7.109375" style="203"/>
    <col min="15353" max="15353" width="10.21875" style="203" customWidth="1"/>
    <col min="15354" max="15354" width="3.5546875" style="203" customWidth="1"/>
    <col min="15355" max="15356" width="1.77734375" style="203" customWidth="1"/>
    <col min="15357" max="15357" width="4" style="203" customWidth="1"/>
    <col min="15358" max="15358" width="24.21875" style="203" customWidth="1"/>
    <col min="15359" max="15359" width="1.77734375" style="203" customWidth="1"/>
    <col min="15360" max="15361" width="8.21875" style="203" customWidth="1"/>
    <col min="15362" max="15608" width="7.109375" style="203"/>
    <col min="15609" max="15609" width="10.21875" style="203" customWidth="1"/>
    <col min="15610" max="15610" width="3.5546875" style="203" customWidth="1"/>
    <col min="15611" max="15612" width="1.77734375" style="203" customWidth="1"/>
    <col min="15613" max="15613" width="4" style="203" customWidth="1"/>
    <col min="15614" max="15614" width="24.21875" style="203" customWidth="1"/>
    <col min="15615" max="15615" width="1.77734375" style="203" customWidth="1"/>
    <col min="15616" max="15617" width="8.21875" style="203" customWidth="1"/>
    <col min="15618" max="15864" width="7.109375" style="203"/>
    <col min="15865" max="15865" width="10.21875" style="203" customWidth="1"/>
    <col min="15866" max="15866" width="3.5546875" style="203" customWidth="1"/>
    <col min="15867" max="15868" width="1.77734375" style="203" customWidth="1"/>
    <col min="15869" max="15869" width="4" style="203" customWidth="1"/>
    <col min="15870" max="15870" width="24.21875" style="203" customWidth="1"/>
    <col min="15871" max="15871" width="1.77734375" style="203" customWidth="1"/>
    <col min="15872" max="15873" width="8.21875" style="203" customWidth="1"/>
    <col min="15874" max="16120" width="7.109375" style="203"/>
    <col min="16121" max="16121" width="10.21875" style="203" customWidth="1"/>
    <col min="16122" max="16122" width="3.5546875" style="203" customWidth="1"/>
    <col min="16123" max="16124" width="1.77734375" style="203" customWidth="1"/>
    <col min="16125" max="16125" width="4" style="203" customWidth="1"/>
    <col min="16126" max="16126" width="24.21875" style="203" customWidth="1"/>
    <col min="16127" max="16127" width="1.77734375" style="203" customWidth="1"/>
    <col min="16128" max="16129" width="8.21875" style="203" customWidth="1"/>
    <col min="16130" max="16384" width="7.109375" style="203"/>
  </cols>
  <sheetData>
    <row r="1" spans="1:8" ht="14.25" customHeight="1">
      <c r="A1" s="949" t="s">
        <v>42</v>
      </c>
      <c r="B1" s="949"/>
      <c r="C1" s="949"/>
      <c r="D1" s="949"/>
      <c r="E1" s="949"/>
      <c r="F1" s="949"/>
      <c r="G1" s="949"/>
      <c r="H1" s="215"/>
    </row>
    <row r="2" spans="1:8">
      <c r="A2" s="949" t="s">
        <v>887</v>
      </c>
      <c r="B2" s="949"/>
      <c r="C2" s="949"/>
      <c r="D2" s="949"/>
      <c r="E2" s="949"/>
      <c r="F2" s="949"/>
      <c r="G2" s="949"/>
      <c r="H2" s="215"/>
    </row>
    <row r="3" spans="1:8">
      <c r="A3" s="950" t="str">
        <f>'Act Att-H'!C7</f>
        <v>Cheyenne Light, Fuel &amp; Power</v>
      </c>
      <c r="B3" s="950"/>
      <c r="C3" s="950"/>
      <c r="D3" s="950"/>
      <c r="E3" s="950"/>
      <c r="F3" s="950"/>
      <c r="G3" s="950"/>
      <c r="H3" s="227"/>
    </row>
    <row r="4" spans="1:8">
      <c r="F4" s="2"/>
      <c r="G4" s="204" t="s">
        <v>3</v>
      </c>
    </row>
    <row r="5" spans="1:8">
      <c r="A5" s="215"/>
      <c r="B5" s="215"/>
      <c r="C5" s="215"/>
      <c r="D5" s="215"/>
      <c r="E5" s="215"/>
      <c r="F5" s="215"/>
      <c r="G5" s="215"/>
      <c r="H5" s="215"/>
    </row>
    <row r="6" spans="1:8" ht="60.75" customHeight="1">
      <c r="B6" s="126" t="s">
        <v>83</v>
      </c>
      <c r="C6" s="126" t="s">
        <v>744</v>
      </c>
      <c r="D6" s="228" t="s">
        <v>888</v>
      </c>
      <c r="E6" s="228" t="s">
        <v>889</v>
      </c>
      <c r="F6" s="228" t="s">
        <v>890</v>
      </c>
      <c r="G6" s="228" t="s">
        <v>891</v>
      </c>
      <c r="H6" s="203"/>
    </row>
    <row r="7" spans="1:8" ht="15" customHeight="1">
      <c r="B7" s="224"/>
      <c r="C7" s="229" t="s">
        <v>490</v>
      </c>
      <c r="D7" s="230" t="s">
        <v>491</v>
      </c>
      <c r="E7" s="230" t="s">
        <v>492</v>
      </c>
      <c r="F7" s="230" t="s">
        <v>493</v>
      </c>
      <c r="G7" s="230" t="s">
        <v>537</v>
      </c>
      <c r="H7" s="203"/>
    </row>
    <row r="8" spans="1:8" ht="15" customHeight="1">
      <c r="B8" s="205">
        <v>1</v>
      </c>
      <c r="C8" s="416" t="s">
        <v>762</v>
      </c>
      <c r="D8" s="415">
        <v>2025</v>
      </c>
      <c r="E8" s="702">
        <v>319000</v>
      </c>
      <c r="F8" s="231">
        <f>E8</f>
        <v>319000</v>
      </c>
      <c r="G8" s="232"/>
      <c r="H8" s="203"/>
    </row>
    <row r="9" spans="1:8" ht="15" customHeight="1">
      <c r="B9" s="205">
        <v>2</v>
      </c>
      <c r="C9" s="416" t="s">
        <v>763</v>
      </c>
      <c r="D9" s="417">
        <f>D8</f>
        <v>2025</v>
      </c>
      <c r="E9" s="702">
        <v>344000</v>
      </c>
      <c r="F9" s="231">
        <f t="shared" ref="F9:F15" si="0">E9</f>
        <v>344000</v>
      </c>
      <c r="G9" s="232"/>
      <c r="H9" s="203"/>
    </row>
    <row r="10" spans="1:8" ht="15" customHeight="1">
      <c r="B10" s="205">
        <v>3</v>
      </c>
      <c r="C10" s="416" t="s">
        <v>892</v>
      </c>
      <c r="D10" s="417">
        <f t="shared" ref="D10:D19" si="1">D9</f>
        <v>2025</v>
      </c>
      <c r="E10" s="702">
        <v>342000</v>
      </c>
      <c r="F10" s="231">
        <f t="shared" si="0"/>
        <v>342000</v>
      </c>
      <c r="G10" s="232"/>
      <c r="H10" s="203"/>
    </row>
    <row r="11" spans="1:8" ht="15" customHeight="1">
      <c r="B11" s="205">
        <v>4</v>
      </c>
      <c r="C11" s="416" t="s">
        <v>765</v>
      </c>
      <c r="D11" s="417">
        <f t="shared" si="1"/>
        <v>2025</v>
      </c>
      <c r="E11" s="702">
        <v>345000</v>
      </c>
      <c r="F11" s="231">
        <f t="shared" si="0"/>
        <v>345000</v>
      </c>
      <c r="G11" s="232"/>
      <c r="H11" s="203"/>
    </row>
    <row r="12" spans="1:8" ht="15" customHeight="1">
      <c r="B12" s="205">
        <v>5</v>
      </c>
      <c r="C12" s="416" t="s">
        <v>766</v>
      </c>
      <c r="D12" s="417">
        <f t="shared" si="1"/>
        <v>2025</v>
      </c>
      <c r="E12" s="702">
        <v>329000</v>
      </c>
      <c r="F12" s="231">
        <f t="shared" si="0"/>
        <v>329000</v>
      </c>
      <c r="G12" s="232"/>
      <c r="H12" s="203"/>
    </row>
    <row r="13" spans="1:8" ht="15" customHeight="1">
      <c r="B13" s="205">
        <v>6</v>
      </c>
      <c r="C13" s="416" t="s">
        <v>18</v>
      </c>
      <c r="D13" s="417">
        <f t="shared" si="1"/>
        <v>2025</v>
      </c>
      <c r="E13" s="702">
        <v>379000</v>
      </c>
      <c r="F13" s="231">
        <f t="shared" si="0"/>
        <v>379000</v>
      </c>
      <c r="G13" s="232"/>
      <c r="H13" s="203"/>
    </row>
    <row r="14" spans="1:8" ht="15" customHeight="1">
      <c r="B14" s="205">
        <v>7</v>
      </c>
      <c r="C14" s="416" t="s">
        <v>767</v>
      </c>
      <c r="D14" s="417">
        <f t="shared" si="1"/>
        <v>2025</v>
      </c>
      <c r="E14" s="702">
        <v>353000</v>
      </c>
      <c r="F14" s="231">
        <f t="shared" si="0"/>
        <v>353000</v>
      </c>
      <c r="G14" s="232"/>
      <c r="H14" s="203"/>
    </row>
    <row r="15" spans="1:8" ht="15" customHeight="1">
      <c r="B15" s="205">
        <v>8</v>
      </c>
      <c r="C15" s="416" t="s">
        <v>893</v>
      </c>
      <c r="D15" s="417">
        <f t="shared" si="1"/>
        <v>2025</v>
      </c>
      <c r="E15" s="702">
        <v>360000</v>
      </c>
      <c r="F15" s="231">
        <f t="shared" si="0"/>
        <v>360000</v>
      </c>
      <c r="G15" s="232"/>
      <c r="H15" s="203"/>
    </row>
    <row r="16" spans="1:8" ht="15" customHeight="1">
      <c r="B16" s="205">
        <v>9</v>
      </c>
      <c r="C16" s="416" t="s">
        <v>769</v>
      </c>
      <c r="D16" s="417">
        <f t="shared" si="1"/>
        <v>2025</v>
      </c>
      <c r="E16" s="702">
        <v>361000</v>
      </c>
      <c r="F16" s="912"/>
      <c r="G16" s="233">
        <f>IFERROR(E16/F22,0)</f>
        <v>1.0422230241789967</v>
      </c>
      <c r="H16" s="203"/>
    </row>
    <row r="17" spans="2:8">
      <c r="B17" s="205">
        <v>10</v>
      </c>
      <c r="C17" s="416" t="s">
        <v>770</v>
      </c>
      <c r="D17" s="417">
        <f t="shared" si="1"/>
        <v>2025</v>
      </c>
      <c r="E17" s="702">
        <v>360000</v>
      </c>
      <c r="F17" s="912"/>
      <c r="G17" s="233">
        <f>IFERROR(E17/F22,0)</f>
        <v>1.0393359797906894</v>
      </c>
      <c r="H17" s="203"/>
    </row>
    <row r="18" spans="2:8">
      <c r="B18" s="205">
        <v>11</v>
      </c>
      <c r="C18" s="416" t="s">
        <v>771</v>
      </c>
      <c r="D18" s="417">
        <f t="shared" si="1"/>
        <v>2025</v>
      </c>
      <c r="E18" s="702">
        <v>375000</v>
      </c>
      <c r="F18" s="912"/>
      <c r="G18" s="233">
        <f>IFERROR(E18/F22,0)</f>
        <v>1.0826416456153014</v>
      </c>
      <c r="H18" s="203"/>
    </row>
    <row r="19" spans="2:8">
      <c r="B19" s="205">
        <v>12</v>
      </c>
      <c r="C19" s="416" t="s">
        <v>894</v>
      </c>
      <c r="D19" s="417">
        <f t="shared" si="1"/>
        <v>2025</v>
      </c>
      <c r="E19" s="702">
        <v>371000</v>
      </c>
      <c r="F19" s="912"/>
      <c r="G19" s="233">
        <f>IFERROR(E19/F22,0)</f>
        <v>1.0710934680620714</v>
      </c>
      <c r="H19" s="203"/>
    </row>
    <row r="20" spans="2:8">
      <c r="B20" s="205">
        <v>13</v>
      </c>
      <c r="C20" s="234" t="s">
        <v>91</v>
      </c>
      <c r="D20" s="234"/>
      <c r="E20" s="235">
        <f t="shared" ref="E20" si="2">SUM(E8:E19)</f>
        <v>4238000</v>
      </c>
      <c r="G20" s="233"/>
      <c r="H20" s="203"/>
    </row>
    <row r="21" spans="2:8">
      <c r="B21" s="205">
        <v>14</v>
      </c>
      <c r="C21" s="234" t="s">
        <v>895</v>
      </c>
      <c r="D21" s="234"/>
      <c r="E21" s="236">
        <f t="shared" ref="E21" si="3">E20/12</f>
        <v>353166.66666666669</v>
      </c>
      <c r="G21" s="237"/>
      <c r="H21" s="203"/>
    </row>
    <row r="22" spans="2:8">
      <c r="B22" s="205">
        <v>15</v>
      </c>
      <c r="C22" s="204" t="s">
        <v>896</v>
      </c>
      <c r="F22" s="231">
        <f>AVERAGE(F8:F19)</f>
        <v>346375</v>
      </c>
      <c r="G22" s="226"/>
      <c r="H22" s="203"/>
    </row>
    <row r="23" spans="2:8">
      <c r="B23" s="205"/>
      <c r="H23" s="225"/>
    </row>
    <row r="24" spans="2:8">
      <c r="B24" s="205" t="s">
        <v>552</v>
      </c>
      <c r="H24" s="225"/>
    </row>
    <row r="25" spans="2:8">
      <c r="B25" s="205" t="s">
        <v>419</v>
      </c>
      <c r="C25" s="203" t="s">
        <v>897</v>
      </c>
      <c r="H25" s="225"/>
    </row>
    <row r="26" spans="2:8">
      <c r="B26" s="205" t="s">
        <v>421</v>
      </c>
      <c r="C26" s="587" t="s">
        <v>898</v>
      </c>
      <c r="H26" s="225"/>
    </row>
    <row r="27" spans="2:8">
      <c r="B27" s="205"/>
      <c r="H27" s="225"/>
    </row>
    <row r="28" spans="2:8">
      <c r="B28" s="205"/>
      <c r="H28" s="225"/>
    </row>
    <row r="29" spans="2:8">
      <c r="B29" s="205"/>
      <c r="H29" s="225"/>
    </row>
    <row r="30" spans="2:8">
      <c r="B30" s="205"/>
      <c r="H30" s="225"/>
    </row>
    <row r="31" spans="2:8">
      <c r="B31" s="205"/>
      <c r="H31" s="225"/>
    </row>
    <row r="32" spans="2:8">
      <c r="B32" s="205"/>
      <c r="H32" s="225"/>
    </row>
    <row r="33" spans="2:5">
      <c r="B33" s="205"/>
    </row>
    <row r="34" spans="2:5">
      <c r="B34" s="205"/>
      <c r="E34" s="204"/>
    </row>
  </sheetData>
  <mergeCells count="3">
    <mergeCell ref="A1:G1"/>
    <mergeCell ref="A2:G2"/>
    <mergeCell ref="A3:G3"/>
  </mergeCells>
  <printOptions horizontalCentered="1"/>
  <pageMargins left="0.75" right="0.75" top="1" bottom="1" header="0.5" footer="0.5"/>
  <pageSetup scale="61" orientation="portrait" r:id="rId1"/>
  <headerFooter alignWithMargins="0"/>
  <ignoredErrors>
    <ignoredError sqref="D9:D2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59999389629810485"/>
  </sheetPr>
  <dimension ref="A1:W134"/>
  <sheetViews>
    <sheetView workbookViewId="0">
      <selection sqref="A1:O1"/>
    </sheetView>
  </sheetViews>
  <sheetFormatPr defaultColWidth="8.77734375" defaultRowHeight="15"/>
  <cols>
    <col min="1" max="1" width="5" style="1" bestFit="1" customWidth="1"/>
    <col min="2" max="2" width="6.109375" style="26" customWidth="1"/>
    <col min="3" max="6" width="12.77734375" style="2" customWidth="1"/>
    <col min="7" max="7" width="1.77734375" style="26" customWidth="1"/>
    <col min="8" max="15" width="12.77734375" style="2" customWidth="1"/>
    <col min="16" max="16" width="10.77734375" style="2" customWidth="1"/>
    <col min="17" max="17" width="8.77734375" style="4"/>
    <col min="18" max="16384" width="8.77734375" style="2"/>
  </cols>
  <sheetData>
    <row r="1" spans="1:23" ht="12.75">
      <c r="A1" s="944" t="s">
        <v>45</v>
      </c>
      <c r="B1" s="944"/>
      <c r="C1" s="944"/>
      <c r="D1" s="944"/>
      <c r="E1" s="944"/>
      <c r="F1" s="944"/>
      <c r="G1" s="944"/>
      <c r="H1" s="944"/>
      <c r="I1" s="944"/>
      <c r="J1" s="944"/>
      <c r="K1" s="944"/>
      <c r="L1" s="944"/>
      <c r="M1" s="944"/>
      <c r="N1" s="944"/>
      <c r="O1" s="944"/>
      <c r="Q1" s="943"/>
      <c r="R1" s="943"/>
      <c r="S1" s="943"/>
      <c r="T1" s="943"/>
      <c r="U1" s="943"/>
      <c r="V1" s="943"/>
      <c r="W1" s="943"/>
    </row>
    <row r="2" spans="1:23">
      <c r="A2" s="976" t="s">
        <v>899</v>
      </c>
      <c r="B2" s="976"/>
      <c r="C2" s="976"/>
      <c r="D2" s="976"/>
      <c r="E2" s="976"/>
      <c r="F2" s="976"/>
      <c r="G2" s="976"/>
      <c r="H2" s="976"/>
      <c r="I2" s="976"/>
      <c r="J2" s="976"/>
      <c r="K2" s="976"/>
      <c r="L2" s="976"/>
      <c r="M2" s="976"/>
      <c r="N2" s="976"/>
      <c r="O2" s="976"/>
    </row>
    <row r="3" spans="1:23">
      <c r="A3" s="977" t="str">
        <f>'Act Att-H'!C7</f>
        <v>Cheyenne Light, Fuel &amp; Power</v>
      </c>
      <c r="B3" s="977"/>
      <c r="C3" s="977"/>
      <c r="D3" s="977"/>
      <c r="E3" s="977"/>
      <c r="F3" s="977"/>
      <c r="G3" s="977"/>
      <c r="H3" s="977"/>
      <c r="I3" s="977"/>
      <c r="J3" s="977"/>
      <c r="K3" s="977"/>
      <c r="L3" s="977"/>
      <c r="M3" s="977"/>
      <c r="N3" s="977"/>
      <c r="O3" s="977"/>
    </row>
    <row r="4" spans="1:23">
      <c r="A4" s="5"/>
      <c r="C4" s="3"/>
      <c r="D4" s="3"/>
      <c r="E4" s="3"/>
      <c r="F4" s="3"/>
      <c r="G4" s="339"/>
      <c r="H4" s="3"/>
      <c r="I4" s="3"/>
      <c r="O4" s="187" t="s">
        <v>3</v>
      </c>
    </row>
    <row r="5" spans="1:23" ht="15" customHeight="1">
      <c r="A5" s="43"/>
      <c r="C5" s="45"/>
      <c r="D5" s="45"/>
      <c r="E5" s="45"/>
      <c r="F5" s="45"/>
      <c r="G5" s="340"/>
    </row>
    <row r="6" spans="1:23" s="309" customFormat="1">
      <c r="A6" s="343" t="s">
        <v>83</v>
      </c>
      <c r="G6" s="318"/>
      <c r="H6" s="351" t="s">
        <v>900</v>
      </c>
      <c r="I6" s="588" t="s">
        <v>901</v>
      </c>
      <c r="P6" s="2"/>
      <c r="Q6" s="4"/>
      <c r="R6" s="2"/>
      <c r="S6" s="2"/>
    </row>
    <row r="7" spans="1:23" s="309" customFormat="1" ht="12.75">
      <c r="A7" s="341">
        <v>1</v>
      </c>
      <c r="B7" s="318"/>
      <c r="G7" s="318"/>
      <c r="H7" s="310" t="s">
        <v>902</v>
      </c>
      <c r="I7" s="331"/>
      <c r="J7" s="331"/>
      <c r="K7" s="334"/>
      <c r="L7" s="310" t="s">
        <v>902</v>
      </c>
      <c r="M7" s="331"/>
      <c r="N7" s="331"/>
      <c r="O7" s="357"/>
      <c r="P7" s="2"/>
      <c r="Q7" s="720"/>
      <c r="R7" s="720"/>
      <c r="S7" s="720"/>
      <c r="T7" s="720"/>
      <c r="U7" s="720"/>
      <c r="V7" s="720"/>
    </row>
    <row r="8" spans="1:23" s="309" customFormat="1">
      <c r="A8" s="341">
        <f>A7+1</f>
        <v>2</v>
      </c>
      <c r="B8" s="318"/>
      <c r="G8" s="318"/>
      <c r="H8" s="311" t="s">
        <v>903</v>
      </c>
      <c r="I8" s="332"/>
      <c r="L8" s="311" t="s">
        <v>903</v>
      </c>
      <c r="M8" s="332"/>
      <c r="O8" s="312"/>
      <c r="P8" s="2"/>
      <c r="Q8" s="4"/>
      <c r="R8" s="2"/>
      <c r="S8" s="2"/>
    </row>
    <row r="9" spans="1:23" s="309" customFormat="1">
      <c r="A9" s="341">
        <f t="shared" ref="A9:A14" si="0">A8+1</f>
        <v>3</v>
      </c>
      <c r="B9" s="318"/>
      <c r="G9" s="318"/>
      <c r="H9" s="311" t="s">
        <v>904</v>
      </c>
      <c r="I9" s="333"/>
      <c r="J9" s="309" t="s">
        <v>590</v>
      </c>
      <c r="L9" s="311" t="s">
        <v>904</v>
      </c>
      <c r="M9" s="333"/>
      <c r="N9" s="309" t="s">
        <v>590</v>
      </c>
      <c r="O9" s="312"/>
      <c r="P9" s="2"/>
      <c r="Q9" s="4"/>
      <c r="R9" s="2"/>
      <c r="S9" s="2"/>
    </row>
    <row r="10" spans="1:23" s="309" customFormat="1">
      <c r="A10" s="341">
        <f t="shared" si="0"/>
        <v>4</v>
      </c>
      <c r="B10" s="318"/>
      <c r="G10" s="318"/>
      <c r="H10" s="311" t="s">
        <v>905</v>
      </c>
      <c r="I10" s="333"/>
      <c r="J10" s="309" t="s">
        <v>591</v>
      </c>
      <c r="L10" s="311" t="s">
        <v>905</v>
      </c>
      <c r="M10" s="333"/>
      <c r="N10" s="309" t="s">
        <v>591</v>
      </c>
      <c r="O10" s="312"/>
      <c r="P10" s="2"/>
      <c r="Q10" s="4"/>
      <c r="R10" s="2"/>
      <c r="S10" s="2"/>
    </row>
    <row r="11" spans="1:23" s="309" customFormat="1">
      <c r="A11" s="341">
        <f t="shared" si="0"/>
        <v>5</v>
      </c>
      <c r="B11" s="318"/>
      <c r="G11" s="318"/>
      <c r="H11" s="311" t="s">
        <v>906</v>
      </c>
      <c r="I11" s="313">
        <f>I10*'Act Att-H'!E230</f>
        <v>0</v>
      </c>
      <c r="L11" s="311" t="s">
        <v>906</v>
      </c>
      <c r="M11" s="313">
        <f>M10*'Act Att-H'!E230</f>
        <v>0</v>
      </c>
      <c r="O11" s="312"/>
      <c r="P11" s="2"/>
      <c r="Q11" s="4"/>
      <c r="R11" s="2"/>
      <c r="S11" s="2"/>
    </row>
    <row r="12" spans="1:23" s="309" customFormat="1">
      <c r="A12" s="341">
        <f t="shared" si="0"/>
        <v>6</v>
      </c>
      <c r="B12" s="318"/>
      <c r="G12" s="318"/>
      <c r="H12" s="311" t="s">
        <v>907</v>
      </c>
      <c r="I12" s="335"/>
      <c r="L12" s="311" t="s">
        <v>907</v>
      </c>
      <c r="M12" s="335"/>
      <c r="O12" s="312"/>
      <c r="P12" s="2"/>
      <c r="Q12" s="4"/>
      <c r="R12" s="2"/>
      <c r="S12" s="2"/>
    </row>
    <row r="13" spans="1:23" s="309" customFormat="1">
      <c r="A13" s="341">
        <f t="shared" si="0"/>
        <v>7</v>
      </c>
      <c r="G13" s="318"/>
      <c r="H13" s="311"/>
      <c r="L13" s="311"/>
      <c r="O13" s="312"/>
      <c r="P13" s="2"/>
      <c r="Q13" s="4"/>
      <c r="R13" s="2"/>
      <c r="S13" s="2"/>
    </row>
    <row r="14" spans="1:23" s="309" customFormat="1">
      <c r="A14" s="341">
        <f t="shared" si="0"/>
        <v>8</v>
      </c>
      <c r="B14" s="318"/>
      <c r="C14" s="975" t="s">
        <v>91</v>
      </c>
      <c r="D14" s="975"/>
      <c r="E14" s="975"/>
      <c r="F14" s="975"/>
      <c r="G14" s="318"/>
      <c r="H14" s="311"/>
      <c r="L14" s="311"/>
      <c r="O14" s="312"/>
      <c r="P14" s="2"/>
      <c r="Q14" s="4"/>
      <c r="R14" s="2"/>
      <c r="S14" s="2"/>
    </row>
    <row r="15" spans="1:23" s="309" customFormat="1">
      <c r="A15" s="318"/>
      <c r="B15" s="318"/>
      <c r="G15" s="318"/>
      <c r="H15" s="311"/>
      <c r="K15" s="309" t="s">
        <v>793</v>
      </c>
      <c r="L15" s="311"/>
      <c r="O15" s="312" t="s">
        <v>793</v>
      </c>
      <c r="P15" s="2"/>
      <c r="Q15" s="4"/>
      <c r="R15" s="2"/>
      <c r="S15" s="2"/>
    </row>
    <row r="16" spans="1:23" s="309" customFormat="1" ht="57" customHeight="1">
      <c r="A16" s="318"/>
      <c r="B16" s="338" t="s">
        <v>888</v>
      </c>
      <c r="C16" s="338" t="s">
        <v>908</v>
      </c>
      <c r="D16" s="338" t="s">
        <v>909</v>
      </c>
      <c r="E16" s="338" t="s">
        <v>910</v>
      </c>
      <c r="F16" s="338" t="s">
        <v>911</v>
      </c>
      <c r="G16" s="358"/>
      <c r="H16" s="317" t="s">
        <v>908</v>
      </c>
      <c r="I16" s="687" t="s">
        <v>912</v>
      </c>
      <c r="J16" s="318" t="s">
        <v>910</v>
      </c>
      <c r="K16" s="687" t="s">
        <v>913</v>
      </c>
      <c r="L16" s="317" t="s">
        <v>908</v>
      </c>
      <c r="M16" s="687" t="s">
        <v>912</v>
      </c>
      <c r="N16" s="318" t="s">
        <v>910</v>
      </c>
      <c r="O16" s="688" t="s">
        <v>913</v>
      </c>
      <c r="P16" s="2"/>
      <c r="Q16" s="4"/>
      <c r="R16" s="2"/>
      <c r="S16" s="2"/>
    </row>
    <row r="17" spans="1:19" s="309" customFormat="1">
      <c r="A17" s="318"/>
      <c r="B17" s="316" t="s">
        <v>490</v>
      </c>
      <c r="C17" s="316" t="s">
        <v>491</v>
      </c>
      <c r="D17" s="316" t="s">
        <v>914</v>
      </c>
      <c r="E17" s="316" t="s">
        <v>915</v>
      </c>
      <c r="F17" s="316" t="s">
        <v>494</v>
      </c>
      <c r="G17" s="314"/>
      <c r="H17" s="316" t="s">
        <v>916</v>
      </c>
      <c r="I17" s="657" t="s">
        <v>917</v>
      </c>
      <c r="J17" s="316" t="s">
        <v>918</v>
      </c>
      <c r="K17" s="689" t="s">
        <v>919</v>
      </c>
      <c r="L17" s="316" t="s">
        <v>920</v>
      </c>
      <c r="M17" s="657" t="s">
        <v>921</v>
      </c>
      <c r="N17" s="316" t="s">
        <v>922</v>
      </c>
      <c r="O17" s="689" t="s">
        <v>923</v>
      </c>
      <c r="P17" s="2"/>
      <c r="Q17" s="4"/>
      <c r="R17" s="2"/>
      <c r="S17" s="2"/>
    </row>
    <row r="18" spans="1:19" s="309" customFormat="1">
      <c r="A18" s="318"/>
      <c r="B18" s="318"/>
      <c r="G18" s="318"/>
      <c r="H18" s="317"/>
      <c r="I18" s="318"/>
      <c r="J18" s="318"/>
      <c r="K18" s="318"/>
      <c r="L18" s="317"/>
      <c r="M18" s="318"/>
      <c r="N18" s="318"/>
      <c r="O18" s="319"/>
      <c r="P18" s="2"/>
      <c r="Q18" s="4"/>
      <c r="R18" s="2"/>
      <c r="S18" s="2"/>
    </row>
    <row r="19" spans="1:19" s="309" customFormat="1">
      <c r="A19" s="341">
        <f>A14+1</f>
        <v>9</v>
      </c>
      <c r="B19" s="344"/>
      <c r="C19" s="320">
        <f>+H19+L19</f>
        <v>0</v>
      </c>
      <c r="D19" s="320">
        <f>+I19+M19</f>
        <v>0</v>
      </c>
      <c r="E19" s="320">
        <f>+J19+N19</f>
        <v>0</v>
      </c>
      <c r="F19" s="320">
        <f>+K19+O19</f>
        <v>0</v>
      </c>
      <c r="G19" s="341"/>
      <c r="H19" s="336"/>
      <c r="I19" s="337"/>
      <c r="J19" s="658">
        <f>+H19-I19</f>
        <v>0</v>
      </c>
      <c r="K19" s="321">
        <f>ROUND(J19*I$11,2)</f>
        <v>0</v>
      </c>
      <c r="L19" s="336"/>
      <c r="M19" s="337"/>
      <c r="N19" s="658">
        <f>+L19-M19</f>
        <v>0</v>
      </c>
      <c r="O19" s="322">
        <f>ROUND(N19*M$11,2)</f>
        <v>0</v>
      </c>
      <c r="P19" s="2"/>
      <c r="Q19" s="4"/>
      <c r="R19" s="2"/>
      <c r="S19" s="2"/>
    </row>
    <row r="20" spans="1:19" s="309" customFormat="1">
      <c r="A20" s="341">
        <f t="shared" ref="A20:A42" si="1">A19+1</f>
        <v>10</v>
      </c>
      <c r="B20" s="344"/>
      <c r="C20" s="320">
        <f t="shared" ref="C20:C42" si="2">+H20+L20</f>
        <v>0</v>
      </c>
      <c r="D20" s="320">
        <f t="shared" ref="D20:D42" si="3">+I20+M20</f>
        <v>0</v>
      </c>
      <c r="E20" s="320">
        <f t="shared" ref="E20:E42" si="4">+J20+N20</f>
        <v>0</v>
      </c>
      <c r="F20" s="320">
        <f t="shared" ref="F20:F42" si="5">+K20+O20</f>
        <v>0</v>
      </c>
      <c r="G20" s="341"/>
      <c r="H20" s="336"/>
      <c r="I20" s="658">
        <f>(H20*$I$9)+I19</f>
        <v>0</v>
      </c>
      <c r="J20" s="321">
        <f>+H20-I20</f>
        <v>0</v>
      </c>
      <c r="K20" s="321">
        <f t="shared" ref="K20:K42" si="6">ROUND(J20*I$11,2)</f>
        <v>0</v>
      </c>
      <c r="L20" s="336"/>
      <c r="M20" s="658">
        <f>(L20*$M$9)+M19</f>
        <v>0</v>
      </c>
      <c r="N20" s="321">
        <f>+L20-M20</f>
        <v>0</v>
      </c>
      <c r="O20" s="322">
        <f t="shared" ref="O20:O42" si="7">ROUND(N20*M$11,2)</f>
        <v>0</v>
      </c>
      <c r="P20" s="2"/>
      <c r="Q20" s="4"/>
      <c r="R20" s="2"/>
      <c r="S20" s="2"/>
    </row>
    <row r="21" spans="1:19" s="309" customFormat="1">
      <c r="A21" s="341">
        <f t="shared" si="1"/>
        <v>11</v>
      </c>
      <c r="B21" s="344"/>
      <c r="C21" s="320">
        <f t="shared" si="2"/>
        <v>0</v>
      </c>
      <c r="D21" s="320">
        <f t="shared" si="3"/>
        <v>0</v>
      </c>
      <c r="E21" s="320">
        <f t="shared" si="4"/>
        <v>0</v>
      </c>
      <c r="F21" s="320">
        <f t="shared" si="5"/>
        <v>0</v>
      </c>
      <c r="G21" s="341"/>
      <c r="H21" s="336"/>
      <c r="I21" s="658">
        <f t="shared" ref="I21:I42" si="8">(H21*$I$9)+I20</f>
        <v>0</v>
      </c>
      <c r="J21" s="321">
        <f>+H21-I21</f>
        <v>0</v>
      </c>
      <c r="K21" s="321">
        <f t="shared" si="6"/>
        <v>0</v>
      </c>
      <c r="L21" s="336"/>
      <c r="M21" s="658">
        <f t="shared" ref="M21:M42" si="9">(L21*$M$9)+M20</f>
        <v>0</v>
      </c>
      <c r="N21" s="321">
        <f>+L21-M21</f>
        <v>0</v>
      </c>
      <c r="O21" s="322">
        <f t="shared" si="7"/>
        <v>0</v>
      </c>
      <c r="P21" s="2"/>
      <c r="Q21" s="4"/>
      <c r="R21" s="2"/>
      <c r="S21" s="2"/>
    </row>
    <row r="22" spans="1:19" s="309" customFormat="1">
      <c r="A22" s="341">
        <f t="shared" si="1"/>
        <v>12</v>
      </c>
      <c r="B22" s="344"/>
      <c r="C22" s="320">
        <f t="shared" si="2"/>
        <v>0</v>
      </c>
      <c r="D22" s="320">
        <f t="shared" si="3"/>
        <v>0</v>
      </c>
      <c r="E22" s="320">
        <f t="shared" si="4"/>
        <v>0</v>
      </c>
      <c r="F22" s="320">
        <f t="shared" si="5"/>
        <v>0</v>
      </c>
      <c r="G22" s="341"/>
      <c r="H22" s="336"/>
      <c r="I22" s="658">
        <f t="shared" si="8"/>
        <v>0</v>
      </c>
      <c r="J22" s="321">
        <f>+H22-I22</f>
        <v>0</v>
      </c>
      <c r="K22" s="321">
        <f t="shared" si="6"/>
        <v>0</v>
      </c>
      <c r="L22" s="336"/>
      <c r="M22" s="658">
        <f t="shared" si="9"/>
        <v>0</v>
      </c>
      <c r="N22" s="321">
        <f>+L22-M22</f>
        <v>0</v>
      </c>
      <c r="O22" s="322">
        <f t="shared" si="7"/>
        <v>0</v>
      </c>
      <c r="P22" s="2"/>
      <c r="Q22" s="4"/>
      <c r="R22" s="2"/>
      <c r="S22" s="2"/>
    </row>
    <row r="23" spans="1:19" s="309" customFormat="1">
      <c r="A23" s="341">
        <f t="shared" si="1"/>
        <v>13</v>
      </c>
      <c r="B23" s="344"/>
      <c r="C23" s="320">
        <f t="shared" si="2"/>
        <v>0</v>
      </c>
      <c r="D23" s="320">
        <f t="shared" si="3"/>
        <v>0</v>
      </c>
      <c r="E23" s="320">
        <f t="shared" si="4"/>
        <v>0</v>
      </c>
      <c r="F23" s="320">
        <f t="shared" si="5"/>
        <v>0</v>
      </c>
      <c r="G23" s="341"/>
      <c r="H23" s="336"/>
      <c r="I23" s="658">
        <f t="shared" si="8"/>
        <v>0</v>
      </c>
      <c r="J23" s="321">
        <f t="shared" ref="J23:J42" si="10">+H23-I23</f>
        <v>0</v>
      </c>
      <c r="K23" s="321">
        <f t="shared" si="6"/>
        <v>0</v>
      </c>
      <c r="L23" s="336"/>
      <c r="M23" s="658">
        <f t="shared" si="9"/>
        <v>0</v>
      </c>
      <c r="N23" s="321">
        <f t="shared" ref="N23:N42" si="11">+L23-M23</f>
        <v>0</v>
      </c>
      <c r="O23" s="322">
        <f t="shared" si="7"/>
        <v>0</v>
      </c>
      <c r="P23" s="2"/>
      <c r="Q23" s="4"/>
      <c r="R23" s="2"/>
      <c r="S23" s="2"/>
    </row>
    <row r="24" spans="1:19" s="309" customFormat="1">
      <c r="A24" s="341">
        <f t="shared" si="1"/>
        <v>14</v>
      </c>
      <c r="B24" s="344"/>
      <c r="C24" s="320">
        <f t="shared" si="2"/>
        <v>0</v>
      </c>
      <c r="D24" s="320">
        <f t="shared" si="3"/>
        <v>0</v>
      </c>
      <c r="E24" s="320">
        <f t="shared" si="4"/>
        <v>0</v>
      </c>
      <c r="F24" s="320">
        <f t="shared" si="5"/>
        <v>0</v>
      </c>
      <c r="G24" s="341"/>
      <c r="H24" s="336"/>
      <c r="I24" s="658">
        <f t="shared" si="8"/>
        <v>0</v>
      </c>
      <c r="J24" s="321">
        <f t="shared" si="10"/>
        <v>0</v>
      </c>
      <c r="K24" s="321">
        <f t="shared" si="6"/>
        <v>0</v>
      </c>
      <c r="L24" s="336"/>
      <c r="M24" s="658">
        <f t="shared" si="9"/>
        <v>0</v>
      </c>
      <c r="N24" s="321">
        <f t="shared" si="11"/>
        <v>0</v>
      </c>
      <c r="O24" s="322">
        <f t="shared" si="7"/>
        <v>0</v>
      </c>
      <c r="P24" s="2"/>
      <c r="Q24" s="4"/>
      <c r="R24" s="2"/>
      <c r="S24" s="2"/>
    </row>
    <row r="25" spans="1:19" s="309" customFormat="1">
      <c r="A25" s="341">
        <f t="shared" si="1"/>
        <v>15</v>
      </c>
      <c r="B25" s="344"/>
      <c r="C25" s="320">
        <f t="shared" si="2"/>
        <v>0</v>
      </c>
      <c r="D25" s="320">
        <f t="shared" si="3"/>
        <v>0</v>
      </c>
      <c r="E25" s="320">
        <f t="shared" si="4"/>
        <v>0</v>
      </c>
      <c r="F25" s="320">
        <f t="shared" si="5"/>
        <v>0</v>
      </c>
      <c r="G25" s="341"/>
      <c r="H25" s="336"/>
      <c r="I25" s="658">
        <f t="shared" si="8"/>
        <v>0</v>
      </c>
      <c r="J25" s="321">
        <f t="shared" si="10"/>
        <v>0</v>
      </c>
      <c r="K25" s="321">
        <f t="shared" si="6"/>
        <v>0</v>
      </c>
      <c r="L25" s="336"/>
      <c r="M25" s="658">
        <f t="shared" si="9"/>
        <v>0</v>
      </c>
      <c r="N25" s="321">
        <f t="shared" si="11"/>
        <v>0</v>
      </c>
      <c r="O25" s="322">
        <f t="shared" si="7"/>
        <v>0</v>
      </c>
      <c r="P25" s="2"/>
      <c r="Q25" s="4"/>
      <c r="R25" s="2"/>
      <c r="S25" s="2"/>
    </row>
    <row r="26" spans="1:19" s="309" customFormat="1">
      <c r="A26" s="341">
        <f t="shared" si="1"/>
        <v>16</v>
      </c>
      <c r="B26" s="344"/>
      <c r="C26" s="320">
        <f t="shared" si="2"/>
        <v>0</v>
      </c>
      <c r="D26" s="320">
        <f t="shared" si="3"/>
        <v>0</v>
      </c>
      <c r="E26" s="320">
        <f t="shared" si="4"/>
        <v>0</v>
      </c>
      <c r="F26" s="320">
        <f t="shared" si="5"/>
        <v>0</v>
      </c>
      <c r="G26" s="341"/>
      <c r="H26" s="336"/>
      <c r="I26" s="658">
        <f t="shared" si="8"/>
        <v>0</v>
      </c>
      <c r="J26" s="321">
        <f t="shared" si="10"/>
        <v>0</v>
      </c>
      <c r="K26" s="321">
        <f t="shared" si="6"/>
        <v>0</v>
      </c>
      <c r="L26" s="336"/>
      <c r="M26" s="658">
        <f t="shared" si="9"/>
        <v>0</v>
      </c>
      <c r="N26" s="321">
        <f t="shared" si="11"/>
        <v>0</v>
      </c>
      <c r="O26" s="322">
        <f t="shared" si="7"/>
        <v>0</v>
      </c>
      <c r="P26" s="2"/>
      <c r="Q26" s="4"/>
      <c r="R26" s="2"/>
      <c r="S26" s="2"/>
    </row>
    <row r="27" spans="1:19" s="309" customFormat="1">
      <c r="A27" s="341">
        <f t="shared" si="1"/>
        <v>17</v>
      </c>
      <c r="B27" s="344"/>
      <c r="C27" s="320">
        <f t="shared" si="2"/>
        <v>0</v>
      </c>
      <c r="D27" s="320">
        <f t="shared" si="3"/>
        <v>0</v>
      </c>
      <c r="E27" s="320">
        <f t="shared" si="4"/>
        <v>0</v>
      </c>
      <c r="F27" s="320">
        <f t="shared" si="5"/>
        <v>0</v>
      </c>
      <c r="G27" s="341"/>
      <c r="H27" s="336"/>
      <c r="I27" s="658">
        <f t="shared" si="8"/>
        <v>0</v>
      </c>
      <c r="J27" s="321">
        <f t="shared" si="10"/>
        <v>0</v>
      </c>
      <c r="K27" s="321">
        <f t="shared" si="6"/>
        <v>0</v>
      </c>
      <c r="L27" s="336"/>
      <c r="M27" s="658">
        <f t="shared" si="9"/>
        <v>0</v>
      </c>
      <c r="N27" s="321">
        <f t="shared" si="11"/>
        <v>0</v>
      </c>
      <c r="O27" s="322">
        <f t="shared" si="7"/>
        <v>0</v>
      </c>
      <c r="P27" s="2"/>
      <c r="Q27" s="4"/>
      <c r="R27" s="2"/>
      <c r="S27" s="2"/>
    </row>
    <row r="28" spans="1:19" s="309" customFormat="1">
      <c r="A28" s="341">
        <f t="shared" si="1"/>
        <v>18</v>
      </c>
      <c r="B28" s="344"/>
      <c r="C28" s="320">
        <f t="shared" si="2"/>
        <v>0</v>
      </c>
      <c r="D28" s="320">
        <f t="shared" si="3"/>
        <v>0</v>
      </c>
      <c r="E28" s="320">
        <f t="shared" si="4"/>
        <v>0</v>
      </c>
      <c r="F28" s="320">
        <f t="shared" si="5"/>
        <v>0</v>
      </c>
      <c r="G28" s="341"/>
      <c r="H28" s="336"/>
      <c r="I28" s="658">
        <f t="shared" si="8"/>
        <v>0</v>
      </c>
      <c r="J28" s="321">
        <f t="shared" si="10"/>
        <v>0</v>
      </c>
      <c r="K28" s="321">
        <f t="shared" si="6"/>
        <v>0</v>
      </c>
      <c r="L28" s="336"/>
      <c r="M28" s="658">
        <f t="shared" si="9"/>
        <v>0</v>
      </c>
      <c r="N28" s="321">
        <f t="shared" si="11"/>
        <v>0</v>
      </c>
      <c r="O28" s="322">
        <f t="shared" si="7"/>
        <v>0</v>
      </c>
      <c r="P28" s="2"/>
      <c r="Q28" s="4"/>
      <c r="R28" s="2"/>
      <c r="S28" s="2"/>
    </row>
    <row r="29" spans="1:19" s="309" customFormat="1">
      <c r="A29" s="341">
        <f t="shared" si="1"/>
        <v>19</v>
      </c>
      <c r="B29" s="344"/>
      <c r="C29" s="320">
        <f t="shared" si="2"/>
        <v>0</v>
      </c>
      <c r="D29" s="320">
        <f t="shared" si="3"/>
        <v>0</v>
      </c>
      <c r="E29" s="320">
        <f t="shared" si="4"/>
        <v>0</v>
      </c>
      <c r="F29" s="320">
        <f t="shared" si="5"/>
        <v>0</v>
      </c>
      <c r="G29" s="341"/>
      <c r="H29" s="336"/>
      <c r="I29" s="658">
        <f t="shared" si="8"/>
        <v>0</v>
      </c>
      <c r="J29" s="321">
        <f t="shared" si="10"/>
        <v>0</v>
      </c>
      <c r="K29" s="321">
        <f t="shared" si="6"/>
        <v>0</v>
      </c>
      <c r="L29" s="336"/>
      <c r="M29" s="658">
        <f t="shared" si="9"/>
        <v>0</v>
      </c>
      <c r="N29" s="321">
        <f t="shared" si="11"/>
        <v>0</v>
      </c>
      <c r="O29" s="322">
        <f t="shared" si="7"/>
        <v>0</v>
      </c>
      <c r="P29" s="2"/>
      <c r="Q29" s="4"/>
      <c r="R29" s="2"/>
      <c r="S29" s="2"/>
    </row>
    <row r="30" spans="1:19" s="309" customFormat="1">
      <c r="A30" s="341">
        <f t="shared" si="1"/>
        <v>20</v>
      </c>
      <c r="B30" s="344"/>
      <c r="C30" s="320">
        <f t="shared" si="2"/>
        <v>0</v>
      </c>
      <c r="D30" s="320">
        <f t="shared" si="3"/>
        <v>0</v>
      </c>
      <c r="E30" s="320">
        <f t="shared" si="4"/>
        <v>0</v>
      </c>
      <c r="F30" s="320">
        <f t="shared" si="5"/>
        <v>0</v>
      </c>
      <c r="G30" s="341"/>
      <c r="H30" s="336"/>
      <c r="I30" s="658">
        <f t="shared" si="8"/>
        <v>0</v>
      </c>
      <c r="J30" s="321">
        <f t="shared" si="10"/>
        <v>0</v>
      </c>
      <c r="K30" s="321">
        <f t="shared" si="6"/>
        <v>0</v>
      </c>
      <c r="L30" s="336"/>
      <c r="M30" s="658">
        <f t="shared" si="9"/>
        <v>0</v>
      </c>
      <c r="N30" s="321">
        <f t="shared" si="11"/>
        <v>0</v>
      </c>
      <c r="O30" s="322">
        <f t="shared" si="7"/>
        <v>0</v>
      </c>
      <c r="P30" s="2"/>
      <c r="Q30" s="4"/>
      <c r="R30" s="2"/>
      <c r="S30" s="2"/>
    </row>
    <row r="31" spans="1:19" s="309" customFormat="1">
      <c r="A31" s="341">
        <f t="shared" si="1"/>
        <v>21</v>
      </c>
      <c r="B31" s="344"/>
      <c r="C31" s="320">
        <f t="shared" si="2"/>
        <v>0</v>
      </c>
      <c r="D31" s="320">
        <f t="shared" si="3"/>
        <v>0</v>
      </c>
      <c r="E31" s="320">
        <f t="shared" si="4"/>
        <v>0</v>
      </c>
      <c r="F31" s="320">
        <f t="shared" si="5"/>
        <v>0</v>
      </c>
      <c r="G31" s="341"/>
      <c r="H31" s="336"/>
      <c r="I31" s="658">
        <f t="shared" si="8"/>
        <v>0</v>
      </c>
      <c r="J31" s="321">
        <f t="shared" si="10"/>
        <v>0</v>
      </c>
      <c r="K31" s="321">
        <f t="shared" si="6"/>
        <v>0</v>
      </c>
      <c r="L31" s="336"/>
      <c r="M31" s="658">
        <f t="shared" si="9"/>
        <v>0</v>
      </c>
      <c r="N31" s="321">
        <f t="shared" si="11"/>
        <v>0</v>
      </c>
      <c r="O31" s="322">
        <f t="shared" si="7"/>
        <v>0</v>
      </c>
      <c r="P31" s="2"/>
      <c r="Q31" s="4"/>
      <c r="R31" s="2"/>
      <c r="S31" s="2"/>
    </row>
    <row r="32" spans="1:19" s="309" customFormat="1">
      <c r="A32" s="341">
        <f t="shared" si="1"/>
        <v>22</v>
      </c>
      <c r="B32" s="344"/>
      <c r="C32" s="320">
        <f t="shared" si="2"/>
        <v>0</v>
      </c>
      <c r="D32" s="320">
        <f t="shared" si="3"/>
        <v>0</v>
      </c>
      <c r="E32" s="320">
        <f t="shared" si="4"/>
        <v>0</v>
      </c>
      <c r="F32" s="320">
        <f t="shared" si="5"/>
        <v>0</v>
      </c>
      <c r="G32" s="341"/>
      <c r="H32" s="336"/>
      <c r="I32" s="658">
        <f t="shared" si="8"/>
        <v>0</v>
      </c>
      <c r="J32" s="321">
        <f t="shared" si="10"/>
        <v>0</v>
      </c>
      <c r="K32" s="321">
        <f t="shared" si="6"/>
        <v>0</v>
      </c>
      <c r="L32" s="336"/>
      <c r="M32" s="658">
        <f t="shared" si="9"/>
        <v>0</v>
      </c>
      <c r="N32" s="321">
        <f t="shared" si="11"/>
        <v>0</v>
      </c>
      <c r="O32" s="322">
        <f t="shared" si="7"/>
        <v>0</v>
      </c>
      <c r="P32" s="2"/>
      <c r="Q32" s="4"/>
      <c r="R32" s="2"/>
      <c r="S32" s="2"/>
    </row>
    <row r="33" spans="1:19" s="309" customFormat="1">
      <c r="A33" s="341">
        <f t="shared" si="1"/>
        <v>23</v>
      </c>
      <c r="B33" s="344"/>
      <c r="C33" s="320">
        <f t="shared" si="2"/>
        <v>0</v>
      </c>
      <c r="D33" s="320">
        <f t="shared" si="3"/>
        <v>0</v>
      </c>
      <c r="E33" s="320">
        <f t="shared" si="4"/>
        <v>0</v>
      </c>
      <c r="F33" s="320">
        <f t="shared" si="5"/>
        <v>0</v>
      </c>
      <c r="G33" s="341"/>
      <c r="H33" s="336"/>
      <c r="I33" s="658">
        <f t="shared" si="8"/>
        <v>0</v>
      </c>
      <c r="J33" s="321">
        <f t="shared" si="10"/>
        <v>0</v>
      </c>
      <c r="K33" s="321">
        <f t="shared" si="6"/>
        <v>0</v>
      </c>
      <c r="L33" s="336"/>
      <c r="M33" s="658">
        <f t="shared" si="9"/>
        <v>0</v>
      </c>
      <c r="N33" s="321">
        <f t="shared" si="11"/>
        <v>0</v>
      </c>
      <c r="O33" s="322">
        <f t="shared" si="7"/>
        <v>0</v>
      </c>
      <c r="P33" s="2"/>
      <c r="Q33" s="4"/>
      <c r="R33" s="2"/>
      <c r="S33" s="2"/>
    </row>
    <row r="34" spans="1:19" s="309" customFormat="1">
      <c r="A34" s="341">
        <f t="shared" si="1"/>
        <v>24</v>
      </c>
      <c r="B34" s="344"/>
      <c r="C34" s="320">
        <f t="shared" si="2"/>
        <v>0</v>
      </c>
      <c r="D34" s="320">
        <f t="shared" si="3"/>
        <v>0</v>
      </c>
      <c r="E34" s="320">
        <f t="shared" si="4"/>
        <v>0</v>
      </c>
      <c r="F34" s="320">
        <f t="shared" si="5"/>
        <v>0</v>
      </c>
      <c r="G34" s="341"/>
      <c r="H34" s="336"/>
      <c r="I34" s="658">
        <f t="shared" si="8"/>
        <v>0</v>
      </c>
      <c r="J34" s="321">
        <f t="shared" si="10"/>
        <v>0</v>
      </c>
      <c r="K34" s="321">
        <f t="shared" si="6"/>
        <v>0</v>
      </c>
      <c r="L34" s="336"/>
      <c r="M34" s="658">
        <f t="shared" si="9"/>
        <v>0</v>
      </c>
      <c r="N34" s="321">
        <f t="shared" si="11"/>
        <v>0</v>
      </c>
      <c r="O34" s="322">
        <f t="shared" si="7"/>
        <v>0</v>
      </c>
      <c r="P34" s="2"/>
      <c r="Q34" s="4"/>
      <c r="R34" s="2"/>
      <c r="S34" s="2"/>
    </row>
    <row r="35" spans="1:19" s="309" customFormat="1">
      <c r="A35" s="341">
        <f t="shared" si="1"/>
        <v>25</v>
      </c>
      <c r="B35" s="344"/>
      <c r="C35" s="320">
        <f t="shared" si="2"/>
        <v>0</v>
      </c>
      <c r="D35" s="320">
        <f t="shared" si="3"/>
        <v>0</v>
      </c>
      <c r="E35" s="320">
        <f t="shared" si="4"/>
        <v>0</v>
      </c>
      <c r="F35" s="320">
        <f t="shared" si="5"/>
        <v>0</v>
      </c>
      <c r="G35" s="341"/>
      <c r="H35" s="336"/>
      <c r="I35" s="658">
        <f t="shared" si="8"/>
        <v>0</v>
      </c>
      <c r="J35" s="321">
        <f t="shared" si="10"/>
        <v>0</v>
      </c>
      <c r="K35" s="321">
        <f t="shared" si="6"/>
        <v>0</v>
      </c>
      <c r="L35" s="336"/>
      <c r="M35" s="658">
        <f t="shared" si="9"/>
        <v>0</v>
      </c>
      <c r="N35" s="321">
        <f t="shared" si="11"/>
        <v>0</v>
      </c>
      <c r="O35" s="322">
        <f t="shared" si="7"/>
        <v>0</v>
      </c>
      <c r="P35" s="2"/>
      <c r="Q35" s="4"/>
      <c r="R35" s="2"/>
      <c r="S35" s="2"/>
    </row>
    <row r="36" spans="1:19" s="309" customFormat="1">
      <c r="A36" s="341">
        <f t="shared" si="1"/>
        <v>26</v>
      </c>
      <c r="B36" s="344"/>
      <c r="C36" s="320">
        <f t="shared" si="2"/>
        <v>0</v>
      </c>
      <c r="D36" s="320">
        <f t="shared" si="3"/>
        <v>0</v>
      </c>
      <c r="E36" s="320">
        <f t="shared" si="4"/>
        <v>0</v>
      </c>
      <c r="F36" s="320">
        <f t="shared" si="5"/>
        <v>0</v>
      </c>
      <c r="G36" s="341"/>
      <c r="H36" s="336"/>
      <c r="I36" s="658">
        <f t="shared" si="8"/>
        <v>0</v>
      </c>
      <c r="J36" s="321">
        <f t="shared" si="10"/>
        <v>0</v>
      </c>
      <c r="K36" s="321">
        <f t="shared" si="6"/>
        <v>0</v>
      </c>
      <c r="L36" s="336"/>
      <c r="M36" s="658">
        <f t="shared" si="9"/>
        <v>0</v>
      </c>
      <c r="N36" s="321">
        <f t="shared" si="11"/>
        <v>0</v>
      </c>
      <c r="O36" s="322">
        <f t="shared" si="7"/>
        <v>0</v>
      </c>
      <c r="P36" s="2"/>
      <c r="Q36" s="4"/>
      <c r="R36" s="2"/>
      <c r="S36" s="2"/>
    </row>
    <row r="37" spans="1:19" s="309" customFormat="1">
      <c r="A37" s="341">
        <f t="shared" si="1"/>
        <v>27</v>
      </c>
      <c r="B37" s="344"/>
      <c r="C37" s="320">
        <f t="shared" si="2"/>
        <v>0</v>
      </c>
      <c r="D37" s="320">
        <f t="shared" si="3"/>
        <v>0</v>
      </c>
      <c r="E37" s="320">
        <f t="shared" si="4"/>
        <v>0</v>
      </c>
      <c r="F37" s="320">
        <f t="shared" si="5"/>
        <v>0</v>
      </c>
      <c r="G37" s="341"/>
      <c r="H37" s="336"/>
      <c r="I37" s="658">
        <f t="shared" si="8"/>
        <v>0</v>
      </c>
      <c r="J37" s="321">
        <f t="shared" si="10"/>
        <v>0</v>
      </c>
      <c r="K37" s="321">
        <f t="shared" si="6"/>
        <v>0</v>
      </c>
      <c r="L37" s="336"/>
      <c r="M37" s="658">
        <f t="shared" si="9"/>
        <v>0</v>
      </c>
      <c r="N37" s="321">
        <f t="shared" si="11"/>
        <v>0</v>
      </c>
      <c r="O37" s="322">
        <f t="shared" si="7"/>
        <v>0</v>
      </c>
      <c r="P37" s="2"/>
      <c r="Q37" s="4"/>
      <c r="R37" s="2"/>
      <c r="S37" s="2"/>
    </row>
    <row r="38" spans="1:19" s="309" customFormat="1">
      <c r="A38" s="341">
        <f t="shared" si="1"/>
        <v>28</v>
      </c>
      <c r="B38" s="344"/>
      <c r="C38" s="320">
        <f t="shared" si="2"/>
        <v>0</v>
      </c>
      <c r="D38" s="320">
        <f t="shared" si="3"/>
        <v>0</v>
      </c>
      <c r="E38" s="320">
        <f t="shared" si="4"/>
        <v>0</v>
      </c>
      <c r="F38" s="320">
        <f t="shared" si="5"/>
        <v>0</v>
      </c>
      <c r="G38" s="341"/>
      <c r="H38" s="336"/>
      <c r="I38" s="658">
        <f t="shared" si="8"/>
        <v>0</v>
      </c>
      <c r="J38" s="321">
        <f t="shared" si="10"/>
        <v>0</v>
      </c>
      <c r="K38" s="321">
        <f t="shared" si="6"/>
        <v>0</v>
      </c>
      <c r="L38" s="336"/>
      <c r="M38" s="658">
        <f t="shared" si="9"/>
        <v>0</v>
      </c>
      <c r="N38" s="321">
        <f t="shared" si="11"/>
        <v>0</v>
      </c>
      <c r="O38" s="322">
        <f t="shared" si="7"/>
        <v>0</v>
      </c>
      <c r="P38" s="2"/>
      <c r="Q38" s="4"/>
      <c r="R38" s="2"/>
      <c r="S38" s="2"/>
    </row>
    <row r="39" spans="1:19" s="309" customFormat="1">
      <c r="A39" s="341">
        <f t="shared" si="1"/>
        <v>29</v>
      </c>
      <c r="B39" s="344"/>
      <c r="C39" s="320">
        <f t="shared" si="2"/>
        <v>0</v>
      </c>
      <c r="D39" s="320">
        <f t="shared" si="3"/>
        <v>0</v>
      </c>
      <c r="E39" s="320">
        <f t="shared" si="4"/>
        <v>0</v>
      </c>
      <c r="F39" s="320">
        <f t="shared" si="5"/>
        <v>0</v>
      </c>
      <c r="G39" s="341"/>
      <c r="H39" s="336"/>
      <c r="I39" s="658">
        <f t="shared" si="8"/>
        <v>0</v>
      </c>
      <c r="J39" s="321">
        <f t="shared" si="10"/>
        <v>0</v>
      </c>
      <c r="K39" s="321">
        <f t="shared" si="6"/>
        <v>0</v>
      </c>
      <c r="L39" s="336"/>
      <c r="M39" s="658">
        <f t="shared" si="9"/>
        <v>0</v>
      </c>
      <c r="N39" s="321">
        <f t="shared" si="11"/>
        <v>0</v>
      </c>
      <c r="O39" s="322">
        <f t="shared" si="7"/>
        <v>0</v>
      </c>
      <c r="P39" s="2"/>
      <c r="Q39" s="4"/>
      <c r="R39" s="2"/>
      <c r="S39" s="2"/>
    </row>
    <row r="40" spans="1:19" s="309" customFormat="1">
      <c r="A40" s="341">
        <f t="shared" si="1"/>
        <v>30</v>
      </c>
      <c r="B40" s="344"/>
      <c r="C40" s="320">
        <f t="shared" si="2"/>
        <v>0</v>
      </c>
      <c r="D40" s="320">
        <f t="shared" si="3"/>
        <v>0</v>
      </c>
      <c r="E40" s="320">
        <f t="shared" si="4"/>
        <v>0</v>
      </c>
      <c r="F40" s="320">
        <f t="shared" si="5"/>
        <v>0</v>
      </c>
      <c r="G40" s="341"/>
      <c r="H40" s="336"/>
      <c r="I40" s="658">
        <f t="shared" si="8"/>
        <v>0</v>
      </c>
      <c r="J40" s="321">
        <f t="shared" si="10"/>
        <v>0</v>
      </c>
      <c r="K40" s="321">
        <f t="shared" si="6"/>
        <v>0</v>
      </c>
      <c r="L40" s="336"/>
      <c r="M40" s="658">
        <f t="shared" si="9"/>
        <v>0</v>
      </c>
      <c r="N40" s="321">
        <f t="shared" si="11"/>
        <v>0</v>
      </c>
      <c r="O40" s="322">
        <f t="shared" si="7"/>
        <v>0</v>
      </c>
      <c r="P40" s="2"/>
      <c r="Q40" s="4"/>
      <c r="R40" s="2"/>
      <c r="S40" s="2"/>
    </row>
    <row r="41" spans="1:19" s="309" customFormat="1">
      <c r="A41" s="341">
        <f t="shared" si="1"/>
        <v>31</v>
      </c>
      <c r="B41" s="344"/>
      <c r="C41" s="320">
        <f t="shared" si="2"/>
        <v>0</v>
      </c>
      <c r="D41" s="320">
        <f t="shared" si="3"/>
        <v>0</v>
      </c>
      <c r="E41" s="320">
        <f t="shared" si="4"/>
        <v>0</v>
      </c>
      <c r="F41" s="320">
        <f t="shared" si="5"/>
        <v>0</v>
      </c>
      <c r="G41" s="341"/>
      <c r="H41" s="336"/>
      <c r="I41" s="658">
        <f t="shared" si="8"/>
        <v>0</v>
      </c>
      <c r="J41" s="321">
        <f t="shared" si="10"/>
        <v>0</v>
      </c>
      <c r="K41" s="321">
        <f t="shared" si="6"/>
        <v>0</v>
      </c>
      <c r="L41" s="336"/>
      <c r="M41" s="658">
        <f t="shared" si="9"/>
        <v>0</v>
      </c>
      <c r="N41" s="321">
        <f t="shared" si="11"/>
        <v>0</v>
      </c>
      <c r="O41" s="322">
        <f t="shared" si="7"/>
        <v>0</v>
      </c>
      <c r="P41" s="2"/>
      <c r="Q41" s="4"/>
      <c r="R41" s="2"/>
      <c r="S41" s="2"/>
    </row>
    <row r="42" spans="1:19" s="309" customFormat="1">
      <c r="A42" s="341">
        <f t="shared" si="1"/>
        <v>32</v>
      </c>
      <c r="B42" s="344"/>
      <c r="C42" s="320">
        <f t="shared" si="2"/>
        <v>0</v>
      </c>
      <c r="D42" s="320">
        <f t="shared" si="3"/>
        <v>0</v>
      </c>
      <c r="E42" s="320">
        <f t="shared" si="4"/>
        <v>0</v>
      </c>
      <c r="F42" s="320">
        <f t="shared" si="5"/>
        <v>0</v>
      </c>
      <c r="G42" s="341"/>
      <c r="H42" s="336"/>
      <c r="I42" s="658">
        <f t="shared" si="8"/>
        <v>0</v>
      </c>
      <c r="J42" s="321">
        <f t="shared" si="10"/>
        <v>0</v>
      </c>
      <c r="K42" s="321">
        <f t="shared" si="6"/>
        <v>0</v>
      </c>
      <c r="L42" s="336"/>
      <c r="M42" s="658">
        <f t="shared" si="9"/>
        <v>0</v>
      </c>
      <c r="N42" s="321">
        <f t="shared" si="11"/>
        <v>0</v>
      </c>
      <c r="O42" s="322">
        <f t="shared" si="7"/>
        <v>0</v>
      </c>
      <c r="P42" s="2"/>
      <c r="Q42" s="4"/>
      <c r="R42" s="2"/>
      <c r="S42" s="2"/>
    </row>
    <row r="43" spans="1:19" s="309" customFormat="1">
      <c r="A43" s="318"/>
      <c r="B43" s="341"/>
      <c r="G43" s="341"/>
      <c r="H43" s="323"/>
      <c r="I43" s="324"/>
      <c r="J43" s="324"/>
      <c r="K43" s="324"/>
      <c r="L43" s="325"/>
      <c r="M43" s="324"/>
      <c r="N43" s="326"/>
      <c r="O43" s="327"/>
      <c r="P43" s="2"/>
      <c r="Q43" s="4"/>
      <c r="R43" s="2"/>
      <c r="S43" s="2"/>
    </row>
    <row r="44" spans="1:19" s="309" customFormat="1">
      <c r="A44" s="343" t="s">
        <v>552</v>
      </c>
      <c r="B44" s="341"/>
      <c r="G44" s="341"/>
      <c r="H44" s="328"/>
      <c r="I44" s="328"/>
      <c r="J44" s="328"/>
      <c r="K44" s="328"/>
      <c r="L44" s="329"/>
      <c r="M44" s="328"/>
      <c r="N44" s="330"/>
      <c r="O44" s="330"/>
      <c r="P44" s="2"/>
      <c r="Q44" s="4"/>
      <c r="R44" s="2"/>
      <c r="S44" s="2"/>
    </row>
    <row r="45" spans="1:19" s="309" customFormat="1">
      <c r="A45" s="318" t="s">
        <v>419</v>
      </c>
      <c r="B45" s="342" t="s">
        <v>924</v>
      </c>
      <c r="G45" s="341"/>
      <c r="H45" s="328"/>
      <c r="I45" s="328"/>
      <c r="J45" s="328"/>
      <c r="K45" s="328"/>
      <c r="L45" s="329"/>
      <c r="M45" s="328"/>
      <c r="N45" s="330"/>
      <c r="O45" s="330"/>
      <c r="P45" s="2"/>
      <c r="Q45" s="4"/>
      <c r="R45" s="2"/>
      <c r="S45" s="2"/>
    </row>
    <row r="46" spans="1:19" s="15" customFormat="1" ht="15" customHeight="1">
      <c r="A46" s="318" t="s">
        <v>421</v>
      </c>
      <c r="B46" s="342" t="s">
        <v>925</v>
      </c>
      <c r="C46" s="45"/>
      <c r="D46" s="45"/>
      <c r="E46" s="45"/>
      <c r="F46" s="45"/>
      <c r="G46" s="340"/>
      <c r="H46" s="2"/>
      <c r="I46" s="2"/>
      <c r="P46" s="2"/>
      <c r="Q46" s="4"/>
      <c r="R46" s="2"/>
      <c r="S46" s="2"/>
    </row>
    <row r="47" spans="1:19" s="15" customFormat="1">
      <c r="A47" s="318" t="s">
        <v>423</v>
      </c>
      <c r="B47" s="974" t="s">
        <v>926</v>
      </c>
      <c r="C47" s="974"/>
      <c r="D47" s="974"/>
      <c r="E47" s="974"/>
      <c r="F47" s="974"/>
      <c r="G47" s="974"/>
      <c r="H47" s="974"/>
      <c r="I47" s="974"/>
      <c r="J47" s="974"/>
      <c r="K47" s="974"/>
      <c r="P47" s="2"/>
      <c r="Q47" s="4"/>
      <c r="R47" s="2"/>
      <c r="S47" s="2"/>
    </row>
    <row r="48" spans="1:19" ht="15" customHeight="1">
      <c r="A48" s="318" t="s">
        <v>425</v>
      </c>
      <c r="B48" s="342" t="s">
        <v>927</v>
      </c>
      <c r="C48" s="45"/>
      <c r="D48" s="45"/>
      <c r="E48" s="45"/>
      <c r="F48" s="45"/>
      <c r="G48" s="340"/>
    </row>
    <row r="49" spans="1:7" ht="15" customHeight="1">
      <c r="A49" s="43"/>
      <c r="B49" s="44"/>
      <c r="C49" s="45"/>
      <c r="D49" s="45"/>
      <c r="E49" s="45"/>
      <c r="F49" s="45"/>
      <c r="G49" s="340"/>
    </row>
    <row r="50" spans="1:7" ht="15" customHeight="1">
      <c r="A50" s="43"/>
      <c r="B50" s="44"/>
      <c r="C50" s="45"/>
      <c r="D50" s="45"/>
      <c r="E50" s="45"/>
      <c r="F50" s="45"/>
      <c r="G50" s="340"/>
    </row>
    <row r="51" spans="1:7" ht="15" customHeight="1">
      <c r="A51" s="43"/>
      <c r="B51" s="44"/>
      <c r="C51" s="45"/>
      <c r="D51" s="45"/>
      <c r="E51" s="45"/>
      <c r="F51" s="45"/>
      <c r="G51" s="340"/>
    </row>
    <row r="52" spans="1:7" ht="15" customHeight="1">
      <c r="A52" s="43"/>
      <c r="B52" s="44"/>
      <c r="C52" s="45"/>
      <c r="D52" s="45"/>
      <c r="E52" s="45"/>
      <c r="F52" s="45"/>
      <c r="G52" s="340"/>
    </row>
    <row r="53" spans="1:7" ht="15" customHeight="1">
      <c r="A53" s="43"/>
      <c r="B53" s="44"/>
      <c r="C53" s="45"/>
      <c r="D53" s="45"/>
      <c r="E53" s="45"/>
      <c r="F53" s="45"/>
      <c r="G53" s="340"/>
    </row>
    <row r="54" spans="1:7">
      <c r="A54" s="43"/>
      <c r="B54" s="44"/>
      <c r="C54" s="45"/>
      <c r="D54" s="45"/>
      <c r="E54" s="45"/>
      <c r="F54" s="45"/>
      <c r="G54" s="340"/>
    </row>
    <row r="55" spans="1:7">
      <c r="A55" s="43"/>
      <c r="B55" s="44"/>
      <c r="C55" s="45"/>
      <c r="D55" s="45"/>
      <c r="E55" s="45"/>
      <c r="F55" s="45"/>
      <c r="G55" s="340"/>
    </row>
    <row r="56" spans="1:7">
      <c r="A56" s="43"/>
      <c r="B56" s="44"/>
      <c r="C56" s="45"/>
      <c r="D56" s="45"/>
      <c r="E56" s="45"/>
      <c r="F56" s="45"/>
      <c r="G56" s="340"/>
    </row>
    <row r="57" spans="1:7">
      <c r="A57" s="43"/>
      <c r="B57" s="44"/>
      <c r="C57" s="45"/>
      <c r="D57" s="45"/>
      <c r="E57" s="45"/>
      <c r="F57" s="45"/>
      <c r="G57" s="340"/>
    </row>
    <row r="58" spans="1:7">
      <c r="A58" s="43"/>
      <c r="B58" s="44"/>
      <c r="C58" s="45"/>
      <c r="D58" s="45"/>
      <c r="E58" s="45"/>
      <c r="F58" s="45"/>
      <c r="G58" s="340"/>
    </row>
    <row r="59" spans="1:7">
      <c r="A59" s="43"/>
      <c r="B59" s="44"/>
      <c r="C59" s="45"/>
      <c r="D59" s="45"/>
      <c r="E59" s="45"/>
      <c r="F59" s="45"/>
      <c r="G59" s="340"/>
    </row>
    <row r="60" spans="1:7">
      <c r="A60" s="43"/>
      <c r="B60" s="44"/>
      <c r="C60" s="45"/>
      <c r="D60" s="45"/>
      <c r="E60" s="45"/>
      <c r="F60" s="45"/>
      <c r="G60" s="340"/>
    </row>
    <row r="61" spans="1:7">
      <c r="A61" s="43"/>
      <c r="B61" s="44"/>
      <c r="C61" s="45"/>
      <c r="D61" s="45"/>
      <c r="E61" s="45"/>
      <c r="F61" s="45"/>
      <c r="G61" s="340"/>
    </row>
    <row r="62" spans="1:7">
      <c r="A62" s="43"/>
      <c r="B62" s="44"/>
      <c r="C62" s="45"/>
      <c r="D62" s="45"/>
      <c r="E62" s="45"/>
      <c r="F62" s="45"/>
      <c r="G62" s="340"/>
    </row>
    <row r="63" spans="1:7">
      <c r="A63" s="43"/>
      <c r="B63" s="44"/>
      <c r="C63" s="45"/>
      <c r="D63" s="45"/>
      <c r="E63" s="45"/>
      <c r="F63" s="45"/>
      <c r="G63" s="340"/>
    </row>
    <row r="64" spans="1:7">
      <c r="A64" s="43"/>
      <c r="B64" s="44"/>
      <c r="C64" s="45"/>
      <c r="D64" s="45"/>
      <c r="E64" s="45"/>
      <c r="F64" s="45"/>
      <c r="G64" s="340"/>
    </row>
    <row r="87" spans="1:17">
      <c r="J87" s="3"/>
    </row>
    <row r="88" spans="1:17">
      <c r="J88" s="3"/>
      <c r="L88" s="6"/>
    </row>
    <row r="89" spans="1:17">
      <c r="J89" s="3"/>
    </row>
    <row r="92" spans="1:17" ht="102" customHeight="1"/>
    <row r="93" spans="1:17" s="15" customFormat="1">
      <c r="A93" s="1"/>
      <c r="B93" s="26"/>
      <c r="C93" s="2"/>
      <c r="D93" s="2"/>
      <c r="E93" s="2"/>
      <c r="F93" s="2"/>
      <c r="G93" s="26"/>
      <c r="H93" s="2"/>
      <c r="I93" s="2"/>
      <c r="Q93" s="14"/>
    </row>
    <row r="94" spans="1:17" s="15" customFormat="1" ht="63.75" customHeight="1">
      <c r="A94" s="1"/>
      <c r="B94" s="26"/>
      <c r="C94" s="2"/>
      <c r="D94" s="2"/>
      <c r="E94" s="2"/>
      <c r="F94" s="2"/>
      <c r="G94" s="26"/>
      <c r="H94" s="2"/>
      <c r="I94" s="2"/>
      <c r="Q94" s="14"/>
    </row>
    <row r="110" spans="1:17" s="15" customFormat="1">
      <c r="A110" s="1"/>
      <c r="B110" s="26"/>
      <c r="C110" s="2"/>
      <c r="D110" s="2"/>
      <c r="E110" s="2"/>
      <c r="F110" s="2"/>
      <c r="G110" s="26"/>
      <c r="H110" s="2"/>
      <c r="I110" s="2"/>
      <c r="J110" s="2"/>
      <c r="Q110" s="14"/>
    </row>
    <row r="111" spans="1:17" s="15" customFormat="1">
      <c r="A111" s="1"/>
      <c r="B111" s="26"/>
      <c r="C111" s="2"/>
      <c r="D111" s="2"/>
      <c r="E111" s="2"/>
      <c r="F111" s="2"/>
      <c r="G111" s="26"/>
      <c r="H111" s="2"/>
      <c r="I111" s="2"/>
      <c r="J111" s="2"/>
      <c r="K111" s="2"/>
      <c r="L111" s="2"/>
      <c r="Q111" s="14"/>
    </row>
    <row r="112" spans="1:17" s="15" customFormat="1">
      <c r="A112" s="1"/>
      <c r="B112" s="26"/>
      <c r="C112" s="2"/>
      <c r="D112" s="2"/>
      <c r="E112" s="2"/>
      <c r="F112" s="2"/>
      <c r="G112" s="26"/>
      <c r="H112" s="2"/>
      <c r="I112" s="2"/>
      <c r="J112" s="2"/>
      <c r="L112" s="2"/>
      <c r="Q112" s="14"/>
    </row>
    <row r="113" spans="1:17" s="15" customFormat="1" ht="82.5" customHeight="1">
      <c r="A113" s="1"/>
      <c r="B113" s="26"/>
      <c r="C113" s="2"/>
      <c r="D113" s="2"/>
      <c r="E113" s="2"/>
      <c r="F113" s="2"/>
      <c r="G113" s="26"/>
      <c r="H113" s="2"/>
      <c r="I113" s="2"/>
      <c r="J113" s="28"/>
      <c r="K113" s="28"/>
      <c r="L113" s="28"/>
      <c r="Q113" s="14"/>
    </row>
    <row r="114" spans="1:17" s="15" customFormat="1">
      <c r="A114" s="1"/>
      <c r="B114" s="26"/>
      <c r="C114" s="2"/>
      <c r="D114" s="2"/>
      <c r="E114" s="2"/>
      <c r="F114" s="2"/>
      <c r="G114" s="26"/>
      <c r="H114" s="2"/>
      <c r="I114" s="2"/>
      <c r="J114" s="2"/>
      <c r="K114" s="2"/>
      <c r="L114" s="2"/>
      <c r="Q114" s="14"/>
    </row>
    <row r="115" spans="1:17" s="15" customFormat="1">
      <c r="A115" s="1"/>
      <c r="B115" s="26"/>
      <c r="C115" s="2"/>
      <c r="D115" s="2"/>
      <c r="E115" s="2"/>
      <c r="F115" s="2"/>
      <c r="G115" s="26"/>
      <c r="H115" s="2"/>
      <c r="I115" s="2"/>
      <c r="J115" s="2"/>
      <c r="K115" s="2"/>
      <c r="L115" s="2"/>
      <c r="Q115" s="14"/>
    </row>
    <row r="116" spans="1:17" s="15" customFormat="1">
      <c r="A116" s="1"/>
      <c r="B116" s="26"/>
      <c r="C116" s="2"/>
      <c r="D116" s="2"/>
      <c r="E116" s="2"/>
      <c r="F116" s="2"/>
      <c r="G116" s="26"/>
      <c r="H116" s="2"/>
      <c r="I116" s="2"/>
      <c r="J116" s="2"/>
      <c r="K116" s="2"/>
      <c r="L116" s="2"/>
      <c r="Q116" s="14"/>
    </row>
    <row r="117" spans="1:17" s="15" customFormat="1">
      <c r="A117" s="1"/>
      <c r="B117" s="26"/>
      <c r="C117" s="2"/>
      <c r="D117" s="2"/>
      <c r="E117" s="2"/>
      <c r="F117" s="2"/>
      <c r="G117" s="26"/>
      <c r="H117" s="2"/>
      <c r="I117" s="2"/>
      <c r="J117" s="2"/>
      <c r="K117" s="2"/>
      <c r="L117" s="2"/>
      <c r="Q117" s="14"/>
    </row>
    <row r="118" spans="1:17" s="15" customFormat="1">
      <c r="A118" s="1"/>
      <c r="B118" s="26"/>
      <c r="C118" s="2"/>
      <c r="D118" s="2"/>
      <c r="E118" s="2"/>
      <c r="F118" s="2"/>
      <c r="G118" s="26"/>
      <c r="H118" s="2"/>
      <c r="I118" s="2"/>
      <c r="J118" s="2"/>
      <c r="K118" s="2"/>
      <c r="L118" s="2"/>
      <c r="Q118" s="14"/>
    </row>
    <row r="119" spans="1:17" s="15" customFormat="1">
      <c r="A119" s="1"/>
      <c r="B119" s="26"/>
      <c r="C119" s="2"/>
      <c r="D119" s="2"/>
      <c r="E119" s="2"/>
      <c r="F119" s="2"/>
      <c r="G119" s="26"/>
      <c r="H119" s="2"/>
      <c r="I119" s="2"/>
      <c r="J119" s="2"/>
      <c r="K119" s="2"/>
      <c r="L119" s="2"/>
      <c r="Q119" s="14"/>
    </row>
    <row r="120" spans="1:17" s="15" customFormat="1">
      <c r="A120" s="1"/>
      <c r="B120" s="26"/>
      <c r="C120" s="2"/>
      <c r="D120" s="2"/>
      <c r="E120" s="2"/>
      <c r="F120" s="2"/>
      <c r="G120" s="26"/>
      <c r="H120" s="2"/>
      <c r="I120" s="2"/>
      <c r="J120" s="2"/>
      <c r="K120" s="2"/>
      <c r="Q120" s="14"/>
    </row>
    <row r="121" spans="1:17" s="15" customFormat="1">
      <c r="A121" s="1"/>
      <c r="B121" s="26"/>
      <c r="C121" s="2"/>
      <c r="D121" s="2"/>
      <c r="E121" s="2"/>
      <c r="F121" s="2"/>
      <c r="G121" s="26"/>
      <c r="H121" s="2"/>
      <c r="I121" s="2"/>
      <c r="J121" s="2"/>
      <c r="K121" s="2"/>
      <c r="Q121" s="14"/>
    </row>
    <row r="123" spans="1:17" ht="15" customHeight="1">
      <c r="J123" s="303"/>
      <c r="K123" s="303"/>
    </row>
    <row r="124" spans="1:17" ht="15" customHeight="1">
      <c r="J124" s="303"/>
      <c r="K124" s="303"/>
      <c r="L124" s="6"/>
    </row>
    <row r="125" spans="1:17" ht="30.75" customHeight="1">
      <c r="J125" s="46"/>
      <c r="K125" s="46"/>
    </row>
    <row r="126" spans="1:17">
      <c r="J126" s="46"/>
      <c r="K126" s="46"/>
    </row>
    <row r="127" spans="1:17">
      <c r="J127" s="47"/>
      <c r="K127" s="47"/>
      <c r="L127" s="47"/>
      <c r="M127" s="47"/>
    </row>
    <row r="129" spans="10:14" ht="30.75" customHeight="1">
      <c r="J129" s="304"/>
      <c r="K129" s="304"/>
      <c r="L129" s="304"/>
      <c r="M129" s="304"/>
      <c r="N129" s="304"/>
    </row>
    <row r="130" spans="10:14" ht="15" customHeight="1">
      <c r="J130" s="304"/>
      <c r="K130" s="304"/>
    </row>
    <row r="131" spans="10:14" ht="82.5" customHeight="1">
      <c r="J131" s="304"/>
      <c r="K131" s="304"/>
      <c r="L131" s="304"/>
      <c r="M131" s="304"/>
      <c r="N131" s="304"/>
    </row>
    <row r="132" spans="10:14" ht="15" customHeight="1">
      <c r="J132" s="49"/>
      <c r="K132" s="49"/>
    </row>
    <row r="133" spans="10:14">
      <c r="J133" s="49"/>
      <c r="K133" s="49"/>
    </row>
    <row r="134" spans="10:14" ht="69.75" customHeight="1">
      <c r="J134" s="49"/>
      <c r="K134" s="49"/>
    </row>
  </sheetData>
  <mergeCells count="6">
    <mergeCell ref="B47:K47"/>
    <mergeCell ref="Q1:W1"/>
    <mergeCell ref="C14:F14"/>
    <mergeCell ref="A1:O1"/>
    <mergeCell ref="A2:O2"/>
    <mergeCell ref="A3:O3"/>
  </mergeCells>
  <pageMargins left="0.5" right="0.25" top="1" bottom="1" header="0.5" footer="0.5"/>
  <pageSetup scale="62" fitToHeight="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6" tint="0.59999389629810485"/>
    <pageSetUpPr fitToPage="1"/>
  </sheetPr>
  <dimension ref="A1:Q43"/>
  <sheetViews>
    <sheetView workbookViewId="0">
      <selection sqref="A1:H1"/>
    </sheetView>
  </sheetViews>
  <sheetFormatPr defaultColWidth="7.109375" defaultRowHeight="12.75"/>
  <cols>
    <col min="1" max="1" width="2.109375" style="203" customWidth="1"/>
    <col min="2" max="2" width="4.77734375" style="203" customWidth="1"/>
    <col min="3" max="3" width="17.44140625" style="203" customWidth="1"/>
    <col min="4" max="4" width="36.77734375" style="203" bestFit="1" customWidth="1"/>
    <col min="5" max="5" width="10" style="203" customWidth="1"/>
    <col min="6" max="6" width="7.21875" style="203" customWidth="1"/>
    <col min="7" max="7" width="7.5546875" style="203" customWidth="1"/>
    <col min="8" max="8" width="9.21875" style="214" customWidth="1"/>
    <col min="9" max="9" width="8.21875" style="203" customWidth="1"/>
    <col min="10" max="11" width="7.109375" style="203"/>
    <col min="12" max="12" width="8.77734375" style="203" customWidth="1"/>
    <col min="13" max="13" width="7.44140625" style="203" bestFit="1" customWidth="1"/>
    <col min="14" max="256" width="7.109375" style="203"/>
    <col min="257" max="257" width="10.21875" style="203" customWidth="1"/>
    <col min="258" max="258" width="3.5546875" style="203" customWidth="1"/>
    <col min="259" max="260" width="1.77734375" style="203" customWidth="1"/>
    <col min="261" max="261" width="4" style="203" customWidth="1"/>
    <col min="262" max="262" width="24.21875" style="203" customWidth="1"/>
    <col min="263" max="263" width="1.77734375" style="203" customWidth="1"/>
    <col min="264" max="265" width="8.21875" style="203" customWidth="1"/>
    <col min="266" max="512" width="7.109375" style="203"/>
    <col min="513" max="513" width="10.21875" style="203" customWidth="1"/>
    <col min="514" max="514" width="3.5546875" style="203" customWidth="1"/>
    <col min="515" max="516" width="1.77734375" style="203" customWidth="1"/>
    <col min="517" max="517" width="4" style="203" customWidth="1"/>
    <col min="518" max="518" width="24.21875" style="203" customWidth="1"/>
    <col min="519" max="519" width="1.77734375" style="203" customWidth="1"/>
    <col min="520" max="521" width="8.21875" style="203" customWidth="1"/>
    <col min="522" max="768" width="7.109375" style="203"/>
    <col min="769" max="769" width="10.21875" style="203" customWidth="1"/>
    <col min="770" max="770" width="3.5546875" style="203" customWidth="1"/>
    <col min="771" max="772" width="1.77734375" style="203" customWidth="1"/>
    <col min="773" max="773" width="4" style="203" customWidth="1"/>
    <col min="774" max="774" width="24.21875" style="203" customWidth="1"/>
    <col min="775" max="775" width="1.77734375" style="203" customWidth="1"/>
    <col min="776" max="777" width="8.21875" style="203" customWidth="1"/>
    <col min="778" max="1024" width="7.109375" style="203"/>
    <col min="1025" max="1025" width="10.21875" style="203" customWidth="1"/>
    <col min="1026" max="1026" width="3.5546875" style="203" customWidth="1"/>
    <col min="1027" max="1028" width="1.77734375" style="203" customWidth="1"/>
    <col min="1029" max="1029" width="4" style="203" customWidth="1"/>
    <col min="1030" max="1030" width="24.21875" style="203" customWidth="1"/>
    <col min="1031" max="1031" width="1.77734375" style="203" customWidth="1"/>
    <col min="1032" max="1033" width="8.21875" style="203" customWidth="1"/>
    <col min="1034" max="1280" width="7.109375" style="203"/>
    <col min="1281" max="1281" width="10.21875" style="203" customWidth="1"/>
    <col min="1282" max="1282" width="3.5546875" style="203" customWidth="1"/>
    <col min="1283" max="1284" width="1.77734375" style="203" customWidth="1"/>
    <col min="1285" max="1285" width="4" style="203" customWidth="1"/>
    <col min="1286" max="1286" width="24.21875" style="203" customWidth="1"/>
    <col min="1287" max="1287" width="1.77734375" style="203" customWidth="1"/>
    <col min="1288" max="1289" width="8.21875" style="203" customWidth="1"/>
    <col min="1290" max="1536" width="7.109375" style="203"/>
    <col min="1537" max="1537" width="10.21875" style="203" customWidth="1"/>
    <col min="1538" max="1538" width="3.5546875" style="203" customWidth="1"/>
    <col min="1539" max="1540" width="1.77734375" style="203" customWidth="1"/>
    <col min="1541" max="1541" width="4" style="203" customWidth="1"/>
    <col min="1542" max="1542" width="24.21875" style="203" customWidth="1"/>
    <col min="1543" max="1543" width="1.77734375" style="203" customWidth="1"/>
    <col min="1544" max="1545" width="8.21875" style="203" customWidth="1"/>
    <col min="1546" max="1792" width="7.109375" style="203"/>
    <col min="1793" max="1793" width="10.21875" style="203" customWidth="1"/>
    <col min="1794" max="1794" width="3.5546875" style="203" customWidth="1"/>
    <col min="1795" max="1796" width="1.77734375" style="203" customWidth="1"/>
    <col min="1797" max="1797" width="4" style="203" customWidth="1"/>
    <col min="1798" max="1798" width="24.21875" style="203" customWidth="1"/>
    <col min="1799" max="1799" width="1.77734375" style="203" customWidth="1"/>
    <col min="1800" max="1801" width="8.21875" style="203" customWidth="1"/>
    <col min="1802" max="2048" width="7.109375" style="203"/>
    <col min="2049" max="2049" width="10.21875" style="203" customWidth="1"/>
    <col min="2050" max="2050" width="3.5546875" style="203" customWidth="1"/>
    <col min="2051" max="2052" width="1.77734375" style="203" customWidth="1"/>
    <col min="2053" max="2053" width="4" style="203" customWidth="1"/>
    <col min="2054" max="2054" width="24.21875" style="203" customWidth="1"/>
    <col min="2055" max="2055" width="1.77734375" style="203" customWidth="1"/>
    <col min="2056" max="2057" width="8.21875" style="203" customWidth="1"/>
    <col min="2058" max="2304" width="7.109375" style="203"/>
    <col min="2305" max="2305" width="10.21875" style="203" customWidth="1"/>
    <col min="2306" max="2306" width="3.5546875" style="203" customWidth="1"/>
    <col min="2307" max="2308" width="1.77734375" style="203" customWidth="1"/>
    <col min="2309" max="2309" width="4" style="203" customWidth="1"/>
    <col min="2310" max="2310" width="24.21875" style="203" customWidth="1"/>
    <col min="2311" max="2311" width="1.77734375" style="203" customWidth="1"/>
    <col min="2312" max="2313" width="8.21875" style="203" customWidth="1"/>
    <col min="2314" max="2560" width="7.109375" style="203"/>
    <col min="2561" max="2561" width="10.21875" style="203" customWidth="1"/>
    <col min="2562" max="2562" width="3.5546875" style="203" customWidth="1"/>
    <col min="2563" max="2564" width="1.77734375" style="203" customWidth="1"/>
    <col min="2565" max="2565" width="4" style="203" customWidth="1"/>
    <col min="2566" max="2566" width="24.21875" style="203" customWidth="1"/>
    <col min="2567" max="2567" width="1.77734375" style="203" customWidth="1"/>
    <col min="2568" max="2569" width="8.21875" style="203" customWidth="1"/>
    <col min="2570" max="2816" width="7.109375" style="203"/>
    <col min="2817" max="2817" width="10.21875" style="203" customWidth="1"/>
    <col min="2818" max="2818" width="3.5546875" style="203" customWidth="1"/>
    <col min="2819" max="2820" width="1.77734375" style="203" customWidth="1"/>
    <col min="2821" max="2821" width="4" style="203" customWidth="1"/>
    <col min="2822" max="2822" width="24.21875" style="203" customWidth="1"/>
    <col min="2823" max="2823" width="1.77734375" style="203" customWidth="1"/>
    <col min="2824" max="2825" width="8.21875" style="203" customWidth="1"/>
    <col min="2826" max="3072" width="7.109375" style="203"/>
    <col min="3073" max="3073" width="10.21875" style="203" customWidth="1"/>
    <col min="3074" max="3074" width="3.5546875" style="203" customWidth="1"/>
    <col min="3075" max="3076" width="1.77734375" style="203" customWidth="1"/>
    <col min="3077" max="3077" width="4" style="203" customWidth="1"/>
    <col min="3078" max="3078" width="24.21875" style="203" customWidth="1"/>
    <col min="3079" max="3079" width="1.77734375" style="203" customWidth="1"/>
    <col min="3080" max="3081" width="8.21875" style="203" customWidth="1"/>
    <col min="3082" max="3328" width="7.109375" style="203"/>
    <col min="3329" max="3329" width="10.21875" style="203" customWidth="1"/>
    <col min="3330" max="3330" width="3.5546875" style="203" customWidth="1"/>
    <col min="3331" max="3332" width="1.77734375" style="203" customWidth="1"/>
    <col min="3333" max="3333" width="4" style="203" customWidth="1"/>
    <col min="3334" max="3334" width="24.21875" style="203" customWidth="1"/>
    <col min="3335" max="3335" width="1.77734375" style="203" customWidth="1"/>
    <col min="3336" max="3337" width="8.21875" style="203" customWidth="1"/>
    <col min="3338" max="3584" width="7.109375" style="203"/>
    <col min="3585" max="3585" width="10.21875" style="203" customWidth="1"/>
    <col min="3586" max="3586" width="3.5546875" style="203" customWidth="1"/>
    <col min="3587" max="3588" width="1.77734375" style="203" customWidth="1"/>
    <col min="3589" max="3589" width="4" style="203" customWidth="1"/>
    <col min="3590" max="3590" width="24.21875" style="203" customWidth="1"/>
    <col min="3591" max="3591" width="1.77734375" style="203" customWidth="1"/>
    <col min="3592" max="3593" width="8.21875" style="203" customWidth="1"/>
    <col min="3594" max="3840" width="7.109375" style="203"/>
    <col min="3841" max="3841" width="10.21875" style="203" customWidth="1"/>
    <col min="3842" max="3842" width="3.5546875" style="203" customWidth="1"/>
    <col min="3843" max="3844" width="1.77734375" style="203" customWidth="1"/>
    <col min="3845" max="3845" width="4" style="203" customWidth="1"/>
    <col min="3846" max="3846" width="24.21875" style="203" customWidth="1"/>
    <col min="3847" max="3847" width="1.77734375" style="203" customWidth="1"/>
    <col min="3848" max="3849" width="8.21875" style="203" customWidth="1"/>
    <col min="3850" max="4096" width="7.109375" style="203"/>
    <col min="4097" max="4097" width="10.21875" style="203" customWidth="1"/>
    <col min="4098" max="4098" width="3.5546875" style="203" customWidth="1"/>
    <col min="4099" max="4100" width="1.77734375" style="203" customWidth="1"/>
    <col min="4101" max="4101" width="4" style="203" customWidth="1"/>
    <col min="4102" max="4102" width="24.21875" style="203" customWidth="1"/>
    <col min="4103" max="4103" width="1.77734375" style="203" customWidth="1"/>
    <col min="4104" max="4105" width="8.21875" style="203" customWidth="1"/>
    <col min="4106" max="4352" width="7.109375" style="203"/>
    <col min="4353" max="4353" width="10.21875" style="203" customWidth="1"/>
    <col min="4354" max="4354" width="3.5546875" style="203" customWidth="1"/>
    <col min="4355" max="4356" width="1.77734375" style="203" customWidth="1"/>
    <col min="4357" max="4357" width="4" style="203" customWidth="1"/>
    <col min="4358" max="4358" width="24.21875" style="203" customWidth="1"/>
    <col min="4359" max="4359" width="1.77734375" style="203" customWidth="1"/>
    <col min="4360" max="4361" width="8.21875" style="203" customWidth="1"/>
    <col min="4362" max="4608" width="7.109375" style="203"/>
    <col min="4609" max="4609" width="10.21875" style="203" customWidth="1"/>
    <col min="4610" max="4610" width="3.5546875" style="203" customWidth="1"/>
    <col min="4611" max="4612" width="1.77734375" style="203" customWidth="1"/>
    <col min="4613" max="4613" width="4" style="203" customWidth="1"/>
    <col min="4614" max="4614" width="24.21875" style="203" customWidth="1"/>
    <col min="4615" max="4615" width="1.77734375" style="203" customWidth="1"/>
    <col min="4616" max="4617" width="8.21875" style="203" customWidth="1"/>
    <col min="4618" max="4864" width="7.109375" style="203"/>
    <col min="4865" max="4865" width="10.21875" style="203" customWidth="1"/>
    <col min="4866" max="4866" width="3.5546875" style="203" customWidth="1"/>
    <col min="4867" max="4868" width="1.77734375" style="203" customWidth="1"/>
    <col min="4869" max="4869" width="4" style="203" customWidth="1"/>
    <col min="4870" max="4870" width="24.21875" style="203" customWidth="1"/>
    <col min="4871" max="4871" width="1.77734375" style="203" customWidth="1"/>
    <col min="4872" max="4873" width="8.21875" style="203" customWidth="1"/>
    <col min="4874" max="5120" width="7.109375" style="203"/>
    <col min="5121" max="5121" width="10.21875" style="203" customWidth="1"/>
    <col min="5122" max="5122" width="3.5546875" style="203" customWidth="1"/>
    <col min="5123" max="5124" width="1.77734375" style="203" customWidth="1"/>
    <col min="5125" max="5125" width="4" style="203" customWidth="1"/>
    <col min="5126" max="5126" width="24.21875" style="203" customWidth="1"/>
    <col min="5127" max="5127" width="1.77734375" style="203" customWidth="1"/>
    <col min="5128" max="5129" width="8.21875" style="203" customWidth="1"/>
    <col min="5130" max="5376" width="7.109375" style="203"/>
    <col min="5377" max="5377" width="10.21875" style="203" customWidth="1"/>
    <col min="5378" max="5378" width="3.5546875" style="203" customWidth="1"/>
    <col min="5379" max="5380" width="1.77734375" style="203" customWidth="1"/>
    <col min="5381" max="5381" width="4" style="203" customWidth="1"/>
    <col min="5382" max="5382" width="24.21875" style="203" customWidth="1"/>
    <col min="5383" max="5383" width="1.77734375" style="203" customWidth="1"/>
    <col min="5384" max="5385" width="8.21875" style="203" customWidth="1"/>
    <col min="5386" max="5632" width="7.109375" style="203"/>
    <col min="5633" max="5633" width="10.21875" style="203" customWidth="1"/>
    <col min="5634" max="5634" width="3.5546875" style="203" customWidth="1"/>
    <col min="5635" max="5636" width="1.77734375" style="203" customWidth="1"/>
    <col min="5637" max="5637" width="4" style="203" customWidth="1"/>
    <col min="5638" max="5638" width="24.21875" style="203" customWidth="1"/>
    <col min="5639" max="5639" width="1.77734375" style="203" customWidth="1"/>
    <col min="5640" max="5641" width="8.21875" style="203" customWidth="1"/>
    <col min="5642" max="5888" width="7.109375" style="203"/>
    <col min="5889" max="5889" width="10.21875" style="203" customWidth="1"/>
    <col min="5890" max="5890" width="3.5546875" style="203" customWidth="1"/>
    <col min="5891" max="5892" width="1.77734375" style="203" customWidth="1"/>
    <col min="5893" max="5893" width="4" style="203" customWidth="1"/>
    <col min="5894" max="5894" width="24.21875" style="203" customWidth="1"/>
    <col min="5895" max="5895" width="1.77734375" style="203" customWidth="1"/>
    <col min="5896" max="5897" width="8.21875" style="203" customWidth="1"/>
    <col min="5898" max="6144" width="7.109375" style="203"/>
    <col min="6145" max="6145" width="10.21875" style="203" customWidth="1"/>
    <col min="6146" max="6146" width="3.5546875" style="203" customWidth="1"/>
    <col min="6147" max="6148" width="1.77734375" style="203" customWidth="1"/>
    <col min="6149" max="6149" width="4" style="203" customWidth="1"/>
    <col min="6150" max="6150" width="24.21875" style="203" customWidth="1"/>
    <col min="6151" max="6151" width="1.77734375" style="203" customWidth="1"/>
    <col min="6152" max="6153" width="8.21875" style="203" customWidth="1"/>
    <col min="6154" max="6400" width="7.109375" style="203"/>
    <col min="6401" max="6401" width="10.21875" style="203" customWidth="1"/>
    <col min="6402" max="6402" width="3.5546875" style="203" customWidth="1"/>
    <col min="6403" max="6404" width="1.77734375" style="203" customWidth="1"/>
    <col min="6405" max="6405" width="4" style="203" customWidth="1"/>
    <col min="6406" max="6406" width="24.21875" style="203" customWidth="1"/>
    <col min="6407" max="6407" width="1.77734375" style="203" customWidth="1"/>
    <col min="6408" max="6409" width="8.21875" style="203" customWidth="1"/>
    <col min="6410" max="6656" width="7.109375" style="203"/>
    <col min="6657" max="6657" width="10.21875" style="203" customWidth="1"/>
    <col min="6658" max="6658" width="3.5546875" style="203" customWidth="1"/>
    <col min="6659" max="6660" width="1.77734375" style="203" customWidth="1"/>
    <col min="6661" max="6661" width="4" style="203" customWidth="1"/>
    <col min="6662" max="6662" width="24.21875" style="203" customWidth="1"/>
    <col min="6663" max="6663" width="1.77734375" style="203" customWidth="1"/>
    <col min="6664" max="6665" width="8.21875" style="203" customWidth="1"/>
    <col min="6666" max="6912" width="7.109375" style="203"/>
    <col min="6913" max="6913" width="10.21875" style="203" customWidth="1"/>
    <col min="6914" max="6914" width="3.5546875" style="203" customWidth="1"/>
    <col min="6915" max="6916" width="1.77734375" style="203" customWidth="1"/>
    <col min="6917" max="6917" width="4" style="203" customWidth="1"/>
    <col min="6918" max="6918" width="24.21875" style="203" customWidth="1"/>
    <col min="6919" max="6919" width="1.77734375" style="203" customWidth="1"/>
    <col min="6920" max="6921" width="8.21875" style="203" customWidth="1"/>
    <col min="6922" max="7168" width="7.109375" style="203"/>
    <col min="7169" max="7169" width="10.21875" style="203" customWidth="1"/>
    <col min="7170" max="7170" width="3.5546875" style="203" customWidth="1"/>
    <col min="7171" max="7172" width="1.77734375" style="203" customWidth="1"/>
    <col min="7173" max="7173" width="4" style="203" customWidth="1"/>
    <col min="7174" max="7174" width="24.21875" style="203" customWidth="1"/>
    <col min="7175" max="7175" width="1.77734375" style="203" customWidth="1"/>
    <col min="7176" max="7177" width="8.21875" style="203" customWidth="1"/>
    <col min="7178" max="7424" width="7.109375" style="203"/>
    <col min="7425" max="7425" width="10.21875" style="203" customWidth="1"/>
    <col min="7426" max="7426" width="3.5546875" style="203" customWidth="1"/>
    <col min="7427" max="7428" width="1.77734375" style="203" customWidth="1"/>
    <col min="7429" max="7429" width="4" style="203" customWidth="1"/>
    <col min="7430" max="7430" width="24.21875" style="203" customWidth="1"/>
    <col min="7431" max="7431" width="1.77734375" style="203" customWidth="1"/>
    <col min="7432" max="7433" width="8.21875" style="203" customWidth="1"/>
    <col min="7434" max="7680" width="7.109375" style="203"/>
    <col min="7681" max="7681" width="10.21875" style="203" customWidth="1"/>
    <col min="7682" max="7682" width="3.5546875" style="203" customWidth="1"/>
    <col min="7683" max="7684" width="1.77734375" style="203" customWidth="1"/>
    <col min="7685" max="7685" width="4" style="203" customWidth="1"/>
    <col min="7686" max="7686" width="24.21875" style="203" customWidth="1"/>
    <col min="7687" max="7687" width="1.77734375" style="203" customWidth="1"/>
    <col min="7688" max="7689" width="8.21875" style="203" customWidth="1"/>
    <col min="7690" max="7936" width="7.109375" style="203"/>
    <col min="7937" max="7937" width="10.21875" style="203" customWidth="1"/>
    <col min="7938" max="7938" width="3.5546875" style="203" customWidth="1"/>
    <col min="7939" max="7940" width="1.77734375" style="203" customWidth="1"/>
    <col min="7941" max="7941" width="4" style="203" customWidth="1"/>
    <col min="7942" max="7942" width="24.21875" style="203" customWidth="1"/>
    <col min="7943" max="7943" width="1.77734375" style="203" customWidth="1"/>
    <col min="7944" max="7945" width="8.21875" style="203" customWidth="1"/>
    <col min="7946" max="8192" width="7.109375" style="203"/>
    <col min="8193" max="8193" width="10.21875" style="203" customWidth="1"/>
    <col min="8194" max="8194" width="3.5546875" style="203" customWidth="1"/>
    <col min="8195" max="8196" width="1.77734375" style="203" customWidth="1"/>
    <col min="8197" max="8197" width="4" style="203" customWidth="1"/>
    <col min="8198" max="8198" width="24.21875" style="203" customWidth="1"/>
    <col min="8199" max="8199" width="1.77734375" style="203" customWidth="1"/>
    <col min="8200" max="8201" width="8.21875" style="203" customWidth="1"/>
    <col min="8202" max="8448" width="7.109375" style="203"/>
    <col min="8449" max="8449" width="10.21875" style="203" customWidth="1"/>
    <col min="8450" max="8450" width="3.5546875" style="203" customWidth="1"/>
    <col min="8451" max="8452" width="1.77734375" style="203" customWidth="1"/>
    <col min="8453" max="8453" width="4" style="203" customWidth="1"/>
    <col min="8454" max="8454" width="24.21875" style="203" customWidth="1"/>
    <col min="8455" max="8455" width="1.77734375" style="203" customWidth="1"/>
    <col min="8456" max="8457" width="8.21875" style="203" customWidth="1"/>
    <col min="8458" max="8704" width="7.109375" style="203"/>
    <col min="8705" max="8705" width="10.21875" style="203" customWidth="1"/>
    <col min="8706" max="8706" width="3.5546875" style="203" customWidth="1"/>
    <col min="8707" max="8708" width="1.77734375" style="203" customWidth="1"/>
    <col min="8709" max="8709" width="4" style="203" customWidth="1"/>
    <col min="8710" max="8710" width="24.21875" style="203" customWidth="1"/>
    <col min="8711" max="8711" width="1.77734375" style="203" customWidth="1"/>
    <col min="8712" max="8713" width="8.21875" style="203" customWidth="1"/>
    <col min="8714" max="8960" width="7.109375" style="203"/>
    <col min="8961" max="8961" width="10.21875" style="203" customWidth="1"/>
    <col min="8962" max="8962" width="3.5546875" style="203" customWidth="1"/>
    <col min="8963" max="8964" width="1.77734375" style="203" customWidth="1"/>
    <col min="8965" max="8965" width="4" style="203" customWidth="1"/>
    <col min="8966" max="8966" width="24.21875" style="203" customWidth="1"/>
    <col min="8967" max="8967" width="1.77734375" style="203" customWidth="1"/>
    <col min="8968" max="8969" width="8.21875" style="203" customWidth="1"/>
    <col min="8970" max="9216" width="7.109375" style="203"/>
    <col min="9217" max="9217" width="10.21875" style="203" customWidth="1"/>
    <col min="9218" max="9218" width="3.5546875" style="203" customWidth="1"/>
    <col min="9219" max="9220" width="1.77734375" style="203" customWidth="1"/>
    <col min="9221" max="9221" width="4" style="203" customWidth="1"/>
    <col min="9222" max="9222" width="24.21875" style="203" customWidth="1"/>
    <col min="9223" max="9223" width="1.77734375" style="203" customWidth="1"/>
    <col min="9224" max="9225" width="8.21875" style="203" customWidth="1"/>
    <col min="9226" max="9472" width="7.109375" style="203"/>
    <col min="9473" max="9473" width="10.21875" style="203" customWidth="1"/>
    <col min="9474" max="9474" width="3.5546875" style="203" customWidth="1"/>
    <col min="9475" max="9476" width="1.77734375" style="203" customWidth="1"/>
    <col min="9477" max="9477" width="4" style="203" customWidth="1"/>
    <col min="9478" max="9478" width="24.21875" style="203" customWidth="1"/>
    <col min="9479" max="9479" width="1.77734375" style="203" customWidth="1"/>
    <col min="9480" max="9481" width="8.21875" style="203" customWidth="1"/>
    <col min="9482" max="9728" width="7.109375" style="203"/>
    <col min="9729" max="9729" width="10.21875" style="203" customWidth="1"/>
    <col min="9730" max="9730" width="3.5546875" style="203" customWidth="1"/>
    <col min="9731" max="9732" width="1.77734375" style="203" customWidth="1"/>
    <col min="9733" max="9733" width="4" style="203" customWidth="1"/>
    <col min="9734" max="9734" width="24.21875" style="203" customWidth="1"/>
    <col min="9735" max="9735" width="1.77734375" style="203" customWidth="1"/>
    <col min="9736" max="9737" width="8.21875" style="203" customWidth="1"/>
    <col min="9738" max="9984" width="7.109375" style="203"/>
    <col min="9985" max="9985" width="10.21875" style="203" customWidth="1"/>
    <col min="9986" max="9986" width="3.5546875" style="203" customWidth="1"/>
    <col min="9987" max="9988" width="1.77734375" style="203" customWidth="1"/>
    <col min="9989" max="9989" width="4" style="203" customWidth="1"/>
    <col min="9990" max="9990" width="24.21875" style="203" customWidth="1"/>
    <col min="9991" max="9991" width="1.77734375" style="203" customWidth="1"/>
    <col min="9992" max="9993" width="8.21875" style="203" customWidth="1"/>
    <col min="9994" max="10240" width="7.109375" style="203"/>
    <col min="10241" max="10241" width="10.21875" style="203" customWidth="1"/>
    <col min="10242" max="10242" width="3.5546875" style="203" customWidth="1"/>
    <col min="10243" max="10244" width="1.77734375" style="203" customWidth="1"/>
    <col min="10245" max="10245" width="4" style="203" customWidth="1"/>
    <col min="10246" max="10246" width="24.21875" style="203" customWidth="1"/>
    <col min="10247" max="10247" width="1.77734375" style="203" customWidth="1"/>
    <col min="10248" max="10249" width="8.21875" style="203" customWidth="1"/>
    <col min="10250" max="10496" width="7.109375" style="203"/>
    <col min="10497" max="10497" width="10.21875" style="203" customWidth="1"/>
    <col min="10498" max="10498" width="3.5546875" style="203" customWidth="1"/>
    <col min="10499" max="10500" width="1.77734375" style="203" customWidth="1"/>
    <col min="10501" max="10501" width="4" style="203" customWidth="1"/>
    <col min="10502" max="10502" width="24.21875" style="203" customWidth="1"/>
    <col min="10503" max="10503" width="1.77734375" style="203" customWidth="1"/>
    <col min="10504" max="10505" width="8.21875" style="203" customWidth="1"/>
    <col min="10506" max="10752" width="7.109375" style="203"/>
    <col min="10753" max="10753" width="10.21875" style="203" customWidth="1"/>
    <col min="10754" max="10754" width="3.5546875" style="203" customWidth="1"/>
    <col min="10755" max="10756" width="1.77734375" style="203" customWidth="1"/>
    <col min="10757" max="10757" width="4" style="203" customWidth="1"/>
    <col min="10758" max="10758" width="24.21875" style="203" customWidth="1"/>
    <col min="10759" max="10759" width="1.77734375" style="203" customWidth="1"/>
    <col min="10760" max="10761" width="8.21875" style="203" customWidth="1"/>
    <col min="10762" max="11008" width="7.109375" style="203"/>
    <col min="11009" max="11009" width="10.21875" style="203" customWidth="1"/>
    <col min="11010" max="11010" width="3.5546875" style="203" customWidth="1"/>
    <col min="11011" max="11012" width="1.77734375" style="203" customWidth="1"/>
    <col min="11013" max="11013" width="4" style="203" customWidth="1"/>
    <col min="11014" max="11014" width="24.21875" style="203" customWidth="1"/>
    <col min="11015" max="11015" width="1.77734375" style="203" customWidth="1"/>
    <col min="11016" max="11017" width="8.21875" style="203" customWidth="1"/>
    <col min="11018" max="11264" width="7.109375" style="203"/>
    <col min="11265" max="11265" width="10.21875" style="203" customWidth="1"/>
    <col min="11266" max="11266" width="3.5546875" style="203" customWidth="1"/>
    <col min="11267" max="11268" width="1.77734375" style="203" customWidth="1"/>
    <col min="11269" max="11269" width="4" style="203" customWidth="1"/>
    <col min="11270" max="11270" width="24.21875" style="203" customWidth="1"/>
    <col min="11271" max="11271" width="1.77734375" style="203" customWidth="1"/>
    <col min="11272" max="11273" width="8.21875" style="203" customWidth="1"/>
    <col min="11274" max="11520" width="7.109375" style="203"/>
    <col min="11521" max="11521" width="10.21875" style="203" customWidth="1"/>
    <col min="11522" max="11522" width="3.5546875" style="203" customWidth="1"/>
    <col min="11523" max="11524" width="1.77734375" style="203" customWidth="1"/>
    <col min="11525" max="11525" width="4" style="203" customWidth="1"/>
    <col min="11526" max="11526" width="24.21875" style="203" customWidth="1"/>
    <col min="11527" max="11527" width="1.77734375" style="203" customWidth="1"/>
    <col min="11528" max="11529" width="8.21875" style="203" customWidth="1"/>
    <col min="11530" max="11776" width="7.109375" style="203"/>
    <col min="11777" max="11777" width="10.21875" style="203" customWidth="1"/>
    <col min="11778" max="11778" width="3.5546875" style="203" customWidth="1"/>
    <col min="11779" max="11780" width="1.77734375" style="203" customWidth="1"/>
    <col min="11781" max="11781" width="4" style="203" customWidth="1"/>
    <col min="11782" max="11782" width="24.21875" style="203" customWidth="1"/>
    <col min="11783" max="11783" width="1.77734375" style="203" customWidth="1"/>
    <col min="11784" max="11785" width="8.21875" style="203" customWidth="1"/>
    <col min="11786" max="12032" width="7.109375" style="203"/>
    <col min="12033" max="12033" width="10.21875" style="203" customWidth="1"/>
    <col min="12034" max="12034" width="3.5546875" style="203" customWidth="1"/>
    <col min="12035" max="12036" width="1.77734375" style="203" customWidth="1"/>
    <col min="12037" max="12037" width="4" style="203" customWidth="1"/>
    <col min="12038" max="12038" width="24.21875" style="203" customWidth="1"/>
    <col min="12039" max="12039" width="1.77734375" style="203" customWidth="1"/>
    <col min="12040" max="12041" width="8.21875" style="203" customWidth="1"/>
    <col min="12042" max="12288" width="7.109375" style="203"/>
    <col min="12289" max="12289" width="10.21875" style="203" customWidth="1"/>
    <col min="12290" max="12290" width="3.5546875" style="203" customWidth="1"/>
    <col min="12291" max="12292" width="1.77734375" style="203" customWidth="1"/>
    <col min="12293" max="12293" width="4" style="203" customWidth="1"/>
    <col min="12294" max="12294" width="24.21875" style="203" customWidth="1"/>
    <col min="12295" max="12295" width="1.77734375" style="203" customWidth="1"/>
    <col min="12296" max="12297" width="8.21875" style="203" customWidth="1"/>
    <col min="12298" max="12544" width="7.109375" style="203"/>
    <col min="12545" max="12545" width="10.21875" style="203" customWidth="1"/>
    <col min="12546" max="12546" width="3.5546875" style="203" customWidth="1"/>
    <col min="12547" max="12548" width="1.77734375" style="203" customWidth="1"/>
    <col min="12549" max="12549" width="4" style="203" customWidth="1"/>
    <col min="12550" max="12550" width="24.21875" style="203" customWidth="1"/>
    <col min="12551" max="12551" width="1.77734375" style="203" customWidth="1"/>
    <col min="12552" max="12553" width="8.21875" style="203" customWidth="1"/>
    <col min="12554" max="12800" width="7.109375" style="203"/>
    <col min="12801" max="12801" width="10.21875" style="203" customWidth="1"/>
    <col min="12802" max="12802" width="3.5546875" style="203" customWidth="1"/>
    <col min="12803" max="12804" width="1.77734375" style="203" customWidth="1"/>
    <col min="12805" max="12805" width="4" style="203" customWidth="1"/>
    <col min="12806" max="12806" width="24.21875" style="203" customWidth="1"/>
    <col min="12807" max="12807" width="1.77734375" style="203" customWidth="1"/>
    <col min="12808" max="12809" width="8.21875" style="203" customWidth="1"/>
    <col min="12810" max="13056" width="7.109375" style="203"/>
    <col min="13057" max="13057" width="10.21875" style="203" customWidth="1"/>
    <col min="13058" max="13058" width="3.5546875" style="203" customWidth="1"/>
    <col min="13059" max="13060" width="1.77734375" style="203" customWidth="1"/>
    <col min="13061" max="13061" width="4" style="203" customWidth="1"/>
    <col min="13062" max="13062" width="24.21875" style="203" customWidth="1"/>
    <col min="13063" max="13063" width="1.77734375" style="203" customWidth="1"/>
    <col min="13064" max="13065" width="8.21875" style="203" customWidth="1"/>
    <col min="13066" max="13312" width="7.109375" style="203"/>
    <col min="13313" max="13313" width="10.21875" style="203" customWidth="1"/>
    <col min="13314" max="13314" width="3.5546875" style="203" customWidth="1"/>
    <col min="13315" max="13316" width="1.77734375" style="203" customWidth="1"/>
    <col min="13317" max="13317" width="4" style="203" customWidth="1"/>
    <col min="13318" max="13318" width="24.21875" style="203" customWidth="1"/>
    <col min="13319" max="13319" width="1.77734375" style="203" customWidth="1"/>
    <col min="13320" max="13321" width="8.21875" style="203" customWidth="1"/>
    <col min="13322" max="13568" width="7.109375" style="203"/>
    <col min="13569" max="13569" width="10.21875" style="203" customWidth="1"/>
    <col min="13570" max="13570" width="3.5546875" style="203" customWidth="1"/>
    <col min="13571" max="13572" width="1.77734375" style="203" customWidth="1"/>
    <col min="13573" max="13573" width="4" style="203" customWidth="1"/>
    <col min="13574" max="13574" width="24.21875" style="203" customWidth="1"/>
    <col min="13575" max="13575" width="1.77734375" style="203" customWidth="1"/>
    <col min="13576" max="13577" width="8.21875" style="203" customWidth="1"/>
    <col min="13578" max="13824" width="7.109375" style="203"/>
    <col min="13825" max="13825" width="10.21875" style="203" customWidth="1"/>
    <col min="13826" max="13826" width="3.5546875" style="203" customWidth="1"/>
    <col min="13827" max="13828" width="1.77734375" style="203" customWidth="1"/>
    <col min="13829" max="13829" width="4" style="203" customWidth="1"/>
    <col min="13830" max="13830" width="24.21875" style="203" customWidth="1"/>
    <col min="13831" max="13831" width="1.77734375" style="203" customWidth="1"/>
    <col min="13832" max="13833" width="8.21875" style="203" customWidth="1"/>
    <col min="13834" max="14080" width="7.109375" style="203"/>
    <col min="14081" max="14081" width="10.21875" style="203" customWidth="1"/>
    <col min="14082" max="14082" width="3.5546875" style="203" customWidth="1"/>
    <col min="14083" max="14084" width="1.77734375" style="203" customWidth="1"/>
    <col min="14085" max="14085" width="4" style="203" customWidth="1"/>
    <col min="14086" max="14086" width="24.21875" style="203" customWidth="1"/>
    <col min="14087" max="14087" width="1.77734375" style="203" customWidth="1"/>
    <col min="14088" max="14089" width="8.21875" style="203" customWidth="1"/>
    <col min="14090" max="14336" width="7.109375" style="203"/>
    <col min="14337" max="14337" width="10.21875" style="203" customWidth="1"/>
    <col min="14338" max="14338" width="3.5546875" style="203" customWidth="1"/>
    <col min="14339" max="14340" width="1.77734375" style="203" customWidth="1"/>
    <col min="14341" max="14341" width="4" style="203" customWidth="1"/>
    <col min="14342" max="14342" width="24.21875" style="203" customWidth="1"/>
    <col min="14343" max="14343" width="1.77734375" style="203" customWidth="1"/>
    <col min="14344" max="14345" width="8.21875" style="203" customWidth="1"/>
    <col min="14346" max="14592" width="7.109375" style="203"/>
    <col min="14593" max="14593" width="10.21875" style="203" customWidth="1"/>
    <col min="14594" max="14594" width="3.5546875" style="203" customWidth="1"/>
    <col min="14595" max="14596" width="1.77734375" style="203" customWidth="1"/>
    <col min="14597" max="14597" width="4" style="203" customWidth="1"/>
    <col min="14598" max="14598" width="24.21875" style="203" customWidth="1"/>
    <col min="14599" max="14599" width="1.77734375" style="203" customWidth="1"/>
    <col min="14600" max="14601" width="8.21875" style="203" customWidth="1"/>
    <col min="14602" max="14848" width="7.109375" style="203"/>
    <col min="14849" max="14849" width="10.21875" style="203" customWidth="1"/>
    <col min="14850" max="14850" width="3.5546875" style="203" customWidth="1"/>
    <col min="14851" max="14852" width="1.77734375" style="203" customWidth="1"/>
    <col min="14853" max="14853" width="4" style="203" customWidth="1"/>
    <col min="14854" max="14854" width="24.21875" style="203" customWidth="1"/>
    <col min="14855" max="14855" width="1.77734375" style="203" customWidth="1"/>
    <col min="14856" max="14857" width="8.21875" style="203" customWidth="1"/>
    <col min="14858" max="15104" width="7.109375" style="203"/>
    <col min="15105" max="15105" width="10.21875" style="203" customWidth="1"/>
    <col min="15106" max="15106" width="3.5546875" style="203" customWidth="1"/>
    <col min="15107" max="15108" width="1.77734375" style="203" customWidth="1"/>
    <col min="15109" max="15109" width="4" style="203" customWidth="1"/>
    <col min="15110" max="15110" width="24.21875" style="203" customWidth="1"/>
    <col min="15111" max="15111" width="1.77734375" style="203" customWidth="1"/>
    <col min="15112" max="15113" width="8.21875" style="203" customWidth="1"/>
    <col min="15114" max="15360" width="7.109375" style="203"/>
    <col min="15361" max="15361" width="10.21875" style="203" customWidth="1"/>
    <col min="15362" max="15362" width="3.5546875" style="203" customWidth="1"/>
    <col min="15363" max="15364" width="1.77734375" style="203" customWidth="1"/>
    <col min="15365" max="15365" width="4" style="203" customWidth="1"/>
    <col min="15366" max="15366" width="24.21875" style="203" customWidth="1"/>
    <col min="15367" max="15367" width="1.77734375" style="203" customWidth="1"/>
    <col min="15368" max="15369" width="8.21875" style="203" customWidth="1"/>
    <col min="15370" max="15616" width="7.109375" style="203"/>
    <col min="15617" max="15617" width="10.21875" style="203" customWidth="1"/>
    <col min="15618" max="15618" width="3.5546875" style="203" customWidth="1"/>
    <col min="15619" max="15620" width="1.77734375" style="203" customWidth="1"/>
    <col min="15621" max="15621" width="4" style="203" customWidth="1"/>
    <col min="15622" max="15622" width="24.21875" style="203" customWidth="1"/>
    <col min="15623" max="15623" width="1.77734375" style="203" customWidth="1"/>
    <col min="15624" max="15625" width="8.21875" style="203" customWidth="1"/>
    <col min="15626" max="15872" width="7.109375" style="203"/>
    <col min="15873" max="15873" width="10.21875" style="203" customWidth="1"/>
    <col min="15874" max="15874" width="3.5546875" style="203" customWidth="1"/>
    <col min="15875" max="15876" width="1.77734375" style="203" customWidth="1"/>
    <col min="15877" max="15877" width="4" style="203" customWidth="1"/>
    <col min="15878" max="15878" width="24.21875" style="203" customWidth="1"/>
    <col min="15879" max="15879" width="1.77734375" style="203" customWidth="1"/>
    <col min="15880" max="15881" width="8.21875" style="203" customWidth="1"/>
    <col min="15882" max="16128" width="7.109375" style="203"/>
    <col min="16129" max="16129" width="10.21875" style="203" customWidth="1"/>
    <col min="16130" max="16130" width="3.5546875" style="203" customWidth="1"/>
    <col min="16131" max="16132" width="1.77734375" style="203" customWidth="1"/>
    <col min="16133" max="16133" width="4" style="203" customWidth="1"/>
    <col min="16134" max="16134" width="24.21875" style="203" customWidth="1"/>
    <col min="16135" max="16135" width="1.77734375" style="203" customWidth="1"/>
    <col min="16136" max="16137" width="8.21875" style="203" customWidth="1"/>
    <col min="16138" max="16384" width="7.109375" style="203"/>
  </cols>
  <sheetData>
    <row r="1" spans="1:17" ht="14.25" customHeight="1">
      <c r="A1" s="949" t="s">
        <v>48</v>
      </c>
      <c r="B1" s="949"/>
      <c r="C1" s="949"/>
      <c r="D1" s="949"/>
      <c r="E1" s="949"/>
      <c r="F1" s="949"/>
      <c r="G1" s="949"/>
      <c r="H1" s="949"/>
      <c r="K1" s="943"/>
      <c r="L1" s="943"/>
      <c r="M1" s="943"/>
      <c r="N1" s="943"/>
      <c r="O1" s="943"/>
      <c r="P1" s="943"/>
      <c r="Q1" s="943"/>
    </row>
    <row r="2" spans="1:17">
      <c r="A2" s="949" t="s">
        <v>49</v>
      </c>
      <c r="B2" s="949"/>
      <c r="C2" s="949"/>
      <c r="D2" s="949"/>
      <c r="E2" s="949"/>
      <c r="F2" s="949"/>
      <c r="G2" s="949"/>
      <c r="H2" s="949"/>
    </row>
    <row r="3" spans="1:17">
      <c r="A3" s="950" t="str">
        <f>'Act Att-H'!C7</f>
        <v>Cheyenne Light, Fuel &amp; Power</v>
      </c>
      <c r="B3" s="950"/>
      <c r="C3" s="950"/>
      <c r="D3" s="950"/>
      <c r="E3" s="950"/>
      <c r="F3" s="950"/>
      <c r="G3" s="950"/>
      <c r="H3" s="950"/>
    </row>
    <row r="4" spans="1:17">
      <c r="F4" s="2"/>
      <c r="H4" s="204" t="s">
        <v>3</v>
      </c>
    </row>
    <row r="5" spans="1:17">
      <c r="A5" s="215"/>
      <c r="B5" s="215"/>
      <c r="C5" s="215"/>
      <c r="D5" s="215"/>
      <c r="E5" s="215"/>
      <c r="F5" s="215"/>
      <c r="G5" s="215"/>
      <c r="H5" s="215"/>
    </row>
    <row r="6" spans="1:17" ht="60.75" customHeight="1">
      <c r="B6" s="126" t="s">
        <v>83</v>
      </c>
      <c r="C6" s="126" t="s">
        <v>928</v>
      </c>
      <c r="D6" s="126" t="s">
        <v>13</v>
      </c>
      <c r="E6" s="228" t="s">
        <v>929</v>
      </c>
      <c r="F6" s="228" t="s">
        <v>92</v>
      </c>
      <c r="G6" s="228" t="s">
        <v>930</v>
      </c>
      <c r="H6" s="228" t="s">
        <v>931</v>
      </c>
    </row>
    <row r="7" spans="1:17" ht="15" customHeight="1">
      <c r="B7" s="224"/>
      <c r="C7" s="229" t="s">
        <v>490</v>
      </c>
      <c r="D7" s="230" t="s">
        <v>491</v>
      </c>
      <c r="E7" s="230" t="s">
        <v>492</v>
      </c>
      <c r="F7" s="230" t="s">
        <v>493</v>
      </c>
      <c r="G7" s="230" t="s">
        <v>537</v>
      </c>
      <c r="H7" s="230" t="s">
        <v>538</v>
      </c>
    </row>
    <row r="8" spans="1:17">
      <c r="B8" s="205">
        <v>1</v>
      </c>
      <c r="C8" s="416" t="s">
        <v>932</v>
      </c>
      <c r="D8" s="203" t="s">
        <v>932</v>
      </c>
      <c r="E8" s="1015">
        <v>84968.16</v>
      </c>
      <c r="F8" s="653" t="s">
        <v>95</v>
      </c>
      <c r="G8" s="654">
        <f>'Act Att-H'!$I$179</f>
        <v>0.61863245862384375</v>
      </c>
      <c r="H8" s="650">
        <f t="shared" ref="H8:H31" si="0">G8*E8</f>
        <v>52564.061725544139</v>
      </c>
      <c r="M8" s="416"/>
    </row>
    <row r="9" spans="1:17" ht="15" customHeight="1">
      <c r="B9" s="205">
        <v>2</v>
      </c>
      <c r="C9" s="416" t="s">
        <v>933</v>
      </c>
      <c r="D9" s="203" t="s">
        <v>934</v>
      </c>
      <c r="E9" s="1016">
        <v>161786</v>
      </c>
      <c r="F9" s="653" t="s">
        <v>95</v>
      </c>
      <c r="G9" s="654">
        <f>'Act Att-H'!$I$179</f>
        <v>0.61863245862384375</v>
      </c>
      <c r="H9" s="651">
        <f t="shared" si="0"/>
        <v>100086.07095091719</v>
      </c>
      <c r="M9" s="416"/>
    </row>
    <row r="10" spans="1:17" ht="15" customHeight="1">
      <c r="B10" s="205">
        <v>3</v>
      </c>
      <c r="C10" s="416" t="s">
        <v>935</v>
      </c>
      <c r="D10" s="203" t="s">
        <v>936</v>
      </c>
      <c r="E10" s="1016">
        <v>7864.06</v>
      </c>
      <c r="F10" s="653" t="s">
        <v>369</v>
      </c>
      <c r="G10" s="654">
        <f>'Act Att-H'!$I$207</f>
        <v>6.6848958689547669E-2</v>
      </c>
      <c r="H10" s="651">
        <f t="shared" si="0"/>
        <v>525.70422207212425</v>
      </c>
      <c r="M10" s="416"/>
    </row>
    <row r="11" spans="1:17" ht="15" customHeight="1">
      <c r="B11" s="205">
        <v>4</v>
      </c>
      <c r="C11" s="416" t="s">
        <v>937</v>
      </c>
      <c r="D11" s="203" t="s">
        <v>938</v>
      </c>
      <c r="E11" s="1016">
        <v>4419</v>
      </c>
      <c r="F11" s="653" t="s">
        <v>369</v>
      </c>
      <c r="G11" s="654">
        <f>'Act Att-H'!$I$207</f>
        <v>6.6848958689547669E-2</v>
      </c>
      <c r="H11" s="651">
        <f t="shared" si="0"/>
        <v>295.40554844911117</v>
      </c>
      <c r="M11" s="416"/>
    </row>
    <row r="12" spans="1:17" ht="15" customHeight="1">
      <c r="B12" s="205">
        <v>5</v>
      </c>
      <c r="C12" s="416" t="s">
        <v>939</v>
      </c>
      <c r="D12" s="203" t="s">
        <v>940</v>
      </c>
      <c r="E12" s="1016">
        <v>3022.55</v>
      </c>
      <c r="F12" s="653" t="s">
        <v>369</v>
      </c>
      <c r="G12" s="654">
        <f>'Act Att-H'!$I$207</f>
        <v>6.6848958689547669E-2</v>
      </c>
      <c r="H12" s="651">
        <f t="shared" ref="H12:H22" si="1">G12*E12</f>
        <v>202.05432008709232</v>
      </c>
      <c r="M12" s="416"/>
    </row>
    <row r="13" spans="1:17" ht="15" customHeight="1">
      <c r="B13" s="205">
        <v>6</v>
      </c>
      <c r="C13" s="416" t="s">
        <v>941</v>
      </c>
      <c r="D13" s="203" t="s">
        <v>942</v>
      </c>
      <c r="E13" s="1016">
        <v>2188.7399999999998</v>
      </c>
      <c r="F13" s="653" t="s">
        <v>142</v>
      </c>
      <c r="G13" s="654">
        <v>0</v>
      </c>
      <c r="H13" s="651">
        <f t="shared" si="1"/>
        <v>0</v>
      </c>
      <c r="M13" s="416"/>
    </row>
    <row r="14" spans="1:17" ht="15" customHeight="1">
      <c r="B14" s="205">
        <v>7</v>
      </c>
      <c r="C14" s="416" t="s">
        <v>943</v>
      </c>
      <c r="D14" s="203" t="s">
        <v>944</v>
      </c>
      <c r="E14" s="1016">
        <v>167703.51999999999</v>
      </c>
      <c r="F14" s="653" t="s">
        <v>142</v>
      </c>
      <c r="G14" s="654">
        <v>0</v>
      </c>
      <c r="H14" s="651">
        <f t="shared" si="1"/>
        <v>0</v>
      </c>
      <c r="M14" s="416"/>
    </row>
    <row r="15" spans="1:17" ht="15" customHeight="1">
      <c r="B15" s="205">
        <v>8</v>
      </c>
      <c r="C15" s="416" t="s">
        <v>945</v>
      </c>
      <c r="D15" s="203" t="s">
        <v>946</v>
      </c>
      <c r="E15" s="1016">
        <v>207397.39</v>
      </c>
      <c r="F15" s="653" t="s">
        <v>369</v>
      </c>
      <c r="G15" s="654">
        <f>'Act Att-H'!$I$207</f>
        <v>6.6848958689547669E-2</v>
      </c>
      <c r="H15" s="651">
        <f t="shared" si="1"/>
        <v>13864.299556430007</v>
      </c>
      <c r="M15" s="416"/>
    </row>
    <row r="16" spans="1:17" ht="15" customHeight="1">
      <c r="B16" s="205">
        <v>9</v>
      </c>
      <c r="C16" s="416" t="s">
        <v>947</v>
      </c>
      <c r="D16" s="203" t="s">
        <v>948</v>
      </c>
      <c r="E16" s="1016">
        <v>0</v>
      </c>
      <c r="F16" s="653" t="s">
        <v>369</v>
      </c>
      <c r="G16" s="654">
        <f>'Act Att-H'!$I$207</f>
        <v>6.6848958689547669E-2</v>
      </c>
      <c r="H16" s="651">
        <f t="shared" si="1"/>
        <v>0</v>
      </c>
      <c r="M16" s="416"/>
    </row>
    <row r="17" spans="2:13">
      <c r="B17" s="205">
        <v>10</v>
      </c>
      <c r="C17" s="416" t="s">
        <v>949</v>
      </c>
      <c r="D17" s="203" t="s">
        <v>950</v>
      </c>
      <c r="E17" s="1016">
        <v>706191.62</v>
      </c>
      <c r="F17" s="653" t="s">
        <v>142</v>
      </c>
      <c r="G17" s="654">
        <v>0</v>
      </c>
      <c r="H17" s="651">
        <f t="shared" si="1"/>
        <v>0</v>
      </c>
      <c r="M17" s="416"/>
    </row>
    <row r="18" spans="2:13">
      <c r="B18" s="205">
        <v>11</v>
      </c>
      <c r="C18" s="895" t="s">
        <v>1427</v>
      </c>
      <c r="D18" s="1017" t="s">
        <v>1428</v>
      </c>
      <c r="E18" s="1016">
        <v>25993.15</v>
      </c>
      <c r="F18" s="1018" t="s">
        <v>142</v>
      </c>
      <c r="G18" s="654">
        <f t="shared" ref="G18:G31" si="2">IF(F18=0,0, IF(F18="NA", NA, IF(F18="TP",TP, IF(F18="TE",TE,IF(F18="CE",CE,IF(F18="WS",WS,IF(F18="DA",DA, IF(F18="NP",NP))))))))</f>
        <v>0</v>
      </c>
      <c r="H18" s="651">
        <f t="shared" si="1"/>
        <v>0</v>
      </c>
      <c r="L18" s="416"/>
      <c r="M18" s="416"/>
    </row>
    <row r="19" spans="2:13">
      <c r="B19" s="205">
        <v>12</v>
      </c>
      <c r="C19" s="895" t="s">
        <v>1427</v>
      </c>
      <c r="D19" s="1017" t="s">
        <v>1429</v>
      </c>
      <c r="E19" s="1016">
        <v>714.53</v>
      </c>
      <c r="F19" s="1018" t="s">
        <v>142</v>
      </c>
      <c r="G19" s="654">
        <f t="shared" si="2"/>
        <v>0</v>
      </c>
      <c r="H19" s="651">
        <f t="shared" si="1"/>
        <v>0</v>
      </c>
      <c r="L19" s="416"/>
      <c r="M19" s="416"/>
    </row>
    <row r="20" spans="2:13">
      <c r="B20" s="205">
        <v>13</v>
      </c>
      <c r="C20" s="895" t="s">
        <v>1427</v>
      </c>
      <c r="D20" s="1017" t="s">
        <v>1430</v>
      </c>
      <c r="E20" s="1016">
        <v>933.19</v>
      </c>
      <c r="F20" s="1018" t="s">
        <v>142</v>
      </c>
      <c r="G20" s="654">
        <f t="shared" si="2"/>
        <v>0</v>
      </c>
      <c r="H20" s="651">
        <f t="shared" si="1"/>
        <v>0</v>
      </c>
      <c r="L20" s="416"/>
      <c r="M20" s="416"/>
    </row>
    <row r="21" spans="2:13">
      <c r="B21" s="205">
        <v>14</v>
      </c>
      <c r="C21" s="895" t="s">
        <v>1431</v>
      </c>
      <c r="D21" s="1017" t="s">
        <v>1432</v>
      </c>
      <c r="E21" s="1016">
        <v>24065.98</v>
      </c>
      <c r="F21" s="1018" t="s">
        <v>142</v>
      </c>
      <c r="G21" s="654">
        <f t="shared" si="2"/>
        <v>0</v>
      </c>
      <c r="H21" s="651">
        <f t="shared" si="1"/>
        <v>0</v>
      </c>
      <c r="L21" s="416"/>
      <c r="M21" s="416"/>
    </row>
    <row r="22" spans="2:13">
      <c r="B22" s="205">
        <v>15</v>
      </c>
      <c r="C22" s="895" t="s">
        <v>1433</v>
      </c>
      <c r="D22" s="1017" t="s">
        <v>1434</v>
      </c>
      <c r="E22" s="1016">
        <v>55020.67</v>
      </c>
      <c r="F22" s="1018" t="s">
        <v>369</v>
      </c>
      <c r="G22" s="654">
        <f t="shared" si="2"/>
        <v>6.6848958689547669E-2</v>
      </c>
      <c r="H22" s="651">
        <f t="shared" si="1"/>
        <v>3678.0744959012345</v>
      </c>
      <c r="J22" s="225"/>
      <c r="L22" s="416"/>
      <c r="M22" s="416"/>
    </row>
    <row r="23" spans="2:13">
      <c r="B23" s="205">
        <v>16</v>
      </c>
      <c r="C23" s="895" t="s">
        <v>1435</v>
      </c>
      <c r="D23" s="1017" t="s">
        <v>1436</v>
      </c>
      <c r="E23" s="1016">
        <v>2377.66</v>
      </c>
      <c r="F23" s="1018" t="s">
        <v>369</v>
      </c>
      <c r="G23" s="654">
        <f t="shared" si="2"/>
        <v>6.6848958689547669E-2</v>
      </c>
      <c r="H23" s="651">
        <f t="shared" si="0"/>
        <v>158.94409511778991</v>
      </c>
      <c r="L23" s="416"/>
      <c r="M23" s="416"/>
    </row>
    <row r="24" spans="2:13">
      <c r="B24" s="205">
        <v>17</v>
      </c>
      <c r="C24" s="895" t="s">
        <v>1437</v>
      </c>
      <c r="D24" s="1017" t="s">
        <v>1438</v>
      </c>
      <c r="E24" s="1016">
        <v>18884.22</v>
      </c>
      <c r="F24" s="1018" t="s">
        <v>95</v>
      </c>
      <c r="G24" s="654">
        <f t="shared" si="2"/>
        <v>0.61863245862384375</v>
      </c>
      <c r="H24" s="651">
        <f t="shared" si="0"/>
        <v>11682.391447793563</v>
      </c>
      <c r="L24" s="416"/>
      <c r="M24" s="416"/>
    </row>
    <row r="25" spans="2:13">
      <c r="B25" s="205">
        <v>18</v>
      </c>
      <c r="C25" s="895" t="s">
        <v>1439</v>
      </c>
      <c r="D25" s="1017" t="s">
        <v>1440</v>
      </c>
      <c r="E25" s="1016">
        <v>519861.54</v>
      </c>
      <c r="F25" s="1018" t="s">
        <v>95</v>
      </c>
      <c r="G25" s="654">
        <f t="shared" si="2"/>
        <v>0.61863245862384375</v>
      </c>
      <c r="H25" s="651">
        <f t="shared" si="0"/>
        <v>321603.22263417765</v>
      </c>
      <c r="L25" s="416"/>
      <c r="M25" s="416"/>
    </row>
    <row r="26" spans="2:13">
      <c r="B26" s="205">
        <v>19</v>
      </c>
      <c r="C26" s="895"/>
      <c r="D26" s="1017"/>
      <c r="E26" s="1016"/>
      <c r="F26" s="1018"/>
      <c r="G26" s="654">
        <f t="shared" si="2"/>
        <v>0</v>
      </c>
      <c r="H26" s="651">
        <f t="shared" si="0"/>
        <v>0</v>
      </c>
      <c r="L26" s="416"/>
      <c r="M26" s="416"/>
    </row>
    <row r="27" spans="2:13">
      <c r="B27" s="205">
        <v>20</v>
      </c>
      <c r="C27" s="895"/>
      <c r="D27" s="1017"/>
      <c r="E27" s="1016"/>
      <c r="F27" s="1018"/>
      <c r="G27" s="654">
        <f t="shared" si="2"/>
        <v>0</v>
      </c>
      <c r="H27" s="651">
        <f t="shared" si="0"/>
        <v>0</v>
      </c>
      <c r="J27" s="225"/>
      <c r="L27" s="416"/>
      <c r="M27" s="416"/>
    </row>
    <row r="28" spans="2:13">
      <c r="B28" s="205">
        <v>21</v>
      </c>
      <c r="C28" s="895"/>
      <c r="D28" s="1017"/>
      <c r="E28" s="1016"/>
      <c r="F28" s="1018"/>
      <c r="G28" s="654">
        <f t="shared" si="2"/>
        <v>0</v>
      </c>
      <c r="H28" s="651">
        <f t="shared" si="0"/>
        <v>0</v>
      </c>
      <c r="I28" s="225"/>
      <c r="L28" s="416"/>
      <c r="M28" s="416"/>
    </row>
    <row r="29" spans="2:13">
      <c r="B29" s="205">
        <v>22</v>
      </c>
      <c r="C29" s="895"/>
      <c r="D29" s="1017"/>
      <c r="E29" s="1016"/>
      <c r="F29" s="1018"/>
      <c r="G29" s="654">
        <f t="shared" si="2"/>
        <v>0</v>
      </c>
      <c r="H29" s="651">
        <f t="shared" si="0"/>
        <v>0</v>
      </c>
      <c r="I29" s="225"/>
      <c r="L29" s="416"/>
      <c r="M29" s="416"/>
    </row>
    <row r="30" spans="2:13">
      <c r="B30" s="205">
        <v>23</v>
      </c>
      <c r="C30" s="895"/>
      <c r="D30" s="1017"/>
      <c r="E30" s="1016"/>
      <c r="F30" s="1018"/>
      <c r="G30" s="654">
        <f t="shared" si="2"/>
        <v>0</v>
      </c>
      <c r="H30" s="651">
        <f t="shared" si="0"/>
        <v>0</v>
      </c>
      <c r="I30" s="225"/>
      <c r="L30" s="416"/>
      <c r="M30" s="416"/>
    </row>
    <row r="31" spans="2:13">
      <c r="B31" s="205">
        <v>24</v>
      </c>
      <c r="C31" s="895"/>
      <c r="D31" s="1017"/>
      <c r="E31" s="1016"/>
      <c r="F31" s="1018"/>
      <c r="G31" s="654">
        <f t="shared" si="2"/>
        <v>0</v>
      </c>
      <c r="H31" s="651">
        <f t="shared" si="0"/>
        <v>0</v>
      </c>
      <c r="I31" s="225"/>
      <c r="L31" s="416"/>
      <c r="M31" s="416"/>
    </row>
    <row r="32" spans="2:13">
      <c r="B32" s="205">
        <v>25</v>
      </c>
      <c r="C32" s="895" t="s">
        <v>644</v>
      </c>
      <c r="D32" s="1017"/>
      <c r="E32" s="1016"/>
      <c r="F32" s="1018"/>
      <c r="G32" s="654"/>
      <c r="H32" s="651"/>
      <c r="I32" s="225"/>
      <c r="L32" s="416"/>
      <c r="M32" s="416"/>
    </row>
    <row r="33" spans="2:9">
      <c r="B33" s="205">
        <v>210</v>
      </c>
      <c r="C33" s="308" t="s">
        <v>91</v>
      </c>
      <c r="D33" s="308" t="s">
        <v>590</v>
      </c>
      <c r="E33" s="432">
        <f>SUM(E8:E32)</f>
        <v>1993391.9799999997</v>
      </c>
      <c r="F33" s="647"/>
      <c r="G33" s="649"/>
      <c r="H33" s="648">
        <f>SUM(H8:H32)</f>
        <v>504660.22899648995</v>
      </c>
      <c r="I33" s="225"/>
    </row>
    <row r="34" spans="2:9">
      <c r="B34" s="205">
        <v>211</v>
      </c>
      <c r="C34" s="203" t="s">
        <v>951</v>
      </c>
      <c r="E34" s="219">
        <f>'A4-Rate Base'!I70</f>
        <v>1993391.5384615385</v>
      </c>
      <c r="F34" s="662"/>
      <c r="G34" s="662"/>
      <c r="H34" s="662"/>
      <c r="I34" s="225"/>
    </row>
    <row r="35" spans="2:9">
      <c r="B35" s="205">
        <v>212</v>
      </c>
      <c r="C35" s="203" t="s">
        <v>952</v>
      </c>
      <c r="E35" s="432">
        <f>E34-E33</f>
        <v>-0.44153846125118434</v>
      </c>
      <c r="F35" s="662"/>
      <c r="G35" s="662"/>
      <c r="H35" s="662"/>
      <c r="I35" s="225"/>
    </row>
    <row r="36" spans="2:9">
      <c r="B36" s="205"/>
      <c r="H36" s="225"/>
    </row>
    <row r="37" spans="2:9">
      <c r="B37" s="205"/>
      <c r="H37" s="225"/>
    </row>
    <row r="38" spans="2:9">
      <c r="B38" s="379" t="s">
        <v>552</v>
      </c>
      <c r="H38" s="225"/>
    </row>
    <row r="39" spans="2:9">
      <c r="B39" s="205" t="s">
        <v>419</v>
      </c>
      <c r="C39" s="203" t="s">
        <v>953</v>
      </c>
      <c r="H39" s="225"/>
    </row>
    <row r="40" spans="2:9" ht="147" customHeight="1">
      <c r="B40" s="418" t="s">
        <v>421</v>
      </c>
      <c r="C40" s="973" t="s">
        <v>954</v>
      </c>
      <c r="D40" s="973"/>
      <c r="E40" s="973"/>
      <c r="F40" s="973"/>
      <c r="G40" s="973"/>
      <c r="H40" s="973"/>
    </row>
    <row r="41" spans="2:9" ht="26.25" customHeight="1">
      <c r="B41" s="418" t="s">
        <v>423</v>
      </c>
      <c r="C41" s="973" t="s">
        <v>955</v>
      </c>
      <c r="D41" s="973"/>
      <c r="E41" s="973"/>
      <c r="F41" s="973"/>
      <c r="G41" s="973"/>
      <c r="H41" s="973"/>
    </row>
    <row r="42" spans="2:9">
      <c r="B42" s="205"/>
    </row>
    <row r="43" spans="2:9">
      <c r="B43" s="205"/>
      <c r="C43" s="587"/>
    </row>
  </sheetData>
  <mergeCells count="6">
    <mergeCell ref="C41:H41"/>
    <mergeCell ref="K1:Q1"/>
    <mergeCell ref="A1:H1"/>
    <mergeCell ref="A2:H2"/>
    <mergeCell ref="A3:H3"/>
    <mergeCell ref="C40:H40"/>
  </mergeCells>
  <printOptions horizontalCentered="1"/>
  <pageMargins left="0.25" right="0.25" top="0.25" bottom="0.25" header="0.5" footer="0.5"/>
  <pageSetup scale="89" orientation="portrait" r:id="rId1"/>
  <headerFooter alignWithMargins="0"/>
  <ignoredErrors>
    <ignoredError sqref="G8:G11 H8:H11 H18:H22 G18:G31 H23:H3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tint="0.59999389629810485"/>
    <pageSetUpPr fitToPage="1"/>
  </sheetPr>
  <dimension ref="A1:H23"/>
  <sheetViews>
    <sheetView workbookViewId="0">
      <selection activeCell="R29" sqref="R29"/>
    </sheetView>
  </sheetViews>
  <sheetFormatPr defaultColWidth="7.109375" defaultRowHeight="12.75"/>
  <cols>
    <col min="1" max="1" width="2.109375" style="203" customWidth="1"/>
    <col min="2" max="2" width="4.77734375" style="203" customWidth="1"/>
    <col min="3" max="3" width="27.77734375" style="203" customWidth="1"/>
    <col min="4" max="5" width="8.21875" style="203" bestFit="1" customWidth="1"/>
    <col min="6" max="6" width="7.77734375" style="203" customWidth="1"/>
    <col min="7" max="7" width="7" style="203" customWidth="1"/>
    <col min="8" max="8" width="9.21875" style="214" customWidth="1"/>
    <col min="9" max="9" width="8.21875" style="203" customWidth="1"/>
    <col min="10" max="249" width="7.109375" style="203"/>
    <col min="250" max="250" width="10.21875" style="203" customWidth="1"/>
    <col min="251" max="251" width="3.5546875" style="203" customWidth="1"/>
    <col min="252" max="253" width="1.77734375" style="203" customWidth="1"/>
    <col min="254" max="254" width="4" style="203" customWidth="1"/>
    <col min="255" max="255" width="24.21875" style="203" customWidth="1"/>
    <col min="256" max="256" width="1.77734375" style="203" customWidth="1"/>
    <col min="257" max="258" width="8.21875" style="203" customWidth="1"/>
    <col min="259" max="505" width="7.109375" style="203"/>
    <col min="506" max="506" width="10.21875" style="203" customWidth="1"/>
    <col min="507" max="507" width="3.5546875" style="203" customWidth="1"/>
    <col min="508" max="509" width="1.77734375" style="203" customWidth="1"/>
    <col min="510" max="510" width="4" style="203" customWidth="1"/>
    <col min="511" max="511" width="24.21875" style="203" customWidth="1"/>
    <col min="512" max="512" width="1.77734375" style="203" customWidth="1"/>
    <col min="513" max="514" width="8.21875" style="203" customWidth="1"/>
    <col min="515" max="761" width="7.109375" style="203"/>
    <col min="762" max="762" width="10.21875" style="203" customWidth="1"/>
    <col min="763" max="763" width="3.5546875" style="203" customWidth="1"/>
    <col min="764" max="765" width="1.77734375" style="203" customWidth="1"/>
    <col min="766" max="766" width="4" style="203" customWidth="1"/>
    <col min="767" max="767" width="24.21875" style="203" customWidth="1"/>
    <col min="768" max="768" width="1.77734375" style="203" customWidth="1"/>
    <col min="769" max="770" width="8.21875" style="203" customWidth="1"/>
    <col min="771" max="1017" width="7.109375" style="203"/>
    <col min="1018" max="1018" width="10.21875" style="203" customWidth="1"/>
    <col min="1019" max="1019" width="3.5546875" style="203" customWidth="1"/>
    <col min="1020" max="1021" width="1.77734375" style="203" customWidth="1"/>
    <col min="1022" max="1022" width="4" style="203" customWidth="1"/>
    <col min="1023" max="1023" width="24.21875" style="203" customWidth="1"/>
    <col min="1024" max="1024" width="1.77734375" style="203" customWidth="1"/>
    <col min="1025" max="1026" width="8.21875" style="203" customWidth="1"/>
    <col min="1027" max="1273" width="7.109375" style="203"/>
    <col min="1274" max="1274" width="10.21875" style="203" customWidth="1"/>
    <col min="1275" max="1275" width="3.5546875" style="203" customWidth="1"/>
    <col min="1276" max="1277" width="1.77734375" style="203" customWidth="1"/>
    <col min="1278" max="1278" width="4" style="203" customWidth="1"/>
    <col min="1279" max="1279" width="24.21875" style="203" customWidth="1"/>
    <col min="1280" max="1280" width="1.77734375" style="203" customWidth="1"/>
    <col min="1281" max="1282" width="8.21875" style="203" customWidth="1"/>
    <col min="1283" max="1529" width="7.109375" style="203"/>
    <col min="1530" max="1530" width="10.21875" style="203" customWidth="1"/>
    <col min="1531" max="1531" width="3.5546875" style="203" customWidth="1"/>
    <col min="1532" max="1533" width="1.77734375" style="203" customWidth="1"/>
    <col min="1534" max="1534" width="4" style="203" customWidth="1"/>
    <col min="1535" max="1535" width="24.21875" style="203" customWidth="1"/>
    <col min="1536" max="1536" width="1.77734375" style="203" customWidth="1"/>
    <col min="1537" max="1538" width="8.21875" style="203" customWidth="1"/>
    <col min="1539" max="1785" width="7.109375" style="203"/>
    <col min="1786" max="1786" width="10.21875" style="203" customWidth="1"/>
    <col min="1787" max="1787" width="3.5546875" style="203" customWidth="1"/>
    <col min="1788" max="1789" width="1.77734375" style="203" customWidth="1"/>
    <col min="1790" max="1790" width="4" style="203" customWidth="1"/>
    <col min="1791" max="1791" width="24.21875" style="203" customWidth="1"/>
    <col min="1792" max="1792" width="1.77734375" style="203" customWidth="1"/>
    <col min="1793" max="1794" width="8.21875" style="203" customWidth="1"/>
    <col min="1795" max="2041" width="7.109375" style="203"/>
    <col min="2042" max="2042" width="10.21875" style="203" customWidth="1"/>
    <col min="2043" max="2043" width="3.5546875" style="203" customWidth="1"/>
    <col min="2044" max="2045" width="1.77734375" style="203" customWidth="1"/>
    <col min="2046" max="2046" width="4" style="203" customWidth="1"/>
    <col min="2047" max="2047" width="24.21875" style="203" customWidth="1"/>
    <col min="2048" max="2048" width="1.77734375" style="203" customWidth="1"/>
    <col min="2049" max="2050" width="8.21875" style="203" customWidth="1"/>
    <col min="2051" max="2297" width="7.109375" style="203"/>
    <col min="2298" max="2298" width="10.21875" style="203" customWidth="1"/>
    <col min="2299" max="2299" width="3.5546875" style="203" customWidth="1"/>
    <col min="2300" max="2301" width="1.77734375" style="203" customWidth="1"/>
    <col min="2302" max="2302" width="4" style="203" customWidth="1"/>
    <col min="2303" max="2303" width="24.21875" style="203" customWidth="1"/>
    <col min="2304" max="2304" width="1.77734375" style="203" customWidth="1"/>
    <col min="2305" max="2306" width="8.21875" style="203" customWidth="1"/>
    <col min="2307" max="2553" width="7.109375" style="203"/>
    <col min="2554" max="2554" width="10.21875" style="203" customWidth="1"/>
    <col min="2555" max="2555" width="3.5546875" style="203" customWidth="1"/>
    <col min="2556" max="2557" width="1.77734375" style="203" customWidth="1"/>
    <col min="2558" max="2558" width="4" style="203" customWidth="1"/>
    <col min="2559" max="2559" width="24.21875" style="203" customWidth="1"/>
    <col min="2560" max="2560" width="1.77734375" style="203" customWidth="1"/>
    <col min="2561" max="2562" width="8.21875" style="203" customWidth="1"/>
    <col min="2563" max="2809" width="7.109375" style="203"/>
    <col min="2810" max="2810" width="10.21875" style="203" customWidth="1"/>
    <col min="2811" max="2811" width="3.5546875" style="203" customWidth="1"/>
    <col min="2812" max="2813" width="1.77734375" style="203" customWidth="1"/>
    <col min="2814" max="2814" width="4" style="203" customWidth="1"/>
    <col min="2815" max="2815" width="24.21875" style="203" customWidth="1"/>
    <col min="2816" max="2816" width="1.77734375" style="203" customWidth="1"/>
    <col min="2817" max="2818" width="8.21875" style="203" customWidth="1"/>
    <col min="2819" max="3065" width="7.109375" style="203"/>
    <col min="3066" max="3066" width="10.21875" style="203" customWidth="1"/>
    <col min="3067" max="3067" width="3.5546875" style="203" customWidth="1"/>
    <col min="3068" max="3069" width="1.77734375" style="203" customWidth="1"/>
    <col min="3070" max="3070" width="4" style="203" customWidth="1"/>
    <col min="3071" max="3071" width="24.21875" style="203" customWidth="1"/>
    <col min="3072" max="3072" width="1.77734375" style="203" customWidth="1"/>
    <col min="3073" max="3074" width="8.21875" style="203" customWidth="1"/>
    <col min="3075" max="3321" width="7.109375" style="203"/>
    <col min="3322" max="3322" width="10.21875" style="203" customWidth="1"/>
    <col min="3323" max="3323" width="3.5546875" style="203" customWidth="1"/>
    <col min="3324" max="3325" width="1.77734375" style="203" customWidth="1"/>
    <col min="3326" max="3326" width="4" style="203" customWidth="1"/>
    <col min="3327" max="3327" width="24.21875" style="203" customWidth="1"/>
    <col min="3328" max="3328" width="1.77734375" style="203" customWidth="1"/>
    <col min="3329" max="3330" width="8.21875" style="203" customWidth="1"/>
    <col min="3331" max="3577" width="7.109375" style="203"/>
    <col min="3578" max="3578" width="10.21875" style="203" customWidth="1"/>
    <col min="3579" max="3579" width="3.5546875" style="203" customWidth="1"/>
    <col min="3580" max="3581" width="1.77734375" style="203" customWidth="1"/>
    <col min="3582" max="3582" width="4" style="203" customWidth="1"/>
    <col min="3583" max="3583" width="24.21875" style="203" customWidth="1"/>
    <col min="3584" max="3584" width="1.77734375" style="203" customWidth="1"/>
    <col min="3585" max="3586" width="8.21875" style="203" customWidth="1"/>
    <col min="3587" max="3833" width="7.109375" style="203"/>
    <col min="3834" max="3834" width="10.21875" style="203" customWidth="1"/>
    <col min="3835" max="3835" width="3.5546875" style="203" customWidth="1"/>
    <col min="3836" max="3837" width="1.77734375" style="203" customWidth="1"/>
    <col min="3838" max="3838" width="4" style="203" customWidth="1"/>
    <col min="3839" max="3839" width="24.21875" style="203" customWidth="1"/>
    <col min="3840" max="3840" width="1.77734375" style="203" customWidth="1"/>
    <col min="3841" max="3842" width="8.21875" style="203" customWidth="1"/>
    <col min="3843" max="4089" width="7.109375" style="203"/>
    <col min="4090" max="4090" width="10.21875" style="203" customWidth="1"/>
    <col min="4091" max="4091" width="3.5546875" style="203" customWidth="1"/>
    <col min="4092" max="4093" width="1.77734375" style="203" customWidth="1"/>
    <col min="4094" max="4094" width="4" style="203" customWidth="1"/>
    <col min="4095" max="4095" width="24.21875" style="203" customWidth="1"/>
    <col min="4096" max="4096" width="1.77734375" style="203" customWidth="1"/>
    <col min="4097" max="4098" width="8.21875" style="203" customWidth="1"/>
    <col min="4099" max="4345" width="7.109375" style="203"/>
    <col min="4346" max="4346" width="10.21875" style="203" customWidth="1"/>
    <col min="4347" max="4347" width="3.5546875" style="203" customWidth="1"/>
    <col min="4348" max="4349" width="1.77734375" style="203" customWidth="1"/>
    <col min="4350" max="4350" width="4" style="203" customWidth="1"/>
    <col min="4351" max="4351" width="24.21875" style="203" customWidth="1"/>
    <col min="4352" max="4352" width="1.77734375" style="203" customWidth="1"/>
    <col min="4353" max="4354" width="8.21875" style="203" customWidth="1"/>
    <col min="4355" max="4601" width="7.109375" style="203"/>
    <col min="4602" max="4602" width="10.21875" style="203" customWidth="1"/>
    <col min="4603" max="4603" width="3.5546875" style="203" customWidth="1"/>
    <col min="4604" max="4605" width="1.77734375" style="203" customWidth="1"/>
    <col min="4606" max="4606" width="4" style="203" customWidth="1"/>
    <col min="4607" max="4607" width="24.21875" style="203" customWidth="1"/>
    <col min="4608" max="4608" width="1.77734375" style="203" customWidth="1"/>
    <col min="4609" max="4610" width="8.21875" style="203" customWidth="1"/>
    <col min="4611" max="4857" width="7.109375" style="203"/>
    <col min="4858" max="4858" width="10.21875" style="203" customWidth="1"/>
    <col min="4859" max="4859" width="3.5546875" style="203" customWidth="1"/>
    <col min="4860" max="4861" width="1.77734375" style="203" customWidth="1"/>
    <col min="4862" max="4862" width="4" style="203" customWidth="1"/>
    <col min="4863" max="4863" width="24.21875" style="203" customWidth="1"/>
    <col min="4864" max="4864" width="1.77734375" style="203" customWidth="1"/>
    <col min="4865" max="4866" width="8.21875" style="203" customWidth="1"/>
    <col min="4867" max="5113" width="7.109375" style="203"/>
    <col min="5114" max="5114" width="10.21875" style="203" customWidth="1"/>
    <col min="5115" max="5115" width="3.5546875" style="203" customWidth="1"/>
    <col min="5116" max="5117" width="1.77734375" style="203" customWidth="1"/>
    <col min="5118" max="5118" width="4" style="203" customWidth="1"/>
    <col min="5119" max="5119" width="24.21875" style="203" customWidth="1"/>
    <col min="5120" max="5120" width="1.77734375" style="203" customWidth="1"/>
    <col min="5121" max="5122" width="8.21875" style="203" customWidth="1"/>
    <col min="5123" max="5369" width="7.109375" style="203"/>
    <col min="5370" max="5370" width="10.21875" style="203" customWidth="1"/>
    <col min="5371" max="5371" width="3.5546875" style="203" customWidth="1"/>
    <col min="5372" max="5373" width="1.77734375" style="203" customWidth="1"/>
    <col min="5374" max="5374" width="4" style="203" customWidth="1"/>
    <col min="5375" max="5375" width="24.21875" style="203" customWidth="1"/>
    <col min="5376" max="5376" width="1.77734375" style="203" customWidth="1"/>
    <col min="5377" max="5378" width="8.21875" style="203" customWidth="1"/>
    <col min="5379" max="5625" width="7.109375" style="203"/>
    <col min="5626" max="5626" width="10.21875" style="203" customWidth="1"/>
    <col min="5627" max="5627" width="3.5546875" style="203" customWidth="1"/>
    <col min="5628" max="5629" width="1.77734375" style="203" customWidth="1"/>
    <col min="5630" max="5630" width="4" style="203" customWidth="1"/>
    <col min="5631" max="5631" width="24.21875" style="203" customWidth="1"/>
    <col min="5632" max="5632" width="1.77734375" style="203" customWidth="1"/>
    <col min="5633" max="5634" width="8.21875" style="203" customWidth="1"/>
    <col min="5635" max="5881" width="7.109375" style="203"/>
    <col min="5882" max="5882" width="10.21875" style="203" customWidth="1"/>
    <col min="5883" max="5883" width="3.5546875" style="203" customWidth="1"/>
    <col min="5884" max="5885" width="1.77734375" style="203" customWidth="1"/>
    <col min="5886" max="5886" width="4" style="203" customWidth="1"/>
    <col min="5887" max="5887" width="24.21875" style="203" customWidth="1"/>
    <col min="5888" max="5888" width="1.77734375" style="203" customWidth="1"/>
    <col min="5889" max="5890" width="8.21875" style="203" customWidth="1"/>
    <col min="5891" max="6137" width="7.109375" style="203"/>
    <col min="6138" max="6138" width="10.21875" style="203" customWidth="1"/>
    <col min="6139" max="6139" width="3.5546875" style="203" customWidth="1"/>
    <col min="6140" max="6141" width="1.77734375" style="203" customWidth="1"/>
    <col min="6142" max="6142" width="4" style="203" customWidth="1"/>
    <col min="6143" max="6143" width="24.21875" style="203" customWidth="1"/>
    <col min="6144" max="6144" width="1.77734375" style="203" customWidth="1"/>
    <col min="6145" max="6146" width="8.21875" style="203" customWidth="1"/>
    <col min="6147" max="6393" width="7.109375" style="203"/>
    <col min="6394" max="6394" width="10.21875" style="203" customWidth="1"/>
    <col min="6395" max="6395" width="3.5546875" style="203" customWidth="1"/>
    <col min="6396" max="6397" width="1.77734375" style="203" customWidth="1"/>
    <col min="6398" max="6398" width="4" style="203" customWidth="1"/>
    <col min="6399" max="6399" width="24.21875" style="203" customWidth="1"/>
    <col min="6400" max="6400" width="1.77734375" style="203" customWidth="1"/>
    <col min="6401" max="6402" width="8.21875" style="203" customWidth="1"/>
    <col min="6403" max="6649" width="7.109375" style="203"/>
    <col min="6650" max="6650" width="10.21875" style="203" customWidth="1"/>
    <col min="6651" max="6651" width="3.5546875" style="203" customWidth="1"/>
    <col min="6652" max="6653" width="1.77734375" style="203" customWidth="1"/>
    <col min="6654" max="6654" width="4" style="203" customWidth="1"/>
    <col min="6655" max="6655" width="24.21875" style="203" customWidth="1"/>
    <col min="6656" max="6656" width="1.77734375" style="203" customWidth="1"/>
    <col min="6657" max="6658" width="8.21875" style="203" customWidth="1"/>
    <col min="6659" max="6905" width="7.109375" style="203"/>
    <col min="6906" max="6906" width="10.21875" style="203" customWidth="1"/>
    <col min="6907" max="6907" width="3.5546875" style="203" customWidth="1"/>
    <col min="6908" max="6909" width="1.77734375" style="203" customWidth="1"/>
    <col min="6910" max="6910" width="4" style="203" customWidth="1"/>
    <col min="6911" max="6911" width="24.21875" style="203" customWidth="1"/>
    <col min="6912" max="6912" width="1.77734375" style="203" customWidth="1"/>
    <col min="6913" max="6914" width="8.21875" style="203" customWidth="1"/>
    <col min="6915" max="7161" width="7.109375" style="203"/>
    <col min="7162" max="7162" width="10.21875" style="203" customWidth="1"/>
    <col min="7163" max="7163" width="3.5546875" style="203" customWidth="1"/>
    <col min="7164" max="7165" width="1.77734375" style="203" customWidth="1"/>
    <col min="7166" max="7166" width="4" style="203" customWidth="1"/>
    <col min="7167" max="7167" width="24.21875" style="203" customWidth="1"/>
    <col min="7168" max="7168" width="1.77734375" style="203" customWidth="1"/>
    <col min="7169" max="7170" width="8.21875" style="203" customWidth="1"/>
    <col min="7171" max="7417" width="7.109375" style="203"/>
    <col min="7418" max="7418" width="10.21875" style="203" customWidth="1"/>
    <col min="7419" max="7419" width="3.5546875" style="203" customWidth="1"/>
    <col min="7420" max="7421" width="1.77734375" style="203" customWidth="1"/>
    <col min="7422" max="7422" width="4" style="203" customWidth="1"/>
    <col min="7423" max="7423" width="24.21875" style="203" customWidth="1"/>
    <col min="7424" max="7424" width="1.77734375" style="203" customWidth="1"/>
    <col min="7425" max="7426" width="8.21875" style="203" customWidth="1"/>
    <col min="7427" max="7673" width="7.109375" style="203"/>
    <col min="7674" max="7674" width="10.21875" style="203" customWidth="1"/>
    <col min="7675" max="7675" width="3.5546875" style="203" customWidth="1"/>
    <col min="7676" max="7677" width="1.77734375" style="203" customWidth="1"/>
    <col min="7678" max="7678" width="4" style="203" customWidth="1"/>
    <col min="7679" max="7679" width="24.21875" style="203" customWidth="1"/>
    <col min="7680" max="7680" width="1.77734375" style="203" customWidth="1"/>
    <col min="7681" max="7682" width="8.21875" style="203" customWidth="1"/>
    <col min="7683" max="7929" width="7.109375" style="203"/>
    <col min="7930" max="7930" width="10.21875" style="203" customWidth="1"/>
    <col min="7931" max="7931" width="3.5546875" style="203" customWidth="1"/>
    <col min="7932" max="7933" width="1.77734375" style="203" customWidth="1"/>
    <col min="7934" max="7934" width="4" style="203" customWidth="1"/>
    <col min="7935" max="7935" width="24.21875" style="203" customWidth="1"/>
    <col min="7936" max="7936" width="1.77734375" style="203" customWidth="1"/>
    <col min="7937" max="7938" width="8.21875" style="203" customWidth="1"/>
    <col min="7939" max="8185" width="7.109375" style="203"/>
    <col min="8186" max="8186" width="10.21875" style="203" customWidth="1"/>
    <col min="8187" max="8187" width="3.5546875" style="203" customWidth="1"/>
    <col min="8188" max="8189" width="1.77734375" style="203" customWidth="1"/>
    <col min="8190" max="8190" width="4" style="203" customWidth="1"/>
    <col min="8191" max="8191" width="24.21875" style="203" customWidth="1"/>
    <col min="8192" max="8192" width="1.77734375" style="203" customWidth="1"/>
    <col min="8193" max="8194" width="8.21875" style="203" customWidth="1"/>
    <col min="8195" max="8441" width="7.109375" style="203"/>
    <col min="8442" max="8442" width="10.21875" style="203" customWidth="1"/>
    <col min="8443" max="8443" width="3.5546875" style="203" customWidth="1"/>
    <col min="8444" max="8445" width="1.77734375" style="203" customWidth="1"/>
    <col min="8446" max="8446" width="4" style="203" customWidth="1"/>
    <col min="8447" max="8447" width="24.21875" style="203" customWidth="1"/>
    <col min="8448" max="8448" width="1.77734375" style="203" customWidth="1"/>
    <col min="8449" max="8450" width="8.21875" style="203" customWidth="1"/>
    <col min="8451" max="8697" width="7.109375" style="203"/>
    <col min="8698" max="8698" width="10.21875" style="203" customWidth="1"/>
    <col min="8699" max="8699" width="3.5546875" style="203" customWidth="1"/>
    <col min="8700" max="8701" width="1.77734375" style="203" customWidth="1"/>
    <col min="8702" max="8702" width="4" style="203" customWidth="1"/>
    <col min="8703" max="8703" width="24.21875" style="203" customWidth="1"/>
    <col min="8704" max="8704" width="1.77734375" style="203" customWidth="1"/>
    <col min="8705" max="8706" width="8.21875" style="203" customWidth="1"/>
    <col min="8707" max="8953" width="7.109375" style="203"/>
    <col min="8954" max="8954" width="10.21875" style="203" customWidth="1"/>
    <col min="8955" max="8955" width="3.5546875" style="203" customWidth="1"/>
    <col min="8956" max="8957" width="1.77734375" style="203" customWidth="1"/>
    <col min="8958" max="8958" width="4" style="203" customWidth="1"/>
    <col min="8959" max="8959" width="24.21875" style="203" customWidth="1"/>
    <col min="8960" max="8960" width="1.77734375" style="203" customWidth="1"/>
    <col min="8961" max="8962" width="8.21875" style="203" customWidth="1"/>
    <col min="8963" max="9209" width="7.109375" style="203"/>
    <col min="9210" max="9210" width="10.21875" style="203" customWidth="1"/>
    <col min="9211" max="9211" width="3.5546875" style="203" customWidth="1"/>
    <col min="9212" max="9213" width="1.77734375" style="203" customWidth="1"/>
    <col min="9214" max="9214" width="4" style="203" customWidth="1"/>
    <col min="9215" max="9215" width="24.21875" style="203" customWidth="1"/>
    <col min="9216" max="9216" width="1.77734375" style="203" customWidth="1"/>
    <col min="9217" max="9218" width="8.21875" style="203" customWidth="1"/>
    <col min="9219" max="9465" width="7.109375" style="203"/>
    <col min="9466" max="9466" width="10.21875" style="203" customWidth="1"/>
    <col min="9467" max="9467" width="3.5546875" style="203" customWidth="1"/>
    <col min="9468" max="9469" width="1.77734375" style="203" customWidth="1"/>
    <col min="9470" max="9470" width="4" style="203" customWidth="1"/>
    <col min="9471" max="9471" width="24.21875" style="203" customWidth="1"/>
    <col min="9472" max="9472" width="1.77734375" style="203" customWidth="1"/>
    <col min="9473" max="9474" width="8.21875" style="203" customWidth="1"/>
    <col min="9475" max="9721" width="7.109375" style="203"/>
    <col min="9722" max="9722" width="10.21875" style="203" customWidth="1"/>
    <col min="9723" max="9723" width="3.5546875" style="203" customWidth="1"/>
    <col min="9724" max="9725" width="1.77734375" style="203" customWidth="1"/>
    <col min="9726" max="9726" width="4" style="203" customWidth="1"/>
    <col min="9727" max="9727" width="24.21875" style="203" customWidth="1"/>
    <col min="9728" max="9728" width="1.77734375" style="203" customWidth="1"/>
    <col min="9729" max="9730" width="8.21875" style="203" customWidth="1"/>
    <col min="9731" max="9977" width="7.109375" style="203"/>
    <col min="9978" max="9978" width="10.21875" style="203" customWidth="1"/>
    <col min="9979" max="9979" width="3.5546875" style="203" customWidth="1"/>
    <col min="9980" max="9981" width="1.77734375" style="203" customWidth="1"/>
    <col min="9982" max="9982" width="4" style="203" customWidth="1"/>
    <col min="9983" max="9983" width="24.21875" style="203" customWidth="1"/>
    <col min="9984" max="9984" width="1.77734375" style="203" customWidth="1"/>
    <col min="9985" max="9986" width="8.21875" style="203" customWidth="1"/>
    <col min="9987" max="10233" width="7.109375" style="203"/>
    <col min="10234" max="10234" width="10.21875" style="203" customWidth="1"/>
    <col min="10235" max="10235" width="3.5546875" style="203" customWidth="1"/>
    <col min="10236" max="10237" width="1.77734375" style="203" customWidth="1"/>
    <col min="10238" max="10238" width="4" style="203" customWidth="1"/>
    <col min="10239" max="10239" width="24.21875" style="203" customWidth="1"/>
    <col min="10240" max="10240" width="1.77734375" style="203" customWidth="1"/>
    <col min="10241" max="10242" width="8.21875" style="203" customWidth="1"/>
    <col min="10243" max="10489" width="7.109375" style="203"/>
    <col min="10490" max="10490" width="10.21875" style="203" customWidth="1"/>
    <col min="10491" max="10491" width="3.5546875" style="203" customWidth="1"/>
    <col min="10492" max="10493" width="1.77734375" style="203" customWidth="1"/>
    <col min="10494" max="10494" width="4" style="203" customWidth="1"/>
    <col min="10495" max="10495" width="24.21875" style="203" customWidth="1"/>
    <col min="10496" max="10496" width="1.77734375" style="203" customWidth="1"/>
    <col min="10497" max="10498" width="8.21875" style="203" customWidth="1"/>
    <col min="10499" max="10745" width="7.109375" style="203"/>
    <col min="10746" max="10746" width="10.21875" style="203" customWidth="1"/>
    <col min="10747" max="10747" width="3.5546875" style="203" customWidth="1"/>
    <col min="10748" max="10749" width="1.77734375" style="203" customWidth="1"/>
    <col min="10750" max="10750" width="4" style="203" customWidth="1"/>
    <col min="10751" max="10751" width="24.21875" style="203" customWidth="1"/>
    <col min="10752" max="10752" width="1.77734375" style="203" customWidth="1"/>
    <col min="10753" max="10754" width="8.21875" style="203" customWidth="1"/>
    <col min="10755" max="11001" width="7.109375" style="203"/>
    <col min="11002" max="11002" width="10.21875" style="203" customWidth="1"/>
    <col min="11003" max="11003" width="3.5546875" style="203" customWidth="1"/>
    <col min="11004" max="11005" width="1.77734375" style="203" customWidth="1"/>
    <col min="11006" max="11006" width="4" style="203" customWidth="1"/>
    <col min="11007" max="11007" width="24.21875" style="203" customWidth="1"/>
    <col min="11008" max="11008" width="1.77734375" style="203" customWidth="1"/>
    <col min="11009" max="11010" width="8.21875" style="203" customWidth="1"/>
    <col min="11011" max="11257" width="7.109375" style="203"/>
    <col min="11258" max="11258" width="10.21875" style="203" customWidth="1"/>
    <col min="11259" max="11259" width="3.5546875" style="203" customWidth="1"/>
    <col min="11260" max="11261" width="1.77734375" style="203" customWidth="1"/>
    <col min="11262" max="11262" width="4" style="203" customWidth="1"/>
    <col min="11263" max="11263" width="24.21875" style="203" customWidth="1"/>
    <col min="11264" max="11264" width="1.77734375" style="203" customWidth="1"/>
    <col min="11265" max="11266" width="8.21875" style="203" customWidth="1"/>
    <col min="11267" max="11513" width="7.109375" style="203"/>
    <col min="11514" max="11514" width="10.21875" style="203" customWidth="1"/>
    <col min="11515" max="11515" width="3.5546875" style="203" customWidth="1"/>
    <col min="11516" max="11517" width="1.77734375" style="203" customWidth="1"/>
    <col min="11518" max="11518" width="4" style="203" customWidth="1"/>
    <col min="11519" max="11519" width="24.21875" style="203" customWidth="1"/>
    <col min="11520" max="11520" width="1.77734375" style="203" customWidth="1"/>
    <col min="11521" max="11522" width="8.21875" style="203" customWidth="1"/>
    <col min="11523" max="11769" width="7.109375" style="203"/>
    <col min="11770" max="11770" width="10.21875" style="203" customWidth="1"/>
    <col min="11771" max="11771" width="3.5546875" style="203" customWidth="1"/>
    <col min="11772" max="11773" width="1.77734375" style="203" customWidth="1"/>
    <col min="11774" max="11774" width="4" style="203" customWidth="1"/>
    <col min="11775" max="11775" width="24.21875" style="203" customWidth="1"/>
    <col min="11776" max="11776" width="1.77734375" style="203" customWidth="1"/>
    <col min="11777" max="11778" width="8.21875" style="203" customWidth="1"/>
    <col min="11779" max="12025" width="7.109375" style="203"/>
    <col min="12026" max="12026" width="10.21875" style="203" customWidth="1"/>
    <col min="12027" max="12027" width="3.5546875" style="203" customWidth="1"/>
    <col min="12028" max="12029" width="1.77734375" style="203" customWidth="1"/>
    <col min="12030" max="12030" width="4" style="203" customWidth="1"/>
    <col min="12031" max="12031" width="24.21875" style="203" customWidth="1"/>
    <col min="12032" max="12032" width="1.77734375" style="203" customWidth="1"/>
    <col min="12033" max="12034" width="8.21875" style="203" customWidth="1"/>
    <col min="12035" max="12281" width="7.109375" style="203"/>
    <col min="12282" max="12282" width="10.21875" style="203" customWidth="1"/>
    <col min="12283" max="12283" width="3.5546875" style="203" customWidth="1"/>
    <col min="12284" max="12285" width="1.77734375" style="203" customWidth="1"/>
    <col min="12286" max="12286" width="4" style="203" customWidth="1"/>
    <col min="12287" max="12287" width="24.21875" style="203" customWidth="1"/>
    <col min="12288" max="12288" width="1.77734375" style="203" customWidth="1"/>
    <col min="12289" max="12290" width="8.21875" style="203" customWidth="1"/>
    <col min="12291" max="12537" width="7.109375" style="203"/>
    <col min="12538" max="12538" width="10.21875" style="203" customWidth="1"/>
    <col min="12539" max="12539" width="3.5546875" style="203" customWidth="1"/>
    <col min="12540" max="12541" width="1.77734375" style="203" customWidth="1"/>
    <col min="12542" max="12542" width="4" style="203" customWidth="1"/>
    <col min="12543" max="12543" width="24.21875" style="203" customWidth="1"/>
    <col min="12544" max="12544" width="1.77734375" style="203" customWidth="1"/>
    <col min="12545" max="12546" width="8.21875" style="203" customWidth="1"/>
    <col min="12547" max="12793" width="7.109375" style="203"/>
    <col min="12794" max="12794" width="10.21875" style="203" customWidth="1"/>
    <col min="12795" max="12795" width="3.5546875" style="203" customWidth="1"/>
    <col min="12796" max="12797" width="1.77734375" style="203" customWidth="1"/>
    <col min="12798" max="12798" width="4" style="203" customWidth="1"/>
    <col min="12799" max="12799" width="24.21875" style="203" customWidth="1"/>
    <col min="12800" max="12800" width="1.77734375" style="203" customWidth="1"/>
    <col min="12801" max="12802" width="8.21875" style="203" customWidth="1"/>
    <col min="12803" max="13049" width="7.109375" style="203"/>
    <col min="13050" max="13050" width="10.21875" style="203" customWidth="1"/>
    <col min="13051" max="13051" width="3.5546875" style="203" customWidth="1"/>
    <col min="13052" max="13053" width="1.77734375" style="203" customWidth="1"/>
    <col min="13054" max="13054" width="4" style="203" customWidth="1"/>
    <col min="13055" max="13055" width="24.21875" style="203" customWidth="1"/>
    <col min="13056" max="13056" width="1.77734375" style="203" customWidth="1"/>
    <col min="13057" max="13058" width="8.21875" style="203" customWidth="1"/>
    <col min="13059" max="13305" width="7.109375" style="203"/>
    <col min="13306" max="13306" width="10.21875" style="203" customWidth="1"/>
    <col min="13307" max="13307" width="3.5546875" style="203" customWidth="1"/>
    <col min="13308" max="13309" width="1.77734375" style="203" customWidth="1"/>
    <col min="13310" max="13310" width="4" style="203" customWidth="1"/>
    <col min="13311" max="13311" width="24.21875" style="203" customWidth="1"/>
    <col min="13312" max="13312" width="1.77734375" style="203" customWidth="1"/>
    <col min="13313" max="13314" width="8.21875" style="203" customWidth="1"/>
    <col min="13315" max="13561" width="7.109375" style="203"/>
    <col min="13562" max="13562" width="10.21875" style="203" customWidth="1"/>
    <col min="13563" max="13563" width="3.5546875" style="203" customWidth="1"/>
    <col min="13564" max="13565" width="1.77734375" style="203" customWidth="1"/>
    <col min="13566" max="13566" width="4" style="203" customWidth="1"/>
    <col min="13567" max="13567" width="24.21875" style="203" customWidth="1"/>
    <col min="13568" max="13568" width="1.77734375" style="203" customWidth="1"/>
    <col min="13569" max="13570" width="8.21875" style="203" customWidth="1"/>
    <col min="13571" max="13817" width="7.109375" style="203"/>
    <col min="13818" max="13818" width="10.21875" style="203" customWidth="1"/>
    <col min="13819" max="13819" width="3.5546875" style="203" customWidth="1"/>
    <col min="13820" max="13821" width="1.77734375" style="203" customWidth="1"/>
    <col min="13822" max="13822" width="4" style="203" customWidth="1"/>
    <col min="13823" max="13823" width="24.21875" style="203" customWidth="1"/>
    <col min="13824" max="13824" width="1.77734375" style="203" customWidth="1"/>
    <col min="13825" max="13826" width="8.21875" style="203" customWidth="1"/>
    <col min="13827" max="14073" width="7.109375" style="203"/>
    <col min="14074" max="14074" width="10.21875" style="203" customWidth="1"/>
    <col min="14075" max="14075" width="3.5546875" style="203" customWidth="1"/>
    <col min="14076" max="14077" width="1.77734375" style="203" customWidth="1"/>
    <col min="14078" max="14078" width="4" style="203" customWidth="1"/>
    <col min="14079" max="14079" width="24.21875" style="203" customWidth="1"/>
    <col min="14080" max="14080" width="1.77734375" style="203" customWidth="1"/>
    <col min="14081" max="14082" width="8.21875" style="203" customWidth="1"/>
    <col min="14083" max="14329" width="7.109375" style="203"/>
    <col min="14330" max="14330" width="10.21875" style="203" customWidth="1"/>
    <col min="14331" max="14331" width="3.5546875" style="203" customWidth="1"/>
    <col min="14332" max="14333" width="1.77734375" style="203" customWidth="1"/>
    <col min="14334" max="14334" width="4" style="203" customWidth="1"/>
    <col min="14335" max="14335" width="24.21875" style="203" customWidth="1"/>
    <col min="14336" max="14336" width="1.77734375" style="203" customWidth="1"/>
    <col min="14337" max="14338" width="8.21875" style="203" customWidth="1"/>
    <col min="14339" max="14585" width="7.109375" style="203"/>
    <col min="14586" max="14586" width="10.21875" style="203" customWidth="1"/>
    <col min="14587" max="14587" width="3.5546875" style="203" customWidth="1"/>
    <col min="14588" max="14589" width="1.77734375" style="203" customWidth="1"/>
    <col min="14590" max="14590" width="4" style="203" customWidth="1"/>
    <col min="14591" max="14591" width="24.21875" style="203" customWidth="1"/>
    <col min="14592" max="14592" width="1.77734375" style="203" customWidth="1"/>
    <col min="14593" max="14594" width="8.21875" style="203" customWidth="1"/>
    <col min="14595" max="14841" width="7.109375" style="203"/>
    <col min="14842" max="14842" width="10.21875" style="203" customWidth="1"/>
    <col min="14843" max="14843" width="3.5546875" style="203" customWidth="1"/>
    <col min="14844" max="14845" width="1.77734375" style="203" customWidth="1"/>
    <col min="14846" max="14846" width="4" style="203" customWidth="1"/>
    <col min="14847" max="14847" width="24.21875" style="203" customWidth="1"/>
    <col min="14848" max="14848" width="1.77734375" style="203" customWidth="1"/>
    <col min="14849" max="14850" width="8.21875" style="203" customWidth="1"/>
    <col min="14851" max="15097" width="7.109375" style="203"/>
    <col min="15098" max="15098" width="10.21875" style="203" customWidth="1"/>
    <col min="15099" max="15099" width="3.5546875" style="203" customWidth="1"/>
    <col min="15100" max="15101" width="1.77734375" style="203" customWidth="1"/>
    <col min="15102" max="15102" width="4" style="203" customWidth="1"/>
    <col min="15103" max="15103" width="24.21875" style="203" customWidth="1"/>
    <col min="15104" max="15104" width="1.77734375" style="203" customWidth="1"/>
    <col min="15105" max="15106" width="8.21875" style="203" customWidth="1"/>
    <col min="15107" max="15353" width="7.109375" style="203"/>
    <col min="15354" max="15354" width="10.21875" style="203" customWidth="1"/>
    <col min="15355" max="15355" width="3.5546875" style="203" customWidth="1"/>
    <col min="15356" max="15357" width="1.77734375" style="203" customWidth="1"/>
    <col min="15358" max="15358" width="4" style="203" customWidth="1"/>
    <col min="15359" max="15359" width="24.21875" style="203" customWidth="1"/>
    <col min="15360" max="15360" width="1.77734375" style="203" customWidth="1"/>
    <col min="15361" max="15362" width="8.21875" style="203" customWidth="1"/>
    <col min="15363" max="15609" width="7.109375" style="203"/>
    <col min="15610" max="15610" width="10.21875" style="203" customWidth="1"/>
    <col min="15611" max="15611" width="3.5546875" style="203" customWidth="1"/>
    <col min="15612" max="15613" width="1.77734375" style="203" customWidth="1"/>
    <col min="15614" max="15614" width="4" style="203" customWidth="1"/>
    <col min="15615" max="15615" width="24.21875" style="203" customWidth="1"/>
    <col min="15616" max="15616" width="1.77734375" style="203" customWidth="1"/>
    <col min="15617" max="15618" width="8.21875" style="203" customWidth="1"/>
    <col min="15619" max="15865" width="7.109375" style="203"/>
    <col min="15866" max="15866" width="10.21875" style="203" customWidth="1"/>
    <col min="15867" max="15867" width="3.5546875" style="203" customWidth="1"/>
    <col min="15868" max="15869" width="1.77734375" style="203" customWidth="1"/>
    <col min="15870" max="15870" width="4" style="203" customWidth="1"/>
    <col min="15871" max="15871" width="24.21875" style="203" customWidth="1"/>
    <col min="15872" max="15872" width="1.77734375" style="203" customWidth="1"/>
    <col min="15873" max="15874" width="8.21875" style="203" customWidth="1"/>
    <col min="15875" max="16121" width="7.109375" style="203"/>
    <col min="16122" max="16122" width="10.21875" style="203" customWidth="1"/>
    <col min="16123" max="16123" width="3.5546875" style="203" customWidth="1"/>
    <col min="16124" max="16125" width="1.77734375" style="203" customWidth="1"/>
    <col min="16126" max="16126" width="4" style="203" customWidth="1"/>
    <col min="16127" max="16127" width="24.21875" style="203" customWidth="1"/>
    <col min="16128" max="16128" width="1.77734375" style="203" customWidth="1"/>
    <col min="16129" max="16130" width="8.21875" style="203" customWidth="1"/>
    <col min="16131" max="16384" width="7.109375" style="203"/>
  </cols>
  <sheetData>
    <row r="1" spans="1:8" ht="14.25" customHeight="1">
      <c r="A1" s="949" t="s">
        <v>51</v>
      </c>
      <c r="B1" s="949"/>
      <c r="C1" s="949"/>
      <c r="D1" s="949"/>
      <c r="E1" s="949"/>
      <c r="F1" s="949"/>
      <c r="G1" s="949"/>
      <c r="H1" s="949"/>
    </row>
    <row r="2" spans="1:8">
      <c r="A2" s="949" t="s">
        <v>52</v>
      </c>
      <c r="B2" s="949"/>
      <c r="C2" s="949"/>
      <c r="D2" s="949"/>
      <c r="E2" s="949"/>
      <c r="F2" s="949"/>
      <c r="G2" s="949"/>
      <c r="H2" s="949"/>
    </row>
    <row r="3" spans="1:8">
      <c r="A3" s="950" t="str">
        <f>'Act Att-H'!C7</f>
        <v>Cheyenne Light, Fuel &amp; Power</v>
      </c>
      <c r="B3" s="950"/>
      <c r="C3" s="950"/>
      <c r="D3" s="950"/>
      <c r="E3" s="950"/>
      <c r="F3" s="950"/>
      <c r="G3" s="950"/>
      <c r="H3" s="950"/>
    </row>
    <row r="4" spans="1:8">
      <c r="F4" s="2"/>
      <c r="H4" s="204" t="s">
        <v>3</v>
      </c>
    </row>
    <row r="5" spans="1:8">
      <c r="A5" s="215"/>
      <c r="B5" s="215"/>
      <c r="C5" s="215"/>
      <c r="D5" s="215"/>
      <c r="E5" s="215"/>
      <c r="F5" s="215"/>
      <c r="G5" s="215"/>
      <c r="H5" s="215"/>
    </row>
    <row r="6" spans="1:8" ht="60.75" customHeight="1">
      <c r="B6" s="126" t="s">
        <v>83</v>
      </c>
      <c r="C6" s="228" t="s">
        <v>556</v>
      </c>
      <c r="D6" s="228" t="s">
        <v>956</v>
      </c>
      <c r="E6" s="228" t="s">
        <v>92</v>
      </c>
      <c r="F6" s="228" t="s">
        <v>930</v>
      </c>
      <c r="G6" s="228" t="s">
        <v>931</v>
      </c>
      <c r="H6" s="203"/>
    </row>
    <row r="7" spans="1:8" ht="15" customHeight="1">
      <c r="B7" s="224"/>
      <c r="C7" s="229" t="s">
        <v>490</v>
      </c>
      <c r="D7" s="230" t="s">
        <v>491</v>
      </c>
      <c r="E7" s="230" t="s">
        <v>492</v>
      </c>
      <c r="F7" s="230" t="s">
        <v>493</v>
      </c>
      <c r="G7" s="230" t="s">
        <v>537</v>
      </c>
      <c r="H7" s="203"/>
    </row>
    <row r="8" spans="1:8" ht="15" customHeight="1">
      <c r="B8" s="205">
        <v>1</v>
      </c>
      <c r="C8" s="416" t="s">
        <v>957</v>
      </c>
      <c r="D8" s="1015">
        <v>43258.720000000001</v>
      </c>
      <c r="E8" s="653" t="s">
        <v>369</v>
      </c>
      <c r="F8" s="654">
        <f t="shared" ref="F8:F13" si="0">IF(E8=0,0, IF(E8="NA", NA, IF(E8="TP",TP, IF(E8="TE",TE,IF(E8="CE",CE,IF(E8="WS",WS,IF(E8="DA",DA, IF(E8="GP",GP))))))))</f>
        <v>6.6848958689547669E-2</v>
      </c>
      <c r="G8" s="650">
        <f t="shared" ref="G8:G16" si="1">F8*D8</f>
        <v>2891.8003862427095</v>
      </c>
      <c r="H8" s="203"/>
    </row>
    <row r="9" spans="1:8" ht="15" customHeight="1">
      <c r="B9" s="205">
        <v>2</v>
      </c>
      <c r="C9" s="416" t="s">
        <v>958</v>
      </c>
      <c r="D9" s="1016">
        <v>2575.31</v>
      </c>
      <c r="E9" s="653" t="s">
        <v>142</v>
      </c>
      <c r="F9" s="654">
        <f t="shared" si="0"/>
        <v>0</v>
      </c>
      <c r="G9" s="651">
        <f t="shared" si="1"/>
        <v>0</v>
      </c>
      <c r="H9" s="203"/>
    </row>
    <row r="10" spans="1:8" ht="15" customHeight="1">
      <c r="B10" s="205">
        <v>3</v>
      </c>
      <c r="C10" s="416" t="s">
        <v>959</v>
      </c>
      <c r="D10" s="1016">
        <v>81390.55</v>
      </c>
      <c r="E10" s="653" t="s">
        <v>369</v>
      </c>
      <c r="F10" s="654">
        <f t="shared" si="0"/>
        <v>6.6848958689547669E-2</v>
      </c>
      <c r="G10" s="651">
        <f t="shared" si="1"/>
        <v>5440.8735146695644</v>
      </c>
      <c r="H10" s="203"/>
    </row>
    <row r="11" spans="1:8" ht="15" customHeight="1">
      <c r="B11" s="205">
        <v>4</v>
      </c>
      <c r="C11" s="416" t="s">
        <v>960</v>
      </c>
      <c r="D11" s="1016">
        <v>0</v>
      </c>
      <c r="E11" s="653" t="s">
        <v>142</v>
      </c>
      <c r="F11" s="654">
        <f t="shared" si="0"/>
        <v>0</v>
      </c>
      <c r="G11" s="651">
        <f t="shared" si="1"/>
        <v>0</v>
      </c>
      <c r="H11" s="203"/>
    </row>
    <row r="12" spans="1:8" ht="15" customHeight="1">
      <c r="B12" s="205">
        <v>5</v>
      </c>
      <c r="C12" s="416" t="s">
        <v>961</v>
      </c>
      <c r="D12" s="1016">
        <v>-29978.27</v>
      </c>
      <c r="E12" s="653" t="s">
        <v>369</v>
      </c>
      <c r="F12" s="654">
        <f t="shared" si="0"/>
        <v>6.6848958689547669E-2</v>
      </c>
      <c r="G12" s="651">
        <f t="shared" si="1"/>
        <v>-2004.0161328141062</v>
      </c>
      <c r="H12" s="203"/>
    </row>
    <row r="13" spans="1:8" ht="15" customHeight="1">
      <c r="B13" s="205">
        <v>6</v>
      </c>
      <c r="C13" s="416" t="s">
        <v>962</v>
      </c>
      <c r="D13" s="1016">
        <v>-2144534.36</v>
      </c>
      <c r="E13" s="653" t="s">
        <v>187</v>
      </c>
      <c r="F13" s="654">
        <f t="shared" si="0"/>
        <v>0.14864397588188999</v>
      </c>
      <c r="G13" s="651">
        <f t="shared" si="1"/>
        <v>-318772.11368572438</v>
      </c>
      <c r="H13" s="203"/>
    </row>
    <row r="14" spans="1:8" ht="15" customHeight="1">
      <c r="B14" s="205">
        <v>7</v>
      </c>
      <c r="C14" s="416" t="s">
        <v>963</v>
      </c>
      <c r="D14" s="1016">
        <v>0</v>
      </c>
      <c r="E14" s="653" t="s">
        <v>369</v>
      </c>
      <c r="F14" s="654">
        <f t="shared" ref="F14:F16" si="2">IF(E14=0,0, IF(E14="NA", NA, IF(E14="TP",TP, IF(E14="TE",TE,IF(E14="CE",CE,IF(E14="WS",WS,IF(E14="DA",DA, IF(E14="GP",GP))))))))</f>
        <v>6.6848958689547669E-2</v>
      </c>
      <c r="G14" s="651">
        <f t="shared" si="1"/>
        <v>0</v>
      </c>
      <c r="H14" s="203"/>
    </row>
    <row r="15" spans="1:8" ht="15" customHeight="1">
      <c r="B15" s="205">
        <v>8</v>
      </c>
      <c r="C15" s="416" t="s">
        <v>964</v>
      </c>
      <c r="D15" s="1016">
        <v>0</v>
      </c>
      <c r="E15" s="653" t="s">
        <v>369</v>
      </c>
      <c r="F15" s="654">
        <f t="shared" si="2"/>
        <v>6.6848958689547669E-2</v>
      </c>
      <c r="G15" s="651">
        <f t="shared" si="1"/>
        <v>0</v>
      </c>
      <c r="H15" s="203"/>
    </row>
    <row r="16" spans="1:8" ht="15" customHeight="1">
      <c r="B16" s="205">
        <v>9</v>
      </c>
      <c r="C16" s="416" t="s">
        <v>965</v>
      </c>
      <c r="D16" s="1016">
        <v>0</v>
      </c>
      <c r="E16" s="653" t="s">
        <v>369</v>
      </c>
      <c r="F16" s="654">
        <f t="shared" si="2"/>
        <v>6.6848958689547669E-2</v>
      </c>
      <c r="G16" s="651">
        <f t="shared" si="1"/>
        <v>0</v>
      </c>
      <c r="H16" s="203"/>
    </row>
    <row r="17" spans="2:8">
      <c r="B17" s="205">
        <v>10</v>
      </c>
      <c r="C17" s="308" t="s">
        <v>91</v>
      </c>
      <c r="D17" s="647" t="s">
        <v>966</v>
      </c>
      <c r="E17" s="647"/>
      <c r="F17" s="649"/>
      <c r="G17" s="652">
        <f>SUM(G8:G16)</f>
        <v>-312443.45591762621</v>
      </c>
      <c r="H17" s="225"/>
    </row>
    <row r="18" spans="2:8">
      <c r="B18" s="205"/>
      <c r="H18" s="225"/>
    </row>
    <row r="19" spans="2:8">
      <c r="B19" s="205"/>
      <c r="H19" s="225"/>
    </row>
    <row r="20" spans="2:8">
      <c r="B20" s="379" t="s">
        <v>552</v>
      </c>
      <c r="H20" s="225"/>
    </row>
    <row r="21" spans="2:8">
      <c r="B21" s="205" t="s">
        <v>419</v>
      </c>
      <c r="C21" s="203" t="s">
        <v>967</v>
      </c>
      <c r="H21" s="225"/>
    </row>
    <row r="22" spans="2:8">
      <c r="B22" s="205"/>
    </row>
    <row r="23" spans="2:8">
      <c r="B23" s="205"/>
      <c r="C23" s="587"/>
    </row>
  </sheetData>
  <mergeCells count="3">
    <mergeCell ref="A1:H1"/>
    <mergeCell ref="A2:H2"/>
    <mergeCell ref="A3:H3"/>
  </mergeCells>
  <printOptions horizontalCentered="1"/>
  <pageMargins left="0.75" right="0.75" top="1" bottom="1" header="0.5" footer="0.5"/>
  <pageSetup scale="54" orientation="portrait" r:id="rId1"/>
  <headerFooter alignWithMargins="0"/>
  <ignoredErrors>
    <ignoredError sqref="G8:G1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99"/>
    <pageSetUpPr fitToPage="1"/>
  </sheetPr>
  <dimension ref="A1:P140"/>
  <sheetViews>
    <sheetView workbookViewId="0">
      <selection activeCell="L22" sqref="L22"/>
    </sheetView>
  </sheetViews>
  <sheetFormatPr defaultColWidth="7.109375" defaultRowHeight="12.75"/>
  <cols>
    <col min="1" max="1" width="5.21875" style="239" customWidth="1"/>
    <col min="2" max="2" width="5.5546875" style="239" customWidth="1"/>
    <col min="3" max="3" width="5.109375" style="239" customWidth="1"/>
    <col min="4" max="4" width="12.77734375" style="238" customWidth="1"/>
    <col min="5" max="5" width="22.77734375" style="238" customWidth="1"/>
    <col min="6" max="6" width="12.21875" style="238" customWidth="1"/>
    <col min="7" max="7" width="13.44140625" style="238" bestFit="1" customWidth="1"/>
    <col min="8" max="8" width="19.21875" style="238" customWidth="1"/>
    <col min="9" max="9" width="4.77734375" style="238" bestFit="1" customWidth="1"/>
    <col min="10" max="10" width="13" style="238" customWidth="1"/>
    <col min="11" max="11" width="13" style="238" bestFit="1" customWidth="1"/>
    <col min="12" max="13" width="12.21875" style="238" customWidth="1"/>
    <col min="14" max="14" width="11.5546875" style="238" bestFit="1" customWidth="1"/>
    <col min="15" max="15" width="7.21875" style="238" bestFit="1" customWidth="1"/>
    <col min="16" max="16" width="11.77734375" style="238" bestFit="1" customWidth="1"/>
    <col min="17" max="16384" width="7.109375" style="238"/>
  </cols>
  <sheetData>
    <row r="1" spans="1:16">
      <c r="A1" s="949" t="s">
        <v>54</v>
      </c>
      <c r="B1" s="949"/>
      <c r="C1" s="949"/>
      <c r="D1" s="949"/>
      <c r="E1" s="949"/>
      <c r="F1" s="949"/>
      <c r="G1" s="949"/>
      <c r="H1" s="949"/>
      <c r="J1" s="943"/>
      <c r="K1" s="943"/>
      <c r="L1" s="943"/>
      <c r="M1" s="943"/>
      <c r="N1" s="943"/>
      <c r="O1" s="943"/>
      <c r="P1" s="943"/>
    </row>
    <row r="2" spans="1:16">
      <c r="A2" s="949" t="s">
        <v>968</v>
      </c>
      <c r="B2" s="949"/>
      <c r="C2" s="949"/>
      <c r="D2" s="949"/>
      <c r="E2" s="949"/>
      <c r="F2" s="949"/>
      <c r="G2" s="949"/>
      <c r="H2" s="949"/>
    </row>
    <row r="3" spans="1:16">
      <c r="A3" s="950" t="str">
        <f>'Act Att-H'!C7</f>
        <v>Cheyenne Light, Fuel &amp; Power</v>
      </c>
      <c r="B3" s="950"/>
      <c r="C3" s="950"/>
      <c r="D3" s="950"/>
      <c r="E3" s="950"/>
      <c r="F3" s="950"/>
      <c r="G3" s="950"/>
      <c r="H3" s="950"/>
    </row>
    <row r="4" spans="1:16">
      <c r="H4" s="240" t="s">
        <v>3</v>
      </c>
    </row>
    <row r="5" spans="1:16">
      <c r="A5" s="241" t="s">
        <v>969</v>
      </c>
    </row>
    <row r="6" spans="1:16">
      <c r="A6" s="646" t="s">
        <v>970</v>
      </c>
      <c r="B6" s="646" t="s">
        <v>744</v>
      </c>
      <c r="C6" s="646" t="s">
        <v>888</v>
      </c>
      <c r="D6" s="646" t="s">
        <v>971</v>
      </c>
      <c r="E6" s="239"/>
    </row>
    <row r="7" spans="1:16">
      <c r="A7" s="239">
        <v>1</v>
      </c>
      <c r="B7" s="239" t="s">
        <v>972</v>
      </c>
      <c r="C7" s="239" t="s">
        <v>973</v>
      </c>
      <c r="D7" s="242" t="s">
        <v>974</v>
      </c>
      <c r="E7" s="242"/>
    </row>
    <row r="8" spans="1:16">
      <c r="A8" s="239">
        <f>A7+1</f>
        <v>2</v>
      </c>
      <c r="B8" s="239" t="s">
        <v>972</v>
      </c>
      <c r="C8" s="239" t="s">
        <v>973</v>
      </c>
      <c r="D8" s="242" t="s">
        <v>975</v>
      </c>
      <c r="E8" s="242"/>
    </row>
    <row r="9" spans="1:16">
      <c r="A9" s="239">
        <f t="shared" ref="A9:A17" si="0">A8+1</f>
        <v>3</v>
      </c>
      <c r="B9" s="243" t="s">
        <v>976</v>
      </c>
      <c r="C9" s="239" t="s">
        <v>977</v>
      </c>
      <c r="D9" s="242" t="s">
        <v>978</v>
      </c>
      <c r="E9" s="242"/>
    </row>
    <row r="10" spans="1:16">
      <c r="A10" s="239">
        <f t="shared" si="0"/>
        <v>4</v>
      </c>
      <c r="B10" s="239" t="str">
        <f>+B7</f>
        <v>Oct</v>
      </c>
      <c r="C10" s="239" t="s">
        <v>977</v>
      </c>
      <c r="D10" s="242" t="s">
        <v>979</v>
      </c>
      <c r="E10" s="242"/>
    </row>
    <row r="11" spans="1:16">
      <c r="A11" s="239">
        <f t="shared" si="0"/>
        <v>5</v>
      </c>
      <c r="B11" s="239" t="s">
        <v>972</v>
      </c>
      <c r="C11" s="239" t="str">
        <f>C10</f>
        <v>Year 1</v>
      </c>
      <c r="D11" s="242" t="s">
        <v>980</v>
      </c>
      <c r="E11" s="242"/>
    </row>
    <row r="12" spans="1:16">
      <c r="A12" s="239">
        <f t="shared" si="0"/>
        <v>6</v>
      </c>
      <c r="B12" s="239" t="s">
        <v>976</v>
      </c>
      <c r="C12" s="239" t="s">
        <v>981</v>
      </c>
      <c r="D12" s="242" t="s">
        <v>982</v>
      </c>
      <c r="E12" s="242"/>
    </row>
    <row r="13" spans="1:16">
      <c r="A13" s="239">
        <f t="shared" si="0"/>
        <v>7</v>
      </c>
      <c r="B13" s="239" t="s">
        <v>983</v>
      </c>
      <c r="C13" s="239" t="s">
        <v>981</v>
      </c>
      <c r="D13" s="242" t="s">
        <v>984</v>
      </c>
      <c r="E13" s="244"/>
      <c r="F13" s="245"/>
      <c r="G13" s="245"/>
      <c r="H13" s="245"/>
      <c r="I13" s="245"/>
      <c r="J13" s="245"/>
      <c r="K13" s="245"/>
    </row>
    <row r="14" spans="1:16">
      <c r="A14" s="239">
        <f t="shared" si="0"/>
        <v>8</v>
      </c>
      <c r="B14" s="239" t="s">
        <v>983</v>
      </c>
      <c r="C14" s="239" t="s">
        <v>981</v>
      </c>
      <c r="D14" s="242" t="s">
        <v>985</v>
      </c>
      <c r="E14" s="242"/>
    </row>
    <row r="15" spans="1:16">
      <c r="A15" s="239">
        <f t="shared" si="0"/>
        <v>9</v>
      </c>
      <c r="B15" s="239" t="s">
        <v>983</v>
      </c>
      <c r="C15" s="239" t="s">
        <v>981</v>
      </c>
      <c r="D15" s="242" t="s">
        <v>986</v>
      </c>
    </row>
    <row r="16" spans="1:16">
      <c r="A16" s="239">
        <f t="shared" si="0"/>
        <v>10</v>
      </c>
      <c r="B16" s="239" t="s">
        <v>972</v>
      </c>
      <c r="C16" s="239" t="s">
        <v>981</v>
      </c>
      <c r="D16" s="242" t="s">
        <v>987</v>
      </c>
      <c r="E16" s="242"/>
    </row>
    <row r="17" spans="1:16">
      <c r="A17" s="239">
        <f t="shared" si="0"/>
        <v>11</v>
      </c>
      <c r="B17" s="239" t="s">
        <v>972</v>
      </c>
      <c r="C17" s="239" t="s">
        <v>981</v>
      </c>
      <c r="D17" s="242" t="s">
        <v>988</v>
      </c>
      <c r="E17" s="242"/>
    </row>
    <row r="18" spans="1:16">
      <c r="A18" s="238"/>
      <c r="B18" s="238"/>
      <c r="C18" s="238"/>
      <c r="E18" s="242"/>
    </row>
    <row r="19" spans="1:16">
      <c r="A19" s="238"/>
      <c r="B19" s="241" t="s">
        <v>989</v>
      </c>
    </row>
    <row r="20" spans="1:16" ht="12.75" customHeight="1" thickBot="1">
      <c r="A20" s="239">
        <f>A17+1</f>
        <v>12</v>
      </c>
      <c r="D20" s="245"/>
      <c r="E20" s="245"/>
      <c r="F20" s="245"/>
      <c r="H20" s="246" t="s">
        <v>990</v>
      </c>
      <c r="I20" s="245"/>
      <c r="N20" s="724"/>
      <c r="O20" s="724"/>
      <c r="P20" s="724"/>
    </row>
    <row r="21" spans="1:16" ht="12.75" customHeight="1">
      <c r="A21" s="239">
        <f>A20+1</f>
        <v>13</v>
      </c>
      <c r="C21" s="238" t="s">
        <v>991</v>
      </c>
      <c r="E21" s="245"/>
      <c r="F21" s="247"/>
      <c r="H21" s="431">
        <f>'Act Att-H'!I19</f>
        <v>16031885.931449652</v>
      </c>
      <c r="I21" s="245"/>
      <c r="J21" s="416"/>
      <c r="N21" s="249"/>
      <c r="O21" s="249"/>
      <c r="P21" s="249"/>
    </row>
    <row r="22" spans="1:16">
      <c r="A22" s="239">
        <f t="shared" ref="A22:A23" si="1">A21+1</f>
        <v>14</v>
      </c>
      <c r="B22" s="250"/>
      <c r="C22" s="238" t="s">
        <v>992</v>
      </c>
      <c r="F22" s="248"/>
      <c r="H22" s="431">
        <v>24586582</v>
      </c>
      <c r="I22" s="245"/>
      <c r="J22" s="416"/>
      <c r="N22" s="251"/>
      <c r="O22" s="251"/>
      <c r="P22" s="251"/>
    </row>
    <row r="23" spans="1:16">
      <c r="A23" s="239">
        <f t="shared" si="1"/>
        <v>15</v>
      </c>
      <c r="C23" s="238" t="s">
        <v>993</v>
      </c>
      <c r="F23" s="252" t="s">
        <v>994</v>
      </c>
      <c r="H23" s="399">
        <f>+H21-H22</f>
        <v>-8554696.0685503483</v>
      </c>
      <c r="I23" s="245"/>
      <c r="N23" s="724"/>
      <c r="O23" s="724"/>
      <c r="P23" s="724"/>
    </row>
    <row r="24" spans="1:16">
      <c r="F24" s="252"/>
      <c r="I24" s="245"/>
    </row>
    <row r="25" spans="1:16">
      <c r="A25" s="238"/>
      <c r="B25" s="241" t="s">
        <v>995</v>
      </c>
    </row>
    <row r="26" spans="1:16" ht="12.75" customHeight="1" thickBot="1">
      <c r="A26" s="239">
        <f>A23+1</f>
        <v>16</v>
      </c>
      <c r="D26" s="245"/>
      <c r="E26" s="245"/>
      <c r="F26" s="245"/>
      <c r="H26" s="246" t="s">
        <v>990</v>
      </c>
      <c r="I26" s="245"/>
      <c r="N26" s="724"/>
      <c r="O26" s="724"/>
      <c r="P26" s="724"/>
    </row>
    <row r="27" spans="1:16">
      <c r="A27" s="239">
        <f>A26+1</f>
        <v>17</v>
      </c>
      <c r="C27" s="238" t="s">
        <v>996</v>
      </c>
      <c r="E27" s="245"/>
      <c r="F27" s="247"/>
      <c r="H27" s="538">
        <f>'A6-Divisor'!E21</f>
        <v>353166.66666666669</v>
      </c>
      <c r="I27" s="245" t="s">
        <v>997</v>
      </c>
      <c r="J27" s="416"/>
      <c r="N27" s="249"/>
      <c r="O27" s="249"/>
      <c r="P27" s="249"/>
    </row>
    <row r="28" spans="1:16">
      <c r="A28" s="239">
        <f t="shared" ref="A28:A33" si="2">A27+1</f>
        <v>18</v>
      </c>
      <c r="B28" s="250"/>
      <c r="C28" s="238" t="s">
        <v>998</v>
      </c>
      <c r="F28" s="248"/>
      <c r="H28" s="538">
        <v>308450</v>
      </c>
      <c r="I28" s="245" t="s">
        <v>997</v>
      </c>
      <c r="J28" s="416"/>
      <c r="N28" s="251"/>
      <c r="O28" s="251"/>
      <c r="P28" s="251"/>
    </row>
    <row r="29" spans="1:16">
      <c r="A29" s="239">
        <f t="shared" si="2"/>
        <v>19</v>
      </c>
      <c r="C29" s="238" t="s">
        <v>999</v>
      </c>
      <c r="F29" s="252" t="s">
        <v>1000</v>
      </c>
      <c r="H29" s="539">
        <f>H28-H27</f>
        <v>-44716.666666666686</v>
      </c>
      <c r="I29" s="245" t="s">
        <v>997</v>
      </c>
      <c r="N29" s="724"/>
      <c r="O29" s="724"/>
      <c r="P29" s="724"/>
    </row>
    <row r="30" spans="1:16" ht="12.75" customHeight="1">
      <c r="A30" s="239">
        <f t="shared" si="2"/>
        <v>20</v>
      </c>
      <c r="C30" s="238"/>
      <c r="D30" s="245"/>
      <c r="E30" s="245"/>
      <c r="F30" s="252"/>
      <c r="H30" s="539"/>
      <c r="I30" s="245"/>
      <c r="N30" s="724"/>
      <c r="O30" s="724"/>
      <c r="P30" s="724"/>
    </row>
    <row r="31" spans="1:16">
      <c r="A31" s="239">
        <f t="shared" si="2"/>
        <v>21</v>
      </c>
      <c r="C31" s="238" t="s">
        <v>1001</v>
      </c>
      <c r="E31" s="245"/>
      <c r="F31" s="252" t="s">
        <v>1002</v>
      </c>
      <c r="H31" s="539">
        <f>IF(H28=0,0,ROUND(H22/H28,6))</f>
        <v>79.710104999999999</v>
      </c>
      <c r="I31" s="245" t="s">
        <v>1003</v>
      </c>
      <c r="N31" s="249"/>
      <c r="O31" s="249"/>
      <c r="P31" s="249"/>
    </row>
    <row r="32" spans="1:16">
      <c r="A32" s="239">
        <f t="shared" si="2"/>
        <v>22</v>
      </c>
      <c r="B32" s="250"/>
      <c r="C32" s="238" t="s">
        <v>1004</v>
      </c>
      <c r="F32" s="252" t="s">
        <v>1005</v>
      </c>
      <c r="H32" s="399">
        <f>H29*H31</f>
        <v>-3564370.1952500013</v>
      </c>
      <c r="I32" s="245"/>
      <c r="N32" s="251"/>
      <c r="O32" s="251"/>
      <c r="P32" s="251"/>
    </row>
    <row r="33" spans="1:16">
      <c r="A33" s="239">
        <f t="shared" si="2"/>
        <v>23</v>
      </c>
      <c r="C33" s="238"/>
      <c r="F33" s="252"/>
      <c r="H33" s="537"/>
      <c r="I33" s="245"/>
      <c r="N33" s="724"/>
      <c r="O33" s="724"/>
      <c r="P33" s="724"/>
    </row>
    <row r="34" spans="1:16">
      <c r="B34" s="241" t="s">
        <v>1006</v>
      </c>
      <c r="C34" s="238"/>
      <c r="F34" s="252"/>
      <c r="H34" s="537"/>
      <c r="I34" s="245"/>
      <c r="N34" s="724"/>
      <c r="O34" s="724"/>
      <c r="P34" s="724"/>
    </row>
    <row r="35" spans="1:16">
      <c r="A35" s="239" t="s">
        <v>196</v>
      </c>
      <c r="C35" s="238" t="s">
        <v>1007</v>
      </c>
      <c r="F35" s="252"/>
      <c r="H35" s="431">
        <v>0</v>
      </c>
      <c r="I35" s="245"/>
      <c r="J35" s="416"/>
      <c r="N35" s="724"/>
      <c r="O35" s="724"/>
      <c r="P35" s="724"/>
    </row>
    <row r="36" spans="1:16">
      <c r="C36" s="238"/>
      <c r="F36" s="252"/>
      <c r="H36" s="537"/>
      <c r="I36" s="245"/>
      <c r="N36" s="724"/>
      <c r="O36" s="724"/>
      <c r="P36" s="724"/>
    </row>
    <row r="37" spans="1:16">
      <c r="A37" s="239">
        <f>A33+1</f>
        <v>24</v>
      </c>
      <c r="B37" s="238" t="s">
        <v>1008</v>
      </c>
      <c r="C37" s="238"/>
      <c r="D37" s="242"/>
      <c r="E37" s="239"/>
      <c r="F37" s="245" t="s">
        <v>1009</v>
      </c>
      <c r="G37" s="245"/>
      <c r="H37" s="540">
        <f>H23+H32+H35</f>
        <v>-12119066.263800349</v>
      </c>
      <c r="I37" s="245"/>
      <c r="J37" s="245"/>
      <c r="K37" s="245"/>
      <c r="L37" s="245"/>
    </row>
    <row r="38" spans="1:16">
      <c r="C38" s="238"/>
      <c r="D38" s="242"/>
      <c r="E38" s="239"/>
      <c r="F38" s="245"/>
      <c r="G38" s="245"/>
      <c r="H38" s="245"/>
      <c r="I38" s="245"/>
      <c r="J38" s="245"/>
      <c r="K38" s="245"/>
      <c r="L38" s="245"/>
    </row>
    <row r="39" spans="1:16">
      <c r="B39" s="241" t="s">
        <v>1010</v>
      </c>
      <c r="D39" s="242"/>
      <c r="E39" s="239"/>
      <c r="F39" s="245"/>
      <c r="G39" s="245"/>
      <c r="H39" s="245"/>
      <c r="I39" s="245"/>
      <c r="J39" s="245"/>
      <c r="K39" s="245"/>
      <c r="L39" s="245"/>
    </row>
    <row r="40" spans="1:16" ht="14.25" customHeight="1">
      <c r="D40" s="253" t="s">
        <v>1011</v>
      </c>
      <c r="E40" s="254"/>
      <c r="F40" s="255"/>
      <c r="G40" s="245"/>
      <c r="H40" s="256" t="s">
        <v>1012</v>
      </c>
      <c r="I40" s="245"/>
      <c r="J40" s="245"/>
      <c r="K40" s="245"/>
      <c r="L40" s="245"/>
    </row>
    <row r="41" spans="1:16">
      <c r="A41" s="239">
        <f>A37+1</f>
        <v>25</v>
      </c>
      <c r="D41" s="242" t="s">
        <v>1013</v>
      </c>
      <c r="E41" s="239"/>
      <c r="F41" s="245"/>
      <c r="H41" s="72"/>
      <c r="I41" s="257"/>
      <c r="J41" s="416"/>
      <c r="K41" s="257"/>
      <c r="L41" s="245"/>
    </row>
    <row r="42" spans="1:16">
      <c r="A42" s="239">
        <f>A41+1</f>
        <v>26</v>
      </c>
      <c r="D42" s="242" t="s">
        <v>1014</v>
      </c>
      <c r="E42" s="239"/>
      <c r="F42" s="245"/>
      <c r="H42" s="72"/>
      <c r="I42" s="257"/>
      <c r="J42" s="416"/>
      <c r="K42" s="257"/>
      <c r="L42" s="245"/>
    </row>
    <row r="43" spans="1:16">
      <c r="A43" s="239">
        <f>A42+1</f>
        <v>27</v>
      </c>
      <c r="D43" s="242" t="s">
        <v>1015</v>
      </c>
      <c r="E43" s="239"/>
      <c r="F43" s="245"/>
      <c r="H43" s="72"/>
      <c r="I43" s="257"/>
      <c r="J43" s="416"/>
      <c r="K43" s="257"/>
      <c r="L43" s="245"/>
    </row>
    <row r="44" spans="1:16">
      <c r="A44" s="239">
        <f>A43+1</f>
        <v>28</v>
      </c>
      <c r="D44" s="242" t="s">
        <v>1016</v>
      </c>
      <c r="E44" s="239"/>
      <c r="F44" s="238" t="s">
        <v>1017</v>
      </c>
      <c r="H44" s="258">
        <f>IF(H42*H43=0,0,H41/H42*H43/2)</f>
        <v>0</v>
      </c>
      <c r="I44" s="245"/>
      <c r="J44" s="245"/>
      <c r="K44" s="245"/>
      <c r="L44" s="245"/>
    </row>
    <row r="45" spans="1:16">
      <c r="D45" s="242"/>
      <c r="E45" s="239"/>
      <c r="F45" s="245"/>
      <c r="H45" s="259"/>
      <c r="I45" s="245"/>
      <c r="J45" s="245"/>
      <c r="K45" s="245"/>
      <c r="L45" s="245"/>
    </row>
    <row r="46" spans="1:16">
      <c r="D46" s="253" t="s">
        <v>1018</v>
      </c>
      <c r="E46" s="260"/>
      <c r="F46" s="255"/>
      <c r="H46" s="261"/>
      <c r="J46" s="261"/>
      <c r="K46" s="245"/>
      <c r="L46" s="245"/>
    </row>
    <row r="47" spans="1:16">
      <c r="A47" s="239">
        <f>A44+1</f>
        <v>29</v>
      </c>
      <c r="D47" s="242" t="s">
        <v>1019</v>
      </c>
      <c r="F47" s="245"/>
      <c r="H47" s="262"/>
      <c r="J47" s="416"/>
      <c r="K47" s="257"/>
      <c r="L47" s="245"/>
    </row>
    <row r="48" spans="1:16">
      <c r="A48" s="239">
        <f t="shared" ref="A48:A51" si="3">A47+1</f>
        <v>30</v>
      </c>
      <c r="D48" s="242" t="s">
        <v>1020</v>
      </c>
      <c r="F48" s="245"/>
      <c r="H48" s="262"/>
      <c r="J48" s="416"/>
      <c r="K48" s="245"/>
      <c r="L48" s="245"/>
    </row>
    <row r="49" spans="1:13">
      <c r="A49" s="239">
        <f t="shared" si="3"/>
        <v>31</v>
      </c>
      <c r="D49" s="242" t="s">
        <v>1021</v>
      </c>
      <c r="F49" s="245"/>
      <c r="H49" s="262"/>
      <c r="J49" s="416"/>
      <c r="K49" s="245"/>
      <c r="L49" s="245"/>
    </row>
    <row r="50" spans="1:13">
      <c r="A50" s="239">
        <f t="shared" si="3"/>
        <v>32</v>
      </c>
      <c r="D50" s="242" t="s">
        <v>1022</v>
      </c>
      <c r="F50" s="245"/>
      <c r="H50" s="262"/>
      <c r="J50" s="416"/>
      <c r="K50" s="245"/>
      <c r="L50" s="245"/>
    </row>
    <row r="51" spans="1:13" ht="15.75">
      <c r="A51" s="239">
        <f t="shared" si="3"/>
        <v>33</v>
      </c>
      <c r="D51" s="242" t="s">
        <v>1023</v>
      </c>
      <c r="E51" s="245"/>
      <c r="F51" s="245" t="s">
        <v>1024</v>
      </c>
      <c r="H51" s="263">
        <f>IF(SUM(H47:H50)=0,0,AVERAGE(H47:H50))</f>
        <v>0</v>
      </c>
      <c r="J51" s="725"/>
      <c r="K51" s="726"/>
      <c r="L51" s="726"/>
      <c r="M51" s="726"/>
    </row>
    <row r="52" spans="1:13">
      <c r="D52" s="242"/>
      <c r="E52" s="245"/>
      <c r="F52" s="245"/>
      <c r="H52" s="264"/>
      <c r="J52" s="725"/>
      <c r="K52" s="245"/>
      <c r="L52" s="245"/>
    </row>
    <row r="53" spans="1:13">
      <c r="A53" s="239">
        <f>A51+1</f>
        <v>34</v>
      </c>
      <c r="D53" s="242" t="s">
        <v>1025</v>
      </c>
      <c r="E53" s="245"/>
      <c r="F53" s="245"/>
      <c r="H53" s="265">
        <f>IF(H23&lt;=0,$H51,MIN($H51,$H44))</f>
        <v>0</v>
      </c>
      <c r="J53" s="725"/>
      <c r="K53" s="245"/>
      <c r="L53" s="245"/>
    </row>
    <row r="54" spans="1:13">
      <c r="D54" s="242"/>
      <c r="E54" s="245"/>
      <c r="F54" s="245"/>
      <c r="H54" s="265"/>
      <c r="I54" s="245"/>
      <c r="J54" s="245"/>
      <c r="K54" s="245"/>
      <c r="L54" s="245"/>
    </row>
    <row r="55" spans="1:13" ht="15.75" customHeight="1" thickBot="1">
      <c r="D55" s="245"/>
      <c r="E55" s="245"/>
      <c r="F55" s="245"/>
      <c r="H55" s="246" t="s">
        <v>1026</v>
      </c>
      <c r="J55" s="725"/>
      <c r="K55" s="245"/>
      <c r="L55" s="245"/>
    </row>
    <row r="56" spans="1:13">
      <c r="A56" s="239">
        <f>A53+1</f>
        <v>35</v>
      </c>
      <c r="C56" s="238"/>
      <c r="D56" s="238" t="s">
        <v>1027</v>
      </c>
      <c r="H56" s="266">
        <f>ROUND(+H37*12/12,0)</f>
        <v>-12119066</v>
      </c>
      <c r="J56" s="725"/>
      <c r="K56" s="245"/>
    </row>
    <row r="57" spans="1:13">
      <c r="A57" s="239">
        <f>A56+1</f>
        <v>36</v>
      </c>
      <c r="C57" s="238"/>
      <c r="D57" s="238" t="s">
        <v>1028</v>
      </c>
      <c r="H57" s="267">
        <f>ROUND(H$53/12*(24)*H56,2)</f>
        <v>0</v>
      </c>
      <c r="I57" s="245"/>
      <c r="J57" s="245"/>
      <c r="K57" s="245"/>
    </row>
    <row r="58" spans="1:13">
      <c r="A58" s="239">
        <f>A57+1</f>
        <v>37</v>
      </c>
      <c r="C58" s="248"/>
      <c r="D58" s="241" t="s">
        <v>1029</v>
      </c>
      <c r="E58" s="242"/>
      <c r="G58" s="239"/>
      <c r="H58" s="445">
        <f>SUM(H56:H57)</f>
        <v>-12119066</v>
      </c>
      <c r="I58" s="245"/>
      <c r="J58" s="245"/>
      <c r="K58" s="245"/>
    </row>
    <row r="59" spans="1:13">
      <c r="C59" s="248"/>
      <c r="D59" s="239"/>
      <c r="E59" s="242"/>
      <c r="G59" s="239"/>
      <c r="H59" s="268"/>
      <c r="I59" s="242"/>
      <c r="J59" s="268"/>
    </row>
    <row r="60" spans="1:13">
      <c r="A60" s="239" t="s">
        <v>610</v>
      </c>
    </row>
    <row r="61" spans="1:13" s="656" customFormat="1" ht="15.75" customHeight="1">
      <c r="A61" s="269" t="s">
        <v>419</v>
      </c>
      <c r="B61" s="979" t="s">
        <v>1030</v>
      </c>
      <c r="C61" s="979"/>
      <c r="D61" s="979"/>
      <c r="E61" s="979"/>
      <c r="F61" s="979"/>
      <c r="G61" s="979"/>
      <c r="H61" s="979"/>
    </row>
    <row r="62" spans="1:13" s="656" customFormat="1">
      <c r="A62" s="269" t="s">
        <v>421</v>
      </c>
      <c r="B62" s="979" t="s">
        <v>1031</v>
      </c>
      <c r="C62" s="979"/>
      <c r="D62" s="979"/>
      <c r="E62" s="979"/>
      <c r="F62" s="979"/>
      <c r="G62" s="979"/>
      <c r="H62" s="979"/>
    </row>
    <row r="63" spans="1:13" s="656" customFormat="1">
      <c r="A63" s="269" t="s">
        <v>423</v>
      </c>
      <c r="B63" s="979" t="s">
        <v>1032</v>
      </c>
      <c r="C63" s="979"/>
      <c r="D63" s="979"/>
      <c r="E63" s="979"/>
      <c r="F63" s="979"/>
      <c r="G63" s="979"/>
      <c r="H63" s="979"/>
    </row>
    <row r="64" spans="1:13" s="656" customFormat="1" ht="27" customHeight="1">
      <c r="A64" s="269" t="s">
        <v>425</v>
      </c>
      <c r="B64" s="978" t="s">
        <v>1033</v>
      </c>
      <c r="C64" s="978"/>
      <c r="D64" s="978"/>
      <c r="E64" s="978"/>
      <c r="F64" s="978"/>
      <c r="G64" s="978"/>
      <c r="H64" s="978"/>
    </row>
    <row r="65" spans="1:8" s="656" customFormat="1" ht="14.25" customHeight="1">
      <c r="A65" s="269" t="s">
        <v>427</v>
      </c>
      <c r="B65" s="979" t="s">
        <v>1034</v>
      </c>
      <c r="C65" s="979"/>
      <c r="D65" s="979"/>
      <c r="E65" s="979"/>
      <c r="F65" s="979"/>
      <c r="G65" s="979"/>
      <c r="H65" s="979"/>
    </row>
    <row r="66" spans="1:8" s="656" customFormat="1" ht="108.75" customHeight="1">
      <c r="A66" s="269" t="s">
        <v>429</v>
      </c>
      <c r="B66" s="978" t="s">
        <v>1035</v>
      </c>
      <c r="C66" s="978"/>
      <c r="D66" s="978"/>
      <c r="E66" s="978"/>
      <c r="F66" s="978"/>
      <c r="G66" s="978"/>
      <c r="H66" s="978"/>
    </row>
    <row r="67" spans="1:8">
      <c r="B67" s="238"/>
    </row>
    <row r="117" spans="3:7" ht="15.75">
      <c r="C117" s="270"/>
      <c r="D117" s="271"/>
      <c r="E117" s="271"/>
      <c r="F117" s="271"/>
      <c r="G117" s="271"/>
    </row>
    <row r="118" spans="3:7" ht="99.75" customHeight="1">
      <c r="C118" s="270"/>
      <c r="D118" s="271"/>
      <c r="E118" s="271"/>
      <c r="F118" s="271"/>
      <c r="G118" s="271"/>
    </row>
    <row r="119" spans="3:7" ht="15.75">
      <c r="C119" s="270"/>
      <c r="D119" s="271"/>
      <c r="E119" s="271"/>
      <c r="F119" s="271"/>
      <c r="G119" s="271"/>
    </row>
    <row r="120" spans="3:7" ht="15.75">
      <c r="C120" s="270"/>
      <c r="D120" s="271"/>
      <c r="E120" s="271"/>
      <c r="F120" s="271"/>
      <c r="G120" s="271"/>
    </row>
    <row r="121" spans="3:7" ht="15.75">
      <c r="C121" s="270"/>
      <c r="D121" s="271"/>
      <c r="E121" s="271"/>
      <c r="F121" s="271"/>
      <c r="G121" s="271"/>
    </row>
    <row r="122" spans="3:7" ht="15.75">
      <c r="C122" s="270"/>
      <c r="D122" s="271"/>
      <c r="E122" s="271"/>
      <c r="F122" s="271"/>
      <c r="G122" s="271"/>
    </row>
    <row r="123" spans="3:7" ht="15.75">
      <c r="C123" s="270"/>
      <c r="D123" s="271"/>
      <c r="E123" s="271"/>
      <c r="F123" s="271"/>
      <c r="G123" s="271"/>
    </row>
    <row r="124" spans="3:7" ht="15.75">
      <c r="C124" s="270"/>
      <c r="D124" s="271"/>
      <c r="E124" s="271"/>
      <c r="F124" s="271"/>
      <c r="G124" s="271"/>
    </row>
    <row r="125" spans="3:7" ht="15.75">
      <c r="C125" s="270"/>
      <c r="D125" s="271"/>
      <c r="E125" s="271"/>
      <c r="F125" s="271"/>
      <c r="G125" s="271"/>
    </row>
    <row r="126" spans="3:7" ht="15.75">
      <c r="C126" s="270"/>
      <c r="D126" s="271"/>
      <c r="E126" s="271"/>
      <c r="F126" s="271"/>
      <c r="G126" s="271"/>
    </row>
    <row r="127" spans="3:7" ht="15.75">
      <c r="C127" s="270"/>
      <c r="D127" s="271"/>
      <c r="E127" s="271"/>
      <c r="F127" s="271"/>
      <c r="G127" s="271"/>
    </row>
    <row r="128" spans="3:7" ht="15.75">
      <c r="C128" s="270"/>
      <c r="D128" s="271"/>
      <c r="E128" s="271"/>
      <c r="F128" s="271"/>
      <c r="G128" s="271"/>
    </row>
    <row r="129" spans="3:7" ht="15.75">
      <c r="C129" s="270"/>
      <c r="D129" s="271"/>
      <c r="E129" s="271"/>
      <c r="F129" s="271"/>
      <c r="G129" s="271"/>
    </row>
    <row r="130" spans="3:7" ht="15.75">
      <c r="C130" s="270"/>
      <c r="D130" s="271"/>
      <c r="E130" s="271"/>
      <c r="F130" s="271"/>
      <c r="G130" s="271"/>
    </row>
    <row r="131" spans="3:7" ht="15.75">
      <c r="C131" s="270"/>
      <c r="D131" s="271"/>
      <c r="E131" s="271"/>
      <c r="F131" s="271"/>
      <c r="G131" s="271"/>
    </row>
    <row r="132" spans="3:7" ht="15.75">
      <c r="C132" s="270"/>
      <c r="D132" s="271"/>
      <c r="E132" s="271"/>
      <c r="F132" s="271"/>
      <c r="G132" s="271"/>
    </row>
    <row r="133" spans="3:7" ht="15.75">
      <c r="C133" s="270"/>
      <c r="D133" s="271"/>
      <c r="E133" s="271"/>
      <c r="F133" s="271"/>
      <c r="G133" s="271"/>
    </row>
    <row r="134" spans="3:7" ht="15.75">
      <c r="C134" s="270"/>
      <c r="D134" s="271"/>
      <c r="E134" s="271"/>
      <c r="F134" s="271"/>
      <c r="G134" s="271"/>
    </row>
    <row r="135" spans="3:7" ht="15.75">
      <c r="C135" s="270"/>
      <c r="D135" s="271"/>
      <c r="E135" s="271"/>
      <c r="F135" s="271"/>
      <c r="G135" s="271"/>
    </row>
    <row r="136" spans="3:7" ht="15.75">
      <c r="C136" s="270"/>
      <c r="D136" s="271"/>
      <c r="E136" s="271"/>
      <c r="F136" s="271"/>
      <c r="G136" s="271"/>
    </row>
    <row r="137" spans="3:7" ht="15.75">
      <c r="C137" s="270"/>
      <c r="D137" s="271"/>
      <c r="E137" s="271"/>
      <c r="F137" s="271"/>
      <c r="G137" s="271"/>
    </row>
    <row r="138" spans="3:7" ht="15.75">
      <c r="C138" s="270"/>
      <c r="D138" s="271"/>
      <c r="E138" s="271"/>
      <c r="F138" s="271"/>
      <c r="G138" s="271"/>
    </row>
    <row r="139" spans="3:7" ht="40.5" customHeight="1">
      <c r="C139" s="270"/>
      <c r="D139" s="271"/>
      <c r="E139" s="271"/>
      <c r="F139" s="271"/>
      <c r="G139" s="271"/>
    </row>
    <row r="140" spans="3:7" ht="15.75">
      <c r="C140" s="270"/>
      <c r="D140" s="271"/>
      <c r="E140" s="271"/>
      <c r="F140" s="271"/>
      <c r="G140" s="271"/>
    </row>
  </sheetData>
  <mergeCells count="10">
    <mergeCell ref="J1:P1"/>
    <mergeCell ref="B66:H66"/>
    <mergeCell ref="B63:H63"/>
    <mergeCell ref="B64:H64"/>
    <mergeCell ref="B65:H65"/>
    <mergeCell ref="A1:H1"/>
    <mergeCell ref="A2:H2"/>
    <mergeCell ref="A3:H3"/>
    <mergeCell ref="B61:H61"/>
    <mergeCell ref="B62:H62"/>
  </mergeCells>
  <printOptions horizontalCentered="1"/>
  <pageMargins left="0.5" right="0.25" top="1" bottom="0.5" header="0.5" footer="0.5"/>
  <pageSetup scale="7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8" tint="0.59999389629810485"/>
  </sheetPr>
  <dimension ref="A1:S289"/>
  <sheetViews>
    <sheetView workbookViewId="0"/>
  </sheetViews>
  <sheetFormatPr defaultColWidth="8.77734375" defaultRowHeight="12.75"/>
  <cols>
    <col min="1" max="1" width="4.21875" style="102" customWidth="1"/>
    <col min="2" max="2" width="47.77734375" style="102" customWidth="1"/>
    <col min="3" max="3" width="62.33203125" style="102" bestFit="1" customWidth="1"/>
    <col min="4" max="4" width="11.21875" style="102" bestFit="1" customWidth="1"/>
    <col min="5" max="5" width="4.109375" style="102" customWidth="1"/>
    <col min="6" max="6" width="3.21875" style="102" customWidth="1"/>
    <col min="7" max="7" width="6.44140625" style="102" customWidth="1"/>
    <col min="8" max="8" width="3.77734375" style="102" bestFit="1" customWidth="1"/>
    <col min="9" max="9" width="12.44140625" style="102" customWidth="1"/>
    <col min="10" max="10" width="1.44140625" style="102" customWidth="1"/>
    <col min="11" max="11" width="6.77734375" style="102" customWidth="1"/>
    <col min="12" max="12" width="8.77734375" style="102"/>
    <col min="13" max="14" width="10.77734375" style="102" customWidth="1"/>
    <col min="15" max="16" width="8.77734375" style="102"/>
    <col min="17" max="17" width="10.21875" style="102" customWidth="1"/>
    <col min="18" max="18" width="8.77734375" style="102"/>
    <col min="19" max="19" width="10.21875" style="102" customWidth="1"/>
    <col min="20" max="16384" width="8.77734375" style="102"/>
  </cols>
  <sheetData>
    <row r="1" spans="1:11">
      <c r="B1" s="70"/>
      <c r="C1" s="70"/>
      <c r="D1" s="103"/>
      <c r="E1" s="70"/>
      <c r="F1" s="70"/>
      <c r="G1" s="70"/>
      <c r="H1" s="70"/>
      <c r="I1" s="923" t="s">
        <v>58</v>
      </c>
      <c r="J1" s="923"/>
      <c r="K1" s="923"/>
    </row>
    <row r="2" spans="1:11">
      <c r="B2" s="70"/>
      <c r="C2" s="70"/>
      <c r="D2" s="103"/>
      <c r="E2" s="70"/>
      <c r="F2" s="70"/>
      <c r="G2" s="70"/>
      <c r="H2" s="70"/>
      <c r="I2" s="70"/>
      <c r="J2" s="922" t="s">
        <v>78</v>
      </c>
      <c r="K2" s="922"/>
    </row>
    <row r="3" spans="1:11">
      <c r="B3" s="70"/>
      <c r="C3" s="70"/>
      <c r="D3" s="103"/>
      <c r="E3" s="70"/>
      <c r="F3" s="70"/>
      <c r="G3" s="70"/>
      <c r="H3" s="70"/>
      <c r="I3" s="70"/>
      <c r="J3" s="70"/>
      <c r="K3" s="104"/>
    </row>
    <row r="4" spans="1:11">
      <c r="B4" s="103" t="s">
        <v>79</v>
      </c>
      <c r="C4" s="77" t="s">
        <v>80</v>
      </c>
      <c r="E4" s="70"/>
      <c r="F4" s="70"/>
      <c r="G4" s="70"/>
      <c r="H4" s="70"/>
      <c r="I4" s="70"/>
      <c r="J4" s="70"/>
      <c r="K4" s="105" t="s">
        <v>1036</v>
      </c>
    </row>
    <row r="5" spans="1:11">
      <c r="B5" s="70"/>
      <c r="C5" s="107" t="s">
        <v>81</v>
      </c>
      <c r="E5" s="106"/>
      <c r="F5" s="106"/>
      <c r="G5" s="106"/>
      <c r="H5" s="70"/>
      <c r="I5" s="70"/>
      <c r="J5" s="70"/>
      <c r="K5" s="70"/>
    </row>
    <row r="6" spans="1:11">
      <c r="B6" s="70"/>
      <c r="C6" s="106"/>
      <c r="D6" s="106"/>
      <c r="E6" s="106"/>
      <c r="F6" s="106"/>
      <c r="G6" s="106"/>
      <c r="H6" s="70"/>
      <c r="I6" s="70"/>
      <c r="J6" s="70"/>
      <c r="K6" s="70"/>
    </row>
    <row r="7" spans="1:11">
      <c r="B7" s="70"/>
      <c r="C7" s="108" t="s">
        <v>82</v>
      </c>
      <c r="E7" s="106"/>
      <c r="F7" s="106"/>
      <c r="G7" s="106"/>
      <c r="H7" s="106"/>
      <c r="I7" s="106"/>
      <c r="J7" s="106"/>
      <c r="K7" s="106"/>
    </row>
    <row r="8" spans="1:11">
      <c r="A8" s="77" t="s">
        <v>83</v>
      </c>
      <c r="B8" s="70"/>
      <c r="C8" s="70"/>
      <c r="D8" s="109"/>
      <c r="E8" s="70"/>
      <c r="F8" s="70"/>
      <c r="G8" s="70"/>
      <c r="H8" s="70"/>
      <c r="I8" s="77" t="s">
        <v>84</v>
      </c>
      <c r="J8" s="70"/>
      <c r="K8" s="70"/>
    </row>
    <row r="9" spans="1:11" ht="13.5" thickBot="1">
      <c r="A9" s="110" t="s">
        <v>85</v>
      </c>
      <c r="B9" s="70"/>
      <c r="C9" s="70"/>
      <c r="D9" s="70"/>
      <c r="E9" s="70"/>
      <c r="F9" s="70"/>
      <c r="G9" s="70"/>
      <c r="H9" s="70"/>
      <c r="I9" s="110" t="s">
        <v>86</v>
      </c>
      <c r="J9" s="70"/>
      <c r="K9" s="70"/>
    </row>
    <row r="10" spans="1:11">
      <c r="A10" s="77">
        <v>1</v>
      </c>
      <c r="B10" s="70" t="s">
        <v>1037</v>
      </c>
      <c r="C10" s="70"/>
      <c r="D10" s="106"/>
      <c r="E10" s="70"/>
      <c r="F10" s="70"/>
      <c r="G10" s="70"/>
      <c r="H10" s="70"/>
      <c r="I10" s="111">
        <f>'Proj Att-H'!I156</f>
        <v>27788466.147295028</v>
      </c>
      <c r="J10" s="70"/>
      <c r="K10" s="70"/>
    </row>
    <row r="11" spans="1:11">
      <c r="A11" s="77"/>
      <c r="B11" s="70"/>
      <c r="C11" s="70"/>
      <c r="D11" s="70"/>
      <c r="E11" s="70"/>
      <c r="F11" s="70"/>
      <c r="G11" s="70"/>
      <c r="H11" s="70"/>
      <c r="I11" s="106"/>
      <c r="J11" s="70"/>
      <c r="K11" s="70"/>
    </row>
    <row r="12" spans="1:11" ht="13.5" thickBot="1">
      <c r="A12" s="77" t="s">
        <v>88</v>
      </c>
      <c r="B12" s="70" t="s">
        <v>89</v>
      </c>
      <c r="C12" s="106"/>
      <c r="D12" s="110" t="s">
        <v>91</v>
      </c>
      <c r="E12" s="106"/>
      <c r="F12" s="112" t="s">
        <v>92</v>
      </c>
      <c r="G12" s="112"/>
      <c r="H12" s="70"/>
      <c r="I12" s="106"/>
      <c r="J12" s="70"/>
      <c r="K12" s="70"/>
    </row>
    <row r="13" spans="1:11">
      <c r="A13" s="77">
        <v>2</v>
      </c>
      <c r="B13" s="70" t="s">
        <v>93</v>
      </c>
      <c r="C13" s="106" t="s">
        <v>1038</v>
      </c>
      <c r="D13" s="173">
        <f>'Act Att-H'!D13</f>
        <v>139732.3374875607</v>
      </c>
      <c r="E13" s="106"/>
      <c r="F13" s="106"/>
      <c r="G13" s="113">
        <v>1</v>
      </c>
      <c r="H13" s="106"/>
      <c r="I13" s="62">
        <f>+G13*D13</f>
        <v>139732.3374875607</v>
      </c>
      <c r="J13" s="70"/>
      <c r="K13" s="70"/>
    </row>
    <row r="14" spans="1:11">
      <c r="A14" s="77">
        <v>3</v>
      </c>
      <c r="B14" s="70" t="s">
        <v>96</v>
      </c>
      <c r="C14" s="106" t="s">
        <v>1039</v>
      </c>
      <c r="D14" s="173">
        <f>'Act Att-H'!D14</f>
        <v>0</v>
      </c>
      <c r="E14" s="106"/>
      <c r="F14" s="114"/>
      <c r="G14" s="113">
        <v>1</v>
      </c>
      <c r="H14" s="106"/>
      <c r="I14" s="62">
        <f>+G14*D14</f>
        <v>0</v>
      </c>
      <c r="J14" s="70"/>
      <c r="K14" s="70"/>
    </row>
    <row r="15" spans="1:11">
      <c r="A15" s="77">
        <v>4</v>
      </c>
      <c r="B15" s="2" t="s">
        <v>98</v>
      </c>
      <c r="C15" s="2"/>
      <c r="D15" s="176"/>
      <c r="E15" s="106"/>
      <c r="F15" s="114"/>
      <c r="G15" s="177"/>
      <c r="H15" s="106"/>
      <c r="I15" s="62"/>
      <c r="J15" s="70"/>
      <c r="K15" s="70"/>
    </row>
    <row r="16" spans="1:11" ht="13.5" thickBot="1">
      <c r="A16" s="77">
        <v>5</v>
      </c>
      <c r="B16" s="2" t="s">
        <v>98</v>
      </c>
      <c r="C16" s="2"/>
      <c r="D16" s="176"/>
      <c r="E16" s="106"/>
      <c r="F16" s="114"/>
      <c r="G16" s="177"/>
      <c r="H16" s="106"/>
      <c r="I16" s="63"/>
      <c r="J16" s="70"/>
      <c r="K16" s="70"/>
    </row>
    <row r="17" spans="1:11">
      <c r="A17" s="77">
        <v>6</v>
      </c>
      <c r="B17" s="70" t="s">
        <v>99</v>
      </c>
      <c r="C17" s="70"/>
      <c r="D17" s="116" t="s">
        <v>88</v>
      </c>
      <c r="E17" s="106"/>
      <c r="F17" s="106"/>
      <c r="G17" s="117"/>
      <c r="H17" s="106"/>
      <c r="I17" s="62">
        <f>SUM(I13:I16)</f>
        <v>139732.3374875607</v>
      </c>
      <c r="J17" s="70"/>
      <c r="K17" s="70"/>
    </row>
    <row r="18" spans="1:11">
      <c r="A18" s="77"/>
      <c r="B18" s="70"/>
      <c r="C18" s="70"/>
      <c r="I18" s="62"/>
      <c r="J18" s="70"/>
      <c r="K18" s="70"/>
    </row>
    <row r="19" spans="1:11">
      <c r="A19" s="77" t="s">
        <v>1040</v>
      </c>
      <c r="B19" s="70" t="s">
        <v>1041</v>
      </c>
      <c r="C19" s="70" t="s">
        <v>1042</v>
      </c>
      <c r="I19" s="173">
        <f>'TU-TrueUp'!H58</f>
        <v>-12119066</v>
      </c>
      <c r="J19" s="70"/>
      <c r="K19" s="70"/>
    </row>
    <row r="20" spans="1:11">
      <c r="A20" s="77"/>
      <c r="B20" s="70"/>
      <c r="C20" s="70"/>
      <c r="I20" s="106"/>
      <c r="J20" s="70"/>
      <c r="K20" s="70"/>
    </row>
    <row r="21" spans="1:11" ht="13.5" thickBot="1">
      <c r="A21" s="77">
        <v>7</v>
      </c>
      <c r="B21" s="70" t="s">
        <v>100</v>
      </c>
      <c r="C21" s="70" t="s">
        <v>1043</v>
      </c>
      <c r="D21" s="116"/>
      <c r="E21" s="106"/>
      <c r="F21" s="106"/>
      <c r="G21" s="106"/>
      <c r="H21" s="106"/>
      <c r="I21" s="118">
        <f>I10-I17+I19</f>
        <v>15529667.809807468</v>
      </c>
      <c r="J21" s="70"/>
      <c r="K21" s="70"/>
    </row>
    <row r="22" spans="1:11" ht="13.5" thickTop="1">
      <c r="A22" s="77"/>
      <c r="B22" s="70"/>
      <c r="C22" s="70"/>
      <c r="D22" s="116"/>
      <c r="E22" s="106"/>
      <c r="F22" s="106"/>
      <c r="G22" s="106"/>
      <c r="H22" s="106"/>
      <c r="I22" s="419"/>
      <c r="J22" s="70"/>
      <c r="K22" s="70"/>
    </row>
    <row r="23" spans="1:11">
      <c r="A23" s="77" t="s">
        <v>1044</v>
      </c>
      <c r="B23" s="70" t="s">
        <v>1045</v>
      </c>
      <c r="C23" s="70" t="s">
        <v>1046</v>
      </c>
      <c r="D23" s="116"/>
      <c r="E23" s="106"/>
      <c r="F23" s="106"/>
      <c r="G23" s="106"/>
      <c r="H23" s="106"/>
      <c r="I23" s="119">
        <f>I21-I19</f>
        <v>27648733.809807468</v>
      </c>
      <c r="J23" s="70"/>
      <c r="K23" s="70"/>
    </row>
    <row r="24" spans="1:11">
      <c r="A24" s="77"/>
      <c r="C24" s="70"/>
      <c r="D24" s="116"/>
      <c r="E24" s="106"/>
      <c r="F24" s="106"/>
      <c r="G24" s="106"/>
      <c r="H24" s="106"/>
      <c r="J24" s="70"/>
      <c r="K24" s="70"/>
    </row>
    <row r="25" spans="1:11">
      <c r="A25" s="77"/>
      <c r="B25" s="70" t="s">
        <v>102</v>
      </c>
      <c r="C25" s="70"/>
      <c r="D25" s="106"/>
      <c r="E25" s="70"/>
      <c r="F25" s="70"/>
      <c r="G25" s="70"/>
      <c r="H25" s="70"/>
      <c r="I25" s="106"/>
      <c r="J25" s="70"/>
      <c r="K25" s="70"/>
    </row>
    <row r="26" spans="1:11">
      <c r="A26" s="77">
        <v>8</v>
      </c>
      <c r="B26" s="70" t="s">
        <v>103</v>
      </c>
      <c r="C26" s="102" t="s">
        <v>1047</v>
      </c>
      <c r="D26" s="106"/>
      <c r="E26" s="70"/>
      <c r="F26" s="70"/>
      <c r="G26" s="70"/>
      <c r="H26" s="70"/>
      <c r="I26" s="173">
        <f>'P3-Divisor'!G24</f>
        <v>0</v>
      </c>
      <c r="J26" s="70"/>
      <c r="K26" s="70"/>
    </row>
    <row r="27" spans="1:11">
      <c r="A27" s="77">
        <v>9</v>
      </c>
      <c r="B27" s="70"/>
      <c r="C27" s="106"/>
      <c r="D27" s="106"/>
      <c r="E27" s="106"/>
      <c r="F27" s="106"/>
      <c r="G27" s="106"/>
      <c r="H27" s="106"/>
      <c r="I27" s="106"/>
      <c r="J27" s="70"/>
      <c r="K27" s="70"/>
    </row>
    <row r="28" spans="1:11">
      <c r="A28" s="77">
        <v>10</v>
      </c>
      <c r="B28" s="106" t="s">
        <v>105</v>
      </c>
      <c r="C28" s="106"/>
      <c r="D28" s="106"/>
      <c r="E28" s="106"/>
      <c r="F28" s="106"/>
      <c r="G28" s="106"/>
      <c r="H28" s="106"/>
      <c r="I28" s="106"/>
      <c r="J28" s="106"/>
      <c r="K28" s="70"/>
    </row>
    <row r="29" spans="1:11">
      <c r="A29" s="77">
        <v>11</v>
      </c>
      <c r="B29" s="70" t="s">
        <v>106</v>
      </c>
      <c r="C29" s="70"/>
      <c r="D29" s="572">
        <f>IFERROR(ROUND(I21/I26,2),0)</f>
        <v>0</v>
      </c>
      <c r="E29" s="70" t="s">
        <v>107</v>
      </c>
      <c r="F29" s="106"/>
      <c r="G29" s="106"/>
      <c r="H29" s="106"/>
      <c r="I29" s="106"/>
      <c r="J29" s="106"/>
      <c r="K29" s="70"/>
    </row>
    <row r="30" spans="1:11">
      <c r="A30" s="77">
        <v>12</v>
      </c>
      <c r="B30" s="70" t="s">
        <v>108</v>
      </c>
      <c r="C30" s="70" t="s">
        <v>109</v>
      </c>
      <c r="D30" s="572">
        <f>ROUND(D29/12,2)</f>
        <v>0</v>
      </c>
      <c r="E30" s="70" t="s">
        <v>110</v>
      </c>
      <c r="F30" s="106"/>
      <c r="G30" s="106"/>
      <c r="H30" s="106"/>
      <c r="I30" s="106"/>
      <c r="J30" s="106"/>
      <c r="K30" s="70"/>
    </row>
    <row r="31" spans="1:11">
      <c r="A31" s="77">
        <v>13</v>
      </c>
      <c r="B31" s="70" t="s">
        <v>111</v>
      </c>
      <c r="C31" s="70" t="s">
        <v>112</v>
      </c>
      <c r="D31" s="572">
        <f>ROUND(D29/52,2)</f>
        <v>0</v>
      </c>
      <c r="E31" s="70" t="s">
        <v>113</v>
      </c>
      <c r="F31" s="106"/>
      <c r="G31" s="106"/>
      <c r="H31" s="106"/>
      <c r="I31" s="106"/>
      <c r="J31" s="106"/>
      <c r="K31" s="70"/>
    </row>
    <row r="32" spans="1:11">
      <c r="A32" s="77">
        <v>14</v>
      </c>
      <c r="B32" s="70" t="s">
        <v>114</v>
      </c>
      <c r="C32" s="70" t="s">
        <v>115</v>
      </c>
      <c r="D32" s="573">
        <f>+D31/6</f>
        <v>0</v>
      </c>
      <c r="E32" s="70" t="s">
        <v>116</v>
      </c>
      <c r="F32" s="106"/>
      <c r="G32" s="106"/>
      <c r="H32" s="106"/>
      <c r="I32" s="106"/>
      <c r="J32" s="106"/>
      <c r="K32" s="70"/>
    </row>
    <row r="33" spans="1:11">
      <c r="A33" s="77">
        <v>15</v>
      </c>
      <c r="B33" s="70" t="s">
        <v>117</v>
      </c>
      <c r="C33" s="70" t="s">
        <v>118</v>
      </c>
      <c r="D33" s="573">
        <f>+D31/7</f>
        <v>0</v>
      </c>
      <c r="E33" s="70" t="s">
        <v>116</v>
      </c>
      <c r="F33" s="106"/>
      <c r="G33" s="106"/>
      <c r="H33" s="106"/>
      <c r="I33" s="106"/>
      <c r="J33" s="106"/>
      <c r="K33" s="70"/>
    </row>
    <row r="34" spans="1:11">
      <c r="A34" s="77">
        <v>16</v>
      </c>
      <c r="B34" s="70" t="s">
        <v>119</v>
      </c>
      <c r="C34" s="70" t="s">
        <v>120</v>
      </c>
      <c r="D34" s="572">
        <f>+D32/16*1000</f>
        <v>0</v>
      </c>
      <c r="E34" s="70" t="s">
        <v>121</v>
      </c>
      <c r="F34" s="106"/>
      <c r="G34" s="106"/>
      <c r="H34" s="106"/>
      <c r="I34" s="106"/>
      <c r="J34" s="106"/>
      <c r="K34" s="70"/>
    </row>
    <row r="35" spans="1:11">
      <c r="A35" s="77">
        <v>17</v>
      </c>
      <c r="B35" s="70" t="s">
        <v>122</v>
      </c>
      <c r="C35" s="70" t="s">
        <v>123</v>
      </c>
      <c r="D35" s="572">
        <f>+D33/24*1000</f>
        <v>0</v>
      </c>
      <c r="E35" s="70" t="s">
        <v>121</v>
      </c>
      <c r="F35" s="106"/>
      <c r="G35" s="106"/>
      <c r="H35" s="106"/>
      <c r="I35" s="106"/>
      <c r="J35" s="106"/>
      <c r="K35" s="70"/>
    </row>
    <row r="36" spans="1:11">
      <c r="B36" s="70"/>
      <c r="C36" s="70"/>
      <c r="D36" s="103"/>
      <c r="E36" s="70"/>
      <c r="F36" s="70"/>
      <c r="G36" s="70"/>
      <c r="H36" s="70"/>
      <c r="I36" s="923" t="str">
        <f>I1</f>
        <v>Projected Attachment H</v>
      </c>
      <c r="J36" s="923"/>
      <c r="K36" s="923"/>
    </row>
    <row r="37" spans="1:11">
      <c r="B37" s="70"/>
      <c r="C37" s="70"/>
      <c r="D37" s="103"/>
      <c r="E37" s="70"/>
      <c r="F37" s="70"/>
      <c r="G37" s="70"/>
      <c r="H37" s="70"/>
      <c r="I37" s="70"/>
      <c r="J37" s="922" t="s">
        <v>124</v>
      </c>
      <c r="K37" s="922"/>
    </row>
    <row r="38" spans="1:11">
      <c r="B38" s="70"/>
      <c r="C38" s="70"/>
      <c r="D38" s="103"/>
      <c r="E38" s="70"/>
      <c r="F38" s="70"/>
      <c r="G38" s="70"/>
      <c r="H38" s="70"/>
      <c r="I38" s="70"/>
      <c r="J38" s="70"/>
      <c r="K38" s="104"/>
    </row>
    <row r="39" spans="1:11">
      <c r="B39" s="103" t="s">
        <v>79</v>
      </c>
      <c r="C39" s="77" t="s">
        <v>125</v>
      </c>
      <c r="E39" s="70"/>
      <c r="F39" s="70"/>
      <c r="G39" s="70"/>
      <c r="H39" s="70"/>
      <c r="I39" s="70"/>
      <c r="J39" s="70"/>
      <c r="K39" s="120" t="str">
        <f>K4</f>
        <v xml:space="preserve">Estimated - For the 12 months ended </v>
      </c>
    </row>
    <row r="40" spans="1:11">
      <c r="B40" s="70"/>
      <c r="C40" s="107" t="s">
        <v>126</v>
      </c>
      <c r="E40" s="106"/>
      <c r="F40" s="106"/>
      <c r="G40" s="106"/>
      <c r="H40" s="70"/>
      <c r="I40" s="70"/>
      <c r="J40" s="70"/>
      <c r="K40" s="70"/>
    </row>
    <row r="41" spans="1:11">
      <c r="B41" s="70"/>
      <c r="C41" s="106"/>
      <c r="E41" s="106"/>
      <c r="F41" s="106"/>
      <c r="G41" s="106"/>
      <c r="H41" s="70"/>
      <c r="I41" s="70"/>
      <c r="J41" s="70"/>
      <c r="K41" s="70"/>
    </row>
    <row r="42" spans="1:11">
      <c r="A42" s="77"/>
      <c r="C42" s="121" t="str">
        <f>C7</f>
        <v>Cheyenne Light, Fuel &amp; Power</v>
      </c>
      <c r="J42" s="106"/>
      <c r="K42" s="106"/>
    </row>
    <row r="43" spans="1:11">
      <c r="B43" s="70"/>
      <c r="C43" s="70"/>
      <c r="D43" s="70"/>
      <c r="E43" s="70"/>
      <c r="F43" s="70"/>
      <c r="G43" s="70"/>
      <c r="H43" s="70"/>
      <c r="J43" s="70"/>
      <c r="K43" s="70"/>
    </row>
    <row r="44" spans="1:11">
      <c r="B44" s="77" t="s">
        <v>127</v>
      </c>
      <c r="C44" s="77" t="s">
        <v>128</v>
      </c>
      <c r="D44" s="77" t="s">
        <v>129</v>
      </c>
      <c r="E44" s="106" t="s">
        <v>88</v>
      </c>
      <c r="F44" s="106"/>
      <c r="G44" s="122" t="s">
        <v>130</v>
      </c>
      <c r="H44" s="106"/>
      <c r="I44" s="123" t="s">
        <v>131</v>
      </c>
      <c r="J44" s="106"/>
      <c r="K44" s="77"/>
    </row>
    <row r="45" spans="1:11">
      <c r="B45" s="70"/>
      <c r="C45" s="124" t="s">
        <v>132</v>
      </c>
      <c r="D45" s="106"/>
      <c r="E45" s="106"/>
      <c r="F45" s="106"/>
      <c r="G45" s="77"/>
      <c r="H45" s="106"/>
      <c r="I45" s="125" t="s">
        <v>133</v>
      </c>
      <c r="J45" s="106"/>
      <c r="K45" s="77"/>
    </row>
    <row r="46" spans="1:11">
      <c r="A46" s="77" t="s">
        <v>83</v>
      </c>
      <c r="B46" s="70"/>
      <c r="C46" s="126" t="s">
        <v>134</v>
      </c>
      <c r="D46" s="125" t="s">
        <v>135</v>
      </c>
      <c r="E46" s="127"/>
      <c r="F46" s="125" t="s">
        <v>136</v>
      </c>
      <c r="H46" s="127"/>
      <c r="I46" s="77" t="s">
        <v>137</v>
      </c>
      <c r="J46" s="106"/>
      <c r="K46" s="77"/>
    </row>
    <row r="47" spans="1:11" ht="13.5" thickBot="1">
      <c r="A47" s="110" t="s">
        <v>85</v>
      </c>
      <c r="B47" s="128" t="s">
        <v>1048</v>
      </c>
      <c r="C47" s="106"/>
      <c r="D47" s="106"/>
      <c r="E47" s="106"/>
      <c r="F47" s="106"/>
      <c r="G47" s="106"/>
      <c r="H47" s="106"/>
      <c r="I47" s="106"/>
      <c r="J47" s="106"/>
      <c r="K47" s="106"/>
    </row>
    <row r="48" spans="1:11">
      <c r="A48" s="77"/>
      <c r="B48" s="70" t="s">
        <v>1049</v>
      </c>
      <c r="C48" s="106"/>
      <c r="D48" s="106"/>
      <c r="E48" s="106"/>
      <c r="F48" s="106"/>
      <c r="G48" s="106"/>
      <c r="H48" s="106"/>
      <c r="I48" s="106"/>
      <c r="J48" s="106"/>
      <c r="K48" s="106"/>
    </row>
    <row r="49" spans="1:11">
      <c r="A49" s="77">
        <v>1</v>
      </c>
      <c r="B49" s="70" t="s">
        <v>143</v>
      </c>
      <c r="C49" s="50" t="s">
        <v>1050</v>
      </c>
      <c r="D49" s="280">
        <f>'P1-Trans Plant'!H44</f>
        <v>430684311.11999995</v>
      </c>
      <c r="E49" s="106"/>
      <c r="F49" s="106" t="s">
        <v>95</v>
      </c>
      <c r="G49" s="130">
        <f>$I$175</f>
        <v>0.61863245862384375</v>
      </c>
      <c r="H49" s="106"/>
      <c r="I49" s="62">
        <f>+G49*D49</f>
        <v>266435294.27888203</v>
      </c>
      <c r="J49" s="106"/>
      <c r="K49" s="106"/>
    </row>
    <row r="50" spans="1:11">
      <c r="A50" s="77" t="s">
        <v>1051</v>
      </c>
      <c r="B50" s="70" t="s">
        <v>148</v>
      </c>
      <c r="C50" s="50" t="s">
        <v>1052</v>
      </c>
      <c r="D50" s="280">
        <f>'A4-Rate Base'!F22</f>
        <v>0</v>
      </c>
      <c r="E50" s="106"/>
      <c r="F50" s="106" t="s">
        <v>150</v>
      </c>
      <c r="G50" s="130">
        <f>$I$183</f>
        <v>0</v>
      </c>
      <c r="H50" s="106"/>
      <c r="I50" s="62">
        <f>+G50*D50</f>
        <v>0</v>
      </c>
      <c r="J50" s="106"/>
      <c r="K50" s="106"/>
    </row>
    <row r="51" spans="1:11">
      <c r="A51" s="77">
        <v>2</v>
      </c>
      <c r="B51" s="70" t="s">
        <v>151</v>
      </c>
      <c r="C51" s="70" t="s">
        <v>1053</v>
      </c>
      <c r="D51" s="280">
        <f>'A4-Rate Base'!G22</f>
        <v>47564825.310000002</v>
      </c>
      <c r="E51" s="106"/>
      <c r="F51" s="106" t="s">
        <v>153</v>
      </c>
      <c r="G51" s="130">
        <f>$I$202</f>
        <v>6.6848958689547669E-2</v>
      </c>
      <c r="H51" s="106"/>
      <c r="I51" s="62">
        <f>+G51*D51</f>
        <v>3179659.0422237418</v>
      </c>
      <c r="J51" s="106"/>
      <c r="K51" s="106"/>
    </row>
    <row r="52" spans="1:11">
      <c r="A52" s="77">
        <v>3</v>
      </c>
      <c r="B52" s="70" t="s">
        <v>157</v>
      </c>
      <c r="C52" s="178" t="s">
        <v>1054</v>
      </c>
      <c r="D52" s="579">
        <f>SUM(D49:D51)</f>
        <v>478249136.42999995</v>
      </c>
      <c r="E52" s="106"/>
      <c r="F52" s="730"/>
      <c r="G52" s="872"/>
      <c r="H52" s="106"/>
      <c r="I52" s="183">
        <f>SUM(I49:I51)</f>
        <v>269614953.32110578</v>
      </c>
      <c r="J52" s="106"/>
      <c r="K52" s="132"/>
    </row>
    <row r="53" spans="1:11">
      <c r="B53" s="70"/>
      <c r="C53" s="106"/>
      <c r="D53" s="106"/>
      <c r="E53" s="106"/>
      <c r="F53" s="106"/>
      <c r="G53" s="130"/>
      <c r="H53" s="106"/>
      <c r="I53" s="58"/>
      <c r="J53" s="106"/>
      <c r="K53" s="132"/>
    </row>
    <row r="54" spans="1:11">
      <c r="B54" s="70" t="s">
        <v>1055</v>
      </c>
      <c r="C54" s="106"/>
      <c r="D54" s="106"/>
      <c r="E54" s="106"/>
      <c r="F54" s="106"/>
      <c r="G54" s="130"/>
      <c r="H54" s="106"/>
      <c r="I54" s="106"/>
      <c r="J54" s="106"/>
      <c r="K54" s="106"/>
    </row>
    <row r="55" spans="1:11">
      <c r="A55" s="77">
        <v>4</v>
      </c>
      <c r="B55" s="133" t="str">
        <f>+B49</f>
        <v xml:space="preserve">  Transmission</v>
      </c>
      <c r="C55" s="50" t="s">
        <v>1056</v>
      </c>
      <c r="D55" s="280">
        <f>'P1-Trans Plant'!J44</f>
        <v>28766726.17473257</v>
      </c>
      <c r="E55" s="106"/>
      <c r="F55" s="114" t="str">
        <f>+F49</f>
        <v>TP</v>
      </c>
      <c r="G55" s="130">
        <f>$I$175</f>
        <v>0.61863245862384375</v>
      </c>
      <c r="H55" s="106"/>
      <c r="I55" s="62">
        <f>+G55*D55</f>
        <v>17796030.540033691</v>
      </c>
      <c r="J55" s="106"/>
      <c r="K55" s="106"/>
    </row>
    <row r="56" spans="1:11">
      <c r="A56" s="77" t="s">
        <v>1057</v>
      </c>
      <c r="B56" s="133" t="s">
        <v>148</v>
      </c>
      <c r="C56" s="50" t="s">
        <v>1058</v>
      </c>
      <c r="D56" s="280">
        <f>'A4-Rate Base'!D45</f>
        <v>0</v>
      </c>
      <c r="E56" s="106"/>
      <c r="F56" s="114" t="s">
        <v>150</v>
      </c>
      <c r="G56" s="130">
        <f>$I$183</f>
        <v>0</v>
      </c>
      <c r="H56" s="106"/>
      <c r="I56" s="62">
        <f>+G56*D56</f>
        <v>0</v>
      </c>
      <c r="J56" s="106"/>
      <c r="K56" s="106"/>
    </row>
    <row r="57" spans="1:11">
      <c r="A57" s="77">
        <v>5</v>
      </c>
      <c r="B57" s="133" t="str">
        <f>+B51</f>
        <v xml:space="preserve">  General &amp; Intangible</v>
      </c>
      <c r="C57" s="729" t="s">
        <v>1059</v>
      </c>
      <c r="D57" s="280">
        <f>'A4-Rate Base'!H45</f>
        <v>12152622.185683582</v>
      </c>
      <c r="E57" s="106"/>
      <c r="F57" s="114" t="str">
        <f>+F51</f>
        <v>W/S</v>
      </c>
      <c r="G57" s="130">
        <f>$I$202</f>
        <v>6.6848958689547669E-2</v>
      </c>
      <c r="H57" s="106"/>
      <c r="I57" s="62">
        <f>+G57*D57</f>
        <v>812390.13846044231</v>
      </c>
      <c r="J57" s="106"/>
      <c r="K57" s="106"/>
    </row>
    <row r="58" spans="1:11">
      <c r="A58" s="77">
        <v>6</v>
      </c>
      <c r="B58" s="70" t="s">
        <v>168</v>
      </c>
      <c r="C58" s="178" t="s">
        <v>1060</v>
      </c>
      <c r="D58" s="579">
        <f>SUM(D55:D57)</f>
        <v>40919348.360416152</v>
      </c>
      <c r="E58" s="106"/>
      <c r="F58" s="106"/>
      <c r="G58" s="130"/>
      <c r="H58" s="106"/>
      <c r="I58" s="183">
        <f>SUM(I55:I57)</f>
        <v>18608420.678494133</v>
      </c>
      <c r="J58" s="106"/>
      <c r="K58" s="106"/>
    </row>
    <row r="59" spans="1:11">
      <c r="A59" s="77"/>
      <c r="C59" s="106" t="s">
        <v>88</v>
      </c>
      <c r="E59" s="106"/>
      <c r="F59" s="106"/>
      <c r="G59" s="130"/>
      <c r="H59" s="106"/>
      <c r="J59" s="106"/>
      <c r="K59" s="132"/>
    </row>
    <row r="60" spans="1:11">
      <c r="A60" s="77"/>
      <c r="B60" s="70" t="s">
        <v>170</v>
      </c>
      <c r="C60" s="106"/>
      <c r="D60" s="106"/>
      <c r="E60" s="106"/>
      <c r="F60" s="106"/>
      <c r="G60" s="130"/>
      <c r="H60" s="106"/>
      <c r="I60" s="106"/>
      <c r="J60" s="106"/>
      <c r="K60" s="106"/>
    </row>
    <row r="61" spans="1:11">
      <c r="A61" s="77">
        <v>7</v>
      </c>
      <c r="B61" s="133" t="str">
        <f>+B55</f>
        <v xml:space="preserve">  Transmission</v>
      </c>
      <c r="C61" s="51" t="s">
        <v>1061</v>
      </c>
      <c r="D61" s="580">
        <f>D49-D55</f>
        <v>401917584.94526738</v>
      </c>
      <c r="E61" s="106"/>
      <c r="F61" s="106"/>
      <c r="G61" s="130"/>
      <c r="H61" s="106"/>
      <c r="I61" s="62">
        <f>I49-I55</f>
        <v>248639263.73884833</v>
      </c>
      <c r="J61" s="106"/>
      <c r="K61" s="132"/>
    </row>
    <row r="62" spans="1:11">
      <c r="A62" s="77" t="s">
        <v>1062</v>
      </c>
      <c r="B62" s="133" t="s">
        <v>148</v>
      </c>
      <c r="C62" s="51" t="s">
        <v>1063</v>
      </c>
      <c r="D62" s="580">
        <f>D50-D56</f>
        <v>0</v>
      </c>
      <c r="E62" s="106"/>
      <c r="F62" s="106"/>
      <c r="G62" s="130"/>
      <c r="H62" s="106"/>
      <c r="I62" s="62">
        <f>I50-I56</f>
        <v>0</v>
      </c>
      <c r="J62" s="106"/>
      <c r="K62" s="132"/>
    </row>
    <row r="63" spans="1:11">
      <c r="A63" s="77">
        <v>8</v>
      </c>
      <c r="B63" s="133" t="str">
        <f>+B57</f>
        <v xml:space="preserve">  General &amp; Intangible</v>
      </c>
      <c r="C63" s="51" t="s">
        <v>1064</v>
      </c>
      <c r="D63" s="580">
        <f>D51-D57</f>
        <v>35412203.124316424</v>
      </c>
      <c r="E63" s="106"/>
      <c r="F63" s="106"/>
      <c r="G63" s="130"/>
      <c r="H63" s="106"/>
      <c r="I63" s="62">
        <f>I51-I57</f>
        <v>2367268.9037632993</v>
      </c>
      <c r="J63" s="106"/>
      <c r="K63" s="132"/>
    </row>
    <row r="64" spans="1:11">
      <c r="A64" s="77">
        <v>9</v>
      </c>
      <c r="B64" s="70" t="s">
        <v>178</v>
      </c>
      <c r="C64" s="178" t="s">
        <v>1065</v>
      </c>
      <c r="D64" s="581">
        <f>SUM(D61:D63)</f>
        <v>437329788.06958377</v>
      </c>
      <c r="E64" s="106"/>
      <c r="F64" s="106" t="s">
        <v>1066</v>
      </c>
      <c r="G64" s="130">
        <f>$G$259</f>
        <v>0.2721899555908745</v>
      </c>
      <c r="H64" s="106"/>
      <c r="I64" s="183">
        <f>SUM(I61:I63)</f>
        <v>251006532.64261162</v>
      </c>
      <c r="J64" s="106"/>
      <c r="K64" s="106"/>
    </row>
    <row r="65" spans="1:11" s="2" customFormat="1">
      <c r="A65" s="52"/>
      <c r="B65" s="53"/>
      <c r="C65" s="51"/>
      <c r="D65" s="54"/>
      <c r="E65" s="50"/>
      <c r="F65" s="50"/>
      <c r="G65" s="130"/>
      <c r="H65" s="50"/>
      <c r="I65" s="62"/>
      <c r="J65" s="51"/>
      <c r="K65" s="51"/>
    </row>
    <row r="66" spans="1:11" s="2" customFormat="1">
      <c r="A66" s="52">
        <v>10</v>
      </c>
      <c r="B66" s="56" t="s">
        <v>182</v>
      </c>
      <c r="C66" s="57" t="s">
        <v>591</v>
      </c>
      <c r="D66" s="280">
        <f>'A4-Rate Base'!I23</f>
        <v>0</v>
      </c>
      <c r="E66" s="57"/>
      <c r="F66" s="72"/>
      <c r="G66" s="642"/>
      <c r="H66" s="57"/>
      <c r="I66" s="59">
        <f>+G66*D66</f>
        <v>0</v>
      </c>
      <c r="J66" s="51"/>
      <c r="K66" s="51"/>
    </row>
    <row r="67" spans="1:11" s="2" customFormat="1">
      <c r="A67" s="52"/>
      <c r="B67" s="60"/>
      <c r="C67" s="51"/>
      <c r="D67" s="54"/>
      <c r="E67" s="51"/>
      <c r="F67" s="60"/>
      <c r="G67" s="130"/>
      <c r="H67" s="51"/>
      <c r="I67" s="54"/>
      <c r="J67" s="51"/>
      <c r="K67" s="61"/>
    </row>
    <row r="68" spans="1:11">
      <c r="A68" s="77"/>
      <c r="B68" s="70" t="s">
        <v>1067</v>
      </c>
      <c r="C68" s="106"/>
      <c r="D68" s="106"/>
      <c r="E68" s="106"/>
      <c r="F68" s="106"/>
      <c r="G68" s="130"/>
      <c r="H68" s="106"/>
      <c r="I68" s="106"/>
      <c r="J68" s="106"/>
      <c r="K68" s="106"/>
    </row>
    <row r="69" spans="1:11">
      <c r="A69" s="52">
        <v>11</v>
      </c>
      <c r="B69" s="133" t="s">
        <v>185</v>
      </c>
      <c r="C69" s="70" t="s">
        <v>1068</v>
      </c>
      <c r="D69" s="280">
        <f>'P5-ADIT'!J72</f>
        <v>0</v>
      </c>
      <c r="E69" s="51"/>
      <c r="F69" s="51" t="s">
        <v>187</v>
      </c>
      <c r="G69" s="130">
        <f>$G$250</f>
        <v>0.23597340795866856</v>
      </c>
      <c r="H69" s="50"/>
      <c r="I69" s="54">
        <f>D69*G69</f>
        <v>0</v>
      </c>
      <c r="J69" s="106"/>
      <c r="K69" s="132"/>
    </row>
    <row r="70" spans="1:11">
      <c r="A70" s="52">
        <v>12</v>
      </c>
      <c r="B70" s="133" t="s">
        <v>1069</v>
      </c>
      <c r="C70" s="70" t="s">
        <v>1070</v>
      </c>
      <c r="D70" s="280">
        <f>'P5-ADIT'!J106</f>
        <v>-20498170.827930838</v>
      </c>
      <c r="E70" s="51"/>
      <c r="F70" s="51" t="s">
        <v>95</v>
      </c>
      <c r="G70" s="130">
        <f>$I$175</f>
        <v>0.61863245862384375</v>
      </c>
      <c r="H70" s="50"/>
      <c r="I70" s="54">
        <f>D70*G70</f>
        <v>-12680833.816574406</v>
      </c>
      <c r="J70" s="106"/>
      <c r="K70" s="132"/>
    </row>
    <row r="71" spans="1:11">
      <c r="A71" s="52">
        <v>13</v>
      </c>
      <c r="B71" s="133" t="s">
        <v>1071</v>
      </c>
      <c r="C71" s="70" t="s">
        <v>1072</v>
      </c>
      <c r="D71" s="280">
        <f>'P5-ADIT'!J140</f>
        <v>-4272729</v>
      </c>
      <c r="E71" s="51"/>
      <c r="F71" s="51" t="s">
        <v>187</v>
      </c>
      <c r="G71" s="130">
        <f>$G$250</f>
        <v>0.23597340795866856</v>
      </c>
      <c r="H71" s="50"/>
      <c r="I71" s="54">
        <f>D71*G71</f>
        <v>-1008250.423413834</v>
      </c>
      <c r="J71" s="106"/>
      <c r="K71" s="132"/>
    </row>
    <row r="72" spans="1:11">
      <c r="A72" s="52">
        <v>14</v>
      </c>
      <c r="B72" s="53" t="s">
        <v>192</v>
      </c>
      <c r="C72" s="70" t="s">
        <v>1073</v>
      </c>
      <c r="D72" s="280">
        <f>'P5-ADIT'!J28</f>
        <v>20955812.057399999</v>
      </c>
      <c r="E72" s="51"/>
      <c r="F72" s="51" t="s">
        <v>187</v>
      </c>
      <c r="G72" s="130">
        <f>$G$250</f>
        <v>0.23597340795866856</v>
      </c>
      <c r="H72" s="50"/>
      <c r="I72" s="62">
        <f>D72*G72</f>
        <v>4945014.3877260359</v>
      </c>
      <c r="J72" s="106"/>
      <c r="K72" s="132"/>
    </row>
    <row r="73" spans="1:11">
      <c r="A73" s="52" t="s">
        <v>361</v>
      </c>
      <c r="B73" s="53" t="s">
        <v>1074</v>
      </c>
      <c r="C73" s="70" t="s">
        <v>1075</v>
      </c>
      <c r="D73" s="280">
        <f>'P5-ADIT'!J35</f>
        <v>539639.61511210795</v>
      </c>
      <c r="E73" s="51"/>
      <c r="F73" s="51"/>
      <c r="G73" s="130"/>
      <c r="H73" s="50"/>
      <c r="I73" s="62">
        <f>D73</f>
        <v>539639.61511210795</v>
      </c>
      <c r="J73" s="106"/>
      <c r="K73" s="132"/>
    </row>
    <row r="74" spans="1:11">
      <c r="A74" s="52">
        <v>15</v>
      </c>
      <c r="B74" s="60" t="s">
        <v>1076</v>
      </c>
      <c r="C74" s="70"/>
      <c r="D74" s="580">
        <v>0</v>
      </c>
      <c r="E74" s="51"/>
      <c r="F74" s="51"/>
      <c r="G74" s="130"/>
      <c r="H74" s="50"/>
      <c r="I74" s="58">
        <f>D74*G74</f>
        <v>0</v>
      </c>
      <c r="J74" s="106"/>
      <c r="K74" s="132"/>
    </row>
    <row r="75" spans="1:11">
      <c r="A75" s="52">
        <v>16</v>
      </c>
      <c r="B75" s="56" t="s">
        <v>197</v>
      </c>
      <c r="C75" s="70" t="s">
        <v>1077</v>
      </c>
      <c r="D75" s="280">
        <f>'A4-Rate Base'!C69</f>
        <v>0</v>
      </c>
      <c r="E75" s="57"/>
      <c r="F75" s="72"/>
      <c r="G75" s="642"/>
      <c r="H75" s="57"/>
      <c r="I75" s="59">
        <f>D75*G75</f>
        <v>0</v>
      </c>
      <c r="J75" s="106"/>
      <c r="K75" s="132"/>
    </row>
    <row r="76" spans="1:11">
      <c r="A76" s="52">
        <v>17</v>
      </c>
      <c r="B76" s="56" t="s">
        <v>200</v>
      </c>
      <c r="C76" s="70" t="s">
        <v>1078</v>
      </c>
      <c r="D76" s="280">
        <f>'A4-Rate Base'!D69</f>
        <v>0</v>
      </c>
      <c r="E76" s="57"/>
      <c r="F76" s="72"/>
      <c r="G76" s="642"/>
      <c r="H76" s="57"/>
      <c r="I76" s="59">
        <f>D76*G76</f>
        <v>0</v>
      </c>
      <c r="J76" s="106"/>
      <c r="K76" s="132"/>
    </row>
    <row r="77" spans="1:11">
      <c r="A77" s="52">
        <v>18</v>
      </c>
      <c r="B77" s="56" t="s">
        <v>1079</v>
      </c>
      <c r="C77" s="70" t="s">
        <v>1080</v>
      </c>
      <c r="D77" s="280">
        <f>'Act Att-H'!D81</f>
        <v>0</v>
      </c>
      <c r="E77" s="57"/>
      <c r="F77" s="57"/>
      <c r="G77" s="130"/>
      <c r="H77" s="57"/>
      <c r="I77" s="59">
        <f t="shared" ref="I77" si="0">D77</f>
        <v>0</v>
      </c>
      <c r="J77" s="106"/>
      <c r="K77" s="132"/>
    </row>
    <row r="78" spans="1:11">
      <c r="A78" s="52">
        <v>19</v>
      </c>
      <c r="B78" s="133" t="s">
        <v>205</v>
      </c>
      <c r="C78" s="70" t="s">
        <v>1081</v>
      </c>
      <c r="D78" s="280">
        <f>'Act Att-H'!D82</f>
        <v>492671.65499999997</v>
      </c>
      <c r="E78" s="106"/>
      <c r="F78" s="51" t="s">
        <v>187</v>
      </c>
      <c r="G78" s="130">
        <f>$G$250</f>
        <v>0.23597340795866856</v>
      </c>
      <c r="H78" s="106"/>
      <c r="I78" s="59">
        <f t="shared" ref="I78" si="1">D78*G78</f>
        <v>116257.40943498741</v>
      </c>
      <c r="J78" s="106"/>
      <c r="K78" s="132"/>
    </row>
    <row r="79" spans="1:11" ht="13.5" thickBot="1">
      <c r="A79" s="77">
        <v>20</v>
      </c>
      <c r="B79" s="133" t="s">
        <v>1082</v>
      </c>
      <c r="C79" s="70" t="s">
        <v>1083</v>
      </c>
      <c r="D79" s="280">
        <f>'P5-ADIT'!J175</f>
        <v>-2452607.0100435996</v>
      </c>
      <c r="E79" s="106"/>
      <c r="F79" s="106"/>
      <c r="G79" s="106"/>
      <c r="H79" s="106"/>
      <c r="I79" s="63">
        <f>D79</f>
        <v>-2452607.0100435996</v>
      </c>
      <c r="J79" s="106"/>
      <c r="K79" s="132"/>
    </row>
    <row r="80" spans="1:11">
      <c r="A80" s="77">
        <v>21</v>
      </c>
      <c r="B80" s="70" t="s">
        <v>209</v>
      </c>
      <c r="C80" s="178" t="s">
        <v>1084</v>
      </c>
      <c r="D80" s="579">
        <f>SUM(D69:D79)</f>
        <v>-5235383.5104623307</v>
      </c>
      <c r="E80" s="106"/>
      <c r="F80" s="106"/>
      <c r="G80" s="130"/>
      <c r="H80" s="106"/>
      <c r="I80" s="62">
        <f>SUM(I69:I79)</f>
        <v>-10540779.837758707</v>
      </c>
      <c r="J80" s="106"/>
      <c r="K80" s="106"/>
    </row>
    <row r="81" spans="1:11">
      <c r="A81" s="77"/>
      <c r="C81" s="106"/>
      <c r="E81" s="106"/>
      <c r="F81" s="106"/>
      <c r="G81" s="130"/>
      <c r="H81" s="106"/>
      <c r="J81" s="106"/>
      <c r="K81" s="132"/>
    </row>
    <row r="82" spans="1:11">
      <c r="A82" s="77">
        <v>22</v>
      </c>
      <c r="B82" s="70" t="s">
        <v>211</v>
      </c>
      <c r="C82" s="70" t="s">
        <v>1085</v>
      </c>
      <c r="D82" s="280">
        <f>'A4-Rate Base'!J22</f>
        <v>4625973</v>
      </c>
      <c r="E82" s="106"/>
      <c r="F82" s="114" t="str">
        <f>+F55</f>
        <v>TP</v>
      </c>
      <c r="G82" s="130">
        <f>$I$175</f>
        <v>0.61863245862384375</v>
      </c>
      <c r="H82" s="106"/>
      <c r="I82" s="62">
        <f>+G82*D82</f>
        <v>2861777.0505175185</v>
      </c>
      <c r="J82" s="106"/>
      <c r="K82" s="106"/>
    </row>
    <row r="83" spans="1:11">
      <c r="A83" s="77"/>
      <c r="B83" s="70"/>
      <c r="C83" s="106"/>
      <c r="D83" s="106"/>
      <c r="E83" s="106"/>
      <c r="F83" s="106"/>
      <c r="G83" s="130"/>
      <c r="H83" s="106"/>
      <c r="I83" s="106"/>
      <c r="J83" s="106"/>
      <c r="K83" s="106"/>
    </row>
    <row r="84" spans="1:11">
      <c r="A84" s="77"/>
      <c r="B84" s="70" t="s">
        <v>213</v>
      </c>
      <c r="C84" s="51"/>
      <c r="D84" s="106"/>
      <c r="E84" s="106"/>
      <c r="F84" s="106"/>
      <c r="G84" s="130"/>
      <c r="H84" s="106"/>
      <c r="I84" s="106"/>
      <c r="J84" s="106"/>
      <c r="K84" s="106"/>
    </row>
    <row r="85" spans="1:11">
      <c r="A85" s="77">
        <v>23</v>
      </c>
      <c r="B85" s="70" t="s">
        <v>1086</v>
      </c>
      <c r="C85" s="60" t="s">
        <v>216</v>
      </c>
      <c r="D85" s="580">
        <f>D116/8</f>
        <v>2374754.5968750003</v>
      </c>
      <c r="E85" s="106"/>
      <c r="F85" s="106"/>
      <c r="G85" s="130"/>
      <c r="H85" s="106"/>
      <c r="I85" s="62">
        <f>I116/8</f>
        <v>231039.31578926515</v>
      </c>
      <c r="J85" s="70"/>
      <c r="K85" s="132"/>
    </row>
    <row r="86" spans="1:11">
      <c r="A86" s="77">
        <v>24</v>
      </c>
      <c r="B86" s="70" t="s">
        <v>217</v>
      </c>
      <c r="C86" s="68" t="s">
        <v>218</v>
      </c>
      <c r="D86" s="280">
        <f>'A4-Rate Base'!F107</f>
        <v>42292.170201707806</v>
      </c>
      <c r="E86" s="106"/>
      <c r="F86" s="106"/>
      <c r="G86" s="130"/>
      <c r="H86" s="106"/>
      <c r="I86" s="62">
        <f>D86</f>
        <v>42292.170201707806</v>
      </c>
      <c r="J86" s="106" t="s">
        <v>88</v>
      </c>
      <c r="K86" s="132"/>
    </row>
    <row r="87" spans="1:11" ht="13.5" thickBot="1">
      <c r="A87" s="77">
        <v>25</v>
      </c>
      <c r="B87" s="70" t="s">
        <v>220</v>
      </c>
      <c r="C87" s="50" t="s">
        <v>1087</v>
      </c>
      <c r="D87" s="280">
        <f>'A8-Prepmts'!H33</f>
        <v>504660.22899648995</v>
      </c>
      <c r="E87" s="106"/>
      <c r="F87" s="106"/>
      <c r="G87" s="130"/>
      <c r="H87" s="106"/>
      <c r="I87" s="63">
        <f>D87</f>
        <v>504660.22899648995</v>
      </c>
      <c r="J87" s="106"/>
      <c r="K87" s="132"/>
    </row>
    <row r="88" spans="1:11">
      <c r="A88" s="77">
        <v>26</v>
      </c>
      <c r="B88" s="70" t="s">
        <v>222</v>
      </c>
      <c r="C88" s="51"/>
      <c r="D88" s="579">
        <f>D85+D86+D87</f>
        <v>2921706.996073198</v>
      </c>
      <c r="E88" s="70"/>
      <c r="F88" s="70"/>
      <c r="G88" s="70"/>
      <c r="H88" s="70"/>
      <c r="I88" s="62">
        <f>I85+I86+I87</f>
        <v>777991.71498746285</v>
      </c>
      <c r="J88" s="70"/>
      <c r="K88" s="70"/>
    </row>
    <row r="89" spans="1:11" ht="13.5" thickBot="1">
      <c r="C89" s="106"/>
      <c r="E89" s="106"/>
      <c r="F89" s="106"/>
      <c r="G89" s="106"/>
      <c r="H89" s="106"/>
      <c r="I89" s="134"/>
      <c r="J89" s="106"/>
      <c r="K89" s="106"/>
    </row>
    <row r="90" spans="1:11" ht="13.5" thickBot="1">
      <c r="A90" s="77">
        <v>27</v>
      </c>
      <c r="B90" s="70" t="s">
        <v>1088</v>
      </c>
      <c r="C90" s="106"/>
      <c r="D90" s="69">
        <f>+D88+D82+D80+D64</f>
        <v>439642084.55519462</v>
      </c>
      <c r="E90" s="106"/>
      <c r="F90" s="106"/>
      <c r="G90" s="132"/>
      <c r="H90" s="106"/>
      <c r="I90" s="69">
        <f>+I88+I82+I80+I64</f>
        <v>244105521.57035789</v>
      </c>
      <c r="J90" s="106"/>
      <c r="K90" s="132"/>
    </row>
    <row r="91" spans="1:11" ht="13.5" thickTop="1">
      <c r="B91" s="70"/>
      <c r="C91" s="70"/>
      <c r="D91" s="103"/>
      <c r="E91" s="70"/>
      <c r="F91" s="70"/>
      <c r="G91" s="70"/>
      <c r="H91" s="70"/>
      <c r="I91" s="104"/>
      <c r="J91" s="104"/>
      <c r="K91" s="104"/>
    </row>
    <row r="92" spans="1:11">
      <c r="B92" s="70"/>
      <c r="C92" s="70"/>
      <c r="D92" s="103"/>
      <c r="E92" s="70"/>
      <c r="F92" s="70"/>
      <c r="G92" s="70"/>
      <c r="H92" s="70"/>
      <c r="I92" s="923" t="str">
        <f>I1</f>
        <v>Projected Attachment H</v>
      </c>
      <c r="J92" s="923"/>
      <c r="K92" s="923"/>
    </row>
    <row r="93" spans="1:11">
      <c r="B93" s="70"/>
      <c r="C93" s="70"/>
      <c r="D93" s="103"/>
      <c r="E93" s="70"/>
      <c r="F93" s="70"/>
      <c r="G93" s="70"/>
      <c r="H93" s="70"/>
      <c r="I93" s="70"/>
      <c r="J93" s="922" t="s">
        <v>226</v>
      </c>
      <c r="K93" s="922"/>
    </row>
    <row r="94" spans="1:11">
      <c r="B94" s="70"/>
      <c r="C94" s="70"/>
      <c r="D94" s="103"/>
      <c r="E94" s="70"/>
      <c r="F94" s="70"/>
      <c r="G94" s="70"/>
      <c r="H94" s="70"/>
      <c r="I94" s="70"/>
      <c r="J94" s="70"/>
      <c r="K94" s="104"/>
    </row>
    <row r="95" spans="1:11">
      <c r="B95" s="103" t="s">
        <v>79</v>
      </c>
      <c r="C95" s="77" t="s">
        <v>125</v>
      </c>
      <c r="E95" s="70"/>
      <c r="F95" s="70"/>
      <c r="G95" s="70"/>
      <c r="H95" s="70"/>
      <c r="I95" s="70"/>
      <c r="J95" s="70"/>
      <c r="K95" s="120" t="str">
        <f>K4</f>
        <v xml:space="preserve">Estimated - For the 12 months ended </v>
      </c>
    </row>
    <row r="96" spans="1:11">
      <c r="B96" s="70"/>
      <c r="C96" s="107" t="s">
        <v>126</v>
      </c>
      <c r="E96" s="106"/>
      <c r="F96" s="106"/>
      <c r="G96" s="106"/>
      <c r="H96" s="70"/>
      <c r="I96" s="70"/>
      <c r="J96" s="70"/>
      <c r="K96" s="70"/>
    </row>
    <row r="97" spans="1:11">
      <c r="B97" s="70"/>
      <c r="C97" s="106"/>
      <c r="E97" s="106"/>
      <c r="F97" s="106"/>
      <c r="G97" s="106"/>
      <c r="H97" s="70"/>
      <c r="I97" s="70"/>
      <c r="J97" s="70"/>
      <c r="K97" s="70"/>
    </row>
    <row r="98" spans="1:11">
      <c r="A98" s="77"/>
      <c r="C98" s="121" t="str">
        <f>C7</f>
        <v>Cheyenne Light, Fuel &amp; Power</v>
      </c>
      <c r="J98" s="106"/>
      <c r="K98" s="106"/>
    </row>
    <row r="99" spans="1:11">
      <c r="A99" s="77"/>
      <c r="D99" s="135"/>
      <c r="J99" s="106"/>
      <c r="K99" s="106"/>
    </row>
    <row r="100" spans="1:11">
      <c r="A100" s="77"/>
      <c r="B100" s="77" t="s">
        <v>127</v>
      </c>
      <c r="C100" s="77" t="s">
        <v>128</v>
      </c>
      <c r="D100" s="77" t="s">
        <v>129</v>
      </c>
      <c r="E100" s="106" t="s">
        <v>88</v>
      </c>
      <c r="F100" s="106"/>
      <c r="G100" s="122" t="s">
        <v>130</v>
      </c>
      <c r="H100" s="106"/>
      <c r="I100" s="123" t="s">
        <v>131</v>
      </c>
      <c r="J100" s="106"/>
      <c r="K100" s="106"/>
    </row>
    <row r="101" spans="1:11">
      <c r="A101" s="77" t="s">
        <v>83</v>
      </c>
      <c r="B101" s="70"/>
      <c r="C101" s="124" t="s">
        <v>132</v>
      </c>
      <c r="D101" s="106"/>
      <c r="E101" s="106"/>
      <c r="F101" s="106"/>
      <c r="G101" s="77"/>
      <c r="H101" s="106"/>
      <c r="I101" s="125" t="s">
        <v>133</v>
      </c>
      <c r="J101" s="106"/>
      <c r="K101" s="125"/>
    </row>
    <row r="102" spans="1:11" ht="13.5" thickBot="1">
      <c r="A102" s="110" t="s">
        <v>85</v>
      </c>
      <c r="B102" s="70"/>
      <c r="C102" s="126" t="s">
        <v>134</v>
      </c>
      <c r="D102" s="125" t="s">
        <v>135</v>
      </c>
      <c r="E102" s="127"/>
      <c r="F102" s="125" t="s">
        <v>136</v>
      </c>
      <c r="H102" s="127"/>
      <c r="I102" s="77" t="s">
        <v>137</v>
      </c>
      <c r="J102" s="106"/>
      <c r="K102" s="125"/>
    </row>
    <row r="103" spans="1:11">
      <c r="A103" s="77"/>
      <c r="B103" s="70" t="s">
        <v>227</v>
      </c>
      <c r="C103" s="106"/>
      <c r="D103" s="106"/>
      <c r="E103" s="106"/>
      <c r="F103" s="106"/>
      <c r="G103" s="106"/>
      <c r="H103" s="106"/>
      <c r="I103" s="106"/>
      <c r="J103" s="106"/>
      <c r="K103" s="106"/>
    </row>
    <row r="104" spans="1:11">
      <c r="A104" s="77">
        <v>1</v>
      </c>
      <c r="B104" s="70" t="s">
        <v>228</v>
      </c>
      <c r="C104" s="70" t="s">
        <v>1089</v>
      </c>
      <c r="D104" s="280">
        <f>'P2-Exp. &amp; Rev. Credits'!F16</f>
        <v>28280132.324999999</v>
      </c>
      <c r="E104" s="106"/>
      <c r="F104" s="106" t="s">
        <v>219</v>
      </c>
      <c r="G104" s="130">
        <f>$I$193</f>
        <v>0.60657408216212849</v>
      </c>
      <c r="H104" s="106"/>
      <c r="I104" s="62">
        <f>+G104*D104</f>
        <v>17153995.308460414</v>
      </c>
      <c r="J104" s="70"/>
      <c r="K104" s="106"/>
    </row>
    <row r="105" spans="1:11">
      <c r="A105" s="77">
        <v>2</v>
      </c>
      <c r="B105" s="70" t="s">
        <v>1090</v>
      </c>
      <c r="C105" s="70" t="s">
        <v>1091</v>
      </c>
      <c r="D105" s="280">
        <f>'P2-Exp. &amp; Rev. Credits'!F17</f>
        <v>565016.89999999991</v>
      </c>
      <c r="E105" s="106"/>
      <c r="F105" s="106" t="s">
        <v>219</v>
      </c>
      <c r="G105" s="130">
        <f>$I$193</f>
        <v>0.60657408216212849</v>
      </c>
      <c r="H105" s="106"/>
      <c r="I105" s="54">
        <f t="shared" ref="I105:I115" si="2">+G105*D105</f>
        <v>342724.60752359108</v>
      </c>
      <c r="J105" s="70"/>
      <c r="K105" s="106"/>
    </row>
    <row r="106" spans="1:11">
      <c r="A106" s="77" t="s">
        <v>232</v>
      </c>
      <c r="B106" s="70" t="s">
        <v>233</v>
      </c>
      <c r="C106" s="70" t="s">
        <v>1092</v>
      </c>
      <c r="D106" s="280">
        <f>'P2-Exp. &amp; Rev. Credits'!F18</f>
        <v>26643615.274999999</v>
      </c>
      <c r="E106" s="106"/>
      <c r="F106" s="106" t="s">
        <v>219</v>
      </c>
      <c r="G106" s="130">
        <f>$I$193</f>
        <v>0.60657408216212849</v>
      </c>
      <c r="H106" s="106"/>
      <c r="I106" s="54">
        <f t="shared" si="2"/>
        <v>16161326.480913991</v>
      </c>
      <c r="J106" s="70"/>
      <c r="K106" s="106"/>
    </row>
    <row r="107" spans="1:11">
      <c r="A107" s="77">
        <v>3</v>
      </c>
      <c r="B107" s="70" t="s">
        <v>235</v>
      </c>
      <c r="C107" s="70" t="s">
        <v>1093</v>
      </c>
      <c r="D107" s="280">
        <f>'P2-Exp. &amp; Rev. Credits'!F19</f>
        <v>19695654.824999999</v>
      </c>
      <c r="E107" s="106"/>
      <c r="F107" s="106" t="s">
        <v>153</v>
      </c>
      <c r="G107" s="130">
        <f>$I$202</f>
        <v>6.6848958689547669E-2</v>
      </c>
      <c r="H107" s="106"/>
      <c r="I107" s="62">
        <f t="shared" si="2"/>
        <v>1316634.0157600152</v>
      </c>
      <c r="J107" s="106"/>
      <c r="K107" s="106" t="s">
        <v>88</v>
      </c>
    </row>
    <row r="108" spans="1:11">
      <c r="A108" s="77">
        <v>4</v>
      </c>
      <c r="B108" s="70" t="s">
        <v>237</v>
      </c>
      <c r="C108" s="70"/>
      <c r="D108" s="106"/>
      <c r="E108" s="106"/>
      <c r="F108" s="114"/>
      <c r="G108" s="130"/>
      <c r="H108" s="106"/>
      <c r="I108" s="54"/>
      <c r="J108" s="106"/>
      <c r="K108" s="106"/>
    </row>
    <row r="109" spans="1:11">
      <c r="A109" s="77">
        <v>5</v>
      </c>
      <c r="B109" s="70" t="s">
        <v>1094</v>
      </c>
      <c r="C109" s="70" t="s">
        <v>1095</v>
      </c>
      <c r="D109" s="280">
        <f>'P2-Exp. &amp; Rev. Credits'!F21</f>
        <v>1532054.1749999998</v>
      </c>
      <c r="E109" s="106"/>
      <c r="F109" s="114" t="str">
        <f>+F107</f>
        <v>W/S</v>
      </c>
      <c r="G109" s="130">
        <f>$I$202</f>
        <v>6.6848958689547669E-2</v>
      </c>
      <c r="H109" s="106"/>
      <c r="I109" s="54">
        <f t="shared" si="2"/>
        <v>102416.22625472402</v>
      </c>
      <c r="J109" s="106"/>
      <c r="K109" s="106"/>
    </row>
    <row r="110" spans="1:11">
      <c r="A110" s="77" t="s">
        <v>240</v>
      </c>
      <c r="B110" s="70" t="s">
        <v>241</v>
      </c>
      <c r="C110" s="70" t="s">
        <v>1096</v>
      </c>
      <c r="D110" s="280">
        <f>'P2-Exp. &amp; Rev. Credits'!F22</f>
        <v>0</v>
      </c>
      <c r="E110" s="106"/>
      <c r="F110" s="136" t="str">
        <f>+F104</f>
        <v>TE</v>
      </c>
      <c r="G110" s="130">
        <f>$I$193</f>
        <v>0.60657408216212849</v>
      </c>
      <c r="H110" s="106"/>
      <c r="I110" s="54">
        <f>+G110*D110</f>
        <v>0</v>
      </c>
      <c r="J110" s="106"/>
      <c r="K110" s="106"/>
    </row>
    <row r="111" spans="1:11">
      <c r="A111" s="77" t="s">
        <v>243</v>
      </c>
      <c r="B111" s="70" t="s">
        <v>244</v>
      </c>
      <c r="C111" s="70" t="s">
        <v>1097</v>
      </c>
      <c r="D111" s="280">
        <f>'P2-Exp. &amp; Rev. Credits'!F23</f>
        <v>358954</v>
      </c>
      <c r="E111" s="106"/>
      <c r="F111" s="114" t="s">
        <v>153</v>
      </c>
      <c r="G111" s="130">
        <f>$I$202</f>
        <v>6.6848958689547669E-2</v>
      </c>
      <c r="H111" s="106"/>
      <c r="I111" s="59">
        <f t="shared" ref="I111:I112" si="3">+G111*D111</f>
        <v>23995.701117447894</v>
      </c>
      <c r="J111" s="106"/>
      <c r="K111" s="106"/>
    </row>
    <row r="112" spans="1:11">
      <c r="A112" s="77" t="s">
        <v>246</v>
      </c>
      <c r="B112" s="70" t="s">
        <v>247</v>
      </c>
      <c r="C112" s="70" t="s">
        <v>1098</v>
      </c>
      <c r="D112" s="280">
        <f>'P2-Exp. &amp; Rev. Credits'!F24</f>
        <v>596018.02499999991</v>
      </c>
      <c r="E112" s="106"/>
      <c r="F112" s="114" t="str">
        <f>+F111</f>
        <v>W/S</v>
      </c>
      <c r="G112" s="130">
        <f>$I$202</f>
        <v>6.6848958689547669E-2</v>
      </c>
      <c r="H112" s="106"/>
      <c r="I112" s="59">
        <f t="shared" si="3"/>
        <v>39843.184331450786</v>
      </c>
      <c r="J112" s="106"/>
      <c r="K112" s="106"/>
    </row>
    <row r="113" spans="1:11">
      <c r="A113" s="77" t="s">
        <v>249</v>
      </c>
      <c r="B113" s="70" t="s">
        <v>1099</v>
      </c>
      <c r="C113" s="70" t="s">
        <v>1100</v>
      </c>
      <c r="D113" s="280">
        <f>'P2-Exp. &amp; Rev. Credits'!F25</f>
        <v>0</v>
      </c>
      <c r="E113" s="106"/>
      <c r="F113" s="114" t="s">
        <v>150</v>
      </c>
      <c r="G113" s="130">
        <f>$I$183</f>
        <v>0</v>
      </c>
      <c r="H113" s="106"/>
      <c r="I113" s="59">
        <f>+G113*D113</f>
        <v>0</v>
      </c>
      <c r="J113" s="106"/>
      <c r="K113" s="106"/>
    </row>
    <row r="114" spans="1:11">
      <c r="A114" s="77">
        <v>6</v>
      </c>
      <c r="B114" s="70" t="s">
        <v>154</v>
      </c>
      <c r="C114" s="70" t="s">
        <v>1101</v>
      </c>
      <c r="D114" s="280">
        <f>'P2-Exp. &amp; Rev. Credits'!F26</f>
        <v>0</v>
      </c>
      <c r="E114" s="106"/>
      <c r="F114" s="106" t="s">
        <v>156</v>
      </c>
      <c r="G114" s="130">
        <f>K206</f>
        <v>6.5297211282099338E-2</v>
      </c>
      <c r="H114" s="106"/>
      <c r="I114" s="62">
        <f t="shared" si="2"/>
        <v>0</v>
      </c>
      <c r="J114" s="106"/>
      <c r="K114" s="106"/>
    </row>
    <row r="115" spans="1:11" ht="13.5" thickBot="1">
      <c r="A115" s="77">
        <v>7</v>
      </c>
      <c r="B115" s="70" t="s">
        <v>253</v>
      </c>
      <c r="C115" s="70" t="s">
        <v>1102</v>
      </c>
      <c r="D115" s="280">
        <f>'P2-Exp. &amp; Rev. Credits'!F27</f>
        <v>0</v>
      </c>
      <c r="E115" s="106"/>
      <c r="F115" s="106" t="s">
        <v>255</v>
      </c>
      <c r="G115" s="130">
        <v>1</v>
      </c>
      <c r="H115" s="106"/>
      <c r="I115" s="63">
        <f t="shared" si="2"/>
        <v>0</v>
      </c>
      <c r="J115" s="106"/>
      <c r="K115" s="106"/>
    </row>
    <row r="116" spans="1:11">
      <c r="A116" s="77">
        <v>8</v>
      </c>
      <c r="B116" s="70" t="s">
        <v>1103</v>
      </c>
      <c r="C116" s="70"/>
      <c r="D116" s="579">
        <f>'P2-Exp. &amp; Rev. Credits'!F28</f>
        <v>18998036.775000002</v>
      </c>
      <c r="E116" s="106"/>
      <c r="F116" s="106"/>
      <c r="G116" s="130"/>
      <c r="H116" s="106"/>
      <c r="I116" s="62">
        <f>+I104-I105-I106+I107-I109+I113+I114+I115+I110+I111-I112</f>
        <v>1848314.5263141212</v>
      </c>
      <c r="J116" s="106"/>
      <c r="K116" s="106"/>
    </row>
    <row r="117" spans="1:11">
      <c r="A117" s="77"/>
      <c r="C117" s="106"/>
      <c r="E117" s="106"/>
      <c r="F117" s="106"/>
      <c r="G117" s="130"/>
      <c r="H117" s="106"/>
      <c r="J117" s="106"/>
      <c r="K117" s="106"/>
    </row>
    <row r="118" spans="1:11">
      <c r="A118" s="77"/>
      <c r="B118" s="70" t="s">
        <v>1104</v>
      </c>
      <c r="C118" s="106"/>
      <c r="D118" s="106"/>
      <c r="E118" s="106"/>
      <c r="F118" s="106"/>
      <c r="G118" s="130"/>
      <c r="H118" s="106"/>
      <c r="I118" s="106"/>
      <c r="J118" s="106"/>
      <c r="K118" s="106"/>
    </row>
    <row r="119" spans="1:11">
      <c r="A119" s="77">
        <v>9</v>
      </c>
      <c r="B119" s="133" t="str">
        <f>+B104</f>
        <v xml:space="preserve">  Transmission </v>
      </c>
      <c r="C119" s="50" t="s">
        <v>1105</v>
      </c>
      <c r="D119" s="280">
        <f>'P1-Trans Plant'!E43</f>
        <v>8717481.1413799189</v>
      </c>
      <c r="E119" s="106"/>
      <c r="F119" s="106" t="s">
        <v>95</v>
      </c>
      <c r="G119" s="130">
        <f>$I$175</f>
        <v>0.61863245862384375</v>
      </c>
      <c r="H119" s="106"/>
      <c r="I119" s="62">
        <f>+G119*D119</f>
        <v>5392916.791498851</v>
      </c>
      <c r="J119" s="106"/>
      <c r="K119" s="132"/>
    </row>
    <row r="120" spans="1:11">
      <c r="A120" s="77" t="s">
        <v>164</v>
      </c>
      <c r="B120" s="133" t="s">
        <v>259</v>
      </c>
      <c r="C120" s="50" t="s">
        <v>1106</v>
      </c>
      <c r="D120" s="280">
        <f>'Act Att-H'!D124</f>
        <v>0</v>
      </c>
      <c r="E120" s="106"/>
      <c r="F120" s="114" t="s">
        <v>150</v>
      </c>
      <c r="G120" s="130">
        <f>$I$183</f>
        <v>0</v>
      </c>
      <c r="H120" s="106"/>
      <c r="I120" s="62">
        <f>+G120*D120</f>
        <v>0</v>
      </c>
      <c r="J120" s="106"/>
      <c r="K120" s="132"/>
    </row>
    <row r="121" spans="1:11">
      <c r="A121" s="77">
        <v>10</v>
      </c>
      <c r="B121" s="70" t="s">
        <v>261</v>
      </c>
      <c r="C121" s="70" t="s">
        <v>1107</v>
      </c>
      <c r="D121" s="280">
        <f>'Act Att-H'!D125</f>
        <v>2843334</v>
      </c>
      <c r="E121" s="106"/>
      <c r="F121" s="106" t="s">
        <v>153</v>
      </c>
      <c r="G121" s="130">
        <f>+G107</f>
        <v>6.6848958689547669E-2</v>
      </c>
      <c r="H121" s="106"/>
      <c r="I121" s="62">
        <f>+G121*D121</f>
        <v>190073.91710658633</v>
      </c>
      <c r="J121" s="106"/>
      <c r="K121" s="132"/>
    </row>
    <row r="122" spans="1:11">
      <c r="A122" s="77">
        <v>11</v>
      </c>
      <c r="B122" s="133" t="str">
        <f>+B114</f>
        <v xml:space="preserve">  Common</v>
      </c>
      <c r="C122" s="70" t="s">
        <v>1108</v>
      </c>
      <c r="D122" s="280">
        <f>'Act Att-H'!D126</f>
        <v>182610</v>
      </c>
      <c r="E122" s="106"/>
      <c r="F122" s="106" t="s">
        <v>156</v>
      </c>
      <c r="G122" s="130">
        <f>+G114</f>
        <v>6.5297211282099338E-2</v>
      </c>
      <c r="H122" s="106"/>
      <c r="I122" s="62">
        <f>+G122*D122</f>
        <v>11923.92375222416</v>
      </c>
      <c r="J122" s="106"/>
      <c r="K122" s="132"/>
    </row>
    <row r="123" spans="1:11" s="2" customFormat="1" ht="13.5" thickBot="1">
      <c r="A123" s="73" t="s">
        <v>264</v>
      </c>
      <c r="B123" s="56" t="s">
        <v>265</v>
      </c>
      <c r="C123" s="70" t="s">
        <v>1109</v>
      </c>
      <c r="D123" s="280">
        <f>'Act Att-H'!D127</f>
        <v>0</v>
      </c>
      <c r="E123" s="54"/>
      <c r="F123" s="72"/>
      <c r="G123" s="642"/>
      <c r="H123" s="54"/>
      <c r="I123" s="67">
        <f>+G123*D123</f>
        <v>0</v>
      </c>
      <c r="J123" s="51"/>
      <c r="K123" s="61"/>
    </row>
    <row r="124" spans="1:11">
      <c r="A124" s="77">
        <v>12</v>
      </c>
      <c r="B124" s="70" t="s">
        <v>267</v>
      </c>
      <c r="C124" s="178" t="s">
        <v>268</v>
      </c>
      <c r="D124" s="581">
        <f>SUM(D119:D123)</f>
        <v>11743425.141379919</v>
      </c>
      <c r="E124" s="106"/>
      <c r="F124" s="106"/>
      <c r="G124" s="130"/>
      <c r="H124" s="106"/>
      <c r="I124" s="62">
        <f>SUM(I119:I123)</f>
        <v>5594914.6323576616</v>
      </c>
      <c r="J124" s="106"/>
      <c r="K124" s="106"/>
    </row>
    <row r="125" spans="1:11">
      <c r="A125" s="77"/>
      <c r="B125" s="70"/>
      <c r="C125" s="106"/>
      <c r="D125" s="106"/>
      <c r="E125" s="106"/>
      <c r="F125" s="106"/>
      <c r="G125" s="130"/>
      <c r="H125" s="106"/>
      <c r="I125" s="106"/>
      <c r="J125" s="106"/>
      <c r="K125" s="106"/>
    </row>
    <row r="126" spans="1:11">
      <c r="A126" s="77" t="s">
        <v>88</v>
      </c>
      <c r="B126" s="70" t="s">
        <v>1110</v>
      </c>
      <c r="D126" s="106"/>
      <c r="E126" s="106"/>
      <c r="F126" s="106"/>
      <c r="G126" s="130"/>
      <c r="H126" s="106"/>
      <c r="I126" s="106"/>
      <c r="J126" s="106"/>
      <c r="K126" s="106"/>
    </row>
    <row r="127" spans="1:11">
      <c r="A127" s="77"/>
      <c r="B127" s="70" t="s">
        <v>270</v>
      </c>
      <c r="C127" s="70"/>
      <c r="E127" s="106"/>
      <c r="F127" s="106"/>
      <c r="G127" s="130"/>
      <c r="H127" s="106"/>
      <c r="J127" s="106"/>
      <c r="K127" s="132"/>
    </row>
    <row r="128" spans="1:11">
      <c r="A128" s="77">
        <v>13</v>
      </c>
      <c r="B128" s="70" t="s">
        <v>271</v>
      </c>
      <c r="C128" s="70" t="s">
        <v>1111</v>
      </c>
      <c r="D128" s="280">
        <f>'P2-Exp. &amp; Rev. Credits'!F33</f>
        <v>1101592.0999999999</v>
      </c>
      <c r="E128" s="106"/>
      <c r="F128" s="106" t="s">
        <v>153</v>
      </c>
      <c r="G128" s="130">
        <f>+G121</f>
        <v>6.6848958689547669E-2</v>
      </c>
      <c r="H128" s="106"/>
      <c r="I128" s="62">
        <f>+G128*D128</f>
        <v>73640.284785632059</v>
      </c>
      <c r="J128" s="106"/>
      <c r="K128" s="132"/>
    </row>
    <row r="129" spans="1:11">
      <c r="A129" s="77">
        <v>14</v>
      </c>
      <c r="B129" s="70" t="s">
        <v>273</v>
      </c>
      <c r="C129" s="70" t="s">
        <v>1112</v>
      </c>
      <c r="D129" s="280">
        <f>'P2-Exp. &amp; Rev. Credits'!F34</f>
        <v>0</v>
      </c>
      <c r="E129" s="106"/>
      <c r="F129" s="114" t="str">
        <f>+F128</f>
        <v>W/S</v>
      </c>
      <c r="G129" s="130">
        <f>+G128</f>
        <v>6.6848958689547669E-2</v>
      </c>
      <c r="H129" s="106"/>
      <c r="I129" s="62">
        <f>+G129*D129</f>
        <v>0</v>
      </c>
      <c r="J129" s="106"/>
      <c r="K129" s="132"/>
    </row>
    <row r="130" spans="1:11">
      <c r="A130" s="77">
        <v>15</v>
      </c>
      <c r="B130" s="70" t="s">
        <v>274</v>
      </c>
      <c r="C130" s="70" t="s">
        <v>88</v>
      </c>
      <c r="D130" s="106" t="s">
        <v>88</v>
      </c>
      <c r="E130" s="106"/>
      <c r="F130" s="106"/>
      <c r="G130" s="130"/>
      <c r="H130" s="106"/>
      <c r="J130" s="106"/>
      <c r="K130" s="132"/>
    </row>
    <row r="131" spans="1:11">
      <c r="A131" s="77">
        <v>16</v>
      </c>
      <c r="B131" s="70" t="s">
        <v>275</v>
      </c>
      <c r="C131" s="70" t="s">
        <v>1113</v>
      </c>
      <c r="D131" s="280">
        <f>'P2-Exp. &amp; Rev. Credits'!F36</f>
        <v>3651051.0249999999</v>
      </c>
      <c r="E131" s="106"/>
      <c r="F131" s="106" t="s">
        <v>187</v>
      </c>
      <c r="G131" s="130">
        <f>$G$250</f>
        <v>0.23597340795866856</v>
      </c>
      <c r="H131" s="106"/>
      <c r="I131" s="62">
        <f>+G131*D131</f>
        <v>861550.95300024003</v>
      </c>
      <c r="J131" s="106"/>
      <c r="K131" s="132"/>
    </row>
    <row r="132" spans="1:11">
      <c r="A132" s="77">
        <v>17</v>
      </c>
      <c r="B132" s="70" t="s">
        <v>276</v>
      </c>
      <c r="C132" s="70" t="s">
        <v>1114</v>
      </c>
      <c r="D132" s="280">
        <f>'P2-Exp. &amp; Rev. Credits'!F37</f>
        <v>1693042.7249999999</v>
      </c>
      <c r="E132" s="106"/>
      <c r="F132" s="114" t="s">
        <v>142</v>
      </c>
      <c r="G132" s="130">
        <v>0</v>
      </c>
      <c r="H132" s="106"/>
      <c r="I132" s="62">
        <v>0</v>
      </c>
      <c r="J132" s="106"/>
      <c r="K132" s="132"/>
    </row>
    <row r="133" spans="1:11">
      <c r="A133" s="77">
        <v>18</v>
      </c>
      <c r="B133" s="70" t="s">
        <v>363</v>
      </c>
      <c r="C133" s="70" t="s">
        <v>1115</v>
      </c>
      <c r="D133" s="280">
        <f>'P2-Exp. &amp; Rev. Credits'!F38</f>
        <v>0</v>
      </c>
      <c r="E133" s="106"/>
      <c r="F133" s="664"/>
      <c r="G133" s="642"/>
      <c r="H133" s="106"/>
      <c r="I133" s="62">
        <f>+G133*D133</f>
        <v>0</v>
      </c>
      <c r="J133" s="106"/>
      <c r="K133" s="132"/>
    </row>
    <row r="134" spans="1:11" ht="13.5" thickBot="1">
      <c r="A134" s="77">
        <v>19</v>
      </c>
      <c r="B134" s="70" t="s">
        <v>278</v>
      </c>
      <c r="C134" s="70"/>
      <c r="D134" s="580"/>
      <c r="E134" s="106"/>
      <c r="F134" s="106"/>
      <c r="G134" s="130"/>
      <c r="H134" s="106"/>
      <c r="I134" s="62"/>
      <c r="J134" s="106"/>
      <c r="K134" s="132"/>
    </row>
    <row r="135" spans="1:11">
      <c r="A135" s="77">
        <v>20</v>
      </c>
      <c r="B135" s="70" t="s">
        <v>279</v>
      </c>
      <c r="C135" s="178" t="s">
        <v>280</v>
      </c>
      <c r="D135" s="579">
        <f>SUM(D128:D134)</f>
        <v>6445685.8499999996</v>
      </c>
      <c r="E135" s="106"/>
      <c r="F135" s="106"/>
      <c r="G135" s="130"/>
      <c r="H135" s="106"/>
      <c r="I135" s="71">
        <f>SUM(I128:I134)</f>
        <v>935191.23778587207</v>
      </c>
      <c r="J135" s="106"/>
      <c r="K135" s="106"/>
    </row>
    <row r="136" spans="1:11">
      <c r="A136" s="77"/>
      <c r="B136" s="70"/>
      <c r="C136" s="106"/>
      <c r="D136" s="106"/>
      <c r="E136" s="106"/>
      <c r="F136" s="106"/>
      <c r="G136" s="130"/>
      <c r="H136" s="106"/>
      <c r="I136" s="106"/>
      <c r="J136" s="106"/>
      <c r="K136" s="106"/>
    </row>
    <row r="137" spans="1:11">
      <c r="A137" s="77" t="s">
        <v>88</v>
      </c>
      <c r="B137" s="70" t="s">
        <v>281</v>
      </c>
      <c r="C137" s="106" t="s">
        <v>590</v>
      </c>
      <c r="D137" s="106"/>
      <c r="E137" s="106"/>
      <c r="G137" s="130"/>
      <c r="H137" s="106"/>
      <c r="J137" s="106"/>
    </row>
    <row r="138" spans="1:11">
      <c r="A138" s="77">
        <v>21</v>
      </c>
      <c r="B138" s="139" t="s">
        <v>283</v>
      </c>
      <c r="C138" s="106"/>
      <c r="D138" s="140">
        <f>IF(D268&gt;0,1-(((1-D269)*(1-D268))/(1-D269*D268*D270)),0)</f>
        <v>0</v>
      </c>
      <c r="E138" s="106"/>
      <c r="G138" s="130"/>
      <c r="H138" s="106"/>
      <c r="J138" s="106"/>
    </row>
    <row r="139" spans="1:11">
      <c r="A139" s="77">
        <v>22</v>
      </c>
      <c r="B139" s="102" t="s">
        <v>284</v>
      </c>
      <c r="C139" s="106"/>
      <c r="D139" s="140">
        <f>IF(I226&gt;0,(D138/(1-D138))*(1-I223/I226),0)</f>
        <v>0</v>
      </c>
      <c r="E139" s="106"/>
      <c r="G139" s="130"/>
      <c r="H139" s="106"/>
      <c r="J139" s="106"/>
    </row>
    <row r="140" spans="1:11">
      <c r="A140" s="77"/>
      <c r="B140" s="70" t="s">
        <v>285</v>
      </c>
      <c r="C140" s="106"/>
      <c r="D140" s="106"/>
      <c r="E140" s="106"/>
      <c r="G140" s="130"/>
      <c r="H140" s="106"/>
      <c r="J140" s="106"/>
    </row>
    <row r="141" spans="1:11">
      <c r="A141" s="77"/>
      <c r="B141" s="70" t="s">
        <v>1116</v>
      </c>
      <c r="C141" s="106"/>
      <c r="D141" s="106"/>
      <c r="E141" s="106"/>
      <c r="G141" s="130"/>
      <c r="H141" s="106"/>
      <c r="J141" s="106"/>
    </row>
    <row r="142" spans="1:11">
      <c r="A142" s="77">
        <v>23</v>
      </c>
      <c r="B142" s="139" t="s">
        <v>287</v>
      </c>
      <c r="C142" s="106"/>
      <c r="D142" s="582">
        <f>IF(D138&gt;0,1/(1-D138),0)</f>
        <v>0</v>
      </c>
      <c r="E142" s="106"/>
      <c r="G142" s="130"/>
      <c r="H142" s="106"/>
      <c r="J142" s="106"/>
    </row>
    <row r="143" spans="1:11">
      <c r="A143" s="77">
        <v>24</v>
      </c>
      <c r="B143" s="70" t="s">
        <v>288</v>
      </c>
      <c r="C143" s="70" t="s">
        <v>1117</v>
      </c>
      <c r="D143" s="280">
        <f>'Act Att-H'!D147</f>
        <v>6</v>
      </c>
      <c r="E143" s="106"/>
      <c r="G143" s="130"/>
      <c r="H143" s="106"/>
      <c r="J143" s="106"/>
    </row>
    <row r="144" spans="1:11">
      <c r="A144" s="77" t="s">
        <v>290</v>
      </c>
      <c r="B144" s="53" t="s">
        <v>1118</v>
      </c>
      <c r="C144" s="70" t="s">
        <v>1119</v>
      </c>
      <c r="D144" s="280">
        <f>'Act Att-H'!D148</f>
        <v>92890.09062865001</v>
      </c>
      <c r="E144" s="106"/>
      <c r="G144" s="130"/>
      <c r="H144" s="106"/>
      <c r="J144" s="106"/>
    </row>
    <row r="145" spans="1:11">
      <c r="A145" s="77" t="s">
        <v>293</v>
      </c>
      <c r="B145" s="53" t="s">
        <v>294</v>
      </c>
      <c r="C145" s="70" t="s">
        <v>1120</v>
      </c>
      <c r="D145" s="280">
        <f>'Act Att-H'!D149</f>
        <v>-312443.45591762621</v>
      </c>
      <c r="E145" s="106"/>
      <c r="G145" s="130"/>
      <c r="H145" s="106"/>
      <c r="J145" s="106"/>
    </row>
    <row r="146" spans="1:11">
      <c r="A146" s="77" t="s">
        <v>296</v>
      </c>
      <c r="B146" s="53" t="s">
        <v>297</v>
      </c>
      <c r="C146" s="70" t="s">
        <v>1121</v>
      </c>
      <c r="D146" s="280">
        <f>'Act Att-H'!D150</f>
        <v>-65613.125742701493</v>
      </c>
      <c r="E146" s="106"/>
      <c r="G146" s="130"/>
      <c r="H146" s="106"/>
      <c r="J146" s="106"/>
    </row>
    <row r="147" spans="1:11">
      <c r="A147" s="77">
        <v>25</v>
      </c>
      <c r="B147" s="139" t="s">
        <v>299</v>
      </c>
      <c r="C147" s="141" t="s">
        <v>300</v>
      </c>
      <c r="D147" s="580">
        <f>D139*D154</f>
        <v>0</v>
      </c>
      <c r="E147" s="106"/>
      <c r="F147" s="106"/>
      <c r="G147" s="130"/>
      <c r="H147" s="106"/>
      <c r="I147" s="62">
        <f>D139*I154</f>
        <v>0</v>
      </c>
      <c r="J147" s="106"/>
      <c r="K147" s="142" t="s">
        <v>88</v>
      </c>
    </row>
    <row r="148" spans="1:11">
      <c r="A148" s="77">
        <v>26</v>
      </c>
      <c r="B148" s="102" t="s">
        <v>301</v>
      </c>
      <c r="C148" s="141" t="s">
        <v>302</v>
      </c>
      <c r="D148" s="580">
        <f>D142*D143</f>
        <v>0</v>
      </c>
      <c r="E148" s="106"/>
      <c r="F148" s="51" t="s">
        <v>187</v>
      </c>
      <c r="G148" s="130">
        <f>$G$250</f>
        <v>0.23597340795866856</v>
      </c>
      <c r="H148" s="106"/>
      <c r="I148" s="62">
        <f>G148*D148</f>
        <v>0</v>
      </c>
      <c r="J148" s="106"/>
      <c r="K148" s="142"/>
    </row>
    <row r="149" spans="1:11">
      <c r="A149" s="77" t="s">
        <v>303</v>
      </c>
      <c r="B149" s="60" t="s">
        <v>1122</v>
      </c>
      <c r="C149" s="75" t="s">
        <v>305</v>
      </c>
      <c r="D149" s="580">
        <f>D142*D144</f>
        <v>0</v>
      </c>
      <c r="E149" s="106"/>
      <c r="G149" s="130"/>
      <c r="H149" s="106"/>
      <c r="I149" s="62">
        <f>D149</f>
        <v>0</v>
      </c>
      <c r="J149" s="106"/>
      <c r="K149" s="142"/>
    </row>
    <row r="150" spans="1:11">
      <c r="A150" s="77" t="s">
        <v>306</v>
      </c>
      <c r="B150" s="60" t="s">
        <v>307</v>
      </c>
      <c r="C150" s="75" t="s">
        <v>308</v>
      </c>
      <c r="D150" s="580">
        <f>D142*D146</f>
        <v>0</v>
      </c>
      <c r="E150" s="106"/>
      <c r="G150" s="130"/>
      <c r="H150" s="106"/>
      <c r="I150" s="62">
        <f>D150</f>
        <v>0</v>
      </c>
      <c r="J150" s="106"/>
      <c r="K150" s="142"/>
    </row>
    <row r="151" spans="1:11">
      <c r="A151" s="77">
        <v>27</v>
      </c>
      <c r="B151" s="139" t="s">
        <v>309</v>
      </c>
      <c r="C151" s="60" t="s">
        <v>310</v>
      </c>
      <c r="D151" s="581">
        <f>D147+D150-D148-D149</f>
        <v>0</v>
      </c>
      <c r="E151" s="106"/>
      <c r="F151" s="106" t="s">
        <v>88</v>
      </c>
      <c r="G151" s="130" t="s">
        <v>88</v>
      </c>
      <c r="H151" s="106"/>
      <c r="I151" s="581">
        <f>I147+I150-I148-I149</f>
        <v>0</v>
      </c>
      <c r="J151" s="106"/>
      <c r="K151" s="106"/>
    </row>
    <row r="152" spans="1:11">
      <c r="A152" s="77" t="s">
        <v>88</v>
      </c>
      <c r="C152" s="143"/>
      <c r="D152" s="580"/>
      <c r="E152" s="106"/>
      <c r="F152" s="106"/>
      <c r="G152" s="130"/>
      <c r="H152" s="106"/>
      <c r="I152" s="106"/>
      <c r="J152" s="106"/>
      <c r="K152" s="106"/>
    </row>
    <row r="153" spans="1:11">
      <c r="B153" s="70" t="s">
        <v>311</v>
      </c>
      <c r="C153" s="132"/>
      <c r="G153" s="130"/>
      <c r="J153" s="106"/>
    </row>
    <row r="154" spans="1:11">
      <c r="A154" s="77">
        <v>28</v>
      </c>
      <c r="B154" s="139" t="s">
        <v>1123</v>
      </c>
      <c r="C154" s="690" t="s">
        <v>1124</v>
      </c>
      <c r="D154" s="62">
        <f>+$I226*D90+I229</f>
        <v>34958131.71415814</v>
      </c>
      <c r="E154" s="106"/>
      <c r="F154" s="106"/>
      <c r="G154" s="130"/>
      <c r="H154" s="106"/>
      <c r="I154" s="381">
        <f>+$I226*I90+I229</f>
        <v>19410045.750837374</v>
      </c>
      <c r="J154" s="106"/>
      <c r="K154" s="132"/>
    </row>
    <row r="155" spans="1:11">
      <c r="A155" s="77"/>
      <c r="B155" s="70"/>
      <c r="D155" s="106"/>
      <c r="E155" s="106"/>
      <c r="F155" s="106"/>
      <c r="G155" s="138"/>
      <c r="H155" s="106"/>
      <c r="I155" s="106"/>
      <c r="J155" s="106"/>
      <c r="K155" s="132"/>
    </row>
    <row r="156" spans="1:11" ht="13.5" thickBot="1">
      <c r="A156" s="77">
        <v>29</v>
      </c>
      <c r="B156" s="70" t="s">
        <v>314</v>
      </c>
      <c r="C156" s="106" t="s">
        <v>315</v>
      </c>
      <c r="D156" s="76">
        <f>+D116+D124+D135+D151+D154</f>
        <v>72145279.48053807</v>
      </c>
      <c r="E156" s="106"/>
      <c r="F156" s="106"/>
      <c r="G156" s="106"/>
      <c r="H156" s="106"/>
      <c r="I156" s="76">
        <f>+I116+I124+I135+I151+I154</f>
        <v>27788466.147295028</v>
      </c>
      <c r="J156" s="70"/>
      <c r="K156" s="70"/>
    </row>
    <row r="157" spans="1:11" ht="13.5" thickTop="1">
      <c r="A157" s="77"/>
      <c r="B157" s="70"/>
      <c r="C157" s="106"/>
      <c r="D157" s="114"/>
      <c r="E157" s="106"/>
      <c r="F157" s="106"/>
      <c r="G157" s="106"/>
      <c r="H157" s="106"/>
      <c r="I157" s="114"/>
      <c r="J157" s="70"/>
      <c r="K157" s="70"/>
    </row>
    <row r="158" spans="1:11">
      <c r="B158" s="70"/>
      <c r="C158" s="70"/>
      <c r="D158" s="103"/>
      <c r="E158" s="70"/>
      <c r="F158" s="922"/>
      <c r="G158" s="922"/>
      <c r="H158" s="922"/>
      <c r="I158" s="922"/>
      <c r="J158" s="922"/>
      <c r="K158" s="922"/>
    </row>
    <row r="159" spans="1:11">
      <c r="B159" s="70"/>
      <c r="C159" s="70"/>
      <c r="D159" s="103"/>
      <c r="E159" s="70"/>
      <c r="F159" s="70"/>
      <c r="G159" s="70"/>
      <c r="H159" s="70"/>
      <c r="I159" s="923" t="str">
        <f>I1</f>
        <v>Projected Attachment H</v>
      </c>
      <c r="J159" s="923"/>
      <c r="K159" s="923"/>
    </row>
    <row r="160" spans="1:11">
      <c r="B160" s="70"/>
      <c r="C160" s="70"/>
      <c r="D160" s="103"/>
      <c r="E160" s="70"/>
      <c r="F160" s="70"/>
      <c r="G160" s="70"/>
      <c r="H160" s="70"/>
      <c r="I160" s="70"/>
      <c r="J160" s="922" t="s">
        <v>316</v>
      </c>
      <c r="K160" s="922"/>
    </row>
    <row r="161" spans="1:16">
      <c r="B161" s="70"/>
      <c r="C161" s="70"/>
      <c r="D161" s="103"/>
      <c r="E161" s="70"/>
      <c r="F161" s="70"/>
      <c r="G161" s="70"/>
      <c r="H161" s="70"/>
      <c r="I161" s="70"/>
      <c r="J161" s="104"/>
      <c r="K161" s="104"/>
    </row>
    <row r="162" spans="1:16">
      <c r="B162" s="103" t="s">
        <v>79</v>
      </c>
      <c r="C162" s="77" t="s">
        <v>125</v>
      </c>
      <c r="E162" s="70"/>
      <c r="F162" s="70"/>
      <c r="G162" s="930" t="str">
        <f>K4</f>
        <v xml:space="preserve">Estimated - For the 12 months ended </v>
      </c>
      <c r="H162" s="930"/>
      <c r="I162" s="930"/>
      <c r="J162" s="930"/>
      <c r="K162" s="930"/>
    </row>
    <row r="163" spans="1:16">
      <c r="B163" s="70"/>
      <c r="C163" s="107" t="s">
        <v>126</v>
      </c>
      <c r="E163" s="106"/>
      <c r="F163" s="106"/>
      <c r="G163" s="106"/>
      <c r="H163" s="70"/>
      <c r="I163" s="70"/>
      <c r="J163" s="70"/>
      <c r="K163" s="70"/>
    </row>
    <row r="164" spans="1:16" ht="9" customHeight="1">
      <c r="A164" s="77"/>
      <c r="J164" s="106"/>
      <c r="K164" s="106"/>
    </row>
    <row r="165" spans="1:16">
      <c r="A165" s="77"/>
      <c r="C165" s="121" t="str">
        <f>C7</f>
        <v>Cheyenne Light, Fuel &amp; Power</v>
      </c>
      <c r="J165" s="106"/>
      <c r="K165" s="106"/>
    </row>
    <row r="166" spans="1:16">
      <c r="A166" s="77"/>
      <c r="C166" s="135"/>
      <c r="J166" s="106"/>
      <c r="K166" s="106"/>
    </row>
    <row r="167" spans="1:16">
      <c r="A167" s="77"/>
      <c r="C167" s="125" t="s">
        <v>317</v>
      </c>
      <c r="E167" s="70"/>
      <c r="F167" s="70"/>
      <c r="G167" s="70"/>
      <c r="H167" s="70"/>
      <c r="I167" s="70"/>
      <c r="J167" s="106"/>
      <c r="K167" s="106"/>
    </row>
    <row r="168" spans="1:16">
      <c r="A168" s="77" t="s">
        <v>83</v>
      </c>
      <c r="B168" s="77" t="s">
        <v>127</v>
      </c>
      <c r="C168" s="77" t="s">
        <v>128</v>
      </c>
      <c r="D168" s="77" t="s">
        <v>129</v>
      </c>
      <c r="E168" s="106" t="s">
        <v>88</v>
      </c>
      <c r="F168" s="106"/>
      <c r="G168" s="122" t="s">
        <v>130</v>
      </c>
      <c r="H168" s="106"/>
      <c r="I168" s="123" t="s">
        <v>131</v>
      </c>
      <c r="J168" s="106"/>
      <c r="K168" s="106"/>
    </row>
    <row r="169" spans="1:16" ht="13.5" thickBot="1">
      <c r="A169" s="110" t="s">
        <v>85</v>
      </c>
      <c r="B169" s="70" t="s">
        <v>318</v>
      </c>
      <c r="C169" s="70"/>
      <c r="D169" s="70"/>
      <c r="E169" s="70"/>
      <c r="F169" s="70"/>
      <c r="G169" s="70"/>
      <c r="J169" s="106"/>
      <c r="K169" s="106"/>
    </row>
    <row r="170" spans="1:16">
      <c r="A170" s="77">
        <v>1</v>
      </c>
      <c r="B170" s="70" t="s">
        <v>319</v>
      </c>
      <c r="C170" s="70" t="s">
        <v>1125</v>
      </c>
      <c r="D170" s="106"/>
      <c r="E170" s="106"/>
      <c r="F170" s="106"/>
      <c r="G170" s="106"/>
      <c r="H170" s="106"/>
      <c r="I170" s="280">
        <f>'Act Att-H'!I174</f>
        <v>218038514.07999998</v>
      </c>
      <c r="J170" s="106"/>
      <c r="K170" s="106"/>
    </row>
    <row r="171" spans="1:16">
      <c r="A171" s="77">
        <v>2</v>
      </c>
      <c r="B171" s="70" t="s">
        <v>321</v>
      </c>
      <c r="C171" s="70" t="s">
        <v>1126</v>
      </c>
      <c r="I171" s="280">
        <f>'Act Att-H'!I175</f>
        <v>78806129.040000007</v>
      </c>
      <c r="J171" s="106"/>
      <c r="K171" s="106"/>
    </row>
    <row r="172" spans="1:16">
      <c r="A172" s="77">
        <v>3</v>
      </c>
      <c r="B172" s="70" t="s">
        <v>323</v>
      </c>
      <c r="C172" s="70" t="s">
        <v>1127</v>
      </c>
      <c r="D172" s="106"/>
      <c r="E172" s="106"/>
      <c r="F172" s="106"/>
      <c r="G172" s="107"/>
      <c r="H172" s="106"/>
      <c r="I172" s="280">
        <f>'Act Att-H'!I176</f>
        <v>4346683</v>
      </c>
      <c r="J172" s="106"/>
      <c r="K172" s="106"/>
    </row>
    <row r="173" spans="1:16">
      <c r="A173" s="77">
        <v>4</v>
      </c>
      <c r="B173" s="180" t="s">
        <v>325</v>
      </c>
      <c r="C173" s="180" t="s">
        <v>326</v>
      </c>
      <c r="D173" s="106"/>
      <c r="E173" s="106"/>
      <c r="F173" s="106"/>
      <c r="G173" s="107"/>
      <c r="H173" s="106"/>
      <c r="I173" s="179">
        <f>I170-I171-I172</f>
        <v>134885702.03999996</v>
      </c>
      <c r="J173" s="106"/>
      <c r="K173" s="106"/>
    </row>
    <row r="174" spans="1:16" ht="9" customHeight="1">
      <c r="A174" s="77"/>
      <c r="C174" s="70"/>
      <c r="D174" s="106"/>
      <c r="E174" s="106"/>
      <c r="F174" s="106"/>
      <c r="G174" s="107"/>
      <c r="H174" s="106"/>
      <c r="J174" s="106"/>
      <c r="K174" s="106"/>
    </row>
    <row r="175" spans="1:16">
      <c r="A175" s="77">
        <v>5</v>
      </c>
      <c r="B175" s="70" t="s">
        <v>327</v>
      </c>
      <c r="C175" s="109" t="s">
        <v>328</v>
      </c>
      <c r="D175" s="109"/>
      <c r="E175" s="109"/>
      <c r="F175" s="109"/>
      <c r="G175" s="123"/>
      <c r="H175" s="106" t="s">
        <v>329</v>
      </c>
      <c r="I175" s="146">
        <f>IF(I170&gt;0,I173/I170,0)</f>
        <v>0.61863245862384375</v>
      </c>
      <c r="J175" s="106"/>
      <c r="K175" s="106"/>
      <c r="N175" s="147"/>
      <c r="O175" s="147"/>
      <c r="P175" s="147"/>
    </row>
    <row r="176" spans="1:16">
      <c r="A176" s="77"/>
      <c r="B176" s="70"/>
      <c r="C176" s="109"/>
      <c r="D176" s="109"/>
      <c r="E176" s="109"/>
      <c r="F176" s="109"/>
      <c r="G176" s="123"/>
      <c r="H176" s="106"/>
      <c r="I176" s="146"/>
      <c r="J176" s="106"/>
      <c r="K176" s="106"/>
      <c r="N176" s="147"/>
      <c r="O176" s="147"/>
      <c r="P176" s="147"/>
    </row>
    <row r="177" spans="1:19">
      <c r="A177" s="77"/>
      <c r="B177" s="70"/>
      <c r="C177" s="109"/>
      <c r="D177" s="109"/>
      <c r="E177" s="109"/>
      <c r="F177" s="109"/>
      <c r="G177" s="123"/>
      <c r="H177" s="106"/>
      <c r="I177" s="146"/>
      <c r="J177" s="106"/>
      <c r="K177" s="129"/>
      <c r="N177" s="147"/>
      <c r="O177" s="147"/>
      <c r="P177" s="147"/>
    </row>
    <row r="178" spans="1:19">
      <c r="A178" s="77"/>
      <c r="B178" s="102" t="s">
        <v>330</v>
      </c>
      <c r="C178" s="109"/>
      <c r="D178" s="109"/>
      <c r="E178" s="109"/>
      <c r="F178" s="109"/>
      <c r="G178" s="123"/>
      <c r="H178" s="106"/>
      <c r="I178" s="146"/>
      <c r="J178" s="106"/>
      <c r="K178" s="106"/>
      <c r="N178" s="448"/>
      <c r="O178" s="448"/>
      <c r="P178" s="448"/>
    </row>
    <row r="179" spans="1:19">
      <c r="A179" s="77" t="s">
        <v>240</v>
      </c>
      <c r="B179" s="102" t="s">
        <v>331</v>
      </c>
      <c r="C179" s="70" t="s">
        <v>1128</v>
      </c>
      <c r="D179" s="109"/>
      <c r="E179" s="109"/>
      <c r="F179" s="109"/>
      <c r="G179" s="123"/>
      <c r="H179" s="106"/>
      <c r="I179" s="280">
        <f>'Act Att-H'!I183</f>
        <v>0</v>
      </c>
      <c r="J179" s="106"/>
      <c r="K179" s="106"/>
      <c r="N179" s="448"/>
      <c r="O179" s="448"/>
      <c r="P179" s="448"/>
    </row>
    <row r="180" spans="1:19">
      <c r="A180" s="77" t="s">
        <v>243</v>
      </c>
      <c r="B180" s="883" t="s">
        <v>333</v>
      </c>
      <c r="C180" s="896" t="s">
        <v>1129</v>
      </c>
      <c r="D180" s="109"/>
      <c r="E180" s="109"/>
      <c r="F180" s="109"/>
      <c r="G180" s="123"/>
      <c r="H180" s="106"/>
      <c r="I180" s="897">
        <f>'Act Att-H'!I184</f>
        <v>0</v>
      </c>
      <c r="J180" s="106"/>
      <c r="K180" s="106"/>
      <c r="N180" s="448"/>
      <c r="O180" s="448"/>
      <c r="P180" s="448"/>
    </row>
    <row r="181" spans="1:19">
      <c r="A181" s="77" t="s">
        <v>246</v>
      </c>
      <c r="B181" s="102" t="s">
        <v>335</v>
      </c>
      <c r="C181" s="70" t="s">
        <v>336</v>
      </c>
      <c r="D181" s="109"/>
      <c r="E181" s="109"/>
      <c r="F181" s="109"/>
      <c r="G181" s="123"/>
      <c r="H181" s="106"/>
      <c r="I181" s="179">
        <f>I179-I180</f>
        <v>0</v>
      </c>
      <c r="J181" s="106"/>
      <c r="K181" s="106"/>
      <c r="N181" s="448"/>
      <c r="O181" s="448"/>
      <c r="P181" s="448"/>
    </row>
    <row r="182" spans="1:19" ht="8.4499999999999993" customHeight="1">
      <c r="A182" s="77"/>
      <c r="C182" s="109"/>
      <c r="D182" s="109"/>
      <c r="E182" s="109"/>
      <c r="F182" s="109"/>
      <c r="G182" s="123"/>
      <c r="H182" s="106"/>
      <c r="I182" s="146"/>
      <c r="J182" s="106"/>
      <c r="K182" s="106"/>
      <c r="N182" s="448"/>
      <c r="O182" s="448"/>
      <c r="P182" s="448"/>
    </row>
    <row r="183" spans="1:19">
      <c r="A183" s="77" t="s">
        <v>249</v>
      </c>
      <c r="B183" s="102" t="s">
        <v>337</v>
      </c>
      <c r="C183" s="102" t="s">
        <v>338</v>
      </c>
      <c r="D183" s="109"/>
      <c r="E183" s="109"/>
      <c r="F183" s="109"/>
      <c r="G183" s="123"/>
      <c r="H183" s="106" t="s">
        <v>339</v>
      </c>
      <c r="I183" s="146">
        <f>IF(I181&gt;0,I181/I179,0)</f>
        <v>0</v>
      </c>
      <c r="J183" s="106"/>
      <c r="K183" s="106"/>
      <c r="N183" s="448"/>
      <c r="O183" s="448"/>
      <c r="P183" s="448"/>
    </row>
    <row r="184" spans="1:19">
      <c r="A184" s="77"/>
      <c r="B184" s="70"/>
      <c r="C184" s="109"/>
      <c r="D184" s="109"/>
      <c r="E184" s="109"/>
      <c r="F184" s="109"/>
      <c r="G184" s="123"/>
      <c r="H184" s="106"/>
      <c r="I184" s="146"/>
      <c r="J184" s="106"/>
      <c r="K184" s="106"/>
      <c r="N184" s="147"/>
      <c r="O184" s="147"/>
      <c r="P184" s="147"/>
    </row>
    <row r="185" spans="1:19" ht="9" customHeight="1">
      <c r="A185" s="77"/>
      <c r="J185" s="106"/>
      <c r="K185" s="106"/>
      <c r="N185" s="70"/>
      <c r="P185" s="106"/>
      <c r="Q185" s="70"/>
    </row>
    <row r="186" spans="1:19">
      <c r="A186" s="77"/>
      <c r="B186" s="70" t="s">
        <v>340</v>
      </c>
      <c r="J186" s="106"/>
      <c r="K186" s="106"/>
      <c r="N186" s="980"/>
      <c r="O186" s="980"/>
      <c r="P186" s="980"/>
      <c r="Q186" s="980"/>
      <c r="R186" s="980"/>
      <c r="S186" s="980"/>
    </row>
    <row r="187" spans="1:19">
      <c r="A187" s="77">
        <v>6</v>
      </c>
      <c r="B187" s="102" t="s">
        <v>341</v>
      </c>
      <c r="C187" s="102" t="s">
        <v>342</v>
      </c>
      <c r="D187" s="70"/>
      <c r="E187" s="70"/>
      <c r="F187" s="70"/>
      <c r="G187" s="77"/>
      <c r="H187" s="70"/>
      <c r="I187" s="280">
        <f>D104</f>
        <v>28280132.324999999</v>
      </c>
      <c r="J187" s="106"/>
      <c r="K187" s="106"/>
      <c r="P187" s="106"/>
      <c r="Q187" s="70"/>
    </row>
    <row r="188" spans="1:19">
      <c r="A188" s="77">
        <v>7</v>
      </c>
      <c r="B188" s="70" t="s">
        <v>343</v>
      </c>
      <c r="C188" s="70" t="s">
        <v>1130</v>
      </c>
      <c r="D188" s="106"/>
      <c r="E188" s="106"/>
      <c r="F188" s="106"/>
      <c r="G188" s="106"/>
      <c r="H188" s="106"/>
      <c r="I188" s="280">
        <f>'Act Att-H'!I193</f>
        <v>551236</v>
      </c>
      <c r="J188" s="106"/>
      <c r="K188" s="106"/>
      <c r="N188" s="149"/>
      <c r="O188" s="150"/>
      <c r="P188" s="106"/>
      <c r="Q188" s="70"/>
    </row>
    <row r="189" spans="1:19">
      <c r="A189" s="77">
        <v>8</v>
      </c>
      <c r="B189" s="180" t="s">
        <v>345</v>
      </c>
      <c r="C189" s="182" t="s">
        <v>346</v>
      </c>
      <c r="D189" s="109"/>
      <c r="E189" s="109"/>
      <c r="F189" s="109"/>
      <c r="G189" s="123"/>
      <c r="H189" s="109"/>
      <c r="I189" s="179">
        <f>+I187-I188</f>
        <v>27728896.324999999</v>
      </c>
      <c r="N189" s="151"/>
      <c r="O189" s="152"/>
      <c r="P189" s="153"/>
      <c r="Q189" s="153"/>
    </row>
    <row r="190" spans="1:19">
      <c r="A190" s="77"/>
      <c r="B190" s="70"/>
      <c r="C190" s="70"/>
      <c r="D190" s="106"/>
      <c r="E190" s="106"/>
      <c r="F190" s="106"/>
      <c r="G190" s="106"/>
      <c r="N190" s="151"/>
      <c r="O190" s="152"/>
    </row>
    <row r="191" spans="1:19">
      <c r="A191" s="77">
        <v>9</v>
      </c>
      <c r="B191" s="70" t="s">
        <v>1131</v>
      </c>
      <c r="C191" s="70" t="s">
        <v>348</v>
      </c>
      <c r="D191" s="106"/>
      <c r="E191" s="106"/>
      <c r="F191" s="106"/>
      <c r="G191" s="106"/>
      <c r="H191" s="106"/>
      <c r="I191" s="130">
        <f>IF(I187&gt;0,I189/I187,0)</f>
        <v>0.98050801199707616</v>
      </c>
      <c r="N191" s="70"/>
      <c r="O191" s="154"/>
      <c r="P191" s="152"/>
      <c r="Q191" s="152"/>
    </row>
    <row r="192" spans="1:19">
      <c r="A192" s="77">
        <v>10</v>
      </c>
      <c r="B192" s="70" t="s">
        <v>1132</v>
      </c>
      <c r="C192" s="70" t="s">
        <v>350</v>
      </c>
      <c r="D192" s="106"/>
      <c r="E192" s="106"/>
      <c r="F192" s="106"/>
      <c r="G192" s="106"/>
      <c r="H192" s="70" t="s">
        <v>95</v>
      </c>
      <c r="I192" s="130">
        <f>I175</f>
        <v>0.61863245862384375</v>
      </c>
      <c r="N192" s="149"/>
      <c r="O192" s="152"/>
      <c r="Q192" s="152"/>
    </row>
    <row r="193" spans="1:17">
      <c r="A193" s="77">
        <v>11</v>
      </c>
      <c r="B193" s="70" t="s">
        <v>1133</v>
      </c>
      <c r="C193" s="70" t="s">
        <v>352</v>
      </c>
      <c r="D193" s="70"/>
      <c r="E193" s="70"/>
      <c r="F193" s="70"/>
      <c r="G193" s="70"/>
      <c r="H193" s="70" t="s">
        <v>353</v>
      </c>
      <c r="I193" s="113">
        <f>+I192*I191</f>
        <v>0.60657408216212849</v>
      </c>
      <c r="N193" s="149"/>
      <c r="O193" s="152"/>
      <c r="Q193" s="152"/>
    </row>
    <row r="194" spans="1:17">
      <c r="A194" s="77"/>
      <c r="C194" s="70"/>
      <c r="D194" s="106"/>
      <c r="E194" s="106"/>
      <c r="F194" s="106"/>
      <c r="G194" s="107"/>
      <c r="H194" s="106"/>
      <c r="N194" s="149"/>
      <c r="O194" s="152"/>
      <c r="Q194" s="155"/>
    </row>
    <row r="195" spans="1:17">
      <c r="A195" s="77" t="s">
        <v>88</v>
      </c>
      <c r="B195" s="70" t="s">
        <v>354</v>
      </c>
      <c r="C195" s="106"/>
      <c r="D195" s="106"/>
      <c r="E195" s="106"/>
      <c r="F195" s="106"/>
      <c r="G195" s="106"/>
      <c r="H195" s="106"/>
      <c r="I195" s="106"/>
      <c r="J195" s="106"/>
      <c r="K195" s="106"/>
      <c r="N195" s="151"/>
      <c r="O195" s="152"/>
      <c r="P195" s="106"/>
      <c r="Q195" s="70"/>
    </row>
    <row r="196" spans="1:17" ht="13.5" thickBot="1">
      <c r="A196" s="77" t="s">
        <v>88</v>
      </c>
      <c r="B196" s="70"/>
      <c r="C196" s="156" t="s">
        <v>1134</v>
      </c>
      <c r="D196" s="157" t="s">
        <v>356</v>
      </c>
      <c r="E196" s="865"/>
      <c r="F196" s="106"/>
      <c r="G196" s="157" t="s">
        <v>357</v>
      </c>
      <c r="H196" s="106"/>
      <c r="I196" s="106"/>
      <c r="J196" s="106"/>
      <c r="K196" s="106"/>
      <c r="N196" s="151"/>
      <c r="O196" s="152"/>
      <c r="P196" s="106"/>
      <c r="Q196" s="70"/>
    </row>
    <row r="197" spans="1:17">
      <c r="A197" s="77">
        <v>12</v>
      </c>
      <c r="B197" s="70" t="s">
        <v>140</v>
      </c>
      <c r="C197" s="70" t="s">
        <v>1135</v>
      </c>
      <c r="D197" s="280">
        <f>'Act Att-H'!D202</f>
        <v>3801907</v>
      </c>
      <c r="E197" s="158">
        <v>0</v>
      </c>
      <c r="F197" s="158"/>
      <c r="G197" s="114">
        <f>D197*E197</f>
        <v>0</v>
      </c>
      <c r="H197" s="106"/>
      <c r="I197" s="106"/>
      <c r="J197" s="106"/>
      <c r="K197" s="106"/>
    </row>
    <row r="198" spans="1:17">
      <c r="A198" s="77">
        <v>13</v>
      </c>
      <c r="B198" s="70" t="s">
        <v>143</v>
      </c>
      <c r="C198" s="70" t="s">
        <v>1136</v>
      </c>
      <c r="D198" s="280">
        <f>'Act Att-H'!D203</f>
        <v>752255</v>
      </c>
      <c r="E198" s="159">
        <f>+I175</f>
        <v>0.61863245862384375</v>
      </c>
      <c r="F198" s="158" t="s">
        <v>95</v>
      </c>
      <c r="G198" s="114">
        <f>D198*E198</f>
        <v>465369.36016207957</v>
      </c>
      <c r="H198" s="106"/>
      <c r="I198" s="106"/>
      <c r="J198" s="106"/>
      <c r="K198" s="106"/>
    </row>
    <row r="199" spans="1:17">
      <c r="A199" s="77">
        <v>14</v>
      </c>
      <c r="B199" s="70" t="s">
        <v>145</v>
      </c>
      <c r="C199" s="70" t="s">
        <v>1137</v>
      </c>
      <c r="D199" s="280">
        <f>'Act Att-H'!D204</f>
        <v>1914953</v>
      </c>
      <c r="E199" s="158">
        <v>0</v>
      </c>
      <c r="F199" s="158"/>
      <c r="G199" s="114">
        <f>D199*E199</f>
        <v>0</v>
      </c>
      <c r="H199" s="106"/>
      <c r="I199" s="861"/>
      <c r="J199" s="106"/>
      <c r="K199" s="106"/>
    </row>
    <row r="200" spans="1:17">
      <c r="A200" s="77" t="s">
        <v>361</v>
      </c>
      <c r="B200" s="70" t="s">
        <v>250</v>
      </c>
      <c r="C200" s="70" t="s">
        <v>1138</v>
      </c>
      <c r="D200" s="280">
        <f>'Act Att-H'!D205</f>
        <v>0</v>
      </c>
      <c r="E200" s="158">
        <f>I183</f>
        <v>0</v>
      </c>
      <c r="F200" s="158" t="s">
        <v>150</v>
      </c>
      <c r="G200" s="114">
        <f>D200*E200</f>
        <v>0</v>
      </c>
      <c r="H200" s="732"/>
      <c r="I200" s="862"/>
      <c r="J200" s="106"/>
      <c r="K200" s="106"/>
    </row>
    <row r="201" spans="1:17" ht="13.5" thickBot="1">
      <c r="A201" s="77">
        <v>15</v>
      </c>
      <c r="B201" s="70" t="s">
        <v>363</v>
      </c>
      <c r="C201" s="70" t="s">
        <v>1139</v>
      </c>
      <c r="D201" s="280">
        <f>'Act Att-H'!D206</f>
        <v>492390</v>
      </c>
      <c r="E201" s="158">
        <v>0</v>
      </c>
      <c r="F201" s="158"/>
      <c r="G201" s="160">
        <f>D201*E201</f>
        <v>0</v>
      </c>
      <c r="H201" s="106"/>
      <c r="I201" s="110" t="s">
        <v>365</v>
      </c>
      <c r="J201" s="106"/>
      <c r="K201" s="106"/>
    </row>
    <row r="202" spans="1:17">
      <c r="A202" s="77">
        <v>16</v>
      </c>
      <c r="B202" s="70" t="s">
        <v>366</v>
      </c>
      <c r="C202" s="106" t="s">
        <v>367</v>
      </c>
      <c r="D202" s="179">
        <f>SUM(D197:D201)</f>
        <v>6961505</v>
      </c>
      <c r="E202" s="106"/>
      <c r="F202" s="106"/>
      <c r="G202" s="114">
        <f>SUM(G197:G201)</f>
        <v>465369.36016207957</v>
      </c>
      <c r="H202" s="77" t="s">
        <v>368</v>
      </c>
      <c r="I202" s="130">
        <f>IF(G202&gt;0,G202/D202,0)</f>
        <v>6.6848958689547669E-2</v>
      </c>
      <c r="J202" s="107" t="s">
        <v>368</v>
      </c>
      <c r="K202" s="142" t="s">
        <v>369</v>
      </c>
    </row>
    <row r="203" spans="1:17" ht="9" customHeight="1">
      <c r="A203" s="77"/>
      <c r="B203" s="70"/>
      <c r="C203" s="106"/>
      <c r="D203" s="106"/>
      <c r="E203" s="106"/>
      <c r="F203" s="106"/>
      <c r="G203" s="106"/>
      <c r="H203" s="106"/>
      <c r="I203" s="106"/>
      <c r="J203" s="106"/>
      <c r="K203" s="106"/>
    </row>
    <row r="204" spans="1:17">
      <c r="A204" s="77"/>
      <c r="B204" s="70" t="s">
        <v>370</v>
      </c>
      <c r="C204" s="106"/>
      <c r="D204" s="107" t="s">
        <v>356</v>
      </c>
      <c r="E204" s="106"/>
      <c r="F204" s="106"/>
      <c r="G204" s="107" t="s">
        <v>371</v>
      </c>
      <c r="H204" s="138" t="s">
        <v>88</v>
      </c>
      <c r="I204" s="131" t="s">
        <v>372</v>
      </c>
      <c r="J204" s="106"/>
      <c r="K204" s="106"/>
    </row>
    <row r="205" spans="1:17">
      <c r="A205" s="77">
        <v>17</v>
      </c>
      <c r="B205" s="70" t="s">
        <v>373</v>
      </c>
      <c r="C205" s="70" t="s">
        <v>1140</v>
      </c>
      <c r="D205" s="280">
        <f>'Act Att-H'!D210</f>
        <v>830921962</v>
      </c>
      <c r="E205" s="106"/>
      <c r="G205" s="77" t="s">
        <v>375</v>
      </c>
      <c r="H205" s="138"/>
      <c r="I205" s="77" t="s">
        <v>376</v>
      </c>
      <c r="J205" s="106"/>
      <c r="K205" s="77" t="s">
        <v>156</v>
      </c>
    </row>
    <row r="206" spans="1:17">
      <c r="A206" s="77">
        <v>18</v>
      </c>
      <c r="B206" s="70" t="s">
        <v>377</v>
      </c>
      <c r="C206" s="70" t="s">
        <v>1141</v>
      </c>
      <c r="D206" s="280">
        <f>'Act Att-H'!D211</f>
        <v>0</v>
      </c>
      <c r="E206" s="106"/>
      <c r="G206" s="113">
        <f>IF(D208&gt;0,D205/D208,0)</f>
        <v>0.97678726134456662</v>
      </c>
      <c r="H206" s="107" t="s">
        <v>379</v>
      </c>
      <c r="I206" s="113">
        <f>I202</f>
        <v>6.6848958689547669E-2</v>
      </c>
      <c r="J206" s="138" t="s">
        <v>368</v>
      </c>
      <c r="K206" s="161">
        <f>I206*G206</f>
        <v>6.5297211282099338E-2</v>
      </c>
    </row>
    <row r="207" spans="1:17">
      <c r="A207" s="77">
        <v>19</v>
      </c>
      <c r="B207" s="70" t="s">
        <v>363</v>
      </c>
      <c r="C207" s="70" t="s">
        <v>1142</v>
      </c>
      <c r="D207" s="280">
        <f>'Act Att-H'!D212</f>
        <v>19746341</v>
      </c>
      <c r="E207" s="106"/>
      <c r="F207" s="106"/>
      <c r="G207" s="106" t="s">
        <v>88</v>
      </c>
      <c r="H207" s="106"/>
      <c r="I207" s="106"/>
      <c r="J207" s="106"/>
      <c r="K207" s="106"/>
    </row>
    <row r="208" spans="1:17">
      <c r="A208" s="77">
        <v>20</v>
      </c>
      <c r="B208" s="180" t="s">
        <v>366</v>
      </c>
      <c r="C208" s="181" t="s">
        <v>381</v>
      </c>
      <c r="D208" s="179">
        <f>D205+D206+D207</f>
        <v>850668303</v>
      </c>
      <c r="E208" s="106"/>
      <c r="F208" s="106"/>
      <c r="G208" s="106"/>
      <c r="H208" s="106"/>
      <c r="I208" s="106"/>
      <c r="J208" s="106"/>
      <c r="K208" s="106"/>
    </row>
    <row r="209" spans="1:11" ht="9" customHeight="1">
      <c r="A209" s="77"/>
      <c r="B209" s="70"/>
      <c r="C209" s="106"/>
      <c r="E209" s="106"/>
      <c r="F209" s="106"/>
      <c r="G209" s="106"/>
      <c r="H209" s="106"/>
      <c r="I209" s="106"/>
      <c r="J209" s="106"/>
      <c r="K209" s="106"/>
    </row>
    <row r="210" spans="1:11" ht="13.5" thickBot="1">
      <c r="A210" s="77"/>
      <c r="B210" s="70" t="s">
        <v>382</v>
      </c>
      <c r="C210" s="106"/>
      <c r="D210" s="106"/>
      <c r="E210" s="106"/>
      <c r="F210" s="106"/>
      <c r="G210" s="106"/>
      <c r="H210" s="106"/>
      <c r="I210" s="157" t="s">
        <v>356</v>
      </c>
      <c r="J210" s="106"/>
      <c r="K210" s="106"/>
    </row>
    <row r="211" spans="1:11">
      <c r="A211" s="77">
        <v>21</v>
      </c>
      <c r="B211" s="106" t="s">
        <v>383</v>
      </c>
      <c r="C211" s="70" t="s">
        <v>1143</v>
      </c>
      <c r="D211" s="106"/>
      <c r="E211" s="106"/>
      <c r="F211" s="106"/>
      <c r="G211" s="106"/>
      <c r="H211" s="106"/>
      <c r="I211" s="280">
        <f>'Act Att-H'!I216</f>
        <v>23644250</v>
      </c>
      <c r="J211" s="106"/>
      <c r="K211" s="106"/>
    </row>
    <row r="212" spans="1:11" ht="9" customHeight="1">
      <c r="A212" s="77"/>
      <c r="B212" s="106"/>
      <c r="C212" s="106"/>
      <c r="D212" s="106"/>
      <c r="E212" s="106"/>
      <c r="F212" s="106"/>
      <c r="G212" s="106"/>
      <c r="H212" s="106"/>
      <c r="I212" s="106"/>
      <c r="J212" s="106"/>
      <c r="K212" s="106"/>
    </row>
    <row r="213" spans="1:11">
      <c r="A213" s="77">
        <v>22</v>
      </c>
      <c r="B213" s="106" t="s">
        <v>385</v>
      </c>
      <c r="C213" s="70" t="s">
        <v>1144</v>
      </c>
      <c r="D213" s="106"/>
      <c r="E213" s="106"/>
      <c r="F213" s="106"/>
      <c r="G213" s="106"/>
      <c r="H213" s="106"/>
      <c r="I213" s="280">
        <f>'Act Att-H'!I218</f>
        <v>0</v>
      </c>
      <c r="J213" s="106"/>
      <c r="K213" s="106"/>
    </row>
    <row r="214" spans="1:11" ht="9" customHeight="1">
      <c r="A214" s="77"/>
      <c r="B214" s="70"/>
      <c r="C214" s="106"/>
      <c r="D214" s="106"/>
      <c r="E214" s="106"/>
      <c r="F214" s="106"/>
      <c r="G214" s="106"/>
      <c r="H214" s="106"/>
      <c r="I214" s="106"/>
      <c r="J214" s="106"/>
      <c r="K214" s="106"/>
    </row>
    <row r="215" spans="1:11">
      <c r="A215" s="77"/>
      <c r="B215" s="164" t="s">
        <v>387</v>
      </c>
      <c r="C215" s="106"/>
      <c r="D215" s="106"/>
      <c r="E215" s="106"/>
      <c r="F215" s="106"/>
      <c r="G215" s="106"/>
      <c r="H215" s="106"/>
      <c r="I215" s="106"/>
      <c r="J215" s="106"/>
      <c r="K215" s="106"/>
    </row>
    <row r="216" spans="1:11">
      <c r="A216" s="77">
        <v>23</v>
      </c>
      <c r="B216" s="106" t="s">
        <v>388</v>
      </c>
      <c r="C216" s="70" t="s">
        <v>1145</v>
      </c>
      <c r="D216" s="70"/>
      <c r="E216" s="106"/>
      <c r="F216" s="106"/>
      <c r="G216" s="106"/>
      <c r="H216" s="106"/>
      <c r="I216" s="280">
        <f>'Act Att-H'!I221</f>
        <v>437098506</v>
      </c>
      <c r="J216" s="106"/>
      <c r="K216" s="106"/>
    </row>
    <row r="217" spans="1:11">
      <c r="A217" s="77">
        <v>24</v>
      </c>
      <c r="B217" s="106" t="s">
        <v>390</v>
      </c>
      <c r="C217" s="70" t="s">
        <v>1146</v>
      </c>
      <c r="D217" s="106"/>
      <c r="E217" s="106"/>
      <c r="F217" s="106"/>
      <c r="G217" s="106"/>
      <c r="H217" s="106"/>
      <c r="I217" s="280">
        <f>'Act Att-H'!I222</f>
        <v>0</v>
      </c>
      <c r="J217" s="106"/>
      <c r="K217" s="106"/>
    </row>
    <row r="218" spans="1:11">
      <c r="A218" s="77">
        <v>25</v>
      </c>
      <c r="B218" s="70" t="s">
        <v>392</v>
      </c>
      <c r="C218" s="70" t="s">
        <v>1147</v>
      </c>
      <c r="D218" s="106"/>
      <c r="E218" s="106"/>
      <c r="F218" s="106"/>
      <c r="G218" s="106"/>
      <c r="H218" s="106"/>
      <c r="I218" s="280">
        <f>'Act Att-H'!I223</f>
        <v>0</v>
      </c>
      <c r="J218" s="106"/>
      <c r="K218" s="106"/>
    </row>
    <row r="219" spans="1:11">
      <c r="A219" s="77">
        <v>26</v>
      </c>
      <c r="B219" s="70" t="s">
        <v>394</v>
      </c>
      <c r="C219" s="70" t="s">
        <v>1148</v>
      </c>
      <c r="D219" s="106"/>
      <c r="E219" s="106"/>
      <c r="F219" s="106"/>
      <c r="G219" s="106"/>
      <c r="H219" s="106"/>
      <c r="I219" s="280">
        <f>'Act Att-H'!I224</f>
        <v>0</v>
      </c>
      <c r="J219" s="106"/>
      <c r="K219" s="106"/>
    </row>
    <row r="220" spans="1:11">
      <c r="A220" s="77">
        <v>27</v>
      </c>
      <c r="B220" s="180" t="s">
        <v>396</v>
      </c>
      <c r="C220" s="182" t="s">
        <v>1149</v>
      </c>
      <c r="D220" s="114"/>
      <c r="E220" s="70"/>
      <c r="F220" s="70"/>
      <c r="G220" s="70"/>
      <c r="H220" s="70"/>
      <c r="I220" s="179">
        <f>I216-I217-I218-I219</f>
        <v>437098506</v>
      </c>
      <c r="J220" s="106"/>
      <c r="K220" s="106"/>
    </row>
    <row r="221" spans="1:11">
      <c r="A221" s="77"/>
      <c r="B221" s="70"/>
      <c r="C221" s="106"/>
      <c r="D221" s="106"/>
      <c r="E221" s="106"/>
      <c r="F221" s="106"/>
      <c r="G221" s="107"/>
      <c r="H221" s="106"/>
      <c r="I221" s="106"/>
      <c r="J221" s="106"/>
      <c r="K221" s="106"/>
    </row>
    <row r="222" spans="1:11" ht="13.5" thickBot="1">
      <c r="A222" s="77"/>
      <c r="B222" s="70"/>
      <c r="C222" s="106"/>
      <c r="D222" s="110" t="s">
        <v>356</v>
      </c>
      <c r="E222" s="110" t="s">
        <v>399</v>
      </c>
      <c r="F222" s="106"/>
      <c r="G222" s="184" t="s">
        <v>398</v>
      </c>
      <c r="H222" s="106"/>
      <c r="I222" s="110" t="s">
        <v>401</v>
      </c>
      <c r="J222" s="106"/>
      <c r="K222" s="106"/>
    </row>
    <row r="223" spans="1:11">
      <c r="A223" s="77">
        <v>28</v>
      </c>
      <c r="B223" s="70" t="s">
        <v>402</v>
      </c>
      <c r="C223" s="70" t="s">
        <v>1150</v>
      </c>
      <c r="D223" s="280">
        <f>'Act Att-H'!D228</f>
        <v>404466213</v>
      </c>
      <c r="E223" s="165">
        <f>IF($D$226&gt;0,D223/$D$226,0)</f>
        <v>0.48061213103207573</v>
      </c>
      <c r="F223" s="166"/>
      <c r="G223" s="655">
        <f>IF(D223&gt;0,I211/D223,0)</f>
        <v>5.845791129159162E-2</v>
      </c>
      <c r="I223" s="167">
        <f>G223*E223</f>
        <v>2.809558132153589E-2</v>
      </c>
      <c r="J223" s="168" t="s">
        <v>404</v>
      </c>
    </row>
    <row r="224" spans="1:11">
      <c r="A224" s="77">
        <v>29</v>
      </c>
      <c r="B224" s="70" t="s">
        <v>405</v>
      </c>
      <c r="C224" s="70" t="s">
        <v>1151</v>
      </c>
      <c r="D224" s="280">
        <f>'Act Att-H'!D229</f>
        <v>0</v>
      </c>
      <c r="E224" s="165">
        <f>IF($D$226&gt;0,D224/$D$226,0)</f>
        <v>0</v>
      </c>
      <c r="F224" s="166"/>
      <c r="G224" s="655">
        <f>IF(D224&gt;0,I213/D224,0)</f>
        <v>0</v>
      </c>
      <c r="I224" s="167">
        <f>G224*E224</f>
        <v>0</v>
      </c>
      <c r="J224" s="106"/>
    </row>
    <row r="225" spans="1:11" ht="13.5" thickBot="1">
      <c r="A225" s="77">
        <v>30</v>
      </c>
      <c r="B225" s="70" t="s">
        <v>407</v>
      </c>
      <c r="C225" s="70" t="s">
        <v>1152</v>
      </c>
      <c r="D225" s="280">
        <f>'Act Att-H'!D230</f>
        <v>437098506</v>
      </c>
      <c r="E225" s="165">
        <f>IF($D$226&gt;0,D225/$D$226,0)</f>
        <v>0.51938786896792422</v>
      </c>
      <c r="F225" s="166"/>
      <c r="G225" s="655">
        <f>'Act Att-H'!G230</f>
        <v>9.9000000000000005E-2</v>
      </c>
      <c r="I225" s="169">
        <f>G225*E225</f>
        <v>5.1419399027824497E-2</v>
      </c>
      <c r="J225" s="106"/>
    </row>
    <row r="226" spans="1:11">
      <c r="A226" s="77">
        <v>31</v>
      </c>
      <c r="B226" s="180" t="s">
        <v>409</v>
      </c>
      <c r="C226" s="182" t="s">
        <v>410</v>
      </c>
      <c r="D226" s="179">
        <f>D225+D224+D223</f>
        <v>841564719</v>
      </c>
      <c r="E226" s="106" t="s">
        <v>88</v>
      </c>
      <c r="F226" s="106"/>
      <c r="G226" s="106"/>
      <c r="H226" s="106"/>
      <c r="I226" s="167">
        <f>SUM(I223:I225)</f>
        <v>7.9514980349360387E-2</v>
      </c>
      <c r="J226" s="168" t="s">
        <v>411</v>
      </c>
    </row>
    <row r="227" spans="1:11" ht="9" customHeight="1">
      <c r="E227" s="106"/>
      <c r="F227" s="106"/>
      <c r="G227" s="106"/>
      <c r="H227" s="106"/>
    </row>
    <row r="228" spans="1:11">
      <c r="A228" s="70"/>
      <c r="B228" s="70"/>
      <c r="C228" s="70"/>
      <c r="D228" s="106"/>
      <c r="E228" s="106"/>
      <c r="F228" s="132"/>
      <c r="G228" s="106"/>
      <c r="H228" s="106"/>
      <c r="I228" s="106"/>
      <c r="J228" s="106"/>
      <c r="K228" s="106"/>
    </row>
    <row r="229" spans="1:11">
      <c r="A229" s="77">
        <v>32</v>
      </c>
      <c r="B229" s="70" t="s">
        <v>412</v>
      </c>
      <c r="C229" s="70" t="s">
        <v>1153</v>
      </c>
      <c r="D229" s="103"/>
      <c r="E229" s="70"/>
      <c r="F229" s="70"/>
      <c r="G229" s="70"/>
      <c r="H229" s="345"/>
      <c r="I229" s="280">
        <f>'P4-IncentPlant'!F47</f>
        <v>0</v>
      </c>
      <c r="J229" s="345"/>
      <c r="K229" s="345"/>
    </row>
    <row r="230" spans="1:11">
      <c r="B230" s="70"/>
      <c r="C230" s="70"/>
      <c r="D230" s="103"/>
      <c r="E230" s="70"/>
      <c r="F230" s="70"/>
      <c r="G230" s="922"/>
      <c r="H230" s="922"/>
      <c r="I230" s="922"/>
      <c r="J230" s="922"/>
      <c r="K230" s="922"/>
    </row>
    <row r="231" spans="1:11">
      <c r="B231" s="70"/>
      <c r="C231" s="70"/>
      <c r="D231" s="103"/>
      <c r="E231" s="70"/>
      <c r="F231" s="70"/>
      <c r="G231" s="70"/>
      <c r="H231" s="70"/>
      <c r="I231" s="923" t="str">
        <f>I1</f>
        <v>Projected Attachment H</v>
      </c>
      <c r="J231" s="923"/>
      <c r="K231" s="923"/>
    </row>
    <row r="232" spans="1:11">
      <c r="B232" s="70"/>
      <c r="C232" s="70"/>
      <c r="D232" s="103"/>
      <c r="E232" s="70"/>
      <c r="F232" s="70"/>
      <c r="G232" s="70"/>
      <c r="H232" s="70"/>
      <c r="I232" s="70"/>
      <c r="J232" s="922" t="s">
        <v>414</v>
      </c>
      <c r="K232" s="922"/>
    </row>
    <row r="233" spans="1:11">
      <c r="B233" s="70"/>
      <c r="C233" s="70"/>
      <c r="D233" s="103"/>
      <c r="E233" s="70"/>
      <c r="F233" s="70"/>
      <c r="G233" s="70"/>
      <c r="H233" s="70"/>
      <c r="I233" s="70"/>
      <c r="J233" s="70"/>
      <c r="K233" s="104"/>
    </row>
    <row r="234" spans="1:11">
      <c r="B234" s="103" t="s">
        <v>79</v>
      </c>
      <c r="C234" s="77" t="s">
        <v>125</v>
      </c>
      <c r="E234" s="70"/>
      <c r="F234" s="70"/>
      <c r="G234" s="70"/>
      <c r="H234" s="70"/>
      <c r="I234" s="70"/>
      <c r="J234" s="70"/>
      <c r="K234" s="120" t="str">
        <f>K4</f>
        <v xml:space="preserve">Estimated - For the 12 months ended </v>
      </c>
    </row>
    <row r="235" spans="1:11">
      <c r="B235" s="70"/>
      <c r="C235" s="107" t="s">
        <v>126</v>
      </c>
      <c r="E235" s="106"/>
      <c r="F235" s="106"/>
      <c r="G235" s="106"/>
      <c r="H235" s="70"/>
      <c r="I235" s="70"/>
      <c r="J235" s="70"/>
      <c r="K235" s="70"/>
    </row>
    <row r="236" spans="1:11">
      <c r="A236" s="77"/>
      <c r="C236" s="106"/>
      <c r="E236" s="106"/>
      <c r="F236" s="106"/>
      <c r="G236" s="106"/>
      <c r="H236" s="70"/>
      <c r="I236" s="151"/>
      <c r="K236" s="106"/>
    </row>
    <row r="237" spans="1:11">
      <c r="A237" s="77"/>
      <c r="C237" s="170" t="str">
        <f>C7</f>
        <v>Cheyenne Light, Fuel &amp; Power</v>
      </c>
      <c r="E237" s="106"/>
      <c r="F237" s="106"/>
      <c r="G237" s="106"/>
      <c r="H237" s="70"/>
      <c r="I237" s="151"/>
      <c r="K237" s="106"/>
    </row>
    <row r="238" spans="1:11">
      <c r="A238" s="77"/>
      <c r="C238" s="170"/>
      <c r="E238" s="106"/>
      <c r="F238" s="106"/>
      <c r="G238" s="106"/>
      <c r="H238" s="70"/>
      <c r="I238" s="151"/>
      <c r="K238" s="106"/>
    </row>
    <row r="239" spans="1:11" ht="15.75" customHeight="1">
      <c r="A239" s="77"/>
      <c r="B239" s="77" t="s">
        <v>127</v>
      </c>
      <c r="C239" s="77" t="s">
        <v>128</v>
      </c>
      <c r="D239" s="77" t="s">
        <v>129</v>
      </c>
      <c r="E239" s="106" t="s">
        <v>88</v>
      </c>
      <c r="F239" s="106"/>
      <c r="G239" s="122" t="s">
        <v>130</v>
      </c>
      <c r="H239" s="106"/>
      <c r="I239" s="123" t="s">
        <v>131</v>
      </c>
      <c r="K239" s="106"/>
    </row>
    <row r="240" spans="1:11">
      <c r="A240" s="77" t="s">
        <v>83</v>
      </c>
      <c r="B240" s="70"/>
      <c r="C240" s="124"/>
      <c r="D240" s="106"/>
      <c r="E240" s="106"/>
      <c r="F240" s="106"/>
      <c r="G240" s="77"/>
      <c r="H240" s="106"/>
      <c r="I240" s="125" t="s">
        <v>133</v>
      </c>
      <c r="J240" s="106"/>
      <c r="K240" s="106"/>
    </row>
    <row r="241" spans="1:11" ht="13.5" thickBot="1">
      <c r="A241" s="110" t="s">
        <v>85</v>
      </c>
      <c r="B241" s="70"/>
      <c r="C241" s="126" t="s">
        <v>1134</v>
      </c>
      <c r="D241" s="125" t="s">
        <v>135</v>
      </c>
      <c r="E241" s="127"/>
      <c r="F241" s="125" t="s">
        <v>136</v>
      </c>
      <c r="H241" s="127"/>
      <c r="I241" s="77" t="s">
        <v>137</v>
      </c>
      <c r="J241" s="106"/>
      <c r="K241" s="106"/>
    </row>
    <row r="242" spans="1:11">
      <c r="A242" s="77"/>
      <c r="C242" s="77"/>
      <c r="D242" s="106"/>
      <c r="E242" s="106"/>
      <c r="F242" s="106"/>
      <c r="G242" s="106"/>
      <c r="H242" s="70"/>
      <c r="I242" s="151"/>
      <c r="J242" s="106"/>
      <c r="K242" s="106"/>
    </row>
    <row r="243" spans="1:11">
      <c r="A243" s="77"/>
      <c r="B243" s="70" t="s">
        <v>1154</v>
      </c>
      <c r="C243" s="106"/>
      <c r="D243" s="107" t="s">
        <v>356</v>
      </c>
      <c r="E243" s="106"/>
      <c r="F243" s="106"/>
      <c r="G243" s="107"/>
      <c r="H243" s="138" t="s">
        <v>88</v>
      </c>
      <c r="I243" s="131"/>
      <c r="J243" s="106"/>
      <c r="K243" s="106"/>
    </row>
    <row r="244" spans="1:11">
      <c r="A244" s="77">
        <v>1</v>
      </c>
      <c r="B244" s="70" t="s">
        <v>140</v>
      </c>
      <c r="C244" s="106" t="s">
        <v>1155</v>
      </c>
      <c r="D244" s="280">
        <f>'Act Att-H'!D45</f>
        <v>353698882.16923076</v>
      </c>
      <c r="E244" s="106"/>
      <c r="F244" s="106" t="s">
        <v>142</v>
      </c>
      <c r="G244" s="129" t="s">
        <v>88</v>
      </c>
      <c r="H244" s="106"/>
      <c r="I244" s="106" t="s">
        <v>88</v>
      </c>
      <c r="J244" s="106"/>
      <c r="K244" s="77"/>
    </row>
    <row r="245" spans="1:11">
      <c r="A245" s="77">
        <v>2</v>
      </c>
      <c r="B245" s="70" t="s">
        <v>143</v>
      </c>
      <c r="C245" s="106" t="s">
        <v>1156</v>
      </c>
      <c r="D245" s="280">
        <f>D49</f>
        <v>430684311.11999995</v>
      </c>
      <c r="E245" s="106"/>
      <c r="F245" s="106" t="s">
        <v>95</v>
      </c>
      <c r="G245" s="130">
        <f>I175</f>
        <v>0.61863245862384375</v>
      </c>
      <c r="H245" s="106"/>
      <c r="I245" s="62">
        <f>+G245*D245</f>
        <v>266435294.27888203</v>
      </c>
      <c r="J245" s="138"/>
      <c r="K245" s="161"/>
    </row>
    <row r="246" spans="1:11">
      <c r="A246" s="77">
        <v>3</v>
      </c>
      <c r="B246" s="70" t="s">
        <v>145</v>
      </c>
      <c r="C246" s="106" t="s">
        <v>1157</v>
      </c>
      <c r="D246" s="280">
        <f>'Act Att-H'!D47</f>
        <v>305751737.00609326</v>
      </c>
      <c r="E246" s="106"/>
      <c r="F246" s="106" t="s">
        <v>142</v>
      </c>
      <c r="G246" s="129" t="s">
        <v>88</v>
      </c>
      <c r="H246" s="106"/>
      <c r="I246" s="62" t="s">
        <v>88</v>
      </c>
      <c r="J246" s="106"/>
      <c r="K246" s="106"/>
    </row>
    <row r="247" spans="1:11">
      <c r="A247" s="77" t="s">
        <v>147</v>
      </c>
      <c r="B247" s="70" t="s">
        <v>148</v>
      </c>
      <c r="C247" s="106" t="s">
        <v>1158</v>
      </c>
      <c r="D247" s="280">
        <f>'Act Att-H'!D48</f>
        <v>0</v>
      </c>
      <c r="E247" s="106"/>
      <c r="F247" s="106" t="s">
        <v>150</v>
      </c>
      <c r="G247" s="129">
        <f>I183</f>
        <v>0</v>
      </c>
      <c r="H247" s="106"/>
      <c r="I247" s="62">
        <f>+G247*D247</f>
        <v>0</v>
      </c>
      <c r="J247" s="106"/>
      <c r="K247" s="106"/>
    </row>
    <row r="248" spans="1:11">
      <c r="A248" s="77">
        <v>4</v>
      </c>
      <c r="B248" s="70" t="s">
        <v>151</v>
      </c>
      <c r="C248" s="106" t="s">
        <v>1159</v>
      </c>
      <c r="D248" s="280">
        <f>'Act Att-H'!D49</f>
        <v>46273561.432307683</v>
      </c>
      <c r="E248" s="106"/>
      <c r="F248" s="106" t="s">
        <v>153</v>
      </c>
      <c r="G248" s="130">
        <f>I202</f>
        <v>6.6848958689547669E-2</v>
      </c>
      <c r="H248" s="106"/>
      <c r="I248" s="62">
        <f>+G248*D248</f>
        <v>3093339.3966065827</v>
      </c>
      <c r="J248" s="106"/>
      <c r="K248" s="106"/>
    </row>
    <row r="249" spans="1:11">
      <c r="A249" s="77">
        <v>5</v>
      </c>
      <c r="B249" s="70" t="s">
        <v>154</v>
      </c>
      <c r="C249" s="106" t="s">
        <v>1160</v>
      </c>
      <c r="D249" s="280">
        <f>'Act Att-H'!D50</f>
        <v>8006090.3392307693</v>
      </c>
      <c r="E249" s="106"/>
      <c r="F249" s="106" t="s">
        <v>156</v>
      </c>
      <c r="G249" s="130">
        <f>K206</f>
        <v>6.5297211282099338E-2</v>
      </c>
      <c r="H249" s="106"/>
      <c r="I249" s="62">
        <f>+G249*D249</f>
        <v>522775.37242432591</v>
      </c>
      <c r="J249" s="106"/>
      <c r="K249" s="106"/>
    </row>
    <row r="250" spans="1:11">
      <c r="A250" s="77">
        <v>6</v>
      </c>
      <c r="B250" s="180" t="s">
        <v>366</v>
      </c>
      <c r="C250" s="181" t="s">
        <v>1161</v>
      </c>
      <c r="D250" s="179">
        <f>SUM(D244:D249)</f>
        <v>1144414582.0668623</v>
      </c>
      <c r="E250" s="106"/>
      <c r="F250" s="181" t="s">
        <v>159</v>
      </c>
      <c r="G250" s="542">
        <f>IF(I250&gt;0,I250/D250,0)</f>
        <v>0.23597340795866856</v>
      </c>
      <c r="H250" s="106"/>
      <c r="I250" s="183">
        <f>SUM(I244:I249)</f>
        <v>270051409.0479129</v>
      </c>
      <c r="J250" s="106"/>
      <c r="K250" s="106"/>
    </row>
    <row r="251" spans="1:11">
      <c r="A251" s="77"/>
      <c r="B251" s="70"/>
      <c r="C251" s="106"/>
      <c r="D251" s="114"/>
      <c r="E251" s="106"/>
      <c r="F251" s="106"/>
      <c r="G251" s="106"/>
      <c r="H251" s="106"/>
      <c r="I251" s="106"/>
      <c r="J251" s="106"/>
      <c r="K251" s="106"/>
    </row>
    <row r="252" spans="1:11">
      <c r="A252" s="77"/>
      <c r="B252" s="70" t="s">
        <v>1162</v>
      </c>
      <c r="C252" s="106"/>
      <c r="D252" s="107" t="s">
        <v>356</v>
      </c>
      <c r="E252" s="106"/>
      <c r="F252" s="106"/>
      <c r="G252" s="107"/>
      <c r="H252" s="138" t="s">
        <v>88</v>
      </c>
      <c r="I252" s="131"/>
      <c r="J252" s="106"/>
      <c r="K252" s="106"/>
    </row>
    <row r="253" spans="1:11">
      <c r="A253" s="77">
        <v>7</v>
      </c>
      <c r="B253" s="70" t="s">
        <v>140</v>
      </c>
      <c r="C253" s="106" t="s">
        <v>1163</v>
      </c>
      <c r="D253" s="280">
        <f>'Act Att-H'!D63</f>
        <v>258588292.0253846</v>
      </c>
      <c r="E253" s="106"/>
      <c r="F253" s="106" t="s">
        <v>142</v>
      </c>
      <c r="G253" s="129" t="s">
        <v>88</v>
      </c>
      <c r="H253" s="106"/>
      <c r="I253" s="106" t="s">
        <v>88</v>
      </c>
      <c r="J253" s="106"/>
      <c r="K253" s="77"/>
    </row>
    <row r="254" spans="1:11">
      <c r="A254" s="77">
        <v>8</v>
      </c>
      <c r="B254" s="70" t="s">
        <v>143</v>
      </c>
      <c r="C254" s="106" t="s">
        <v>1164</v>
      </c>
      <c r="D254" s="280">
        <f>D61</f>
        <v>401917584.94526738</v>
      </c>
      <c r="E254" s="106"/>
      <c r="F254" s="106" t="s">
        <v>95</v>
      </c>
      <c r="G254" s="130">
        <f>G245</f>
        <v>0.61863245862384375</v>
      </c>
      <c r="H254" s="106"/>
      <c r="I254" s="62">
        <f>+G254*D254</f>
        <v>248639263.73884833</v>
      </c>
      <c r="J254" s="138"/>
      <c r="K254" s="161"/>
    </row>
    <row r="255" spans="1:11">
      <c r="A255" s="77">
        <v>9</v>
      </c>
      <c r="B255" s="70" t="s">
        <v>145</v>
      </c>
      <c r="C255" s="106" t="s">
        <v>1165</v>
      </c>
      <c r="D255" s="280">
        <f>'Act Att-H'!D65</f>
        <v>222792975.9076317</v>
      </c>
      <c r="E255" s="106"/>
      <c r="F255" s="106" t="s">
        <v>142</v>
      </c>
      <c r="G255" s="129" t="s">
        <v>88</v>
      </c>
      <c r="H255" s="106"/>
      <c r="I255" s="62" t="s">
        <v>88</v>
      </c>
      <c r="J255" s="106"/>
      <c r="K255" s="106"/>
    </row>
    <row r="256" spans="1:11">
      <c r="A256" s="77" t="s">
        <v>164</v>
      </c>
      <c r="B256" s="70" t="s">
        <v>148</v>
      </c>
      <c r="C256" s="106" t="s">
        <v>1166</v>
      </c>
      <c r="D256" s="280">
        <f>'Act Att-H'!D66</f>
        <v>0</v>
      </c>
      <c r="E256" s="106"/>
      <c r="F256" s="106" t="s">
        <v>150</v>
      </c>
      <c r="G256" s="129">
        <f>I183</f>
        <v>0</v>
      </c>
      <c r="H256" s="106"/>
      <c r="I256" s="62">
        <f>+G256*D256</f>
        <v>0</v>
      </c>
      <c r="J256" s="106"/>
      <c r="K256" s="106"/>
    </row>
    <row r="257" spans="1:11">
      <c r="A257" s="77">
        <v>10</v>
      </c>
      <c r="B257" s="70" t="s">
        <v>151</v>
      </c>
      <c r="C257" s="106" t="s">
        <v>1167</v>
      </c>
      <c r="D257" s="280">
        <f>'Act Att-H'!D67</f>
        <v>34619652.688416168</v>
      </c>
      <c r="E257" s="106"/>
      <c r="F257" s="106" t="s">
        <v>153</v>
      </c>
      <c r="G257" s="130">
        <f>G248</f>
        <v>6.6848958689547669E-2</v>
      </c>
      <c r="H257" s="106"/>
      <c r="I257" s="62">
        <f>+G257*D257</f>
        <v>2314287.7324144202</v>
      </c>
      <c r="J257" s="106"/>
      <c r="K257" s="106"/>
    </row>
    <row r="258" spans="1:11">
      <c r="A258" s="77">
        <v>11</v>
      </c>
      <c r="B258" s="70" t="s">
        <v>154</v>
      </c>
      <c r="C258" s="106" t="s">
        <v>1168</v>
      </c>
      <c r="D258" s="280">
        <f>'Act Att-H'!D68</f>
        <v>5342643.6423076922</v>
      </c>
      <c r="E258" s="106"/>
      <c r="F258" s="106" t="s">
        <v>156</v>
      </c>
      <c r="G258" s="130">
        <f>G249</f>
        <v>6.5297211282099338E-2</v>
      </c>
      <c r="H258" s="106"/>
      <c r="I258" s="62">
        <f>+G258*D258</f>
        <v>348859.73071673012</v>
      </c>
      <c r="J258" s="106"/>
      <c r="K258" s="106"/>
    </row>
    <row r="259" spans="1:11">
      <c r="A259" s="77">
        <v>12</v>
      </c>
      <c r="B259" s="180" t="s">
        <v>366</v>
      </c>
      <c r="C259" s="181" t="s">
        <v>1169</v>
      </c>
      <c r="D259" s="179">
        <f>SUM(D253:D258)</f>
        <v>923261149.2090075</v>
      </c>
      <c r="E259" s="106"/>
      <c r="F259" s="181" t="s">
        <v>180</v>
      </c>
      <c r="G259" s="542">
        <f>IF(I259&gt;0,I259/D259,0)</f>
        <v>0.2721899555908745</v>
      </c>
      <c r="H259" s="106"/>
      <c r="I259" s="183">
        <f>SUM(I253:I258)</f>
        <v>251302411.20197949</v>
      </c>
      <c r="J259" s="106"/>
      <c r="K259" s="106"/>
    </row>
    <row r="260" spans="1:11">
      <c r="A260" s="77"/>
      <c r="B260" s="70"/>
      <c r="C260" s="106"/>
      <c r="D260" s="114"/>
      <c r="E260" s="106"/>
      <c r="F260" s="106"/>
      <c r="G260" s="106"/>
      <c r="H260" s="106"/>
      <c r="I260" s="106"/>
      <c r="J260" s="70"/>
      <c r="K260" s="106"/>
    </row>
    <row r="261" spans="1:11">
      <c r="A261" s="77"/>
      <c r="B261" s="70"/>
      <c r="C261" s="106"/>
      <c r="D261" s="114"/>
      <c r="E261" s="106"/>
      <c r="F261" s="106"/>
      <c r="G261" s="106"/>
      <c r="H261" s="106"/>
      <c r="I261" s="106"/>
      <c r="J261" s="70"/>
      <c r="K261" s="106"/>
    </row>
    <row r="262" spans="1:11">
      <c r="A262" s="77"/>
      <c r="B262" s="70"/>
      <c r="C262" s="106"/>
      <c r="D262" s="114"/>
      <c r="E262" s="106"/>
      <c r="F262" s="106"/>
      <c r="G262" s="106"/>
      <c r="H262" s="106"/>
      <c r="I262" s="106"/>
      <c r="J262" s="70"/>
      <c r="K262" s="106"/>
    </row>
    <row r="263" spans="1:11">
      <c r="A263" s="77"/>
      <c r="B263" s="70" t="s">
        <v>415</v>
      </c>
      <c r="C263" s="77"/>
      <c r="D263" s="106"/>
      <c r="E263" s="106"/>
      <c r="F263" s="106"/>
      <c r="G263" s="106"/>
      <c r="H263" s="70"/>
      <c r="I263" s="106"/>
      <c r="J263" s="70"/>
      <c r="K263" s="106"/>
    </row>
    <row r="264" spans="1:11" ht="41.25" customHeight="1">
      <c r="A264" s="77"/>
      <c r="B264" s="171" t="s">
        <v>416</v>
      </c>
      <c r="C264" s="77"/>
      <c r="D264" s="106"/>
      <c r="E264" s="106"/>
      <c r="F264" s="106"/>
      <c r="G264" s="106"/>
      <c r="H264" s="70"/>
      <c r="I264" s="106"/>
      <c r="J264" s="441"/>
      <c r="K264" s="441"/>
    </row>
    <row r="265" spans="1:11">
      <c r="A265" s="77" t="s">
        <v>417</v>
      </c>
      <c r="B265" s="70"/>
      <c r="C265" s="70"/>
      <c r="D265" s="106"/>
      <c r="E265" s="106"/>
      <c r="F265" s="106"/>
      <c r="G265" s="106"/>
      <c r="H265" s="70"/>
      <c r="I265" s="106"/>
      <c r="J265" s="70"/>
      <c r="K265" s="70"/>
    </row>
    <row r="266" spans="1:11" ht="13.5" thickBot="1">
      <c r="A266" s="110" t="s">
        <v>418</v>
      </c>
      <c r="B266" s="70"/>
      <c r="C266" s="70"/>
      <c r="D266" s="106"/>
      <c r="E266" s="106"/>
      <c r="F266" s="106"/>
      <c r="G266" s="106"/>
      <c r="H266" s="70"/>
      <c r="I266" s="106"/>
      <c r="J266" s="70"/>
      <c r="K266" s="70"/>
    </row>
    <row r="267" spans="1:11" ht="55.5" customHeight="1">
      <c r="A267" s="78" t="s">
        <v>419</v>
      </c>
      <c r="B267" s="926" t="s">
        <v>1170</v>
      </c>
      <c r="C267" s="926"/>
      <c r="D267" s="926"/>
      <c r="E267" s="926"/>
      <c r="F267" s="926"/>
      <c r="G267" s="926"/>
      <c r="H267" s="926"/>
      <c r="I267" s="926"/>
      <c r="J267" s="70"/>
      <c r="K267" s="70"/>
    </row>
    <row r="268" spans="1:11">
      <c r="A268" s="84" t="s">
        <v>88</v>
      </c>
      <c r="B268" s="70" t="s">
        <v>441</v>
      </c>
      <c r="C268" s="70" t="s">
        <v>442</v>
      </c>
      <c r="D268" s="172"/>
      <c r="E268" s="70" t="s">
        <v>443</v>
      </c>
      <c r="F268" s="70"/>
      <c r="G268" s="70"/>
      <c r="H268" s="70"/>
      <c r="I268" s="70"/>
      <c r="J268" s="91"/>
      <c r="K268" s="91"/>
    </row>
    <row r="269" spans="1:11">
      <c r="A269" s="84"/>
      <c r="B269" s="70"/>
      <c r="C269" s="70" t="s">
        <v>444</v>
      </c>
      <c r="D269" s="172"/>
      <c r="E269" s="70" t="s">
        <v>445</v>
      </c>
      <c r="F269" s="70"/>
      <c r="G269" s="70"/>
      <c r="H269" s="70"/>
      <c r="I269" s="70"/>
      <c r="J269" s="91"/>
      <c r="K269" s="91"/>
    </row>
    <row r="270" spans="1:11">
      <c r="A270" s="84"/>
      <c r="B270" s="70"/>
      <c r="C270" s="70" t="s">
        <v>446</v>
      </c>
      <c r="D270" s="172"/>
      <c r="E270" s="70" t="s">
        <v>447</v>
      </c>
      <c r="F270" s="70"/>
      <c r="G270" s="70"/>
      <c r="H270" s="70"/>
      <c r="I270" s="70"/>
      <c r="J270" s="91"/>
      <c r="K270" s="91"/>
    </row>
    <row r="271" spans="1:11">
      <c r="A271" s="92"/>
      <c r="B271" s="981"/>
      <c r="C271" s="981"/>
      <c r="D271" s="981"/>
      <c r="E271" s="981"/>
      <c r="F271" s="981"/>
      <c r="G271" s="981"/>
      <c r="H271" s="981"/>
      <c r="I271" s="981"/>
      <c r="J271" s="91"/>
      <c r="K271" s="91"/>
    </row>
    <row r="272" spans="1:11">
      <c r="A272" s="80" t="s">
        <v>421</v>
      </c>
      <c r="B272" s="102" t="s">
        <v>477</v>
      </c>
      <c r="J272" s="91"/>
      <c r="K272" s="91"/>
    </row>
    <row r="273" spans="1:11">
      <c r="A273" s="26" t="s">
        <v>423</v>
      </c>
      <c r="B273" s="983" t="s">
        <v>1171</v>
      </c>
      <c r="C273" s="983"/>
      <c r="D273" s="983"/>
      <c r="E273" s="983"/>
      <c r="F273" s="983"/>
      <c r="G273" s="983"/>
      <c r="H273" s="983"/>
      <c r="I273" s="983"/>
      <c r="J273" s="91"/>
      <c r="K273" s="91"/>
    </row>
    <row r="274" spans="1:11">
      <c r="A274" s="89"/>
      <c r="B274" s="982"/>
      <c r="C274" s="982"/>
      <c r="D274" s="982"/>
      <c r="E274" s="982"/>
      <c r="F274" s="982"/>
      <c r="G274" s="982"/>
      <c r="H274" s="982"/>
      <c r="I274" s="982"/>
      <c r="J274" s="88"/>
      <c r="K274" s="88"/>
    </row>
    <row r="275" spans="1:11">
      <c r="A275" s="92"/>
      <c r="B275" s="981"/>
      <c r="C275" s="981"/>
      <c r="D275" s="981"/>
      <c r="E275" s="981"/>
      <c r="F275" s="981"/>
      <c r="G275" s="981"/>
      <c r="H275" s="981"/>
      <c r="I275" s="981"/>
      <c r="J275" s="88"/>
      <c r="K275" s="88"/>
    </row>
    <row r="276" spans="1:11">
      <c r="A276" s="89"/>
      <c r="C276" s="91"/>
      <c r="D276" s="91"/>
      <c r="E276" s="91"/>
      <c r="F276" s="91"/>
      <c r="G276" s="91"/>
      <c r="H276" s="91"/>
      <c r="I276" s="91"/>
      <c r="J276" s="95"/>
      <c r="K276" s="95"/>
    </row>
    <row r="277" spans="1:11">
      <c r="A277" s="94"/>
      <c r="B277" s="93"/>
      <c r="C277" s="88"/>
      <c r="D277" s="88"/>
      <c r="E277" s="88"/>
      <c r="F277" s="88"/>
      <c r="G277" s="88"/>
      <c r="H277" s="88"/>
      <c r="I277" s="88"/>
    </row>
    <row r="278" spans="1:11">
      <c r="A278" s="94"/>
      <c r="B278" s="88"/>
      <c r="C278" s="88"/>
      <c r="D278" s="88"/>
      <c r="E278" s="88"/>
      <c r="F278" s="88"/>
      <c r="G278" s="88"/>
      <c r="H278" s="88"/>
      <c r="I278" s="88"/>
    </row>
    <row r="279" spans="1:11">
      <c r="A279" s="92"/>
      <c r="B279" s="936"/>
      <c r="C279" s="936"/>
      <c r="D279" s="936"/>
      <c r="E279" s="936"/>
      <c r="F279" s="936"/>
      <c r="G279" s="936"/>
      <c r="H279" s="936"/>
      <c r="I279" s="936"/>
      <c r="J279" s="99"/>
      <c r="K279" s="99"/>
    </row>
    <row r="280" spans="1:11" ht="25.5" customHeight="1">
      <c r="A280" s="92"/>
      <c r="J280" s="100"/>
      <c r="K280" s="100"/>
    </row>
    <row r="281" spans="1:11">
      <c r="A281" s="92"/>
      <c r="J281" s="88"/>
      <c r="K281" s="88"/>
    </row>
    <row r="282" spans="1:11">
      <c r="A282" s="89"/>
      <c r="B282" s="96"/>
      <c r="C282" s="96"/>
      <c r="D282" s="96"/>
      <c r="E282" s="96"/>
      <c r="F282" s="96"/>
      <c r="G282" s="96"/>
      <c r="H282" s="97"/>
      <c r="I282" s="98"/>
      <c r="J282" s="88"/>
      <c r="K282" s="88"/>
    </row>
    <row r="283" spans="1:11">
      <c r="A283" s="89"/>
      <c r="J283" s="88"/>
      <c r="K283" s="88"/>
    </row>
    <row r="284" spans="1:11">
      <c r="A284" s="89"/>
      <c r="B284" s="88"/>
      <c r="C284" s="88"/>
      <c r="D284" s="88"/>
      <c r="E284" s="88"/>
      <c r="F284" s="88"/>
      <c r="G284" s="88"/>
      <c r="H284" s="88"/>
      <c r="I284" s="88"/>
      <c r="J284" s="88"/>
      <c r="K284" s="88"/>
    </row>
    <row r="285" spans="1:11">
      <c r="A285" s="89"/>
      <c r="B285" s="88"/>
      <c r="C285" s="88"/>
      <c r="D285" s="88"/>
      <c r="E285" s="88"/>
      <c r="F285" s="88"/>
      <c r="G285" s="88"/>
      <c r="H285" s="88"/>
      <c r="I285" s="88"/>
      <c r="J285" s="88"/>
      <c r="K285" s="88"/>
    </row>
    <row r="286" spans="1:11">
      <c r="A286" s="89"/>
      <c r="C286" s="88"/>
      <c r="D286" s="88"/>
      <c r="E286" s="88"/>
      <c r="F286" s="88"/>
      <c r="G286" s="88"/>
      <c r="H286" s="88"/>
      <c r="I286" s="88"/>
      <c r="J286" s="88"/>
      <c r="K286" s="88"/>
    </row>
    <row r="287" spans="1:11">
      <c r="A287" s="92"/>
      <c r="B287" s="935"/>
      <c r="C287" s="935"/>
      <c r="D287" s="935"/>
      <c r="E287" s="935"/>
      <c r="F287" s="935"/>
      <c r="G287" s="935"/>
      <c r="H287" s="935"/>
      <c r="I287" s="935"/>
    </row>
    <row r="288" spans="1:11">
      <c r="A288" s="89"/>
      <c r="B288" s="101"/>
      <c r="C288" s="88"/>
      <c r="D288" s="88"/>
      <c r="E288" s="88"/>
      <c r="F288" s="88"/>
      <c r="G288" s="88"/>
      <c r="H288" s="88"/>
      <c r="I288" s="88"/>
    </row>
    <row r="289" spans="1:9">
      <c r="A289" s="88"/>
      <c r="B289" s="101"/>
      <c r="C289" s="88"/>
      <c r="D289" s="88"/>
      <c r="E289" s="88"/>
      <c r="F289" s="88"/>
      <c r="G289" s="88"/>
      <c r="H289" s="88"/>
      <c r="I289" s="88"/>
    </row>
  </sheetData>
  <sheetProtection formatCells="0" formatColumns="0"/>
  <mergeCells count="21">
    <mergeCell ref="B279:I279"/>
    <mergeCell ref="B287:I287"/>
    <mergeCell ref="B271:I271"/>
    <mergeCell ref="B274:I274"/>
    <mergeCell ref="G230:K230"/>
    <mergeCell ref="I231:K231"/>
    <mergeCell ref="J232:K232"/>
    <mergeCell ref="B275:I275"/>
    <mergeCell ref="B267:I267"/>
    <mergeCell ref="B273:I273"/>
    <mergeCell ref="N186:S186"/>
    <mergeCell ref="I1:K1"/>
    <mergeCell ref="J2:K2"/>
    <mergeCell ref="I36:K36"/>
    <mergeCell ref="J37:K37"/>
    <mergeCell ref="I92:K92"/>
    <mergeCell ref="J93:K93"/>
    <mergeCell ref="F158:K158"/>
    <mergeCell ref="I159:K159"/>
    <mergeCell ref="J160:K160"/>
    <mergeCell ref="G162:K162"/>
  </mergeCells>
  <printOptions horizontalCentered="1"/>
  <pageMargins left="0.5" right="0.25" top="0.25" bottom="0.25" header="0.5" footer="0.5"/>
  <pageSetup paperSize="17" scale="85" fitToHeight="5" orientation="landscape" r:id="rId1"/>
  <headerFooter alignWithMargins="0"/>
  <rowBreaks count="4" manualBreakCount="4">
    <brk id="35" max="10" man="1"/>
    <brk id="91" max="10" man="1"/>
    <brk id="158" max="10" man="1"/>
    <brk id="230" max="10" man="1"/>
  </rowBreaks>
  <ignoredErrors>
    <ignoredError sqref="D121:D124 D130 D66 D63:D64 I170:I172 I187:I188 D201 D223:D225 I229 D248:D249 D257:D258 D82 D30:D35 I92 I159 I231 I211:I219 D205:D207 D69:D80 D85:D88 I23 I36:K44 D51:D55 D142:D151 G223:G225 D135 D244:D246 D253:D255 D58 D197:D199 D49 D61 D111 D119" unlockedFormula="1"/>
    <ignoredError sqref="I73:I78 G110" formula="1"/>
    <ignoredError sqref="A44:G44 B100:I100 B239:I23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8" tint="0.59999389629810485"/>
    <pageSetUpPr autoPageBreaks="0"/>
  </sheetPr>
  <dimension ref="A1:AL50"/>
  <sheetViews>
    <sheetView workbookViewId="0"/>
  </sheetViews>
  <sheetFormatPr defaultColWidth="8.77734375" defaultRowHeight="12.75"/>
  <cols>
    <col min="1" max="1" width="3.109375" style="564" customWidth="1"/>
    <col min="2" max="2" width="6.5546875" style="272" customWidth="1"/>
    <col min="3" max="3" width="4.77734375" style="272" hidden="1" customWidth="1"/>
    <col min="4" max="4" width="12.21875" style="272" customWidth="1"/>
    <col min="5" max="5" width="11.21875" style="272" bestFit="1" customWidth="1"/>
    <col min="6" max="6" width="11.109375" style="272" bestFit="1" customWidth="1"/>
    <col min="7" max="7" width="16.109375" style="272" customWidth="1"/>
    <col min="8" max="8" width="11.44140625" style="272" bestFit="1" customWidth="1"/>
    <col min="9" max="9" width="13.109375" style="272" bestFit="1" customWidth="1"/>
    <col min="10" max="10" width="10.88671875" style="272" customWidth="1"/>
    <col min="11" max="11" width="11.44140625" style="272" bestFit="1" customWidth="1"/>
    <col min="12" max="12" width="10.21875" style="272" customWidth="1"/>
    <col min="13" max="14" width="10.77734375" style="272" customWidth="1"/>
    <col min="15" max="15" width="11.5546875" style="272" bestFit="1" customWidth="1"/>
    <col min="16" max="16" width="11.109375" style="272" customWidth="1"/>
    <col min="17" max="17" width="12.21875" style="272" customWidth="1"/>
    <col min="18" max="18" width="11.109375" style="272" customWidth="1"/>
    <col min="19" max="20" width="9.5546875" style="272" customWidth="1"/>
    <col min="21" max="21" width="11.109375" style="272" customWidth="1"/>
    <col min="22" max="22" width="11.77734375" style="272" customWidth="1"/>
    <col min="23" max="27" width="11.109375" style="272" customWidth="1"/>
    <col min="28" max="28" width="11.21875" style="272" customWidth="1"/>
    <col min="29" max="29" width="10.21875" style="272" customWidth="1"/>
    <col min="30" max="30" width="8.77734375" style="272"/>
    <col min="31" max="31" width="12.77734375" style="272" customWidth="1"/>
    <col min="32" max="32" width="13" style="272" customWidth="1"/>
    <col min="33" max="33" width="13.44140625" style="272" customWidth="1"/>
    <col min="34" max="34" width="10.5546875" style="272" customWidth="1"/>
    <col min="35" max="35" width="8.77734375" style="272"/>
    <col min="36" max="36" width="9.5546875" style="272" customWidth="1"/>
    <col min="37" max="37" width="13.44140625" style="272" customWidth="1"/>
    <col min="38" max="38" width="10.77734375" style="272" customWidth="1"/>
    <col min="39" max="39" width="10.21875" style="272" customWidth="1"/>
    <col min="40" max="40" width="11.109375" style="272" customWidth="1"/>
    <col min="41" max="16384" width="8.77734375" style="272"/>
  </cols>
  <sheetData>
    <row r="1" spans="1:38" ht="13.35" customHeight="1">
      <c r="A1" s="562"/>
      <c r="B1" s="533" t="s">
        <v>62</v>
      </c>
      <c r="C1" s="533"/>
      <c r="D1" s="533"/>
      <c r="E1" s="533"/>
      <c r="F1" s="533"/>
      <c r="G1" s="533"/>
      <c r="H1" s="533"/>
      <c r="I1" s="533"/>
      <c r="J1" s="533"/>
      <c r="K1" s="364"/>
      <c r="L1" s="364"/>
      <c r="M1" s="476"/>
      <c r="N1" s="476"/>
      <c r="Q1" s="476"/>
      <c r="AA1" s="990"/>
      <c r="AB1" s="990"/>
      <c r="AK1" s="990" t="s">
        <v>1172</v>
      </c>
      <c r="AL1" s="990"/>
    </row>
    <row r="2" spans="1:38" ht="13.35" customHeight="1">
      <c r="A2" s="562"/>
      <c r="B2" s="533" t="s">
        <v>1173</v>
      </c>
      <c r="C2" s="533"/>
      <c r="D2" s="533"/>
      <c r="E2" s="533"/>
      <c r="F2" s="533"/>
      <c r="G2" s="533"/>
      <c r="H2" s="533"/>
      <c r="I2" s="533"/>
      <c r="J2" s="533"/>
      <c r="K2" s="364"/>
      <c r="L2" s="364"/>
      <c r="M2" s="477"/>
      <c r="N2" s="477"/>
      <c r="Q2" s="477"/>
      <c r="AB2" s="477"/>
      <c r="AL2" s="477"/>
    </row>
    <row r="3" spans="1:38" ht="13.35" customHeight="1">
      <c r="A3" s="563"/>
      <c r="B3" s="533" t="str">
        <f>'Act Att-H'!C7</f>
        <v>Cheyenne Light, Fuel &amp; Power</v>
      </c>
      <c r="C3" s="533"/>
      <c r="D3" s="533"/>
      <c r="E3" s="533"/>
      <c r="F3" s="533"/>
      <c r="G3" s="533"/>
      <c r="H3" s="533"/>
      <c r="I3" s="533"/>
      <c r="J3" s="533"/>
      <c r="K3" s="364"/>
      <c r="L3" s="364"/>
    </row>
    <row r="4" spans="1:38" ht="13.35" customHeight="1">
      <c r="I4" s="273"/>
      <c r="J4" s="273" t="s">
        <v>1174</v>
      </c>
      <c r="K4" s="273"/>
      <c r="L4" s="273"/>
      <c r="P4" s="273"/>
      <c r="Q4" s="273" t="s">
        <v>1175</v>
      </c>
      <c r="V4" s="273" t="s">
        <v>1176</v>
      </c>
      <c r="AA4" s="273" t="s">
        <v>1177</v>
      </c>
      <c r="AL4" s="272" t="s">
        <v>1176</v>
      </c>
    </row>
    <row r="5" spans="1:38">
      <c r="G5" s="54"/>
      <c r="H5" s="54"/>
      <c r="I5" s="54"/>
      <c r="J5" s="54"/>
      <c r="K5" s="54"/>
      <c r="L5" s="54"/>
      <c r="AA5" s="273"/>
    </row>
    <row r="6" spans="1:38">
      <c r="B6" s="984"/>
      <c r="C6" s="984"/>
      <c r="D6" s="984"/>
      <c r="E6" s="984"/>
      <c r="F6" s="985"/>
      <c r="G6" s="478"/>
      <c r="H6" s="479"/>
      <c r="I6" s="479"/>
      <c r="J6" s="480"/>
      <c r="K6" s="276"/>
      <c r="L6" s="276"/>
      <c r="M6" s="276"/>
      <c r="N6" s="276"/>
      <c r="Q6" s="276"/>
      <c r="X6" s="277"/>
    </row>
    <row r="7" spans="1:38">
      <c r="B7" s="986" t="s">
        <v>1178</v>
      </c>
      <c r="C7" s="986"/>
      <c r="D7" s="986"/>
      <c r="E7" s="986"/>
      <c r="F7" s="986"/>
      <c r="G7" s="987" t="s">
        <v>1179</v>
      </c>
      <c r="H7" s="988"/>
      <c r="I7" s="988"/>
      <c r="J7" s="989"/>
      <c r="K7" s="554"/>
      <c r="L7" s="554"/>
      <c r="M7" s="346"/>
      <c r="N7" s="346"/>
      <c r="Q7" s="346"/>
    </row>
    <row r="8" spans="1:38">
      <c r="G8" s="481"/>
      <c r="H8" s="409"/>
      <c r="I8" s="409"/>
      <c r="J8" s="569"/>
      <c r="K8" s="575"/>
      <c r="L8" s="576"/>
      <c r="M8" s="479"/>
      <c r="N8" s="479"/>
      <c r="O8" s="479"/>
      <c r="P8" s="398"/>
      <c r="Q8" s="583"/>
      <c r="R8" s="478"/>
      <c r="S8" s="995" t="s">
        <v>1180</v>
      </c>
      <c r="T8" s="995"/>
      <c r="U8" s="995"/>
      <c r="V8" s="996"/>
      <c r="W8" s="994" t="s">
        <v>1181</v>
      </c>
      <c r="X8" s="995"/>
      <c r="Y8" s="995"/>
      <c r="Z8" s="995"/>
      <c r="AA8" s="996"/>
    </row>
    <row r="9" spans="1:38">
      <c r="G9" s="347"/>
      <c r="H9" s="409"/>
      <c r="I9" s="409" t="s">
        <v>1182</v>
      </c>
      <c r="J9" s="482" t="s">
        <v>1182</v>
      </c>
      <c r="K9" s="483"/>
      <c r="L9" s="991" t="s">
        <v>1183</v>
      </c>
      <c r="M9" s="991"/>
      <c r="N9" s="297"/>
      <c r="O9" s="297"/>
      <c r="P9" s="992" t="s">
        <v>1184</v>
      </c>
      <c r="Q9" s="993"/>
      <c r="R9" s="349"/>
      <c r="S9" s="275"/>
      <c r="T9" s="275"/>
      <c r="U9" s="275"/>
      <c r="V9" s="282"/>
      <c r="W9" s="349"/>
      <c r="X9" s="275"/>
      <c r="Y9" s="275"/>
      <c r="Z9" s="275"/>
      <c r="AA9" s="282"/>
    </row>
    <row r="10" spans="1:38">
      <c r="B10" s="388" t="s">
        <v>744</v>
      </c>
      <c r="G10" s="483" t="s">
        <v>1185</v>
      </c>
      <c r="H10" s="297"/>
      <c r="I10" s="297" t="s">
        <v>909</v>
      </c>
      <c r="J10" s="484" t="s">
        <v>1186</v>
      </c>
      <c r="K10" s="483" t="s">
        <v>1187</v>
      </c>
      <c r="L10" s="991" t="s">
        <v>1188</v>
      </c>
      <c r="M10" s="991"/>
      <c r="N10" s="991" t="s">
        <v>1189</v>
      </c>
      <c r="O10" s="991"/>
      <c r="P10" s="992" t="s">
        <v>1190</v>
      </c>
      <c r="Q10" s="993"/>
      <c r="R10" s="483" t="s">
        <v>1191</v>
      </c>
      <c r="S10" s="297" t="s">
        <v>1192</v>
      </c>
      <c r="T10" s="297" t="s">
        <v>1193</v>
      </c>
      <c r="U10" s="297"/>
      <c r="V10" s="484"/>
      <c r="W10" s="483" t="s">
        <v>1191</v>
      </c>
      <c r="X10" s="297" t="s">
        <v>1192</v>
      </c>
      <c r="Y10" s="297" t="s">
        <v>1193</v>
      </c>
      <c r="Z10" s="297"/>
      <c r="AA10" s="484"/>
    </row>
    <row r="11" spans="1:38" ht="16.5" customHeight="1" thickBot="1">
      <c r="A11" s="566" t="s">
        <v>1194</v>
      </c>
      <c r="B11" s="485" t="s">
        <v>1195</v>
      </c>
      <c r="C11" s="485"/>
      <c r="D11" s="485" t="s">
        <v>1196</v>
      </c>
      <c r="E11" s="485" t="s">
        <v>909</v>
      </c>
      <c r="F11" s="485" t="s">
        <v>1197</v>
      </c>
      <c r="G11" s="486" t="s">
        <v>1198</v>
      </c>
      <c r="H11" s="487" t="s">
        <v>1199</v>
      </c>
      <c r="I11" s="487" t="s">
        <v>1200</v>
      </c>
      <c r="J11" s="488" t="s">
        <v>909</v>
      </c>
      <c r="K11" s="556" t="s">
        <v>1201</v>
      </c>
      <c r="L11" s="557" t="s">
        <v>1180</v>
      </c>
      <c r="M11" s="557" t="s">
        <v>1181</v>
      </c>
      <c r="N11" s="557" t="s">
        <v>1180</v>
      </c>
      <c r="O11" s="557" t="s">
        <v>1181</v>
      </c>
      <c r="P11" s="557" t="s">
        <v>1180</v>
      </c>
      <c r="Q11" s="665" t="s">
        <v>1181</v>
      </c>
      <c r="R11" s="560" t="s">
        <v>896</v>
      </c>
      <c r="S11" s="558" t="s">
        <v>909</v>
      </c>
      <c r="T11" s="558" t="s">
        <v>1202</v>
      </c>
      <c r="U11" s="558" t="s">
        <v>1203</v>
      </c>
      <c r="V11" s="561" t="s">
        <v>1204</v>
      </c>
      <c r="W11" s="560" t="s">
        <v>896</v>
      </c>
      <c r="X11" s="558" t="s">
        <v>909</v>
      </c>
      <c r="Y11" s="558" t="s">
        <v>1202</v>
      </c>
      <c r="Z11" s="558" t="s">
        <v>1203</v>
      </c>
      <c r="AA11" s="561" t="s">
        <v>1204</v>
      </c>
    </row>
    <row r="12" spans="1:38">
      <c r="A12" s="565">
        <v>1</v>
      </c>
      <c r="G12" s="349"/>
      <c r="H12" s="489"/>
      <c r="I12" s="490">
        <f>IF('Act Att-H'!D46=0,0,ROUND('Act Att-H'!D123/'Act Att-H'!D46,6)/12)</f>
        <v>1.6867499999999999E-3</v>
      </c>
      <c r="J12" s="491"/>
      <c r="K12" s="349"/>
      <c r="L12" s="275"/>
      <c r="M12" s="275"/>
      <c r="N12" s="275"/>
      <c r="O12" s="275"/>
      <c r="P12" s="278"/>
      <c r="Q12" s="666"/>
      <c r="R12" s="349"/>
      <c r="S12" s="275"/>
      <c r="T12" s="275"/>
      <c r="U12" s="275"/>
      <c r="V12" s="282"/>
      <c r="W12" s="349"/>
      <c r="X12" s="275"/>
      <c r="Y12" s="275"/>
      <c r="Z12" s="275"/>
      <c r="AA12" s="282"/>
    </row>
    <row r="13" spans="1:38">
      <c r="A13" s="565">
        <v>2</v>
      </c>
      <c r="G13" s="349"/>
      <c r="H13" s="275"/>
      <c r="I13" s="492"/>
      <c r="J13" s="282"/>
      <c r="K13" s="349"/>
      <c r="L13" s="275"/>
      <c r="M13" s="275"/>
      <c r="N13" s="275" t="s">
        <v>1205</v>
      </c>
      <c r="O13" s="275"/>
      <c r="P13" s="278"/>
      <c r="Q13" s="666"/>
      <c r="R13" s="349"/>
      <c r="S13" s="275"/>
      <c r="T13" s="275"/>
      <c r="U13" s="275"/>
      <c r="V13" s="282"/>
      <c r="W13" s="349"/>
      <c r="X13" s="275"/>
      <c r="Y13" s="275"/>
      <c r="Z13" s="275"/>
      <c r="AA13" s="282"/>
    </row>
    <row r="14" spans="1:38" ht="25.5" customHeight="1">
      <c r="A14" s="565">
        <v>3</v>
      </c>
      <c r="B14" s="291"/>
      <c r="C14" s="291"/>
      <c r="D14" s="493"/>
      <c r="E14" s="494"/>
      <c r="F14" s="281"/>
      <c r="G14" s="571"/>
      <c r="H14" s="348">
        <f>'A4-Rate Base'!D22</f>
        <v>430684311.11999995</v>
      </c>
      <c r="I14" s="494"/>
      <c r="J14" s="868">
        <f>'A4-Rate Base'!F45</f>
        <v>15690504.46266271</v>
      </c>
      <c r="K14" s="349"/>
      <c r="L14" s="275"/>
      <c r="M14" s="281"/>
      <c r="N14" s="281"/>
      <c r="O14" s="275"/>
      <c r="P14" s="585"/>
      <c r="Q14" s="667"/>
      <c r="R14" s="349"/>
      <c r="S14" s="275"/>
      <c r="T14" s="275"/>
      <c r="U14" s="275"/>
      <c r="V14" s="282"/>
      <c r="W14" s="349"/>
      <c r="X14" s="275"/>
      <c r="Y14" s="275"/>
      <c r="Z14" s="275"/>
      <c r="AA14" s="282"/>
    </row>
    <row r="15" spans="1:38">
      <c r="G15" s="349"/>
      <c r="H15" s="275"/>
      <c r="I15" s="275"/>
      <c r="J15" s="282"/>
      <c r="K15" s="349"/>
      <c r="L15" s="275"/>
      <c r="M15" s="275"/>
      <c r="N15" s="275"/>
      <c r="O15" s="275"/>
      <c r="P15" s="278"/>
      <c r="Q15" s="666"/>
      <c r="R15" s="349"/>
      <c r="S15" s="275"/>
      <c r="T15" s="275"/>
      <c r="U15" s="275"/>
      <c r="V15" s="282"/>
      <c r="W15" s="349"/>
      <c r="X15" s="275"/>
      <c r="Y15" s="275"/>
      <c r="Z15" s="275"/>
      <c r="AA15" s="282"/>
    </row>
    <row r="16" spans="1:38" s="570" customFormat="1">
      <c r="A16" s="703"/>
      <c r="B16" s="704" t="s">
        <v>1206</v>
      </c>
      <c r="C16" s="704"/>
      <c r="D16" s="704" t="s">
        <v>1207</v>
      </c>
      <c r="E16" s="704" t="s">
        <v>1208</v>
      </c>
      <c r="F16" s="704" t="s">
        <v>1209</v>
      </c>
      <c r="G16" s="705" t="s">
        <v>1210</v>
      </c>
      <c r="H16" s="704" t="s">
        <v>1211</v>
      </c>
      <c r="I16" s="704" t="s">
        <v>1212</v>
      </c>
      <c r="J16" s="706" t="s">
        <v>1213</v>
      </c>
      <c r="K16" s="705" t="s">
        <v>1214</v>
      </c>
      <c r="L16" s="704" t="s">
        <v>1215</v>
      </c>
      <c r="M16" s="707" t="s">
        <v>1216</v>
      </c>
      <c r="N16" s="704" t="s">
        <v>1217</v>
      </c>
      <c r="O16" s="704" t="s">
        <v>1218</v>
      </c>
      <c r="P16" s="704" t="s">
        <v>1219</v>
      </c>
      <c r="Q16" s="708" t="s">
        <v>1220</v>
      </c>
      <c r="R16" s="705" t="s">
        <v>1221</v>
      </c>
      <c r="S16" s="704" t="s">
        <v>1222</v>
      </c>
      <c r="T16" s="704" t="s">
        <v>1223</v>
      </c>
      <c r="U16" s="704" t="s">
        <v>1224</v>
      </c>
      <c r="V16" s="706" t="s">
        <v>1225</v>
      </c>
      <c r="W16" s="705" t="s">
        <v>1226</v>
      </c>
      <c r="X16" s="704" t="s">
        <v>1227</v>
      </c>
      <c r="Y16" s="704" t="s">
        <v>1228</v>
      </c>
      <c r="Z16" s="704" t="s">
        <v>1229</v>
      </c>
      <c r="AA16" s="706" t="s">
        <v>1230</v>
      </c>
    </row>
    <row r="17" spans="1:27">
      <c r="G17" s="350"/>
      <c r="H17" s="283"/>
      <c r="I17" s="275"/>
      <c r="J17" s="282"/>
      <c r="K17" s="349"/>
      <c r="L17" s="275"/>
      <c r="M17" s="275"/>
      <c r="N17" s="275"/>
      <c r="O17" s="275"/>
      <c r="P17" s="278"/>
      <c r="Q17" s="666"/>
      <c r="R17" s="349"/>
      <c r="S17" s="275"/>
      <c r="T17" s="275"/>
      <c r="U17" s="275"/>
      <c r="V17" s="282"/>
      <c r="W17" s="349"/>
      <c r="X17" s="275"/>
      <c r="Y17" s="275"/>
      <c r="Z17" s="275"/>
      <c r="AA17" s="282"/>
    </row>
    <row r="18" spans="1:27">
      <c r="A18" s="565">
        <f>+A14+1</f>
        <v>4</v>
      </c>
      <c r="B18" s="284"/>
      <c r="C18" s="495"/>
      <c r="D18" s="406">
        <f>H18</f>
        <v>430684311.11999995</v>
      </c>
      <c r="E18" s="406">
        <f>I18</f>
        <v>726456.76178165991</v>
      </c>
      <c r="F18" s="406">
        <f>J18</f>
        <v>16416961.224444371</v>
      </c>
      <c r="G18" s="496"/>
      <c r="H18" s="497">
        <f>H$14+G18</f>
        <v>430684311.11999995</v>
      </c>
      <c r="I18" s="498">
        <f>I$12*H14</f>
        <v>726456.76178165991</v>
      </c>
      <c r="J18" s="499">
        <f>J14+I18</f>
        <v>16416961.224444371</v>
      </c>
      <c r="K18" s="668">
        <f>G18</f>
        <v>0</v>
      </c>
      <c r="L18" s="555"/>
      <c r="M18" s="555"/>
      <c r="N18" s="899">
        <f t="shared" ref="N18:N29" si="0">K18*L18</f>
        <v>0</v>
      </c>
      <c r="O18" s="899">
        <f t="shared" ref="O18:O29" si="1">K18*M18</f>
        <v>0</v>
      </c>
      <c r="P18" s="901">
        <f t="shared" ref="P18:P29" si="2">(P$14)/12</f>
        <v>0</v>
      </c>
      <c r="Q18" s="669"/>
      <c r="R18" s="678">
        <f>N$42/12+P18</f>
        <v>0</v>
      </c>
      <c r="S18" s="679">
        <f>E18</f>
        <v>726456.76178165991</v>
      </c>
      <c r="T18" s="679">
        <f>S18-R18</f>
        <v>726456.76178165991</v>
      </c>
      <c r="U18" s="680">
        <f>+'Proj Att-H'!$D$138</f>
        <v>0</v>
      </c>
      <c r="V18" s="681">
        <f>T18*U18</f>
        <v>0</v>
      </c>
      <c r="W18" s="682"/>
      <c r="X18" s="670"/>
      <c r="Y18" s="670"/>
      <c r="Z18" s="670"/>
      <c r="AA18" s="669"/>
    </row>
    <row r="19" spans="1:27">
      <c r="A19" s="565">
        <f t="shared" ref="A19:A41" si="3">+A18+1</f>
        <v>5</v>
      </c>
      <c r="B19" s="284"/>
      <c r="C19" s="495"/>
      <c r="D19" s="406">
        <f t="shared" ref="D19:D41" si="4">H19</f>
        <v>430684311.11999995</v>
      </c>
      <c r="E19" s="406">
        <f t="shared" ref="E19:E41" si="5">I19</f>
        <v>726456.76178165991</v>
      </c>
      <c r="F19" s="406">
        <f t="shared" ref="F19:F41" si="6">J19</f>
        <v>17143417.98622603</v>
      </c>
      <c r="G19" s="496"/>
      <c r="H19" s="497">
        <f t="shared" ref="H19:H41" si="7">H$14+G19</f>
        <v>430684311.11999995</v>
      </c>
      <c r="I19" s="498">
        <f>I$12*H18</f>
        <v>726456.76178165991</v>
      </c>
      <c r="J19" s="499">
        <f t="shared" ref="J19:J41" si="8">J18+I19</f>
        <v>17143417.98622603</v>
      </c>
      <c r="K19" s="668">
        <f>G19-G18</f>
        <v>0</v>
      </c>
      <c r="L19" s="555"/>
      <c r="M19" s="555"/>
      <c r="N19" s="899">
        <f t="shared" si="0"/>
        <v>0</v>
      </c>
      <c r="O19" s="899">
        <f t="shared" si="1"/>
        <v>0</v>
      </c>
      <c r="P19" s="901">
        <f t="shared" si="2"/>
        <v>0</v>
      </c>
      <c r="Q19" s="669"/>
      <c r="R19" s="678">
        <f t="shared" ref="R19:R29" si="9">N$42/12+P19</f>
        <v>0</v>
      </c>
      <c r="S19" s="679">
        <f t="shared" ref="S19:S29" si="10">E19</f>
        <v>726456.76178165991</v>
      </c>
      <c r="T19" s="679">
        <f t="shared" ref="T19:T29" si="11">S19-R19</f>
        <v>726456.76178165991</v>
      </c>
      <c r="U19" s="680">
        <f>+'Proj Att-H'!$D$138</f>
        <v>0</v>
      </c>
      <c r="V19" s="681">
        <f t="shared" ref="V19:V29" si="12">T19*U19</f>
        <v>0</v>
      </c>
      <c r="W19" s="682"/>
      <c r="X19" s="670"/>
      <c r="Y19" s="670"/>
      <c r="Z19" s="670"/>
      <c r="AA19" s="669"/>
    </row>
    <row r="20" spans="1:27">
      <c r="A20" s="565">
        <f t="shared" si="3"/>
        <v>6</v>
      </c>
      <c r="B20" s="284"/>
      <c r="C20" s="495"/>
      <c r="D20" s="406">
        <f t="shared" si="4"/>
        <v>430684311.11999995</v>
      </c>
      <c r="E20" s="406">
        <f t="shared" si="5"/>
        <v>726456.76178165991</v>
      </c>
      <c r="F20" s="406">
        <f t="shared" si="6"/>
        <v>17869874.748007689</v>
      </c>
      <c r="G20" s="496"/>
      <c r="H20" s="497">
        <f t="shared" si="7"/>
        <v>430684311.11999995</v>
      </c>
      <c r="I20" s="498">
        <f t="shared" ref="I20:I41" si="13">I$12*H19</f>
        <v>726456.76178165991</v>
      </c>
      <c r="J20" s="499">
        <f t="shared" si="8"/>
        <v>17869874.748007689</v>
      </c>
      <c r="K20" s="668">
        <f t="shared" ref="K20:K41" si="14">G20-G19</f>
        <v>0</v>
      </c>
      <c r="L20" s="555"/>
      <c r="M20" s="555"/>
      <c r="N20" s="899">
        <f t="shared" si="0"/>
        <v>0</v>
      </c>
      <c r="O20" s="899">
        <f t="shared" si="1"/>
        <v>0</v>
      </c>
      <c r="P20" s="901">
        <f t="shared" si="2"/>
        <v>0</v>
      </c>
      <c r="Q20" s="669"/>
      <c r="R20" s="678">
        <f t="shared" si="9"/>
        <v>0</v>
      </c>
      <c r="S20" s="679">
        <f t="shared" si="10"/>
        <v>726456.76178165991</v>
      </c>
      <c r="T20" s="679">
        <f t="shared" si="11"/>
        <v>726456.76178165991</v>
      </c>
      <c r="U20" s="680">
        <f>+'Proj Att-H'!$D$138</f>
        <v>0</v>
      </c>
      <c r="V20" s="681">
        <f t="shared" si="12"/>
        <v>0</v>
      </c>
      <c r="W20" s="682"/>
      <c r="X20" s="670"/>
      <c r="Y20" s="670"/>
      <c r="Z20" s="670"/>
      <c r="AA20" s="669"/>
    </row>
    <row r="21" spans="1:27">
      <c r="A21" s="565">
        <f t="shared" si="3"/>
        <v>7</v>
      </c>
      <c r="B21" s="284"/>
      <c r="C21" s="495"/>
      <c r="D21" s="406">
        <f t="shared" si="4"/>
        <v>430684311.11999995</v>
      </c>
      <c r="E21" s="406">
        <f t="shared" si="5"/>
        <v>726456.76178165991</v>
      </c>
      <c r="F21" s="406">
        <f t="shared" si="6"/>
        <v>18596331.509789348</v>
      </c>
      <c r="G21" s="496"/>
      <c r="H21" s="497">
        <f t="shared" si="7"/>
        <v>430684311.11999995</v>
      </c>
      <c r="I21" s="498">
        <f t="shared" si="13"/>
        <v>726456.76178165991</v>
      </c>
      <c r="J21" s="499">
        <f t="shared" si="8"/>
        <v>18596331.509789348</v>
      </c>
      <c r="K21" s="668">
        <f t="shared" si="14"/>
        <v>0</v>
      </c>
      <c r="L21" s="555"/>
      <c r="M21" s="555"/>
      <c r="N21" s="899">
        <f t="shared" si="0"/>
        <v>0</v>
      </c>
      <c r="O21" s="899">
        <f t="shared" si="1"/>
        <v>0</v>
      </c>
      <c r="P21" s="901">
        <f t="shared" si="2"/>
        <v>0</v>
      </c>
      <c r="Q21" s="669"/>
      <c r="R21" s="678">
        <f t="shared" si="9"/>
        <v>0</v>
      </c>
      <c r="S21" s="679">
        <f t="shared" si="10"/>
        <v>726456.76178165991</v>
      </c>
      <c r="T21" s="679">
        <f t="shared" si="11"/>
        <v>726456.76178165991</v>
      </c>
      <c r="U21" s="680">
        <f>+'Proj Att-H'!$D$138</f>
        <v>0</v>
      </c>
      <c r="V21" s="681">
        <f t="shared" si="12"/>
        <v>0</v>
      </c>
      <c r="W21" s="682"/>
      <c r="X21" s="670"/>
      <c r="Y21" s="670"/>
      <c r="Z21" s="670"/>
      <c r="AA21" s="669"/>
    </row>
    <row r="22" spans="1:27">
      <c r="A22" s="565">
        <f t="shared" si="3"/>
        <v>8</v>
      </c>
      <c r="B22" s="284"/>
      <c r="C22" s="495"/>
      <c r="D22" s="406">
        <f t="shared" si="4"/>
        <v>430684311.11999995</v>
      </c>
      <c r="E22" s="406">
        <f t="shared" si="5"/>
        <v>726456.76178165991</v>
      </c>
      <c r="F22" s="406">
        <f t="shared" si="6"/>
        <v>19322788.271571007</v>
      </c>
      <c r="G22" s="496"/>
      <c r="H22" s="497">
        <f t="shared" si="7"/>
        <v>430684311.11999995</v>
      </c>
      <c r="I22" s="498">
        <f t="shared" si="13"/>
        <v>726456.76178165991</v>
      </c>
      <c r="J22" s="499">
        <f t="shared" si="8"/>
        <v>19322788.271571007</v>
      </c>
      <c r="K22" s="668">
        <f t="shared" si="14"/>
        <v>0</v>
      </c>
      <c r="L22" s="555"/>
      <c r="M22" s="555"/>
      <c r="N22" s="899">
        <f t="shared" si="0"/>
        <v>0</v>
      </c>
      <c r="O22" s="899">
        <f t="shared" si="1"/>
        <v>0</v>
      </c>
      <c r="P22" s="901">
        <f t="shared" si="2"/>
        <v>0</v>
      </c>
      <c r="Q22" s="669"/>
      <c r="R22" s="678">
        <f t="shared" si="9"/>
        <v>0</v>
      </c>
      <c r="S22" s="679">
        <f t="shared" si="10"/>
        <v>726456.76178165991</v>
      </c>
      <c r="T22" s="679">
        <f t="shared" si="11"/>
        <v>726456.76178165991</v>
      </c>
      <c r="U22" s="680">
        <f>+'Proj Att-H'!$D$138</f>
        <v>0</v>
      </c>
      <c r="V22" s="681">
        <f t="shared" si="12"/>
        <v>0</v>
      </c>
      <c r="W22" s="682"/>
      <c r="X22" s="670"/>
      <c r="Y22" s="670"/>
      <c r="Z22" s="670"/>
      <c r="AA22" s="669"/>
    </row>
    <row r="23" spans="1:27">
      <c r="A23" s="565">
        <f t="shared" si="3"/>
        <v>9</v>
      </c>
      <c r="B23" s="284"/>
      <c r="C23" s="495"/>
      <c r="D23" s="406">
        <f t="shared" si="4"/>
        <v>430684311.11999995</v>
      </c>
      <c r="E23" s="406">
        <f t="shared" si="5"/>
        <v>726456.76178165991</v>
      </c>
      <c r="F23" s="406">
        <f t="shared" si="6"/>
        <v>20049245.033352666</v>
      </c>
      <c r="G23" s="496"/>
      <c r="H23" s="497">
        <f t="shared" si="7"/>
        <v>430684311.11999995</v>
      </c>
      <c r="I23" s="498">
        <f t="shared" si="13"/>
        <v>726456.76178165991</v>
      </c>
      <c r="J23" s="499">
        <f t="shared" si="8"/>
        <v>20049245.033352666</v>
      </c>
      <c r="K23" s="668">
        <f t="shared" si="14"/>
        <v>0</v>
      </c>
      <c r="L23" s="555"/>
      <c r="M23" s="555"/>
      <c r="N23" s="899">
        <f t="shared" si="0"/>
        <v>0</v>
      </c>
      <c r="O23" s="899">
        <f t="shared" si="1"/>
        <v>0</v>
      </c>
      <c r="P23" s="901">
        <f t="shared" si="2"/>
        <v>0</v>
      </c>
      <c r="Q23" s="669"/>
      <c r="R23" s="678">
        <f t="shared" si="9"/>
        <v>0</v>
      </c>
      <c r="S23" s="679">
        <f t="shared" si="10"/>
        <v>726456.76178165991</v>
      </c>
      <c r="T23" s="679">
        <f t="shared" si="11"/>
        <v>726456.76178165991</v>
      </c>
      <c r="U23" s="680">
        <f>+'Proj Att-H'!$D$138</f>
        <v>0</v>
      </c>
      <c r="V23" s="681">
        <f t="shared" si="12"/>
        <v>0</v>
      </c>
      <c r="W23" s="682"/>
      <c r="X23" s="670"/>
      <c r="Y23" s="670"/>
      <c r="Z23" s="670"/>
      <c r="AA23" s="669"/>
    </row>
    <row r="24" spans="1:27">
      <c r="A24" s="565">
        <f t="shared" si="3"/>
        <v>10</v>
      </c>
      <c r="B24" s="284"/>
      <c r="C24" s="495"/>
      <c r="D24" s="406">
        <f t="shared" si="4"/>
        <v>430684311.11999995</v>
      </c>
      <c r="E24" s="406">
        <f t="shared" si="5"/>
        <v>726456.76178165991</v>
      </c>
      <c r="F24" s="406">
        <f t="shared" si="6"/>
        <v>20775701.795134325</v>
      </c>
      <c r="G24" s="496"/>
      <c r="H24" s="497">
        <f t="shared" si="7"/>
        <v>430684311.11999995</v>
      </c>
      <c r="I24" s="498">
        <f t="shared" si="13"/>
        <v>726456.76178165991</v>
      </c>
      <c r="J24" s="499">
        <f t="shared" si="8"/>
        <v>20775701.795134325</v>
      </c>
      <c r="K24" s="668">
        <f t="shared" si="14"/>
        <v>0</v>
      </c>
      <c r="L24" s="555"/>
      <c r="M24" s="555"/>
      <c r="N24" s="899">
        <f t="shared" si="0"/>
        <v>0</v>
      </c>
      <c r="O24" s="899">
        <f t="shared" si="1"/>
        <v>0</v>
      </c>
      <c r="P24" s="901">
        <f t="shared" si="2"/>
        <v>0</v>
      </c>
      <c r="Q24" s="669"/>
      <c r="R24" s="678">
        <f t="shared" si="9"/>
        <v>0</v>
      </c>
      <c r="S24" s="679">
        <f t="shared" si="10"/>
        <v>726456.76178165991</v>
      </c>
      <c r="T24" s="679">
        <f t="shared" si="11"/>
        <v>726456.76178165991</v>
      </c>
      <c r="U24" s="680">
        <f>+'Proj Att-H'!$D$138</f>
        <v>0</v>
      </c>
      <c r="V24" s="681">
        <f t="shared" si="12"/>
        <v>0</v>
      </c>
      <c r="W24" s="682"/>
      <c r="X24" s="670"/>
      <c r="Y24" s="670"/>
      <c r="Z24" s="670"/>
      <c r="AA24" s="669"/>
    </row>
    <row r="25" spans="1:27">
      <c r="A25" s="565">
        <f t="shared" si="3"/>
        <v>11</v>
      </c>
      <c r="B25" s="284"/>
      <c r="C25" s="495"/>
      <c r="D25" s="406">
        <f t="shared" si="4"/>
        <v>430684311.11999995</v>
      </c>
      <c r="E25" s="406">
        <f t="shared" si="5"/>
        <v>726456.76178165991</v>
      </c>
      <c r="F25" s="406">
        <f t="shared" si="6"/>
        <v>21502158.556915984</v>
      </c>
      <c r="G25" s="496"/>
      <c r="H25" s="497">
        <f t="shared" si="7"/>
        <v>430684311.11999995</v>
      </c>
      <c r="I25" s="498">
        <f t="shared" si="13"/>
        <v>726456.76178165991</v>
      </c>
      <c r="J25" s="499">
        <f t="shared" si="8"/>
        <v>21502158.556915984</v>
      </c>
      <c r="K25" s="668">
        <f t="shared" si="14"/>
        <v>0</v>
      </c>
      <c r="L25" s="555"/>
      <c r="M25" s="555"/>
      <c r="N25" s="899">
        <f t="shared" si="0"/>
        <v>0</v>
      </c>
      <c r="O25" s="899">
        <f t="shared" si="1"/>
        <v>0</v>
      </c>
      <c r="P25" s="901">
        <f t="shared" si="2"/>
        <v>0</v>
      </c>
      <c r="Q25" s="669"/>
      <c r="R25" s="678">
        <f t="shared" si="9"/>
        <v>0</v>
      </c>
      <c r="S25" s="679">
        <f t="shared" si="10"/>
        <v>726456.76178165991</v>
      </c>
      <c r="T25" s="679">
        <f t="shared" si="11"/>
        <v>726456.76178165991</v>
      </c>
      <c r="U25" s="680">
        <f>+'Proj Att-H'!$D$138</f>
        <v>0</v>
      </c>
      <c r="V25" s="681">
        <f t="shared" si="12"/>
        <v>0</v>
      </c>
      <c r="W25" s="682"/>
      <c r="X25" s="670"/>
      <c r="Y25" s="670"/>
      <c r="Z25" s="670"/>
      <c r="AA25" s="669"/>
    </row>
    <row r="26" spans="1:27">
      <c r="A26" s="565">
        <f t="shared" si="3"/>
        <v>12</v>
      </c>
      <c r="B26" s="284"/>
      <c r="C26" s="495"/>
      <c r="D26" s="406">
        <f t="shared" si="4"/>
        <v>430684311.11999995</v>
      </c>
      <c r="E26" s="406">
        <f t="shared" si="5"/>
        <v>726456.76178165991</v>
      </c>
      <c r="F26" s="406">
        <f t="shared" si="6"/>
        <v>22228615.318697643</v>
      </c>
      <c r="G26" s="496"/>
      <c r="H26" s="497">
        <f t="shared" si="7"/>
        <v>430684311.11999995</v>
      </c>
      <c r="I26" s="498">
        <f t="shared" si="13"/>
        <v>726456.76178165991</v>
      </c>
      <c r="J26" s="499">
        <f t="shared" si="8"/>
        <v>22228615.318697643</v>
      </c>
      <c r="K26" s="668">
        <f t="shared" si="14"/>
        <v>0</v>
      </c>
      <c r="L26" s="555"/>
      <c r="M26" s="555"/>
      <c r="N26" s="899">
        <f t="shared" si="0"/>
        <v>0</v>
      </c>
      <c r="O26" s="899">
        <f t="shared" si="1"/>
        <v>0</v>
      </c>
      <c r="P26" s="901">
        <f t="shared" si="2"/>
        <v>0</v>
      </c>
      <c r="Q26" s="669"/>
      <c r="R26" s="678">
        <f t="shared" si="9"/>
        <v>0</v>
      </c>
      <c r="S26" s="679">
        <f t="shared" si="10"/>
        <v>726456.76178165991</v>
      </c>
      <c r="T26" s="679">
        <f t="shared" si="11"/>
        <v>726456.76178165991</v>
      </c>
      <c r="U26" s="680">
        <f>+'Proj Att-H'!$D$138</f>
        <v>0</v>
      </c>
      <c r="V26" s="681">
        <f t="shared" si="12"/>
        <v>0</v>
      </c>
      <c r="W26" s="682"/>
      <c r="X26" s="670"/>
      <c r="Y26" s="670"/>
      <c r="Z26" s="670"/>
      <c r="AA26" s="669"/>
    </row>
    <row r="27" spans="1:27">
      <c r="A27" s="565">
        <f t="shared" si="3"/>
        <v>13</v>
      </c>
      <c r="B27" s="284"/>
      <c r="C27" s="495"/>
      <c r="D27" s="406">
        <f t="shared" si="4"/>
        <v>430684311.11999995</v>
      </c>
      <c r="E27" s="406">
        <f t="shared" si="5"/>
        <v>726456.76178165991</v>
      </c>
      <c r="F27" s="406">
        <f t="shared" si="6"/>
        <v>22955072.080479302</v>
      </c>
      <c r="G27" s="496"/>
      <c r="H27" s="497">
        <f t="shared" si="7"/>
        <v>430684311.11999995</v>
      </c>
      <c r="I27" s="498">
        <f t="shared" si="13"/>
        <v>726456.76178165991</v>
      </c>
      <c r="J27" s="499">
        <f t="shared" si="8"/>
        <v>22955072.080479302</v>
      </c>
      <c r="K27" s="668">
        <f t="shared" si="14"/>
        <v>0</v>
      </c>
      <c r="L27" s="555"/>
      <c r="M27" s="555"/>
      <c r="N27" s="899">
        <f t="shared" si="0"/>
        <v>0</v>
      </c>
      <c r="O27" s="899">
        <f t="shared" si="1"/>
        <v>0</v>
      </c>
      <c r="P27" s="901">
        <f t="shared" si="2"/>
        <v>0</v>
      </c>
      <c r="Q27" s="669"/>
      <c r="R27" s="678">
        <f t="shared" si="9"/>
        <v>0</v>
      </c>
      <c r="S27" s="679">
        <f t="shared" si="10"/>
        <v>726456.76178165991</v>
      </c>
      <c r="T27" s="679">
        <f t="shared" si="11"/>
        <v>726456.76178165991</v>
      </c>
      <c r="U27" s="680">
        <f>+'Proj Att-H'!$D$138</f>
        <v>0</v>
      </c>
      <c r="V27" s="681">
        <f t="shared" si="12"/>
        <v>0</v>
      </c>
      <c r="W27" s="682"/>
      <c r="X27" s="670"/>
      <c r="Y27" s="670"/>
      <c r="Z27" s="670"/>
      <c r="AA27" s="669"/>
    </row>
    <row r="28" spans="1:27">
      <c r="A28" s="565">
        <f t="shared" si="3"/>
        <v>14</v>
      </c>
      <c r="B28" s="284"/>
      <c r="C28" s="495"/>
      <c r="D28" s="406">
        <f t="shared" si="4"/>
        <v>430684311.11999995</v>
      </c>
      <c r="E28" s="406">
        <f t="shared" si="5"/>
        <v>726456.76178165991</v>
      </c>
      <c r="F28" s="406">
        <f t="shared" si="6"/>
        <v>23681528.84226096</v>
      </c>
      <c r="G28" s="496"/>
      <c r="H28" s="497">
        <f t="shared" si="7"/>
        <v>430684311.11999995</v>
      </c>
      <c r="I28" s="498">
        <f t="shared" si="13"/>
        <v>726456.76178165991</v>
      </c>
      <c r="J28" s="499">
        <f t="shared" si="8"/>
        <v>23681528.84226096</v>
      </c>
      <c r="K28" s="668">
        <f t="shared" si="14"/>
        <v>0</v>
      </c>
      <c r="L28" s="555"/>
      <c r="M28" s="555"/>
      <c r="N28" s="899">
        <f t="shared" si="0"/>
        <v>0</v>
      </c>
      <c r="O28" s="899">
        <f t="shared" si="1"/>
        <v>0</v>
      </c>
      <c r="P28" s="901">
        <f t="shared" si="2"/>
        <v>0</v>
      </c>
      <c r="Q28" s="669"/>
      <c r="R28" s="678">
        <f t="shared" si="9"/>
        <v>0</v>
      </c>
      <c r="S28" s="679">
        <f t="shared" si="10"/>
        <v>726456.76178165991</v>
      </c>
      <c r="T28" s="679">
        <f t="shared" si="11"/>
        <v>726456.76178165991</v>
      </c>
      <c r="U28" s="680">
        <f>+'Proj Att-H'!$D$138</f>
        <v>0</v>
      </c>
      <c r="V28" s="681">
        <f t="shared" si="12"/>
        <v>0</v>
      </c>
      <c r="W28" s="682"/>
      <c r="X28" s="670"/>
      <c r="Y28" s="670"/>
      <c r="Z28" s="670"/>
      <c r="AA28" s="669"/>
    </row>
    <row r="29" spans="1:27">
      <c r="A29" s="565">
        <f t="shared" si="3"/>
        <v>15</v>
      </c>
      <c r="B29" s="284"/>
      <c r="C29" s="495"/>
      <c r="D29" s="406">
        <f t="shared" si="4"/>
        <v>430684311.11999995</v>
      </c>
      <c r="E29" s="406">
        <f t="shared" si="5"/>
        <v>726456.76178165991</v>
      </c>
      <c r="F29" s="406">
        <f t="shared" si="6"/>
        <v>24407985.604042619</v>
      </c>
      <c r="G29" s="496"/>
      <c r="H29" s="497">
        <f t="shared" si="7"/>
        <v>430684311.11999995</v>
      </c>
      <c r="I29" s="498">
        <f>I$12*H28</f>
        <v>726456.76178165991</v>
      </c>
      <c r="J29" s="499">
        <f t="shared" si="8"/>
        <v>24407985.604042619</v>
      </c>
      <c r="K29" s="668">
        <f t="shared" si="14"/>
        <v>0</v>
      </c>
      <c r="L29" s="555"/>
      <c r="M29" s="555"/>
      <c r="N29" s="899">
        <f t="shared" si="0"/>
        <v>0</v>
      </c>
      <c r="O29" s="899">
        <f t="shared" si="1"/>
        <v>0</v>
      </c>
      <c r="P29" s="901">
        <f t="shared" si="2"/>
        <v>0</v>
      </c>
      <c r="Q29" s="669"/>
      <c r="R29" s="678">
        <f t="shared" si="9"/>
        <v>0</v>
      </c>
      <c r="S29" s="679">
        <f t="shared" si="10"/>
        <v>726456.76178165991</v>
      </c>
      <c r="T29" s="679">
        <f t="shared" si="11"/>
        <v>726456.76178165991</v>
      </c>
      <c r="U29" s="680">
        <f>+'Proj Att-H'!$D$138</f>
        <v>0</v>
      </c>
      <c r="V29" s="681">
        <f t="shared" si="12"/>
        <v>0</v>
      </c>
      <c r="W29" s="682"/>
      <c r="X29" s="670"/>
      <c r="Y29" s="670"/>
      <c r="Z29" s="670"/>
      <c r="AA29" s="669"/>
    </row>
    <row r="30" spans="1:27">
      <c r="A30" s="565">
        <f>+A29+1</f>
        <v>16</v>
      </c>
      <c r="B30" s="284"/>
      <c r="C30" s="495"/>
      <c r="D30" s="406">
        <f t="shared" si="4"/>
        <v>430684311.11999995</v>
      </c>
      <c r="E30" s="406">
        <f t="shared" si="5"/>
        <v>726456.76178165991</v>
      </c>
      <c r="F30" s="406">
        <f t="shared" si="6"/>
        <v>25134442.365824278</v>
      </c>
      <c r="G30" s="496"/>
      <c r="H30" s="497">
        <f t="shared" si="7"/>
        <v>430684311.11999995</v>
      </c>
      <c r="I30" s="498">
        <f t="shared" si="13"/>
        <v>726456.76178165991</v>
      </c>
      <c r="J30" s="499">
        <f t="shared" si="8"/>
        <v>25134442.365824278</v>
      </c>
      <c r="K30" s="668">
        <f t="shared" si="14"/>
        <v>0</v>
      </c>
      <c r="L30" s="555"/>
      <c r="M30" s="555"/>
      <c r="N30" s="900"/>
      <c r="O30" s="899">
        <f t="shared" ref="O30:O41" si="15">K30*L30</f>
        <v>0</v>
      </c>
      <c r="P30" s="670"/>
      <c r="Q30" s="902">
        <f>(Q$14)/12</f>
        <v>0</v>
      </c>
      <c r="R30" s="682"/>
      <c r="S30" s="670"/>
      <c r="T30" s="670"/>
      <c r="U30" s="670"/>
      <c r="V30" s="669"/>
      <c r="W30" s="686">
        <f>(O$42/12)+Q30</f>
        <v>0</v>
      </c>
      <c r="X30" s="679">
        <f>E30</f>
        <v>726456.76178165991</v>
      </c>
      <c r="Y30" s="679">
        <f>X30-W30</f>
        <v>726456.76178165991</v>
      </c>
      <c r="Z30" s="680">
        <f>+'Proj Att-H'!$D$138</f>
        <v>0</v>
      </c>
      <c r="AA30" s="681">
        <f>Z30*Y30</f>
        <v>0</v>
      </c>
    </row>
    <row r="31" spans="1:27">
      <c r="A31" s="565">
        <f t="shared" si="3"/>
        <v>17</v>
      </c>
      <c r="B31" s="284"/>
      <c r="C31" s="495"/>
      <c r="D31" s="406">
        <f t="shared" si="4"/>
        <v>430684311.11999995</v>
      </c>
      <c r="E31" s="406">
        <f t="shared" si="5"/>
        <v>726456.76178165991</v>
      </c>
      <c r="F31" s="406">
        <f t="shared" si="6"/>
        <v>25860899.127605937</v>
      </c>
      <c r="G31" s="496"/>
      <c r="H31" s="497">
        <f t="shared" si="7"/>
        <v>430684311.11999995</v>
      </c>
      <c r="I31" s="498">
        <f t="shared" si="13"/>
        <v>726456.76178165991</v>
      </c>
      <c r="J31" s="499">
        <f t="shared" si="8"/>
        <v>25860899.127605937</v>
      </c>
      <c r="K31" s="668">
        <f t="shared" si="14"/>
        <v>0</v>
      </c>
      <c r="L31" s="555"/>
      <c r="M31" s="555"/>
      <c r="N31" s="900"/>
      <c r="O31" s="899">
        <f t="shared" si="15"/>
        <v>0</v>
      </c>
      <c r="P31" s="670"/>
      <c r="Q31" s="902">
        <f t="shared" ref="Q31:Q41" si="16">(Q$14)/12</f>
        <v>0</v>
      </c>
      <c r="R31" s="682"/>
      <c r="S31" s="670"/>
      <c r="T31" s="670"/>
      <c r="U31" s="670"/>
      <c r="V31" s="669"/>
      <c r="W31" s="686">
        <f t="shared" ref="W31:W41" si="17">(O$42/12)+Q31</f>
        <v>0</v>
      </c>
      <c r="X31" s="679">
        <f t="shared" ref="X31:X41" si="18">E31</f>
        <v>726456.76178165991</v>
      </c>
      <c r="Y31" s="679">
        <f t="shared" ref="Y31:Y41" si="19">X31-W31</f>
        <v>726456.76178165991</v>
      </c>
      <c r="Z31" s="680">
        <f>+'Proj Att-H'!$D$138</f>
        <v>0</v>
      </c>
      <c r="AA31" s="681">
        <f t="shared" ref="AA31:AA41" si="20">Z31*Y31</f>
        <v>0</v>
      </c>
    </row>
    <row r="32" spans="1:27">
      <c r="A32" s="565">
        <f t="shared" si="3"/>
        <v>18</v>
      </c>
      <c r="B32" s="284"/>
      <c r="C32" s="495"/>
      <c r="D32" s="406">
        <f t="shared" si="4"/>
        <v>430684311.11999995</v>
      </c>
      <c r="E32" s="406">
        <f t="shared" si="5"/>
        <v>726456.76178165991</v>
      </c>
      <c r="F32" s="406">
        <f t="shared" si="6"/>
        <v>26587355.889387596</v>
      </c>
      <c r="G32" s="496"/>
      <c r="H32" s="497">
        <f t="shared" si="7"/>
        <v>430684311.11999995</v>
      </c>
      <c r="I32" s="498">
        <f t="shared" si="13"/>
        <v>726456.76178165991</v>
      </c>
      <c r="J32" s="499">
        <f t="shared" si="8"/>
        <v>26587355.889387596</v>
      </c>
      <c r="K32" s="668">
        <f t="shared" si="14"/>
        <v>0</v>
      </c>
      <c r="L32" s="555"/>
      <c r="M32" s="555"/>
      <c r="N32" s="900"/>
      <c r="O32" s="899">
        <f t="shared" si="15"/>
        <v>0</v>
      </c>
      <c r="P32" s="670"/>
      <c r="Q32" s="902">
        <f t="shared" si="16"/>
        <v>0</v>
      </c>
      <c r="R32" s="682"/>
      <c r="S32" s="670"/>
      <c r="T32" s="670"/>
      <c r="U32" s="670"/>
      <c r="V32" s="669"/>
      <c r="W32" s="686">
        <f t="shared" si="17"/>
        <v>0</v>
      </c>
      <c r="X32" s="679">
        <f t="shared" si="18"/>
        <v>726456.76178165991</v>
      </c>
      <c r="Y32" s="679">
        <f t="shared" si="19"/>
        <v>726456.76178165991</v>
      </c>
      <c r="Z32" s="680">
        <f>+'Proj Att-H'!$D$138</f>
        <v>0</v>
      </c>
      <c r="AA32" s="681">
        <f t="shared" si="20"/>
        <v>0</v>
      </c>
    </row>
    <row r="33" spans="1:27">
      <c r="A33" s="565">
        <f t="shared" si="3"/>
        <v>19</v>
      </c>
      <c r="B33" s="284"/>
      <c r="C33" s="495"/>
      <c r="D33" s="406">
        <f t="shared" si="4"/>
        <v>430684311.11999995</v>
      </c>
      <c r="E33" s="406">
        <f t="shared" si="5"/>
        <v>726456.76178165991</v>
      </c>
      <c r="F33" s="406">
        <f t="shared" si="6"/>
        <v>27313812.651169255</v>
      </c>
      <c r="G33" s="496"/>
      <c r="H33" s="497">
        <f t="shared" si="7"/>
        <v>430684311.11999995</v>
      </c>
      <c r="I33" s="498">
        <f t="shared" si="13"/>
        <v>726456.76178165991</v>
      </c>
      <c r="J33" s="499">
        <f t="shared" si="8"/>
        <v>27313812.651169255</v>
      </c>
      <c r="K33" s="668">
        <f t="shared" si="14"/>
        <v>0</v>
      </c>
      <c r="L33" s="555"/>
      <c r="M33" s="555"/>
      <c r="N33" s="900"/>
      <c r="O33" s="899">
        <f t="shared" si="15"/>
        <v>0</v>
      </c>
      <c r="P33" s="670"/>
      <c r="Q33" s="902">
        <f t="shared" si="16"/>
        <v>0</v>
      </c>
      <c r="R33" s="682"/>
      <c r="S33" s="670"/>
      <c r="T33" s="670"/>
      <c r="U33" s="670"/>
      <c r="V33" s="669"/>
      <c r="W33" s="686">
        <f t="shared" si="17"/>
        <v>0</v>
      </c>
      <c r="X33" s="679">
        <f t="shared" si="18"/>
        <v>726456.76178165991</v>
      </c>
      <c r="Y33" s="679">
        <f t="shared" si="19"/>
        <v>726456.76178165991</v>
      </c>
      <c r="Z33" s="680">
        <f>+'Proj Att-H'!$D$138</f>
        <v>0</v>
      </c>
      <c r="AA33" s="681">
        <f t="shared" si="20"/>
        <v>0</v>
      </c>
    </row>
    <row r="34" spans="1:27">
      <c r="A34" s="565">
        <f t="shared" si="3"/>
        <v>20</v>
      </c>
      <c r="B34" s="284"/>
      <c r="C34" s="495"/>
      <c r="D34" s="406">
        <f t="shared" si="4"/>
        <v>430684311.11999995</v>
      </c>
      <c r="E34" s="406">
        <f t="shared" si="5"/>
        <v>726456.76178165991</v>
      </c>
      <c r="F34" s="406">
        <f t="shared" si="6"/>
        <v>28040269.412950914</v>
      </c>
      <c r="G34" s="496"/>
      <c r="H34" s="497">
        <f t="shared" si="7"/>
        <v>430684311.11999995</v>
      </c>
      <c r="I34" s="498">
        <f t="shared" si="13"/>
        <v>726456.76178165991</v>
      </c>
      <c r="J34" s="499">
        <f t="shared" si="8"/>
        <v>28040269.412950914</v>
      </c>
      <c r="K34" s="668">
        <f t="shared" si="14"/>
        <v>0</v>
      </c>
      <c r="L34" s="555"/>
      <c r="M34" s="555"/>
      <c r="N34" s="900"/>
      <c r="O34" s="899">
        <f t="shared" si="15"/>
        <v>0</v>
      </c>
      <c r="P34" s="670"/>
      <c r="Q34" s="902">
        <f t="shared" si="16"/>
        <v>0</v>
      </c>
      <c r="R34" s="682"/>
      <c r="S34" s="670"/>
      <c r="T34" s="670"/>
      <c r="U34" s="670"/>
      <c r="V34" s="669"/>
      <c r="W34" s="686">
        <f t="shared" si="17"/>
        <v>0</v>
      </c>
      <c r="X34" s="679">
        <f t="shared" si="18"/>
        <v>726456.76178165991</v>
      </c>
      <c r="Y34" s="679">
        <f t="shared" si="19"/>
        <v>726456.76178165991</v>
      </c>
      <c r="Z34" s="680">
        <f>+'Proj Att-H'!$D$138</f>
        <v>0</v>
      </c>
      <c r="AA34" s="681">
        <f t="shared" si="20"/>
        <v>0</v>
      </c>
    </row>
    <row r="35" spans="1:27">
      <c r="A35" s="565">
        <f t="shared" si="3"/>
        <v>21</v>
      </c>
      <c r="B35" s="284"/>
      <c r="C35" s="495"/>
      <c r="D35" s="406">
        <f t="shared" si="4"/>
        <v>430684311.11999995</v>
      </c>
      <c r="E35" s="406">
        <f t="shared" si="5"/>
        <v>726456.76178165991</v>
      </c>
      <c r="F35" s="406">
        <f t="shared" si="6"/>
        <v>28766726.174732573</v>
      </c>
      <c r="G35" s="496"/>
      <c r="H35" s="497">
        <f t="shared" si="7"/>
        <v>430684311.11999995</v>
      </c>
      <c r="I35" s="498">
        <f t="shared" si="13"/>
        <v>726456.76178165991</v>
      </c>
      <c r="J35" s="499">
        <f t="shared" si="8"/>
        <v>28766726.174732573</v>
      </c>
      <c r="K35" s="668">
        <f t="shared" si="14"/>
        <v>0</v>
      </c>
      <c r="L35" s="555"/>
      <c r="M35" s="555"/>
      <c r="N35" s="900"/>
      <c r="O35" s="899">
        <f t="shared" si="15"/>
        <v>0</v>
      </c>
      <c r="P35" s="670"/>
      <c r="Q35" s="902">
        <f t="shared" si="16"/>
        <v>0</v>
      </c>
      <c r="R35" s="682"/>
      <c r="S35" s="670"/>
      <c r="T35" s="670"/>
      <c r="U35" s="670"/>
      <c r="V35" s="669"/>
      <c r="W35" s="686">
        <f t="shared" si="17"/>
        <v>0</v>
      </c>
      <c r="X35" s="679">
        <f t="shared" si="18"/>
        <v>726456.76178165991</v>
      </c>
      <c r="Y35" s="679">
        <f t="shared" si="19"/>
        <v>726456.76178165991</v>
      </c>
      <c r="Z35" s="680">
        <f>+'Proj Att-H'!$D$138</f>
        <v>0</v>
      </c>
      <c r="AA35" s="681">
        <f t="shared" si="20"/>
        <v>0</v>
      </c>
    </row>
    <row r="36" spans="1:27">
      <c r="A36" s="565">
        <f t="shared" si="3"/>
        <v>22</v>
      </c>
      <c r="B36" s="284"/>
      <c r="C36" s="495"/>
      <c r="D36" s="406">
        <f t="shared" si="4"/>
        <v>430684311.11999995</v>
      </c>
      <c r="E36" s="406">
        <f t="shared" si="5"/>
        <v>726456.76178165991</v>
      </c>
      <c r="F36" s="406">
        <f t="shared" si="6"/>
        <v>29493182.936514232</v>
      </c>
      <c r="G36" s="496"/>
      <c r="H36" s="497">
        <f t="shared" si="7"/>
        <v>430684311.11999995</v>
      </c>
      <c r="I36" s="498">
        <f t="shared" si="13"/>
        <v>726456.76178165991</v>
      </c>
      <c r="J36" s="499">
        <f t="shared" si="8"/>
        <v>29493182.936514232</v>
      </c>
      <c r="K36" s="668">
        <f t="shared" si="14"/>
        <v>0</v>
      </c>
      <c r="L36" s="555"/>
      <c r="M36" s="555"/>
      <c r="N36" s="900"/>
      <c r="O36" s="899">
        <f t="shared" si="15"/>
        <v>0</v>
      </c>
      <c r="P36" s="670"/>
      <c r="Q36" s="902">
        <f t="shared" si="16"/>
        <v>0</v>
      </c>
      <c r="R36" s="682"/>
      <c r="S36" s="670"/>
      <c r="T36" s="670"/>
      <c r="U36" s="670"/>
      <c r="V36" s="669"/>
      <c r="W36" s="686">
        <f t="shared" si="17"/>
        <v>0</v>
      </c>
      <c r="X36" s="679">
        <f t="shared" si="18"/>
        <v>726456.76178165991</v>
      </c>
      <c r="Y36" s="679">
        <f t="shared" si="19"/>
        <v>726456.76178165991</v>
      </c>
      <c r="Z36" s="680">
        <f>+'Proj Att-H'!$D$138</f>
        <v>0</v>
      </c>
      <c r="AA36" s="681">
        <f t="shared" si="20"/>
        <v>0</v>
      </c>
    </row>
    <row r="37" spans="1:27">
      <c r="A37" s="565">
        <f t="shared" si="3"/>
        <v>23</v>
      </c>
      <c r="B37" s="284"/>
      <c r="C37" s="495"/>
      <c r="D37" s="406">
        <f t="shared" si="4"/>
        <v>430684311.11999995</v>
      </c>
      <c r="E37" s="406">
        <f t="shared" si="5"/>
        <v>726456.76178165991</v>
      </c>
      <c r="F37" s="406">
        <f t="shared" si="6"/>
        <v>30219639.698295891</v>
      </c>
      <c r="G37" s="496"/>
      <c r="H37" s="497">
        <f t="shared" si="7"/>
        <v>430684311.11999995</v>
      </c>
      <c r="I37" s="498">
        <f t="shared" si="13"/>
        <v>726456.76178165991</v>
      </c>
      <c r="J37" s="499">
        <f t="shared" si="8"/>
        <v>30219639.698295891</v>
      </c>
      <c r="K37" s="668">
        <f t="shared" si="14"/>
        <v>0</v>
      </c>
      <c r="L37" s="555"/>
      <c r="M37" s="555"/>
      <c r="N37" s="900"/>
      <c r="O37" s="899">
        <f t="shared" si="15"/>
        <v>0</v>
      </c>
      <c r="P37" s="670"/>
      <c r="Q37" s="902">
        <f t="shared" si="16"/>
        <v>0</v>
      </c>
      <c r="R37" s="682"/>
      <c r="S37" s="670"/>
      <c r="T37" s="670"/>
      <c r="U37" s="670"/>
      <c r="V37" s="669"/>
      <c r="W37" s="686">
        <f t="shared" si="17"/>
        <v>0</v>
      </c>
      <c r="X37" s="679">
        <f t="shared" si="18"/>
        <v>726456.76178165991</v>
      </c>
      <c r="Y37" s="679">
        <f t="shared" si="19"/>
        <v>726456.76178165991</v>
      </c>
      <c r="Z37" s="680">
        <f>+'Proj Att-H'!$D$138</f>
        <v>0</v>
      </c>
      <c r="AA37" s="681">
        <f t="shared" si="20"/>
        <v>0</v>
      </c>
    </row>
    <row r="38" spans="1:27">
      <c r="A38" s="565">
        <f t="shared" si="3"/>
        <v>24</v>
      </c>
      <c r="B38" s="284"/>
      <c r="C38" s="495"/>
      <c r="D38" s="406">
        <f t="shared" si="4"/>
        <v>430684311.11999995</v>
      </c>
      <c r="E38" s="406">
        <f t="shared" si="5"/>
        <v>726456.76178165991</v>
      </c>
      <c r="F38" s="406">
        <f t="shared" si="6"/>
        <v>30946096.46007755</v>
      </c>
      <c r="G38" s="496"/>
      <c r="H38" s="497">
        <f t="shared" si="7"/>
        <v>430684311.11999995</v>
      </c>
      <c r="I38" s="498">
        <f t="shared" si="13"/>
        <v>726456.76178165991</v>
      </c>
      <c r="J38" s="499">
        <f t="shared" si="8"/>
        <v>30946096.46007755</v>
      </c>
      <c r="K38" s="668">
        <f t="shared" si="14"/>
        <v>0</v>
      </c>
      <c r="L38" s="555"/>
      <c r="M38" s="555"/>
      <c r="N38" s="900"/>
      <c r="O38" s="899">
        <f t="shared" si="15"/>
        <v>0</v>
      </c>
      <c r="P38" s="670"/>
      <c r="Q38" s="902">
        <f t="shared" si="16"/>
        <v>0</v>
      </c>
      <c r="R38" s="682"/>
      <c r="S38" s="670"/>
      <c r="T38" s="670"/>
      <c r="U38" s="670"/>
      <c r="V38" s="669"/>
      <c r="W38" s="686">
        <f t="shared" si="17"/>
        <v>0</v>
      </c>
      <c r="X38" s="679">
        <f t="shared" si="18"/>
        <v>726456.76178165991</v>
      </c>
      <c r="Y38" s="679">
        <f t="shared" si="19"/>
        <v>726456.76178165991</v>
      </c>
      <c r="Z38" s="680">
        <f>+'Proj Att-H'!$D$138</f>
        <v>0</v>
      </c>
      <c r="AA38" s="681">
        <f t="shared" si="20"/>
        <v>0</v>
      </c>
    </row>
    <row r="39" spans="1:27">
      <c r="A39" s="565">
        <f t="shared" si="3"/>
        <v>25</v>
      </c>
      <c r="B39" s="284"/>
      <c r="C39" s="495"/>
      <c r="D39" s="406">
        <f t="shared" si="4"/>
        <v>430684311.11999995</v>
      </c>
      <c r="E39" s="406">
        <f t="shared" si="5"/>
        <v>726456.76178165991</v>
      </c>
      <c r="F39" s="406">
        <f t="shared" si="6"/>
        <v>31672553.221859209</v>
      </c>
      <c r="G39" s="496"/>
      <c r="H39" s="497">
        <f t="shared" si="7"/>
        <v>430684311.11999995</v>
      </c>
      <c r="I39" s="498">
        <f t="shared" si="13"/>
        <v>726456.76178165991</v>
      </c>
      <c r="J39" s="499">
        <f t="shared" si="8"/>
        <v>31672553.221859209</v>
      </c>
      <c r="K39" s="668">
        <f t="shared" si="14"/>
        <v>0</v>
      </c>
      <c r="L39" s="555"/>
      <c r="M39" s="555"/>
      <c r="N39" s="900"/>
      <c r="O39" s="899">
        <f t="shared" si="15"/>
        <v>0</v>
      </c>
      <c r="P39" s="670"/>
      <c r="Q39" s="902">
        <f t="shared" si="16"/>
        <v>0</v>
      </c>
      <c r="R39" s="682"/>
      <c r="S39" s="670"/>
      <c r="T39" s="670"/>
      <c r="U39" s="670"/>
      <c r="V39" s="669"/>
      <c r="W39" s="686">
        <f t="shared" si="17"/>
        <v>0</v>
      </c>
      <c r="X39" s="679">
        <f t="shared" si="18"/>
        <v>726456.76178165991</v>
      </c>
      <c r="Y39" s="679">
        <f t="shared" si="19"/>
        <v>726456.76178165991</v>
      </c>
      <c r="Z39" s="680">
        <f>+'Proj Att-H'!$D$138</f>
        <v>0</v>
      </c>
      <c r="AA39" s="681">
        <f t="shared" si="20"/>
        <v>0</v>
      </c>
    </row>
    <row r="40" spans="1:27">
      <c r="A40" s="565">
        <f t="shared" si="3"/>
        <v>26</v>
      </c>
      <c r="B40" s="284"/>
      <c r="C40" s="495"/>
      <c r="D40" s="406">
        <f t="shared" si="4"/>
        <v>430684311.11999995</v>
      </c>
      <c r="E40" s="406">
        <f t="shared" si="5"/>
        <v>726456.76178165991</v>
      </c>
      <c r="F40" s="406">
        <f t="shared" si="6"/>
        <v>32399009.983640868</v>
      </c>
      <c r="G40" s="496"/>
      <c r="H40" s="497">
        <f t="shared" si="7"/>
        <v>430684311.11999995</v>
      </c>
      <c r="I40" s="498">
        <f t="shared" si="13"/>
        <v>726456.76178165991</v>
      </c>
      <c r="J40" s="499">
        <f t="shared" si="8"/>
        <v>32399009.983640868</v>
      </c>
      <c r="K40" s="668">
        <f t="shared" si="14"/>
        <v>0</v>
      </c>
      <c r="L40" s="555"/>
      <c r="M40" s="555"/>
      <c r="N40" s="900"/>
      <c r="O40" s="899">
        <f t="shared" si="15"/>
        <v>0</v>
      </c>
      <c r="P40" s="670"/>
      <c r="Q40" s="902">
        <f t="shared" si="16"/>
        <v>0</v>
      </c>
      <c r="R40" s="682"/>
      <c r="S40" s="670"/>
      <c r="T40" s="670"/>
      <c r="U40" s="670"/>
      <c r="V40" s="669"/>
      <c r="W40" s="686">
        <f t="shared" si="17"/>
        <v>0</v>
      </c>
      <c r="X40" s="679">
        <f t="shared" si="18"/>
        <v>726456.76178165991</v>
      </c>
      <c r="Y40" s="679">
        <f t="shared" si="19"/>
        <v>726456.76178165991</v>
      </c>
      <c r="Z40" s="680">
        <f>+'Proj Att-H'!$D$138</f>
        <v>0</v>
      </c>
      <c r="AA40" s="681">
        <f t="shared" si="20"/>
        <v>0</v>
      </c>
    </row>
    <row r="41" spans="1:27">
      <c r="A41" s="565">
        <f t="shared" si="3"/>
        <v>27</v>
      </c>
      <c r="B41" s="284"/>
      <c r="C41" s="495"/>
      <c r="D41" s="406">
        <f t="shared" si="4"/>
        <v>430684311.11999995</v>
      </c>
      <c r="E41" s="406">
        <f t="shared" si="5"/>
        <v>726456.76178165991</v>
      </c>
      <c r="F41" s="406">
        <f t="shared" si="6"/>
        <v>33125466.745422527</v>
      </c>
      <c r="G41" s="496"/>
      <c r="H41" s="497">
        <f t="shared" si="7"/>
        <v>430684311.11999995</v>
      </c>
      <c r="I41" s="498">
        <f t="shared" si="13"/>
        <v>726456.76178165991</v>
      </c>
      <c r="J41" s="499">
        <f t="shared" si="8"/>
        <v>33125466.745422527</v>
      </c>
      <c r="K41" s="668">
        <f t="shared" si="14"/>
        <v>0</v>
      </c>
      <c r="L41" s="555"/>
      <c r="M41" s="555"/>
      <c r="N41" s="900"/>
      <c r="O41" s="899">
        <f t="shared" si="15"/>
        <v>0</v>
      </c>
      <c r="P41" s="670"/>
      <c r="Q41" s="902">
        <f t="shared" si="16"/>
        <v>0</v>
      </c>
      <c r="R41" s="682"/>
      <c r="S41" s="670"/>
      <c r="T41" s="670"/>
      <c r="U41" s="670"/>
      <c r="V41" s="669"/>
      <c r="W41" s="686">
        <f t="shared" si="17"/>
        <v>0</v>
      </c>
      <c r="X41" s="679">
        <f t="shared" si="18"/>
        <v>726456.76178165991</v>
      </c>
      <c r="Y41" s="679">
        <f t="shared" si="19"/>
        <v>726456.76178165991</v>
      </c>
      <c r="Z41" s="680">
        <f>+'Proj Att-H'!$D$138</f>
        <v>0</v>
      </c>
      <c r="AA41" s="681">
        <f t="shared" si="20"/>
        <v>0</v>
      </c>
    </row>
    <row r="42" spans="1:27">
      <c r="A42" s="564" t="s">
        <v>1231</v>
      </c>
      <c r="B42" s="500"/>
      <c r="C42" s="500"/>
      <c r="G42" s="501"/>
      <c r="H42" s="290"/>
      <c r="I42" s="290"/>
      <c r="J42" s="289"/>
      <c r="K42" s="671"/>
      <c r="L42" s="290"/>
      <c r="M42" s="275"/>
      <c r="N42" s="559">
        <f t="shared" ref="N42:T42" si="21">SUM(N18:N41)</f>
        <v>0</v>
      </c>
      <c r="O42" s="559">
        <f>SUM(O18:O41)</f>
        <v>0</v>
      </c>
      <c r="P42" s="584">
        <f t="shared" si="21"/>
        <v>0</v>
      </c>
      <c r="Q42" s="672">
        <f t="shared" si="21"/>
        <v>0</v>
      </c>
      <c r="R42" s="683">
        <f t="shared" si="21"/>
        <v>0</v>
      </c>
      <c r="S42" s="559">
        <f t="shared" si="21"/>
        <v>8717481.1413799189</v>
      </c>
      <c r="T42" s="559">
        <f t="shared" si="21"/>
        <v>8717481.1413799189</v>
      </c>
      <c r="U42" s="559"/>
      <c r="V42" s="684">
        <f>T42*'Proj Att-H'!D138</f>
        <v>0</v>
      </c>
      <c r="W42" s="683">
        <f>SUM(W18:W41)</f>
        <v>0</v>
      </c>
      <c r="X42" s="559">
        <f>SUM(X18:X41)</f>
        <v>8717481.1413799189</v>
      </c>
      <c r="Y42" s="559">
        <f>SUM(Y18:Y41)</f>
        <v>8717481.1413799189</v>
      </c>
      <c r="Z42" s="559"/>
      <c r="AA42" s="684">
        <f>SUM(AA18:AA41)</f>
        <v>0</v>
      </c>
    </row>
    <row r="43" spans="1:27">
      <c r="A43" s="565">
        <f>A41+1</f>
        <v>28</v>
      </c>
      <c r="B43" s="291" t="s">
        <v>1232</v>
      </c>
      <c r="C43" s="291"/>
      <c r="D43" s="406"/>
      <c r="E43" s="502">
        <f>SUM(E30:E41)</f>
        <v>8717481.1413799189</v>
      </c>
      <c r="F43" s="406"/>
      <c r="G43" s="349"/>
      <c r="H43" s="502"/>
      <c r="I43" s="502">
        <f>SUM(I30:I41)</f>
        <v>8717481.1413799189</v>
      </c>
      <c r="J43" s="289"/>
      <c r="K43" s="671"/>
      <c r="L43" s="290"/>
      <c r="M43" s="278"/>
      <c r="N43" s="278"/>
      <c r="O43" s="275"/>
      <c r="P43" s="275"/>
      <c r="Q43" s="666"/>
      <c r="R43" s="349"/>
      <c r="S43" s="275"/>
      <c r="T43" s="275"/>
      <c r="U43" s="275"/>
      <c r="V43" s="282"/>
      <c r="W43" s="349"/>
      <c r="X43" s="275"/>
      <c r="Y43" s="275"/>
      <c r="Z43" s="275"/>
      <c r="AA43" s="282"/>
    </row>
    <row r="44" spans="1:27">
      <c r="A44" s="565">
        <f>+A43+1</f>
        <v>29</v>
      </c>
      <c r="B44" s="291" t="s">
        <v>1233</v>
      </c>
      <c r="C44" s="406"/>
      <c r="D44" s="406">
        <f>SUM(D29:D41)/13</f>
        <v>430684311.11999995</v>
      </c>
      <c r="E44" s="290"/>
      <c r="F44" s="406">
        <f>SUM(F29:F41)/13</f>
        <v>28766726.17473257</v>
      </c>
      <c r="G44" s="503"/>
      <c r="H44" s="898">
        <f>SUM(H29:H41)/13</f>
        <v>430684311.11999995</v>
      </c>
      <c r="I44" s="504"/>
      <c r="J44" s="505">
        <f>SUM(J29:J41)/13</f>
        <v>28766726.17473257</v>
      </c>
      <c r="K44" s="673"/>
      <c r="L44" s="674"/>
      <c r="M44" s="675"/>
      <c r="N44" s="675"/>
      <c r="O44" s="676"/>
      <c r="P44" s="676"/>
      <c r="Q44" s="677"/>
      <c r="R44" s="503"/>
      <c r="S44" s="676"/>
      <c r="T44" s="676"/>
      <c r="U44" s="676"/>
      <c r="V44" s="685"/>
      <c r="W44" s="503"/>
      <c r="X44" s="676"/>
      <c r="Y44" s="676"/>
      <c r="Z44" s="676"/>
      <c r="AA44" s="685"/>
    </row>
    <row r="45" spans="1:27">
      <c r="B45" s="291"/>
      <c r="D45" s="292"/>
      <c r="E45" s="292"/>
      <c r="F45" s="292"/>
      <c r="J45" s="293"/>
      <c r="K45" s="293"/>
      <c r="L45" s="293"/>
      <c r="M45" s="275"/>
      <c r="N45" s="275"/>
      <c r="Q45" s="275"/>
    </row>
    <row r="46" spans="1:27" ht="15.75" customHeight="1">
      <c r="A46" s="565"/>
    </row>
    <row r="48" spans="1:27">
      <c r="C48" s="295"/>
      <c r="G48" s="294" t="s">
        <v>610</v>
      </c>
    </row>
    <row r="49" spans="2:12" ht="66" customHeight="1">
      <c r="D49" s="567"/>
      <c r="E49" s="567"/>
      <c r="F49" s="567"/>
      <c r="G49" s="296" t="s">
        <v>419</v>
      </c>
      <c r="H49" s="997" t="s">
        <v>1234</v>
      </c>
      <c r="I49" s="997"/>
      <c r="J49" s="997"/>
      <c r="K49" s="546"/>
      <c r="L49" s="546"/>
    </row>
    <row r="50" spans="2:12">
      <c r="B50" s="296"/>
    </row>
  </sheetData>
  <mergeCells count="13">
    <mergeCell ref="L10:M10"/>
    <mergeCell ref="H49:J49"/>
    <mergeCell ref="P10:Q10"/>
    <mergeCell ref="N10:O10"/>
    <mergeCell ref="S8:V8"/>
    <mergeCell ref="B6:F6"/>
    <mergeCell ref="B7:F7"/>
    <mergeCell ref="G7:J7"/>
    <mergeCell ref="AK1:AL1"/>
    <mergeCell ref="L9:M9"/>
    <mergeCell ref="P9:Q9"/>
    <mergeCell ref="W8:AA8"/>
    <mergeCell ref="AA1:AB1"/>
  </mergeCells>
  <pageMargins left="0.5" right="0.25" top="1" bottom="1" header="0.5" footer="0.5"/>
  <pageSetup scale="69" orientation="portrait" r:id="rId1"/>
  <headerFooter alignWithMargins="0"/>
  <colBreaks count="3" manualBreakCount="3">
    <brk id="10" max="48" man="1"/>
    <brk id="17" max="48" man="1"/>
    <brk id="22" max="48" man="1"/>
  </colBreaks>
  <ignoredErrors>
    <ignoredError sqref="H14" unlockedFormula="1"/>
    <ignoredError sqref="I19:I28 I30:I34 V42"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8" tint="0.59999389629810485"/>
    <pageSetUpPr autoPageBreaks="0" fitToPage="1"/>
  </sheetPr>
  <dimension ref="A1:M75"/>
  <sheetViews>
    <sheetView workbookViewId="0">
      <selection sqref="A1:F1"/>
    </sheetView>
  </sheetViews>
  <sheetFormatPr defaultColWidth="8.77734375" defaultRowHeight="12.75"/>
  <cols>
    <col min="1" max="1" width="5.21875" style="272" customWidth="1"/>
    <col min="2" max="2" width="34.5546875" style="272" customWidth="1"/>
    <col min="3" max="3" width="29.88671875" style="272" customWidth="1"/>
    <col min="4" max="4" width="13.77734375" style="272" customWidth="1"/>
    <col min="5" max="5" width="15.88671875" style="272" customWidth="1"/>
    <col min="6" max="6" width="16.5546875" style="272" customWidth="1"/>
    <col min="7" max="7" width="10.88671875" style="272" bestFit="1" customWidth="1"/>
    <col min="8" max="8" width="13.77734375" style="272" customWidth="1"/>
    <col min="9" max="9" width="11.21875" style="272" customWidth="1"/>
    <col min="10" max="10" width="3.21875" style="272" customWidth="1"/>
    <col min="11" max="11" width="14.21875" style="272" customWidth="1"/>
    <col min="12" max="12" width="13.44140625" style="272" customWidth="1"/>
    <col min="13" max="13" width="14.44140625" style="272" bestFit="1" customWidth="1"/>
    <col min="14" max="14" width="13.21875" style="272" customWidth="1"/>
    <col min="15" max="16384" width="8.77734375" style="272"/>
  </cols>
  <sheetData>
    <row r="1" spans="1:13">
      <c r="A1" s="998" t="s">
        <v>65</v>
      </c>
      <c r="B1" s="998"/>
      <c r="C1" s="998"/>
      <c r="D1" s="998"/>
      <c r="E1" s="998"/>
      <c r="F1" s="998"/>
    </row>
    <row r="2" spans="1:13">
      <c r="A2" s="998" t="s">
        <v>1235</v>
      </c>
      <c r="B2" s="998"/>
      <c r="C2" s="998"/>
      <c r="D2" s="998"/>
      <c r="E2" s="998"/>
      <c r="F2" s="998"/>
    </row>
    <row r="3" spans="1:13">
      <c r="A3" s="998" t="str">
        <f>'Act Att-H'!C7</f>
        <v>Cheyenne Light, Fuel &amp; Power</v>
      </c>
      <c r="B3" s="998"/>
      <c r="C3" s="998"/>
      <c r="D3" s="998"/>
      <c r="E3" s="998"/>
      <c r="F3" s="998"/>
    </row>
    <row r="4" spans="1:13">
      <c r="A4" s="364"/>
      <c r="B4" s="364"/>
      <c r="C4" s="364"/>
      <c r="D4" s="364"/>
      <c r="E4" s="364"/>
      <c r="F4" s="382" t="s">
        <v>3</v>
      </c>
    </row>
    <row r="5" spans="1:13" s="275" customFormat="1">
      <c r="B5" s="383"/>
      <c r="D5" s="384"/>
      <c r="E5" s="384"/>
      <c r="F5" s="384"/>
    </row>
    <row r="6" spans="1:13">
      <c r="B6" s="385" t="s">
        <v>127</v>
      </c>
      <c r="C6" s="385" t="s">
        <v>128</v>
      </c>
      <c r="D6" s="385" t="s">
        <v>129</v>
      </c>
      <c r="E6" s="386" t="s">
        <v>130</v>
      </c>
      <c r="F6" s="386" t="s">
        <v>131</v>
      </c>
    </row>
    <row r="7" spans="1:13">
      <c r="B7" s="387"/>
      <c r="C7" s="275"/>
      <c r="D7" s="346"/>
      <c r="E7" s="384" t="s">
        <v>1236</v>
      </c>
      <c r="F7" s="346"/>
      <c r="G7" s="275"/>
      <c r="H7" s="275"/>
      <c r="I7" s="275"/>
      <c r="J7" s="275"/>
      <c r="K7" s="275"/>
      <c r="L7" s="275"/>
      <c r="M7" s="275"/>
    </row>
    <row r="8" spans="1:13">
      <c r="B8" s="387"/>
      <c r="C8" s="275"/>
      <c r="D8" s="388"/>
      <c r="E8" s="384" t="s">
        <v>1237</v>
      </c>
      <c r="F8" s="346"/>
      <c r="G8" s="275"/>
      <c r="H8" s="275"/>
      <c r="I8" s="275"/>
      <c r="J8" s="275"/>
      <c r="K8" s="275"/>
      <c r="L8" s="275"/>
      <c r="M8" s="275"/>
    </row>
    <row r="9" spans="1:13">
      <c r="B9" s="387"/>
      <c r="C9" s="275"/>
      <c r="D9" s="388" t="s">
        <v>1238</v>
      </c>
      <c r="E9" s="384" t="s">
        <v>1239</v>
      </c>
      <c r="F9" s="384" t="s">
        <v>1185</v>
      </c>
      <c r="G9" s="275"/>
      <c r="H9" s="275"/>
      <c r="I9" s="275"/>
      <c r="J9" s="275"/>
      <c r="K9" s="275"/>
      <c r="L9" s="275"/>
      <c r="M9" s="275"/>
    </row>
    <row r="10" spans="1:13" ht="13.5" thickBot="1">
      <c r="A10" s="389" t="s">
        <v>83</v>
      </c>
      <c r="B10" s="389" t="s">
        <v>556</v>
      </c>
      <c r="C10" s="389" t="s">
        <v>1134</v>
      </c>
      <c r="D10" s="389" t="s">
        <v>1240</v>
      </c>
      <c r="E10" s="390" t="s">
        <v>1199</v>
      </c>
      <c r="F10" s="389" t="s">
        <v>1240</v>
      </c>
      <c r="G10" s="275"/>
      <c r="H10" s="275"/>
      <c r="I10" s="275"/>
      <c r="J10" s="275"/>
      <c r="K10" s="275"/>
      <c r="L10" s="275"/>
      <c r="M10" s="275"/>
    </row>
    <row r="11" spans="1:13">
      <c r="C11" s="275"/>
      <c r="D11" s="275"/>
      <c r="E11" s="275" t="s">
        <v>1241</v>
      </c>
      <c r="F11" s="297" t="s">
        <v>1242</v>
      </c>
      <c r="G11" s="275"/>
      <c r="H11" s="275"/>
      <c r="I11" s="275"/>
      <c r="J11" s="275"/>
      <c r="K11" s="275"/>
      <c r="L11" s="275"/>
      <c r="M11" s="275"/>
    </row>
    <row r="12" spans="1:13">
      <c r="A12" s="391">
        <v>1</v>
      </c>
      <c r="B12" s="272" t="s">
        <v>1243</v>
      </c>
      <c r="C12" s="278" t="s">
        <v>1244</v>
      </c>
      <c r="D12" s="280">
        <f>'Act Att-H'!I69</f>
        <v>129007079.01935762</v>
      </c>
      <c r="E12" s="392"/>
      <c r="F12" s="293"/>
      <c r="G12" s="275"/>
      <c r="H12" s="275"/>
      <c r="I12" s="275"/>
      <c r="J12" s="275"/>
      <c r="K12" s="275"/>
      <c r="L12" s="275"/>
      <c r="M12" s="275"/>
    </row>
    <row r="13" spans="1:13">
      <c r="A13" s="393">
        <v>2</v>
      </c>
      <c r="B13" s="272" t="s">
        <v>1245</v>
      </c>
      <c r="C13" s="293" t="s">
        <v>1246</v>
      </c>
      <c r="D13" s="293"/>
      <c r="E13" s="293"/>
      <c r="F13" s="280">
        <f>'Proj Att-H'!I64</f>
        <v>251006532.64261162</v>
      </c>
      <c r="G13" s="275"/>
      <c r="H13" s="275"/>
    </row>
    <row r="14" spans="1:13" ht="15">
      <c r="A14" s="274"/>
      <c r="C14" s="293"/>
      <c r="D14" s="293"/>
      <c r="E14" s="293"/>
      <c r="F14" s="733"/>
      <c r="H14" s="275"/>
    </row>
    <row r="15" spans="1:13" ht="15">
      <c r="A15" s="274"/>
      <c r="B15" s="387" t="s">
        <v>1247</v>
      </c>
      <c r="C15" s="293"/>
      <c r="D15" s="293"/>
      <c r="E15" s="394"/>
      <c r="F15" s="733"/>
      <c r="H15" s="275"/>
    </row>
    <row r="16" spans="1:13">
      <c r="A16" s="393">
        <f>A13+1</f>
        <v>3</v>
      </c>
      <c r="B16" s="293" t="s">
        <v>228</v>
      </c>
      <c r="C16" s="293" t="s">
        <v>1248</v>
      </c>
      <c r="D16" s="280">
        <f>'Act Att-H'!D108</f>
        <v>27590373</v>
      </c>
      <c r="E16" s="64">
        <f>IF($D$12=0,0,D16/$D$12)</f>
        <v>0.21386712426734381</v>
      </c>
      <c r="F16" s="176">
        <f>IFERROR(IF(E$47=E$43,F$13*E16,IF(E$47=E$44,D16*(1+$D$44),D16)),0)</f>
        <v>28280132.324999999</v>
      </c>
      <c r="H16" s="275"/>
      <c r="I16" s="281"/>
    </row>
    <row r="17" spans="1:9">
      <c r="A17" s="300">
        <f>A16+1</f>
        <v>4</v>
      </c>
      <c r="B17" s="293" t="s">
        <v>1090</v>
      </c>
      <c r="C17" s="293" t="s">
        <v>1249</v>
      </c>
      <c r="D17" s="280">
        <f>'Act Att-H'!D109</f>
        <v>551236</v>
      </c>
      <c r="E17" s="64">
        <f t="shared" ref="E17:E27" si="0">IF($D$12=0,0,D17/$D$12)</f>
        <v>4.2729128059498704E-3</v>
      </c>
      <c r="F17" s="176">
        <f t="shared" ref="F17:F19" si="1">IFERROR(IF(E$47=E$43,F$13*E17,IF(E$47=E$44,D17*(1+$D$44),D17)),0)</f>
        <v>565016.89999999991</v>
      </c>
      <c r="H17" s="275"/>
      <c r="I17" s="395"/>
    </row>
    <row r="18" spans="1:9">
      <c r="A18" s="300">
        <f t="shared" ref="A18:A27" si="2">A17+1</f>
        <v>5</v>
      </c>
      <c r="B18" s="293" t="s">
        <v>233</v>
      </c>
      <c r="C18" s="293" t="s">
        <v>1250</v>
      </c>
      <c r="D18" s="280">
        <f>'Act Att-H'!D110</f>
        <v>25993771</v>
      </c>
      <c r="E18" s="64">
        <f t="shared" si="0"/>
        <v>0.20149104372869037</v>
      </c>
      <c r="F18" s="176">
        <f t="shared" si="1"/>
        <v>26643615.274999999</v>
      </c>
      <c r="H18" s="275"/>
      <c r="I18" s="395"/>
    </row>
    <row r="19" spans="1:9">
      <c r="A19" s="300">
        <f t="shared" si="2"/>
        <v>6</v>
      </c>
      <c r="B19" s="293" t="s">
        <v>235</v>
      </c>
      <c r="C19" s="293" t="s">
        <v>1251</v>
      </c>
      <c r="D19" s="280">
        <f>'Act Att-H'!D111</f>
        <v>19215273</v>
      </c>
      <c r="E19" s="64">
        <f t="shared" si="0"/>
        <v>0.14894743099420715</v>
      </c>
      <c r="F19" s="176">
        <f t="shared" si="1"/>
        <v>19695654.824999999</v>
      </c>
      <c r="H19" s="275"/>
      <c r="I19" s="395"/>
    </row>
    <row r="20" spans="1:9">
      <c r="A20" s="300">
        <f t="shared" si="2"/>
        <v>7</v>
      </c>
      <c r="B20" s="70" t="s">
        <v>237</v>
      </c>
      <c r="C20" s="293"/>
      <c r="D20" s="293"/>
      <c r="E20" s="293"/>
      <c r="F20" s="905"/>
      <c r="G20" s="736"/>
      <c r="H20" s="275"/>
      <c r="I20" s="395"/>
    </row>
    <row r="21" spans="1:9">
      <c r="A21" s="300">
        <f t="shared" si="2"/>
        <v>8</v>
      </c>
      <c r="B21" s="293" t="s">
        <v>1252</v>
      </c>
      <c r="C21" s="293" t="s">
        <v>1253</v>
      </c>
      <c r="D21" s="280">
        <f>'Act Att-H'!D113</f>
        <v>1494687</v>
      </c>
      <c r="E21" s="64">
        <f t="shared" si="0"/>
        <v>1.1586085130845579E-2</v>
      </c>
      <c r="F21" s="176">
        <f>IFERROR(IF(E$47=E$43,F$13*E21,IF(E$47=E$44,D21*(1+$D$44),D21)),0)</f>
        <v>1532054.1749999998</v>
      </c>
      <c r="H21" s="275"/>
      <c r="I21" s="395"/>
    </row>
    <row r="22" spans="1:9">
      <c r="A22" s="300">
        <f t="shared" si="2"/>
        <v>9</v>
      </c>
      <c r="B22" s="293" t="s">
        <v>1254</v>
      </c>
      <c r="C22" s="293" t="s">
        <v>1255</v>
      </c>
      <c r="D22" s="280">
        <f>'Act Att-H'!D114</f>
        <v>0</v>
      </c>
      <c r="E22" s="64">
        <f t="shared" si="0"/>
        <v>0</v>
      </c>
      <c r="F22" s="176">
        <f>IFERROR(IF(E$47=E$43,F$13*E22,IF(E$47=E$44,D22*(1+$D$44),D22)),0)</f>
        <v>0</v>
      </c>
      <c r="H22" s="275"/>
      <c r="I22" s="395"/>
    </row>
    <row r="23" spans="1:9">
      <c r="A23" s="300">
        <f t="shared" si="2"/>
        <v>10</v>
      </c>
      <c r="B23" s="293" t="s">
        <v>244</v>
      </c>
      <c r="C23" s="293" t="s">
        <v>1256</v>
      </c>
      <c r="D23" s="280">
        <f>'Act Att-H'!D115</f>
        <v>358954</v>
      </c>
      <c r="E23" s="396"/>
      <c r="F23" s="280">
        <f>D23</f>
        <v>358954</v>
      </c>
      <c r="G23" s="293"/>
      <c r="H23" s="275"/>
      <c r="I23" s="395"/>
    </row>
    <row r="24" spans="1:9">
      <c r="A24" s="300">
        <f t="shared" si="2"/>
        <v>11</v>
      </c>
      <c r="B24" s="293" t="s">
        <v>247</v>
      </c>
      <c r="C24" s="293" t="s">
        <v>1257</v>
      </c>
      <c r="D24" s="280">
        <f>'Act Att-H'!D116</f>
        <v>581481</v>
      </c>
      <c r="E24" s="64">
        <f t="shared" si="0"/>
        <v>4.5073573048867209E-3</v>
      </c>
      <c r="F24" s="176">
        <f>IFERROR(IF(E$47=E$43,F$13*E24,IF(E$47=E$44,D24*(1+$D$44),D24)),0)</f>
        <v>596018.02499999991</v>
      </c>
      <c r="H24" s="275"/>
      <c r="I24" s="395"/>
    </row>
    <row r="25" spans="1:9">
      <c r="A25" s="300" t="s">
        <v>264</v>
      </c>
      <c r="B25" s="293" t="s">
        <v>250</v>
      </c>
      <c r="C25" s="293" t="s">
        <v>1258</v>
      </c>
      <c r="D25" s="280">
        <f>'Act Att-H'!D117</f>
        <v>0</v>
      </c>
      <c r="E25" s="64">
        <f t="shared" si="0"/>
        <v>0</v>
      </c>
      <c r="F25" s="176">
        <f t="shared" ref="F25:F26" si="3">IFERROR(IF(E$47=E$43,F$13*E25,IF(E$47=E$44,D25*(1+$D$44),D25)),0)</f>
        <v>0</v>
      </c>
      <c r="H25" s="275"/>
      <c r="I25" s="395"/>
    </row>
    <row r="26" spans="1:9">
      <c r="A26" s="300">
        <f>A24+1</f>
        <v>12</v>
      </c>
      <c r="B26" s="293" t="s">
        <v>154</v>
      </c>
      <c r="C26" s="293" t="s">
        <v>1259</v>
      </c>
      <c r="D26" s="280">
        <f>'Act Att-H'!D118</f>
        <v>0</v>
      </c>
      <c r="E26" s="64">
        <f t="shared" si="0"/>
        <v>0</v>
      </c>
      <c r="F26" s="176">
        <f t="shared" si="3"/>
        <v>0</v>
      </c>
      <c r="H26" s="275"/>
      <c r="I26" s="397"/>
    </row>
    <row r="27" spans="1:9" ht="13.5" thickBot="1">
      <c r="A27" s="300">
        <f t="shared" si="2"/>
        <v>13</v>
      </c>
      <c r="B27" s="293" t="s">
        <v>253</v>
      </c>
      <c r="C27" s="293" t="s">
        <v>1260</v>
      </c>
      <c r="D27" s="280">
        <f>'Act Att-H'!D119</f>
        <v>0</v>
      </c>
      <c r="E27" s="64">
        <f t="shared" si="0"/>
        <v>0</v>
      </c>
      <c r="F27" s="176">
        <f>IFERROR(IF(E$47=E$43,F$13*E27,IF(E$47=E$44,D27*(1+$D$44),D27)),0)</f>
        <v>0</v>
      </c>
      <c r="H27" s="275"/>
      <c r="I27" s="281"/>
    </row>
    <row r="28" spans="1:9">
      <c r="A28" s="300">
        <f>A27+1</f>
        <v>14</v>
      </c>
      <c r="B28" s="398" t="s">
        <v>1261</v>
      </c>
      <c r="C28" s="398" t="s">
        <v>1262</v>
      </c>
      <c r="D28" s="71">
        <f>+D16-D17-D18+D19-D21+D26+D27+D22+D23-D24+D25</f>
        <v>18543425</v>
      </c>
      <c r="E28" s="71"/>
      <c r="F28" s="71">
        <f>+F16-F17-F18+F19-F21+F25+F26+F27+F22+F23-F24</f>
        <v>18998036.775000002</v>
      </c>
      <c r="H28" s="275"/>
    </row>
    <row r="29" spans="1:9">
      <c r="A29" s="274"/>
      <c r="C29" s="293"/>
      <c r="D29" s="293"/>
      <c r="E29" s="293"/>
      <c r="F29" s="293"/>
      <c r="H29" s="275"/>
    </row>
    <row r="30" spans="1:9">
      <c r="A30" s="274"/>
      <c r="C30" s="293"/>
      <c r="D30" s="293"/>
      <c r="E30" s="293"/>
      <c r="F30" s="293"/>
      <c r="H30" s="275"/>
    </row>
    <row r="31" spans="1:9">
      <c r="A31" s="274"/>
      <c r="B31" s="387" t="s">
        <v>1263</v>
      </c>
      <c r="C31" s="293"/>
      <c r="D31" s="293"/>
      <c r="E31" s="293"/>
      <c r="F31" s="293"/>
      <c r="H31" s="275"/>
    </row>
    <row r="32" spans="1:9">
      <c r="A32" s="274"/>
      <c r="B32" s="274" t="s">
        <v>270</v>
      </c>
      <c r="C32" s="295"/>
      <c r="D32" s="293"/>
      <c r="E32" s="293"/>
      <c r="F32" s="293"/>
      <c r="H32" s="275"/>
    </row>
    <row r="33" spans="1:9">
      <c r="A33" s="393">
        <f>A28+1</f>
        <v>15</v>
      </c>
      <c r="B33" s="274" t="s">
        <v>271</v>
      </c>
      <c r="C33" s="293" t="s">
        <v>1264</v>
      </c>
      <c r="D33" s="280">
        <f>'Act Att-H'!D132</f>
        <v>1074724</v>
      </c>
      <c r="E33" s="64">
        <f t="shared" ref="E33:E39" si="4">IF($D$12=0,0,D33/$D$12)</f>
        <v>8.3307366399539735E-3</v>
      </c>
      <c r="F33" s="176">
        <f>IFERROR(IF(E$47=E$43,F$13*E33,IF(E$47=E$44,D33*(1+$D$44),D33)),0)</f>
        <v>1101592.0999999999</v>
      </c>
      <c r="H33" s="275"/>
    </row>
    <row r="34" spans="1:9">
      <c r="A34" s="393">
        <f>A33+1</f>
        <v>16</v>
      </c>
      <c r="B34" s="274" t="s">
        <v>273</v>
      </c>
      <c r="C34" s="293" t="s">
        <v>1265</v>
      </c>
      <c r="D34" s="280">
        <f>'Act Att-H'!D133</f>
        <v>0</v>
      </c>
      <c r="E34" s="64">
        <f t="shared" si="4"/>
        <v>0</v>
      </c>
      <c r="F34" s="176">
        <f>IFERROR(IF(E$47=E$43,F$13*E34,IF(E$47=E$44,D34*(1+$D$44),D34)),0)</f>
        <v>0</v>
      </c>
      <c r="H34" s="275"/>
    </row>
    <row r="35" spans="1:9">
      <c r="A35" s="393">
        <f t="shared" ref="A35:A40" si="5">A34+1</f>
        <v>17</v>
      </c>
      <c r="B35" s="274" t="s">
        <v>274</v>
      </c>
      <c r="C35" s="293"/>
      <c r="D35" s="401"/>
      <c r="E35" s="64"/>
      <c r="F35" s="906"/>
      <c r="G35" s="737"/>
      <c r="H35" s="275"/>
    </row>
    <row r="36" spans="1:9">
      <c r="A36" s="393">
        <f t="shared" si="5"/>
        <v>18</v>
      </c>
      <c r="B36" s="709" t="s">
        <v>275</v>
      </c>
      <c r="C36" s="293" t="s">
        <v>1266</v>
      </c>
      <c r="D36" s="280">
        <f>'Act Att-H'!D135</f>
        <v>3562001</v>
      </c>
      <c r="E36" s="64">
        <f t="shared" si="4"/>
        <v>2.7610895673915063E-2</v>
      </c>
      <c r="F36" s="176">
        <f>IFERROR(IF(E$47=E$43,F$13*E36,IF(E$47=E$44,D36*(1+$D$44),D36)),0)</f>
        <v>3651051.0249999999</v>
      </c>
      <c r="H36" s="275"/>
    </row>
    <row r="37" spans="1:9">
      <c r="A37" s="393">
        <f t="shared" si="5"/>
        <v>19</v>
      </c>
      <c r="B37" s="274" t="s">
        <v>276</v>
      </c>
      <c r="C37" s="293" t="s">
        <v>1267</v>
      </c>
      <c r="D37" s="280">
        <f>'Act Att-H'!D136</f>
        <v>1651749</v>
      </c>
      <c r="E37" s="64">
        <f t="shared" si="4"/>
        <v>1.2803553204643551E-2</v>
      </c>
      <c r="F37" s="176">
        <f t="shared" ref="F37:F38" si="6">IFERROR(IF(E$47=E$43,F$13*E37,IF(E$47=E$44,D37*(1+$D$44),D37)),0)</f>
        <v>1693042.7249999999</v>
      </c>
      <c r="G37" s="275"/>
      <c r="H37" s="275"/>
    </row>
    <row r="38" spans="1:9">
      <c r="A38" s="393">
        <f t="shared" si="5"/>
        <v>20</v>
      </c>
      <c r="B38" s="274" t="s">
        <v>1268</v>
      </c>
      <c r="C38" s="293" t="s">
        <v>1269</v>
      </c>
      <c r="D38" s="280">
        <f>'Act Att-H'!D137</f>
        <v>0</v>
      </c>
      <c r="E38" s="64">
        <f t="shared" si="4"/>
        <v>0</v>
      </c>
      <c r="F38" s="176">
        <f t="shared" si="6"/>
        <v>0</v>
      </c>
      <c r="G38" s="275"/>
      <c r="H38" s="275"/>
    </row>
    <row r="39" spans="1:9">
      <c r="A39" s="393">
        <f t="shared" si="5"/>
        <v>21</v>
      </c>
      <c r="B39" s="274" t="s">
        <v>1270</v>
      </c>
      <c r="C39" s="293" t="s">
        <v>1271</v>
      </c>
      <c r="D39" s="280">
        <f>'Act Att-H'!D138</f>
        <v>0</v>
      </c>
      <c r="E39" s="64">
        <f t="shared" si="4"/>
        <v>0</v>
      </c>
      <c r="F39" s="176">
        <f>IFERROR(IF(E$47=E$43,F$13*E39,IF(E$47=E$44,D39*(1+$D$44),D39)),0)</f>
        <v>0</v>
      </c>
      <c r="G39" s="275"/>
      <c r="H39" s="275"/>
    </row>
    <row r="40" spans="1:9">
      <c r="A40" s="393">
        <f t="shared" si="5"/>
        <v>22</v>
      </c>
      <c r="B40" s="402" t="s">
        <v>1272</v>
      </c>
      <c r="C40" s="403" t="s">
        <v>1273</v>
      </c>
      <c r="D40" s="404">
        <f>'Act Att-H'!D139</f>
        <v>6288474</v>
      </c>
      <c r="E40" s="400"/>
      <c r="F40" s="399">
        <f>SUM(F33:F39)</f>
        <v>6445685.8499999996</v>
      </c>
      <c r="G40" s="281"/>
      <c r="H40" s="275"/>
    </row>
    <row r="41" spans="1:9">
      <c r="A41" s="393"/>
      <c r="B41" s="276"/>
      <c r="C41" s="869"/>
      <c r="D41" s="401"/>
      <c r="E41" s="870"/>
      <c r="F41" s="281"/>
      <c r="G41" s="281"/>
      <c r="H41" s="275"/>
    </row>
    <row r="42" spans="1:9">
      <c r="A42" s="274"/>
      <c r="B42" s="734"/>
      <c r="C42" s="734"/>
      <c r="D42" s="735"/>
      <c r="E42" s="736"/>
      <c r="F42" s="735"/>
      <c r="G42" s="275"/>
      <c r="H42" s="275"/>
    </row>
    <row r="43" spans="1:9">
      <c r="A43" s="393">
        <v>23</v>
      </c>
      <c r="B43" s="272" t="s">
        <v>1274</v>
      </c>
      <c r="C43" s="405"/>
      <c r="D43" s="903">
        <f>IFERROR(((F13-D12)/D12),0)</f>
        <v>0.945680303364964</v>
      </c>
      <c r="E43" s="405" t="s">
        <v>1275</v>
      </c>
      <c r="F43" s="405"/>
      <c r="I43" s="406"/>
    </row>
    <row r="44" spans="1:9">
      <c r="A44" s="393">
        <v>24</v>
      </c>
      <c r="B44" s="272" t="s">
        <v>1276</v>
      </c>
      <c r="C44" s="405"/>
      <c r="D44" s="903">
        <v>2.5000000000000001E-2</v>
      </c>
      <c r="E44" s="405" t="s">
        <v>1277</v>
      </c>
      <c r="F44" s="405"/>
      <c r="I44" s="406"/>
    </row>
    <row r="45" spans="1:9">
      <c r="A45" s="393">
        <v>25</v>
      </c>
      <c r="B45" s="272" t="s">
        <v>1278</v>
      </c>
      <c r="C45" s="405"/>
      <c r="D45" s="904">
        <v>0</v>
      </c>
      <c r="E45" s="405" t="s">
        <v>1279</v>
      </c>
      <c r="F45" s="405"/>
      <c r="I45" s="406"/>
    </row>
    <row r="46" spans="1:9">
      <c r="A46" s="393">
        <v>26</v>
      </c>
      <c r="C46" s="405"/>
      <c r="D46" s="405"/>
      <c r="E46" s="405"/>
      <c r="F46" s="405"/>
      <c r="I46" s="406"/>
    </row>
    <row r="47" spans="1:9">
      <c r="A47" s="393">
        <v>27</v>
      </c>
      <c r="C47" s="405"/>
      <c r="D47" s="405" t="s">
        <v>1280</v>
      </c>
      <c r="E47" s="405" t="str">
        <f>IF(D43&gt;D44,E44,IF(D43&lt;D45,E45,E44))</f>
        <v>Use Maximum Percentage Change</v>
      </c>
      <c r="F47" s="405"/>
      <c r="I47" s="406"/>
    </row>
    <row r="48" spans="1:9">
      <c r="C48" s="405"/>
      <c r="D48" s="405"/>
      <c r="E48" s="405"/>
      <c r="F48" s="405"/>
      <c r="I48" s="406"/>
    </row>
    <row r="49" spans="1:9">
      <c r="C49" s="405"/>
      <c r="D49" s="405"/>
      <c r="E49" s="405"/>
      <c r="F49" s="405"/>
      <c r="I49" s="406"/>
    </row>
    <row r="50" spans="1:9">
      <c r="C50" s="405"/>
      <c r="D50" s="405"/>
      <c r="E50" s="405"/>
      <c r="F50" s="405"/>
      <c r="I50" s="406"/>
    </row>
    <row r="51" spans="1:9">
      <c r="A51" s="276"/>
      <c r="B51" s="407"/>
      <c r="C51" s="278"/>
      <c r="D51" s="408"/>
      <c r="E51" s="409"/>
      <c r="F51" s="410"/>
      <c r="G51" s="278"/>
      <c r="H51" s="411"/>
    </row>
    <row r="52" spans="1:9">
      <c r="A52" s="276"/>
      <c r="B52" s="278"/>
      <c r="C52" s="278"/>
      <c r="D52" s="278"/>
      <c r="E52" s="278"/>
      <c r="F52" s="278"/>
      <c r="G52" s="278"/>
      <c r="H52" s="278"/>
    </row>
    <row r="53" spans="1:9">
      <c r="A53" s="276"/>
      <c r="B53" s="407"/>
      <c r="C53" s="278"/>
      <c r="D53" s="397"/>
      <c r="E53" s="409"/>
      <c r="F53" s="410"/>
      <c r="G53" s="278"/>
      <c r="H53" s="411"/>
    </row>
    <row r="54" spans="1:9">
      <c r="A54" s="276"/>
      <c r="B54" s="407"/>
      <c r="C54" s="278"/>
      <c r="D54" s="397"/>
      <c r="E54" s="278"/>
      <c r="F54" s="412"/>
      <c r="G54" s="278"/>
      <c r="H54" s="411"/>
    </row>
    <row r="55" spans="1:9">
      <c r="A55" s="275"/>
      <c r="B55" s="407"/>
      <c r="C55" s="278"/>
      <c r="D55" s="397"/>
      <c r="E55" s="278"/>
      <c r="F55" s="412"/>
      <c r="G55" s="278"/>
      <c r="H55" s="411"/>
    </row>
    <row r="56" spans="1:9">
      <c r="B56" s="407"/>
      <c r="C56" s="278"/>
      <c r="D56" s="397"/>
      <c r="E56" s="278"/>
      <c r="F56" s="412"/>
      <c r="G56" s="278"/>
      <c r="H56" s="411"/>
    </row>
    <row r="57" spans="1:9">
      <c r="B57" s="407"/>
      <c r="C57" s="278"/>
      <c r="D57" s="397"/>
      <c r="E57" s="278"/>
      <c r="F57" s="412"/>
      <c r="G57" s="278"/>
      <c r="H57" s="411"/>
    </row>
    <row r="58" spans="1:9">
      <c r="B58" s="407"/>
      <c r="C58" s="278"/>
      <c r="D58" s="411"/>
      <c r="E58" s="278"/>
      <c r="F58" s="412"/>
      <c r="G58" s="278"/>
      <c r="H58" s="411"/>
    </row>
    <row r="59" spans="1:9">
      <c r="B59" s="407"/>
      <c r="C59" s="278"/>
      <c r="D59" s="397"/>
      <c r="E59" s="278"/>
      <c r="F59" s="412"/>
      <c r="G59" s="278"/>
      <c r="H59" s="411"/>
    </row>
    <row r="60" spans="1:9">
      <c r="B60" s="407"/>
      <c r="C60" s="278"/>
      <c r="D60" s="397"/>
      <c r="E60" s="278"/>
      <c r="F60" s="412"/>
      <c r="G60" s="278"/>
      <c r="H60" s="411"/>
    </row>
    <row r="61" spans="1:9">
      <c r="B61" s="407"/>
      <c r="C61" s="278"/>
      <c r="D61" s="397"/>
      <c r="E61" s="278"/>
      <c r="F61" s="412"/>
      <c r="G61" s="278"/>
      <c r="H61" s="411"/>
    </row>
    <row r="62" spans="1:9">
      <c r="B62" s="407"/>
      <c r="C62" s="278"/>
      <c r="D62" s="397"/>
      <c r="E62" s="278"/>
      <c r="F62" s="412"/>
      <c r="G62" s="278"/>
      <c r="H62" s="411"/>
    </row>
    <row r="63" spans="1:9">
      <c r="B63" s="407"/>
      <c r="C63" s="278"/>
      <c r="D63" s="411"/>
      <c r="E63" s="278"/>
      <c r="F63" s="412"/>
      <c r="G63" s="278"/>
      <c r="H63" s="411"/>
    </row>
    <row r="64" spans="1:9">
      <c r="B64" s="407"/>
      <c r="C64" s="278"/>
      <c r="D64" s="413"/>
      <c r="E64" s="278"/>
      <c r="F64" s="412"/>
      <c r="G64" s="278"/>
      <c r="H64" s="411"/>
    </row>
    <row r="65" spans="2:8">
      <c r="B65" s="414"/>
      <c r="C65" s="278"/>
      <c r="D65" s="397"/>
      <c r="E65" s="278"/>
      <c r="F65" s="412"/>
      <c r="G65" s="278"/>
      <c r="H65" s="411"/>
    </row>
    <row r="66" spans="2:8">
      <c r="B66" s="414"/>
      <c r="C66" s="278"/>
      <c r="D66" s="413"/>
      <c r="E66" s="278"/>
      <c r="F66" s="412"/>
      <c r="G66" s="278"/>
      <c r="H66" s="411"/>
    </row>
    <row r="67" spans="2:8">
      <c r="B67" s="414"/>
      <c r="C67" s="278"/>
      <c r="D67" s="413"/>
      <c r="E67" s="278"/>
      <c r="F67" s="412"/>
      <c r="G67" s="278"/>
      <c r="H67" s="411"/>
    </row>
    <row r="68" spans="2:8">
      <c r="B68" s="414"/>
      <c r="C68" s="278"/>
      <c r="D68" s="397"/>
      <c r="E68" s="278"/>
      <c r="F68" s="412"/>
      <c r="G68" s="278"/>
      <c r="H68" s="411"/>
    </row>
    <row r="69" spans="2:8">
      <c r="B69" s="407"/>
      <c r="C69" s="278"/>
      <c r="D69" s="278"/>
      <c r="E69" s="278"/>
      <c r="F69" s="412"/>
      <c r="G69" s="278"/>
      <c r="H69" s="411"/>
    </row>
    <row r="70" spans="2:8">
      <c r="B70" s="407"/>
      <c r="C70" s="278"/>
      <c r="D70" s="278"/>
      <c r="E70" s="278"/>
      <c r="F70" s="278"/>
      <c r="G70" s="278"/>
      <c r="H70" s="411"/>
    </row>
    <row r="71" spans="2:8">
      <c r="B71" s="407"/>
      <c r="C71" s="278"/>
      <c r="D71" s="278"/>
      <c r="E71" s="278"/>
      <c r="F71" s="278"/>
      <c r="G71" s="278"/>
      <c r="H71" s="411"/>
    </row>
    <row r="72" spans="2:8">
      <c r="B72" s="407"/>
      <c r="C72" s="278"/>
      <c r="D72" s="278"/>
      <c r="E72" s="278"/>
      <c r="F72" s="278"/>
      <c r="G72" s="278"/>
      <c r="H72" s="411"/>
    </row>
    <row r="73" spans="2:8">
      <c r="B73" s="407"/>
      <c r="C73" s="278"/>
      <c r="D73" s="278"/>
      <c r="E73" s="278"/>
      <c r="F73" s="278"/>
      <c r="G73" s="278"/>
      <c r="H73" s="411"/>
    </row>
    <row r="74" spans="2:8">
      <c r="B74" s="414"/>
      <c r="C74" s="278"/>
      <c r="D74" s="411"/>
      <c r="E74" s="278"/>
      <c r="F74" s="412"/>
      <c r="G74" s="278"/>
      <c r="H74" s="411"/>
    </row>
    <row r="75" spans="2:8">
      <c r="B75" s="414"/>
      <c r="C75" s="278"/>
      <c r="D75" s="411"/>
      <c r="E75" s="278"/>
      <c r="F75" s="278"/>
      <c r="G75" s="278"/>
      <c r="H75" s="411"/>
    </row>
  </sheetData>
  <mergeCells count="3">
    <mergeCell ref="A1:F1"/>
    <mergeCell ref="A2:F2"/>
    <mergeCell ref="A3:F3"/>
  </mergeCells>
  <printOptions horizontalCentered="1"/>
  <pageMargins left="0.25" right="0.25" top="0.25" bottom="0.25" header="0.5" footer="0.5"/>
  <pageSetup scale="96" orientation="landscape" r:id="rId1"/>
  <headerFooter alignWithMargins="0"/>
  <ignoredErrors>
    <ignoredError sqref="B6:F6" numberStoredAsText="1"/>
    <ignoredError sqref="F13:F15 D12:D19 D33:D40 D26:D27 F23 D21:D24"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8" tint="0.59999389629810485"/>
    <pageSetUpPr fitToPage="1"/>
  </sheetPr>
  <dimension ref="A1:O35"/>
  <sheetViews>
    <sheetView workbookViewId="0">
      <selection sqref="A1:G1"/>
    </sheetView>
  </sheetViews>
  <sheetFormatPr defaultColWidth="8.77734375" defaultRowHeight="12.75"/>
  <cols>
    <col min="1" max="1" width="5.21875" style="272" customWidth="1"/>
    <col min="2" max="2" width="15.109375" style="272" customWidth="1"/>
    <col min="3" max="3" width="19.109375" style="272" bestFit="1" customWidth="1"/>
    <col min="4" max="4" width="17.109375" style="272" customWidth="1"/>
    <col min="5" max="5" width="17.44140625" style="272" customWidth="1"/>
    <col min="6" max="6" width="13.77734375" style="272" customWidth="1"/>
    <col min="7" max="7" width="12.5546875" style="272" customWidth="1"/>
    <col min="8" max="8" width="7" style="272" customWidth="1"/>
    <col min="9" max="9" width="7.77734375" style="272" bestFit="1" customWidth="1"/>
    <col min="10" max="10" width="2.21875" style="272" customWidth="1"/>
    <col min="11" max="11" width="6.77734375" style="272" customWidth="1"/>
    <col min="12" max="16384" width="8.77734375" style="272"/>
  </cols>
  <sheetData>
    <row r="1" spans="1:14">
      <c r="A1" s="998" t="s">
        <v>1281</v>
      </c>
      <c r="B1" s="998"/>
      <c r="C1" s="998"/>
      <c r="D1" s="998"/>
      <c r="E1" s="998"/>
      <c r="F1" s="998"/>
      <c r="G1" s="998"/>
    </row>
    <row r="2" spans="1:14">
      <c r="A2" s="998" t="s">
        <v>1282</v>
      </c>
      <c r="B2" s="998"/>
      <c r="C2" s="998"/>
      <c r="D2" s="998"/>
      <c r="E2" s="998"/>
      <c r="F2" s="998"/>
      <c r="G2" s="998"/>
    </row>
    <row r="3" spans="1:14">
      <c r="A3" s="998" t="str">
        <f>'P1-Trans Plant'!B3</f>
        <v>Cheyenne Light, Fuel &amp; Power</v>
      </c>
      <c r="B3" s="998"/>
      <c r="C3" s="998"/>
      <c r="D3" s="998"/>
      <c r="E3" s="998"/>
      <c r="F3" s="998"/>
      <c r="G3" s="998"/>
    </row>
    <row r="4" spans="1:14">
      <c r="A4" s="293"/>
      <c r="B4" s="293"/>
      <c r="C4" s="293"/>
      <c r="D4" s="293"/>
      <c r="E4" s="293"/>
      <c r="F4" s="293"/>
      <c r="G4" s="382" t="s">
        <v>3</v>
      </c>
    </row>
    <row r="5" spans="1:14">
      <c r="A5" s="298" t="s">
        <v>622</v>
      </c>
      <c r="B5" s="293"/>
      <c r="C5" s="293"/>
      <c r="D5" s="293"/>
      <c r="E5" s="293"/>
      <c r="F5" s="293"/>
      <c r="G5" s="293"/>
    </row>
    <row r="6" spans="1:14">
      <c r="A6" s="299"/>
      <c r="B6" s="293"/>
      <c r="C6" s="293"/>
      <c r="D6" s="293"/>
      <c r="E6" s="293"/>
      <c r="F6" s="293"/>
      <c r="G6" s="293"/>
    </row>
    <row r="7" spans="1:14" ht="15" customHeight="1">
      <c r="A7" s="300">
        <v>1</v>
      </c>
      <c r="B7" s="293" t="s">
        <v>1283</v>
      </c>
      <c r="C7" s="293"/>
      <c r="D7" s="293"/>
      <c r="E7" s="293"/>
      <c r="F7" s="293"/>
      <c r="G7" s="293"/>
      <c r="I7" s="506"/>
      <c r="J7" s="293"/>
      <c r="K7" s="506"/>
      <c r="L7" s="293"/>
      <c r="M7" s="507"/>
      <c r="N7" s="293"/>
    </row>
    <row r="8" spans="1:14">
      <c r="A8" s="293"/>
      <c r="B8" s="293"/>
      <c r="C8" s="293"/>
      <c r="D8" s="293"/>
      <c r="E8" s="293"/>
      <c r="F8" s="293"/>
      <c r="G8" s="293"/>
    </row>
    <row r="9" spans="1:14">
      <c r="A9" s="293"/>
      <c r="B9" s="508" t="s">
        <v>1206</v>
      </c>
      <c r="C9" s="509" t="s">
        <v>1207</v>
      </c>
      <c r="D9" s="508" t="s">
        <v>1208</v>
      </c>
      <c r="E9" s="508" t="s">
        <v>1209</v>
      </c>
      <c r="F9" s="508" t="s">
        <v>1210</v>
      </c>
      <c r="G9" s="508" t="s">
        <v>1211</v>
      </c>
    </row>
    <row r="10" spans="1:14" ht="92.25" customHeight="1">
      <c r="A10" s="293"/>
      <c r="B10" s="301" t="s">
        <v>744</v>
      </c>
      <c r="C10" s="301" t="s">
        <v>1284</v>
      </c>
      <c r="D10" s="302" t="s">
        <v>1285</v>
      </c>
      <c r="E10" s="302" t="s">
        <v>1286</v>
      </c>
      <c r="F10" s="301" t="s">
        <v>1287</v>
      </c>
      <c r="G10" s="301" t="s">
        <v>1288</v>
      </c>
    </row>
    <row r="11" spans="1:14">
      <c r="A11" s="300">
        <v>2</v>
      </c>
      <c r="B11" s="510" t="s">
        <v>762</v>
      </c>
      <c r="C11" s="511"/>
      <c r="D11" s="511"/>
      <c r="E11" s="512"/>
      <c r="F11" s="513"/>
      <c r="G11" s="514">
        <f t="shared" ref="G11:G18" si="0">F11</f>
        <v>0</v>
      </c>
      <c r="I11" s="515"/>
    </row>
    <row r="12" spans="1:14">
      <c r="A12" s="300">
        <v>3</v>
      </c>
      <c r="B12" s="510" t="s">
        <v>763</v>
      </c>
      <c r="C12" s="516"/>
      <c r="D12" s="516"/>
      <c r="E12" s="517"/>
      <c r="F12" s="513"/>
      <c r="G12" s="514">
        <f t="shared" si="0"/>
        <v>0</v>
      </c>
    </row>
    <row r="13" spans="1:14">
      <c r="A13" s="300">
        <v>4</v>
      </c>
      <c r="B13" s="510" t="s">
        <v>892</v>
      </c>
      <c r="C13" s="516"/>
      <c r="D13" s="516"/>
      <c r="E13" s="517"/>
      <c r="F13" s="513"/>
      <c r="G13" s="514">
        <f t="shared" si="0"/>
        <v>0</v>
      </c>
    </row>
    <row r="14" spans="1:14">
      <c r="A14" s="300">
        <v>5</v>
      </c>
      <c r="B14" s="510" t="s">
        <v>765</v>
      </c>
      <c r="C14" s="516"/>
      <c r="D14" s="516"/>
      <c r="E14" s="517"/>
      <c r="F14" s="513"/>
      <c r="G14" s="514">
        <f t="shared" si="0"/>
        <v>0</v>
      </c>
    </row>
    <row r="15" spans="1:14">
      <c r="A15" s="300">
        <v>6</v>
      </c>
      <c r="B15" s="510" t="s">
        <v>766</v>
      </c>
      <c r="C15" s="516"/>
      <c r="D15" s="516"/>
      <c r="E15" s="517"/>
      <c r="F15" s="513"/>
      <c r="G15" s="514">
        <f t="shared" si="0"/>
        <v>0</v>
      </c>
    </row>
    <row r="16" spans="1:14">
      <c r="A16" s="300">
        <v>7</v>
      </c>
      <c r="B16" s="510" t="s">
        <v>18</v>
      </c>
      <c r="C16" s="516"/>
      <c r="D16" s="516"/>
      <c r="E16" s="517"/>
      <c r="F16" s="513"/>
      <c r="G16" s="514">
        <f t="shared" si="0"/>
        <v>0</v>
      </c>
    </row>
    <row r="17" spans="1:15">
      <c r="A17" s="300">
        <v>8</v>
      </c>
      <c r="B17" s="510" t="s">
        <v>767</v>
      </c>
      <c r="C17" s="516"/>
      <c r="D17" s="516"/>
      <c r="E17" s="517"/>
      <c r="F17" s="513"/>
      <c r="G17" s="514">
        <f t="shared" si="0"/>
        <v>0</v>
      </c>
    </row>
    <row r="18" spans="1:15">
      <c r="A18" s="300">
        <v>9</v>
      </c>
      <c r="B18" s="510" t="s">
        <v>893</v>
      </c>
      <c r="C18" s="518"/>
      <c r="D18" s="518"/>
      <c r="E18" s="519"/>
      <c r="F18" s="513"/>
      <c r="G18" s="514">
        <f t="shared" si="0"/>
        <v>0</v>
      </c>
      <c r="I18" s="520"/>
    </row>
    <row r="19" spans="1:15">
      <c r="A19" s="300">
        <v>10</v>
      </c>
      <c r="B19" s="521" t="s">
        <v>769</v>
      </c>
      <c r="C19" s="522">
        <f>'A6-Divisor'!G16</f>
        <v>1.0422230241789967</v>
      </c>
      <c r="D19" s="523">
        <f>IFERROR(AVERAGE($F$11:$F$18),0)</f>
        <v>0</v>
      </c>
      <c r="E19" s="524">
        <f>C19*D19</f>
        <v>0</v>
      </c>
      <c r="F19" s="512"/>
      <c r="G19" s="525">
        <f>E19</f>
        <v>0</v>
      </c>
    </row>
    <row r="20" spans="1:15">
      <c r="A20" s="300">
        <v>11</v>
      </c>
      <c r="B20" s="521" t="s">
        <v>770</v>
      </c>
      <c r="C20" s="522">
        <f>'A6-Divisor'!G17</f>
        <v>1.0393359797906894</v>
      </c>
      <c r="D20" s="523">
        <f>IFERROR(AVERAGE($F$11:$F$18),0)</f>
        <v>0</v>
      </c>
      <c r="E20" s="524">
        <f>C20*D20</f>
        <v>0</v>
      </c>
      <c r="F20" s="517"/>
      <c r="G20" s="525">
        <f>E20</f>
        <v>0</v>
      </c>
    </row>
    <row r="21" spans="1:15">
      <c r="A21" s="300">
        <v>12</v>
      </c>
      <c r="B21" s="521" t="s">
        <v>771</v>
      </c>
      <c r="C21" s="522">
        <f>'A6-Divisor'!G18</f>
        <v>1.0826416456153014</v>
      </c>
      <c r="D21" s="523">
        <f>IFERROR(AVERAGE($F$11:$F$18),0)</f>
        <v>0</v>
      </c>
      <c r="E21" s="524">
        <f>C21*D21</f>
        <v>0</v>
      </c>
      <c r="F21" s="517"/>
      <c r="G21" s="525">
        <f>E21</f>
        <v>0</v>
      </c>
    </row>
    <row r="22" spans="1:15">
      <c r="A22" s="300">
        <v>13</v>
      </c>
      <c r="B22" s="521" t="s">
        <v>894</v>
      </c>
      <c r="C22" s="522">
        <f>'A6-Divisor'!G19</f>
        <v>1.0710934680620714</v>
      </c>
      <c r="D22" s="523">
        <f>IFERROR(AVERAGE($F$11:$F$18),0)</f>
        <v>0</v>
      </c>
      <c r="E22" s="524">
        <f>C22*D22</f>
        <v>0</v>
      </c>
      <c r="F22" s="517"/>
      <c r="G22" s="525">
        <f>E22</f>
        <v>0</v>
      </c>
    </row>
    <row r="23" spans="1:15">
      <c r="A23" s="300">
        <v>14</v>
      </c>
      <c r="B23" s="526" t="s">
        <v>91</v>
      </c>
      <c r="C23" s="527"/>
      <c r="D23" s="528"/>
      <c r="E23" s="528"/>
      <c r="F23" s="527"/>
      <c r="G23" s="529">
        <f>SUM(G11:G22)</f>
        <v>0</v>
      </c>
      <c r="L23" s="274"/>
    </row>
    <row r="24" spans="1:15">
      <c r="A24" s="300">
        <v>15</v>
      </c>
      <c r="B24" s="526" t="s">
        <v>895</v>
      </c>
      <c r="C24" s="527"/>
      <c r="D24" s="528"/>
      <c r="E24" s="528"/>
      <c r="F24" s="527"/>
      <c r="G24" s="530">
        <f>G23/12</f>
        <v>0</v>
      </c>
    </row>
    <row r="25" spans="1:15">
      <c r="A25" s="293"/>
      <c r="B25" s="293"/>
      <c r="C25" s="293"/>
      <c r="D25" s="293"/>
      <c r="E25" s="293"/>
      <c r="F25" s="293"/>
      <c r="G25" s="293"/>
    </row>
    <row r="26" spans="1:15">
      <c r="A26" s="293"/>
      <c r="B26" s="293"/>
      <c r="C26" s="293"/>
      <c r="D26" s="293"/>
      <c r="E26" s="293"/>
      <c r="F26" s="293"/>
      <c r="G26" s="293"/>
    </row>
    <row r="27" spans="1:15" ht="30" customHeight="1">
      <c r="A27" s="531" t="s">
        <v>1289</v>
      </c>
      <c r="B27" s="999" t="s">
        <v>1290</v>
      </c>
      <c r="C27" s="1000"/>
      <c r="D27" s="1000"/>
      <c r="E27" s="1000"/>
      <c r="F27" s="1000"/>
      <c r="G27" s="1000"/>
      <c r="H27" s="532"/>
      <c r="I27" s="532"/>
      <c r="J27" s="532"/>
      <c r="K27" s="532"/>
      <c r="L27" s="532"/>
      <c r="M27" s="532"/>
      <c r="N27" s="532"/>
      <c r="O27" s="532"/>
    </row>
    <row r="28" spans="1:15">
      <c r="A28" s="293"/>
      <c r="B28" s="533" t="s">
        <v>1291</v>
      </c>
      <c r="C28" s="534"/>
      <c r="D28" s="534"/>
      <c r="E28" s="534"/>
      <c r="F28" s="534"/>
      <c r="G28" s="534"/>
      <c r="H28" s="535"/>
      <c r="I28" s="535"/>
    </row>
    <row r="29" spans="1:15">
      <c r="A29" s="293"/>
      <c r="B29" s="295" t="s">
        <v>1292</v>
      </c>
      <c r="C29" s="534"/>
      <c r="D29" s="534"/>
      <c r="E29" s="534"/>
      <c r="F29" s="534"/>
      <c r="G29" s="534"/>
      <c r="H29" s="535"/>
      <c r="I29" s="535"/>
    </row>
    <row r="30" spans="1:15" ht="17.25" customHeight="1">
      <c r="A30" s="293"/>
      <c r="B30" s="1001" t="s">
        <v>1293</v>
      </c>
      <c r="C30" s="1002"/>
      <c r="D30" s="1002"/>
      <c r="E30" s="1002"/>
      <c r="F30" s="1002"/>
      <c r="G30" s="1002"/>
    </row>
    <row r="35" spans="2:4" ht="13.5">
      <c r="B35" s="293"/>
      <c r="C35" s="536"/>
      <c r="D35" s="293"/>
    </row>
  </sheetData>
  <mergeCells count="5">
    <mergeCell ref="B27:G27"/>
    <mergeCell ref="B30:G30"/>
    <mergeCell ref="A1:G1"/>
    <mergeCell ref="A2:G2"/>
    <mergeCell ref="A3:G3"/>
  </mergeCells>
  <printOptions horizontalCentered="1"/>
  <pageMargins left="0.75" right="0.75" top="1" bottom="1" header="0.5" footer="0.5"/>
  <pageSetup scale="74" orientation="portrait" r:id="rId1"/>
  <headerFooter alignWithMargins="0"/>
  <ignoredErrors>
    <ignoredError sqref="C23:G24 C19 E19:G19 C20 E20:G20 C21 E21:G21 C22 E22:G22"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8" tint="0.59999389629810485"/>
    <pageSetUpPr fitToPage="1"/>
  </sheetPr>
  <dimension ref="A1:S140"/>
  <sheetViews>
    <sheetView workbookViewId="0">
      <selection sqref="A1:O1"/>
    </sheetView>
  </sheetViews>
  <sheetFormatPr defaultColWidth="8.77734375" defaultRowHeight="15"/>
  <cols>
    <col min="1" max="1" width="5.77734375" style="1" customWidth="1"/>
    <col min="2" max="2" width="9.77734375" style="26" customWidth="1"/>
    <col min="3" max="6" width="12.77734375" style="2" customWidth="1"/>
    <col min="7" max="7" width="3" style="26" customWidth="1"/>
    <col min="8" max="8" width="15" style="2" customWidth="1"/>
    <col min="9" max="11" width="12.77734375" style="2" customWidth="1"/>
    <col min="12" max="12" width="15.21875" style="2" bestFit="1" customWidth="1"/>
    <col min="13" max="15" width="12.77734375" style="2" customWidth="1"/>
    <col min="16" max="16" width="10.77734375" style="2" customWidth="1"/>
    <col min="17" max="17" width="8.77734375" style="4"/>
    <col min="18" max="16384" width="8.77734375" style="2"/>
  </cols>
  <sheetData>
    <row r="1" spans="1:19">
      <c r="A1" s="944" t="s">
        <v>71</v>
      </c>
      <c r="B1" s="944"/>
      <c r="C1" s="944"/>
      <c r="D1" s="944"/>
      <c r="E1" s="944"/>
      <c r="F1" s="944"/>
      <c r="G1" s="944"/>
      <c r="H1" s="944"/>
      <c r="I1" s="944"/>
      <c r="J1" s="944"/>
      <c r="K1" s="944"/>
      <c r="L1" s="944"/>
      <c r="M1" s="944"/>
      <c r="N1" s="944"/>
      <c r="O1" s="944"/>
    </row>
    <row r="2" spans="1:19">
      <c r="A2" s="976" t="s">
        <v>1294</v>
      </c>
      <c r="B2" s="976"/>
      <c r="C2" s="976"/>
      <c r="D2" s="976"/>
      <c r="E2" s="976"/>
      <c r="F2" s="976"/>
      <c r="G2" s="976"/>
      <c r="H2" s="976"/>
      <c r="I2" s="976"/>
      <c r="J2" s="976"/>
      <c r="K2" s="976"/>
      <c r="L2" s="976"/>
      <c r="M2" s="976"/>
      <c r="N2" s="976"/>
      <c r="O2" s="976"/>
    </row>
    <row r="3" spans="1:19">
      <c r="A3" s="977" t="str">
        <f>'Act Att-H'!C7</f>
        <v>Cheyenne Light, Fuel &amp; Power</v>
      </c>
      <c r="B3" s="977"/>
      <c r="C3" s="977"/>
      <c r="D3" s="977"/>
      <c r="E3" s="977"/>
      <c r="F3" s="977"/>
      <c r="G3" s="977"/>
      <c r="H3" s="977"/>
      <c r="I3" s="977"/>
      <c r="J3" s="977"/>
      <c r="K3" s="977"/>
      <c r="L3" s="977"/>
      <c r="M3" s="977"/>
      <c r="N3" s="977"/>
      <c r="O3" s="977"/>
    </row>
    <row r="4" spans="1:19">
      <c r="A4" s="5"/>
      <c r="C4" s="3"/>
      <c r="D4" s="3"/>
      <c r="E4" s="3"/>
      <c r="F4" s="3"/>
      <c r="G4" s="339"/>
      <c r="H4" s="3"/>
      <c r="I4" s="3"/>
      <c r="J4" s="3"/>
      <c r="O4" s="6" t="s">
        <v>3</v>
      </c>
    </row>
    <row r="5" spans="1:19" ht="15" customHeight="1">
      <c r="A5" s="43"/>
      <c r="C5" s="45"/>
      <c r="D5" s="45"/>
      <c r="E5" s="45"/>
      <c r="F5" s="45"/>
      <c r="G5" s="340"/>
    </row>
    <row r="6" spans="1:19" s="309" customFormat="1">
      <c r="A6" s="343" t="s">
        <v>83</v>
      </c>
      <c r="G6" s="318"/>
      <c r="H6" s="351" t="s">
        <v>900</v>
      </c>
      <c r="I6" s="588" t="s">
        <v>582</v>
      </c>
      <c r="P6" s="2"/>
      <c r="Q6" s="4"/>
      <c r="R6" s="2"/>
      <c r="S6" s="2"/>
    </row>
    <row r="7" spans="1:19" s="309" customFormat="1">
      <c r="A7" s="341">
        <v>1</v>
      </c>
      <c r="B7" s="318"/>
      <c r="C7" s="1003"/>
      <c r="D7" s="1003"/>
      <c r="E7" s="1003"/>
      <c r="F7" s="1003"/>
      <c r="G7" s="318"/>
      <c r="H7" s="310" t="s">
        <v>902</v>
      </c>
      <c r="I7" s="331"/>
      <c r="J7" s="331"/>
      <c r="K7" s="357"/>
      <c r="L7" s="310" t="s">
        <v>902</v>
      </c>
      <c r="M7" s="331"/>
      <c r="N7" s="331"/>
      <c r="O7" s="357"/>
      <c r="P7" s="2"/>
      <c r="Q7" s="4"/>
      <c r="R7" s="2"/>
      <c r="S7" s="2"/>
    </row>
    <row r="8" spans="1:19" s="309" customFormat="1">
      <c r="A8" s="341">
        <f>A7+1</f>
        <v>2</v>
      </c>
      <c r="G8" s="318"/>
      <c r="H8" s="311" t="s">
        <v>903</v>
      </c>
      <c r="I8" s="332"/>
      <c r="J8" s="332"/>
      <c r="K8" s="312"/>
      <c r="L8" s="311" t="s">
        <v>903</v>
      </c>
      <c r="M8" s="332"/>
      <c r="N8" s="332"/>
      <c r="O8" s="312"/>
      <c r="P8" s="2"/>
      <c r="Q8" s="4"/>
      <c r="R8" s="2"/>
      <c r="S8" s="2"/>
    </row>
    <row r="9" spans="1:19" s="309" customFormat="1">
      <c r="A9" s="341">
        <f t="shared" ref="A9:A14" si="0">A8+1</f>
        <v>3</v>
      </c>
      <c r="B9" s="318"/>
      <c r="C9" s="1003"/>
      <c r="D9" s="1003"/>
      <c r="E9" s="1003"/>
      <c r="F9" s="1003"/>
      <c r="G9" s="318"/>
      <c r="H9" s="311" t="s">
        <v>1295</v>
      </c>
      <c r="I9" s="333"/>
      <c r="J9" s="333"/>
      <c r="K9" s="312" t="s">
        <v>590</v>
      </c>
      <c r="L9" s="311" t="s">
        <v>1295</v>
      </c>
      <c r="M9" s="333"/>
      <c r="N9" s="333"/>
      <c r="O9" s="312" t="s">
        <v>590</v>
      </c>
      <c r="P9" s="2"/>
      <c r="Q9" s="4"/>
      <c r="R9" s="2"/>
      <c r="S9" s="2"/>
    </row>
    <row r="10" spans="1:19" s="309" customFormat="1">
      <c r="A10" s="341">
        <f t="shared" si="0"/>
        <v>4</v>
      </c>
      <c r="G10" s="318"/>
      <c r="H10" s="311" t="s">
        <v>905</v>
      </c>
      <c r="I10" s="333"/>
      <c r="J10" s="333"/>
      <c r="K10" s="312" t="s">
        <v>591</v>
      </c>
      <c r="L10" s="311" t="s">
        <v>905</v>
      </c>
      <c r="M10" s="333"/>
      <c r="N10" s="333"/>
      <c r="O10" s="312" t="s">
        <v>591</v>
      </c>
      <c r="P10" s="2"/>
      <c r="Q10" s="4"/>
      <c r="R10" s="2"/>
      <c r="S10" s="2"/>
    </row>
    <row r="11" spans="1:19" s="309" customFormat="1">
      <c r="A11" s="341">
        <f t="shared" si="0"/>
        <v>5</v>
      </c>
      <c r="B11" s="318"/>
      <c r="C11" s="1003"/>
      <c r="D11" s="1003"/>
      <c r="E11" s="1003"/>
      <c r="F11" s="1003"/>
      <c r="G11" s="318"/>
      <c r="H11" s="311" t="s">
        <v>906</v>
      </c>
      <c r="I11" s="313">
        <f>I10*'Act Att-H'!E230</f>
        <v>0</v>
      </c>
      <c r="J11" s="313"/>
      <c r="K11" s="312"/>
      <c r="L11" s="311" t="s">
        <v>906</v>
      </c>
      <c r="M11" s="313">
        <f>M10*'Act Att-H'!E230</f>
        <v>0</v>
      </c>
      <c r="N11" s="313"/>
      <c r="O11" s="312"/>
      <c r="P11" s="2"/>
      <c r="Q11" s="4"/>
      <c r="R11" s="2"/>
      <c r="S11" s="2"/>
    </row>
    <row r="12" spans="1:19" s="309" customFormat="1">
      <c r="A12" s="341">
        <f t="shared" si="0"/>
        <v>6</v>
      </c>
      <c r="G12" s="318"/>
      <c r="H12" s="311" t="s">
        <v>907</v>
      </c>
      <c r="I12" s="335"/>
      <c r="J12" s="335"/>
      <c r="K12" s="312"/>
      <c r="L12" s="311" t="s">
        <v>907</v>
      </c>
      <c r="M12" s="335"/>
      <c r="N12" s="335"/>
      <c r="O12" s="312"/>
      <c r="P12" s="2"/>
      <c r="Q12" s="4"/>
      <c r="R12" s="2"/>
      <c r="S12" s="2"/>
    </row>
    <row r="13" spans="1:19" s="309" customFormat="1">
      <c r="A13" s="341">
        <f t="shared" si="0"/>
        <v>7</v>
      </c>
      <c r="B13" s="318"/>
      <c r="C13" s="1003"/>
      <c r="D13" s="1003"/>
      <c r="E13" s="1003"/>
      <c r="F13" s="1003"/>
      <c r="G13" s="318"/>
      <c r="H13" s="311"/>
      <c r="I13" s="3"/>
      <c r="J13" s="3"/>
      <c r="K13" s="312"/>
      <c r="L13" s="311"/>
      <c r="M13" s="3"/>
      <c r="N13" s="3"/>
      <c r="O13" s="312"/>
      <c r="P13" s="2"/>
      <c r="Q13" s="4"/>
      <c r="R13" s="2"/>
      <c r="S13" s="2"/>
    </row>
    <row r="14" spans="1:19" s="309" customFormat="1">
      <c r="A14" s="341">
        <f t="shared" si="0"/>
        <v>8</v>
      </c>
      <c r="B14" s="318"/>
      <c r="C14" s="975" t="s">
        <v>91</v>
      </c>
      <c r="D14" s="975"/>
      <c r="E14" s="975"/>
      <c r="F14" s="975"/>
      <c r="G14" s="318"/>
      <c r="H14" s="311"/>
      <c r="I14" s="3"/>
      <c r="J14" s="3"/>
      <c r="K14" s="312"/>
      <c r="L14" s="311"/>
      <c r="M14" s="3"/>
      <c r="N14" s="3"/>
      <c r="O14" s="312"/>
      <c r="P14" s="2"/>
      <c r="Q14" s="4"/>
      <c r="R14" s="2"/>
      <c r="S14" s="2"/>
    </row>
    <row r="15" spans="1:19" s="309" customFormat="1">
      <c r="A15" s="341"/>
      <c r="B15" s="318"/>
      <c r="G15" s="318"/>
      <c r="H15" s="311"/>
      <c r="I15" s="3"/>
      <c r="J15" s="3"/>
      <c r="K15" s="312"/>
      <c r="L15" s="311"/>
      <c r="M15" s="3"/>
      <c r="N15" s="3"/>
      <c r="O15" s="312"/>
      <c r="P15" s="2"/>
      <c r="Q15" s="4"/>
      <c r="R15" s="2"/>
      <c r="S15" s="2"/>
    </row>
    <row r="16" spans="1:19" s="309" customFormat="1">
      <c r="A16" s="318"/>
      <c r="B16" s="338" t="s">
        <v>1296</v>
      </c>
      <c r="C16" s="338" t="s">
        <v>1196</v>
      </c>
      <c r="D16" s="338" t="s">
        <v>909</v>
      </c>
      <c r="E16" s="338" t="s">
        <v>1197</v>
      </c>
      <c r="F16" s="338" t="s">
        <v>911</v>
      </c>
      <c r="G16" s="318"/>
      <c r="H16" s="353" t="s">
        <v>1196</v>
      </c>
      <c r="I16" s="338" t="s">
        <v>909</v>
      </c>
      <c r="J16" s="338" t="s">
        <v>1197</v>
      </c>
      <c r="K16" s="358" t="s">
        <v>910</v>
      </c>
      <c r="L16" s="353" t="s">
        <v>1196</v>
      </c>
      <c r="M16" s="338" t="s">
        <v>909</v>
      </c>
      <c r="N16" s="338" t="s">
        <v>1197</v>
      </c>
      <c r="O16" s="358" t="s">
        <v>910</v>
      </c>
      <c r="P16" s="2"/>
      <c r="Q16" s="4"/>
      <c r="R16" s="2"/>
      <c r="S16" s="2"/>
    </row>
    <row r="17" spans="1:19" s="309" customFormat="1">
      <c r="A17" s="318"/>
      <c r="B17" s="315" t="s">
        <v>490</v>
      </c>
      <c r="C17" s="315" t="s">
        <v>491</v>
      </c>
      <c r="D17" s="315" t="s">
        <v>914</v>
      </c>
      <c r="E17" s="315" t="s">
        <v>915</v>
      </c>
      <c r="F17" s="315" t="s">
        <v>494</v>
      </c>
      <c r="G17" s="315"/>
      <c r="H17" s="354" t="s">
        <v>916</v>
      </c>
      <c r="I17" s="315" t="s">
        <v>917</v>
      </c>
      <c r="J17" s="315" t="s">
        <v>918</v>
      </c>
      <c r="K17" s="314" t="s">
        <v>919</v>
      </c>
      <c r="L17" s="354" t="s">
        <v>920</v>
      </c>
      <c r="M17" s="315" t="s">
        <v>921</v>
      </c>
      <c r="N17" s="315" t="s">
        <v>922</v>
      </c>
      <c r="O17" s="314" t="s">
        <v>923</v>
      </c>
      <c r="P17" s="2"/>
      <c r="Q17" s="4"/>
      <c r="R17" s="2"/>
      <c r="S17" s="2"/>
    </row>
    <row r="18" spans="1:19" s="309" customFormat="1">
      <c r="A18" s="318"/>
      <c r="B18" s="318"/>
      <c r="G18" s="318"/>
      <c r="H18" s="336"/>
      <c r="I18" s="318"/>
      <c r="J18" s="318"/>
      <c r="K18" s="319"/>
      <c r="L18" s="336"/>
      <c r="M18" s="318"/>
      <c r="N18" s="318"/>
      <c r="O18" s="319"/>
      <c r="P18" s="2"/>
      <c r="Q18" s="4"/>
      <c r="R18" s="2"/>
      <c r="S18" s="2"/>
    </row>
    <row r="19" spans="1:19" s="309" customFormat="1">
      <c r="A19" s="341">
        <f>A14+1</f>
        <v>9</v>
      </c>
      <c r="B19" s="284"/>
      <c r="C19" s="320">
        <f>+H19+L19</f>
        <v>0</v>
      </c>
      <c r="D19" s="320">
        <f t="shared" ref="D19:E19" si="1">+I19+M19</f>
        <v>0</v>
      </c>
      <c r="E19" s="320">
        <f t="shared" si="1"/>
        <v>0</v>
      </c>
      <c r="F19" s="352"/>
      <c r="G19" s="341"/>
      <c r="H19" s="336"/>
      <c r="I19" s="658">
        <f>H19*I$9</f>
        <v>0</v>
      </c>
      <c r="J19" s="658">
        <f>I19</f>
        <v>0</v>
      </c>
      <c r="K19" s="322">
        <f>+H19-J19</f>
        <v>0</v>
      </c>
      <c r="L19" s="336"/>
      <c r="M19" s="658">
        <f>L19*M$9</f>
        <v>0</v>
      </c>
      <c r="N19" s="658">
        <f>M19</f>
        <v>0</v>
      </c>
      <c r="O19" s="322">
        <f>+L19-N19</f>
        <v>0</v>
      </c>
      <c r="P19" s="2"/>
      <c r="Q19" s="4"/>
      <c r="R19" s="2"/>
      <c r="S19" s="2"/>
    </row>
    <row r="20" spans="1:19" s="309" customFormat="1">
      <c r="A20" s="341">
        <f t="shared" ref="A20:A42" si="2">A19+1</f>
        <v>10</v>
      </c>
      <c r="B20" s="284"/>
      <c r="C20" s="320">
        <f t="shared" ref="C20:C42" si="3">+H20+L20</f>
        <v>0</v>
      </c>
      <c r="D20" s="320">
        <f t="shared" ref="D20:D42" si="4">+I20+M20</f>
        <v>0</v>
      </c>
      <c r="E20" s="320">
        <f t="shared" ref="E20:E42" si="5">+J20+N20</f>
        <v>0</v>
      </c>
      <c r="F20" s="352"/>
      <c r="G20" s="341"/>
      <c r="H20" s="336"/>
      <c r="I20" s="658">
        <f t="shared" ref="I20:I42" si="6">H20*I$9</f>
        <v>0</v>
      </c>
      <c r="J20" s="658">
        <f>J19+I20</f>
        <v>0</v>
      </c>
      <c r="K20" s="322">
        <f>+H20-J20</f>
        <v>0</v>
      </c>
      <c r="L20" s="336"/>
      <c r="M20" s="658">
        <f t="shared" ref="M20:M42" si="7">L20*M$9</f>
        <v>0</v>
      </c>
      <c r="N20" s="658">
        <f>N19+M20</f>
        <v>0</v>
      </c>
      <c r="O20" s="322">
        <f>+L20-N20</f>
        <v>0</v>
      </c>
      <c r="P20" s="2"/>
      <c r="Q20" s="4"/>
      <c r="R20" s="2"/>
      <c r="S20" s="2"/>
    </row>
    <row r="21" spans="1:19" s="309" customFormat="1">
      <c r="A21" s="341">
        <f t="shared" si="2"/>
        <v>11</v>
      </c>
      <c r="B21" s="284"/>
      <c r="C21" s="320">
        <f t="shared" si="3"/>
        <v>0</v>
      </c>
      <c r="D21" s="320">
        <f t="shared" si="4"/>
        <v>0</v>
      </c>
      <c r="E21" s="320">
        <f t="shared" si="5"/>
        <v>0</v>
      </c>
      <c r="F21" s="352"/>
      <c r="G21" s="341"/>
      <c r="H21" s="336"/>
      <c r="I21" s="658">
        <f t="shared" si="6"/>
        <v>0</v>
      </c>
      <c r="J21" s="658">
        <f t="shared" ref="J21:J42" si="8">J20+I21</f>
        <v>0</v>
      </c>
      <c r="K21" s="322">
        <f t="shared" ref="K21:K42" si="9">+H21-J21</f>
        <v>0</v>
      </c>
      <c r="L21" s="336"/>
      <c r="M21" s="658">
        <f t="shared" si="7"/>
        <v>0</v>
      </c>
      <c r="N21" s="658">
        <f t="shared" ref="N21:N42" si="10">N20+M21</f>
        <v>0</v>
      </c>
      <c r="O21" s="322">
        <f t="shared" ref="O21:O42" si="11">+L21-N21</f>
        <v>0</v>
      </c>
      <c r="P21" s="2"/>
      <c r="Q21" s="4"/>
      <c r="R21" s="2"/>
      <c r="S21" s="2"/>
    </row>
    <row r="22" spans="1:19" s="309" customFormat="1">
      <c r="A22" s="341">
        <f t="shared" si="2"/>
        <v>12</v>
      </c>
      <c r="B22" s="284"/>
      <c r="C22" s="320">
        <f t="shared" si="3"/>
        <v>0</v>
      </c>
      <c r="D22" s="320">
        <f t="shared" si="4"/>
        <v>0</v>
      </c>
      <c r="E22" s="320">
        <f t="shared" si="5"/>
        <v>0</v>
      </c>
      <c r="F22" s="352"/>
      <c r="G22" s="341"/>
      <c r="H22" s="336"/>
      <c r="I22" s="658">
        <f t="shared" si="6"/>
        <v>0</v>
      </c>
      <c r="J22" s="658">
        <f t="shared" si="8"/>
        <v>0</v>
      </c>
      <c r="K22" s="322">
        <f t="shared" si="9"/>
        <v>0</v>
      </c>
      <c r="L22" s="336"/>
      <c r="M22" s="658">
        <f t="shared" si="7"/>
        <v>0</v>
      </c>
      <c r="N22" s="658">
        <f t="shared" si="10"/>
        <v>0</v>
      </c>
      <c r="O22" s="322">
        <f t="shared" si="11"/>
        <v>0</v>
      </c>
      <c r="P22" s="2"/>
      <c r="Q22" s="4"/>
      <c r="R22" s="2"/>
      <c r="S22" s="2"/>
    </row>
    <row r="23" spans="1:19" s="309" customFormat="1">
      <c r="A23" s="341">
        <f t="shared" si="2"/>
        <v>13</v>
      </c>
      <c r="B23" s="284"/>
      <c r="C23" s="320">
        <f t="shared" si="3"/>
        <v>0</v>
      </c>
      <c r="D23" s="320">
        <f t="shared" si="4"/>
        <v>0</v>
      </c>
      <c r="E23" s="320">
        <f t="shared" si="5"/>
        <v>0</v>
      </c>
      <c r="F23" s="352"/>
      <c r="G23" s="341"/>
      <c r="H23" s="336"/>
      <c r="I23" s="658">
        <f t="shared" si="6"/>
        <v>0</v>
      </c>
      <c r="J23" s="658">
        <f t="shared" si="8"/>
        <v>0</v>
      </c>
      <c r="K23" s="322">
        <f t="shared" si="9"/>
        <v>0</v>
      </c>
      <c r="L23" s="336"/>
      <c r="M23" s="658">
        <f t="shared" si="7"/>
        <v>0</v>
      </c>
      <c r="N23" s="658">
        <f t="shared" si="10"/>
        <v>0</v>
      </c>
      <c r="O23" s="322">
        <f t="shared" si="11"/>
        <v>0</v>
      </c>
      <c r="P23" s="2"/>
      <c r="Q23" s="4"/>
      <c r="R23" s="2"/>
      <c r="S23" s="2"/>
    </row>
    <row r="24" spans="1:19" s="309" customFormat="1">
      <c r="A24" s="341">
        <f t="shared" si="2"/>
        <v>14</v>
      </c>
      <c r="B24" s="284"/>
      <c r="C24" s="320">
        <f t="shared" si="3"/>
        <v>0</v>
      </c>
      <c r="D24" s="320">
        <f t="shared" si="4"/>
        <v>0</v>
      </c>
      <c r="E24" s="320">
        <f t="shared" si="5"/>
        <v>0</v>
      </c>
      <c r="F24" s="352"/>
      <c r="G24" s="341"/>
      <c r="H24" s="336"/>
      <c r="I24" s="658">
        <f t="shared" si="6"/>
        <v>0</v>
      </c>
      <c r="J24" s="658">
        <f t="shared" si="8"/>
        <v>0</v>
      </c>
      <c r="K24" s="322">
        <f t="shared" si="9"/>
        <v>0</v>
      </c>
      <c r="L24" s="336"/>
      <c r="M24" s="658">
        <f t="shared" si="7"/>
        <v>0</v>
      </c>
      <c r="N24" s="658">
        <f t="shared" si="10"/>
        <v>0</v>
      </c>
      <c r="O24" s="322">
        <f t="shared" si="11"/>
        <v>0</v>
      </c>
      <c r="P24" s="2"/>
      <c r="Q24" s="4"/>
      <c r="R24" s="2"/>
      <c r="S24" s="2"/>
    </row>
    <row r="25" spans="1:19" s="309" customFormat="1">
      <c r="A25" s="341">
        <f t="shared" si="2"/>
        <v>15</v>
      </c>
      <c r="B25" s="284"/>
      <c r="C25" s="320">
        <f t="shared" si="3"/>
        <v>0</v>
      </c>
      <c r="D25" s="320">
        <f t="shared" si="4"/>
        <v>0</v>
      </c>
      <c r="E25" s="320">
        <f t="shared" si="5"/>
        <v>0</v>
      </c>
      <c r="F25" s="352"/>
      <c r="G25" s="341"/>
      <c r="H25" s="336"/>
      <c r="I25" s="658">
        <f t="shared" si="6"/>
        <v>0</v>
      </c>
      <c r="J25" s="658">
        <f t="shared" si="8"/>
        <v>0</v>
      </c>
      <c r="K25" s="322">
        <f t="shared" si="9"/>
        <v>0</v>
      </c>
      <c r="L25" s="336"/>
      <c r="M25" s="658">
        <f t="shared" si="7"/>
        <v>0</v>
      </c>
      <c r="N25" s="658">
        <f t="shared" si="10"/>
        <v>0</v>
      </c>
      <c r="O25" s="322">
        <f t="shared" si="11"/>
        <v>0</v>
      </c>
      <c r="P25" s="2"/>
      <c r="Q25" s="4"/>
      <c r="R25" s="2"/>
      <c r="S25" s="2"/>
    </row>
    <row r="26" spans="1:19" s="309" customFormat="1">
      <c r="A26" s="341">
        <f t="shared" si="2"/>
        <v>16</v>
      </c>
      <c r="B26" s="284"/>
      <c r="C26" s="320">
        <f t="shared" si="3"/>
        <v>0</v>
      </c>
      <c r="D26" s="320">
        <f t="shared" si="4"/>
        <v>0</v>
      </c>
      <c r="E26" s="320">
        <f t="shared" si="5"/>
        <v>0</v>
      </c>
      <c r="F26" s="352"/>
      <c r="G26" s="341"/>
      <c r="H26" s="336"/>
      <c r="I26" s="658">
        <f t="shared" si="6"/>
        <v>0</v>
      </c>
      <c r="J26" s="658">
        <f t="shared" si="8"/>
        <v>0</v>
      </c>
      <c r="K26" s="322">
        <f t="shared" si="9"/>
        <v>0</v>
      </c>
      <c r="L26" s="336"/>
      <c r="M26" s="658">
        <f t="shared" si="7"/>
        <v>0</v>
      </c>
      <c r="N26" s="658">
        <f t="shared" si="10"/>
        <v>0</v>
      </c>
      <c r="O26" s="322">
        <f t="shared" si="11"/>
        <v>0</v>
      </c>
      <c r="P26" s="2"/>
      <c r="Q26" s="4"/>
      <c r="R26" s="2"/>
      <c r="S26" s="2"/>
    </row>
    <row r="27" spans="1:19" s="309" customFormat="1">
      <c r="A27" s="341">
        <f t="shared" si="2"/>
        <v>17</v>
      </c>
      <c r="B27" s="284"/>
      <c r="C27" s="320">
        <f t="shared" si="3"/>
        <v>0</v>
      </c>
      <c r="D27" s="320">
        <f t="shared" si="4"/>
        <v>0</v>
      </c>
      <c r="E27" s="320">
        <f t="shared" si="5"/>
        <v>0</v>
      </c>
      <c r="F27" s="352"/>
      <c r="G27" s="341"/>
      <c r="H27" s="336"/>
      <c r="I27" s="658">
        <f t="shared" si="6"/>
        <v>0</v>
      </c>
      <c r="J27" s="658">
        <f t="shared" si="8"/>
        <v>0</v>
      </c>
      <c r="K27" s="322">
        <f t="shared" si="9"/>
        <v>0</v>
      </c>
      <c r="L27" s="336"/>
      <c r="M27" s="658">
        <f t="shared" si="7"/>
        <v>0</v>
      </c>
      <c r="N27" s="658">
        <f t="shared" si="10"/>
        <v>0</v>
      </c>
      <c r="O27" s="322">
        <f t="shared" si="11"/>
        <v>0</v>
      </c>
      <c r="P27" s="2"/>
      <c r="Q27" s="4"/>
      <c r="R27" s="2"/>
      <c r="S27" s="2"/>
    </row>
    <row r="28" spans="1:19" s="309" customFormat="1">
      <c r="A28" s="341">
        <f t="shared" si="2"/>
        <v>18</v>
      </c>
      <c r="B28" s="284"/>
      <c r="C28" s="320">
        <f t="shared" si="3"/>
        <v>0</v>
      </c>
      <c r="D28" s="320">
        <f t="shared" si="4"/>
        <v>0</v>
      </c>
      <c r="E28" s="320">
        <f t="shared" si="5"/>
        <v>0</v>
      </c>
      <c r="F28" s="352"/>
      <c r="G28" s="341"/>
      <c r="H28" s="336"/>
      <c r="I28" s="658">
        <f t="shared" si="6"/>
        <v>0</v>
      </c>
      <c r="J28" s="658">
        <f t="shared" si="8"/>
        <v>0</v>
      </c>
      <c r="K28" s="322">
        <f t="shared" si="9"/>
        <v>0</v>
      </c>
      <c r="L28" s="336"/>
      <c r="M28" s="658">
        <f t="shared" si="7"/>
        <v>0</v>
      </c>
      <c r="N28" s="658">
        <f t="shared" si="10"/>
        <v>0</v>
      </c>
      <c r="O28" s="322">
        <f t="shared" si="11"/>
        <v>0</v>
      </c>
      <c r="P28" s="2"/>
      <c r="Q28" s="4"/>
      <c r="R28" s="2"/>
      <c r="S28" s="2"/>
    </row>
    <row r="29" spans="1:19" s="309" customFormat="1">
      <c r="A29" s="341">
        <f t="shared" si="2"/>
        <v>19</v>
      </c>
      <c r="B29" s="284"/>
      <c r="C29" s="320">
        <f t="shared" si="3"/>
        <v>0</v>
      </c>
      <c r="D29" s="320">
        <f t="shared" si="4"/>
        <v>0</v>
      </c>
      <c r="E29" s="320">
        <f t="shared" si="5"/>
        <v>0</v>
      </c>
      <c r="F29" s="352"/>
      <c r="G29" s="341"/>
      <c r="H29" s="336"/>
      <c r="I29" s="658">
        <f t="shared" si="6"/>
        <v>0</v>
      </c>
      <c r="J29" s="658">
        <f t="shared" si="8"/>
        <v>0</v>
      </c>
      <c r="K29" s="322">
        <f t="shared" si="9"/>
        <v>0</v>
      </c>
      <c r="L29" s="336"/>
      <c r="M29" s="658">
        <f t="shared" si="7"/>
        <v>0</v>
      </c>
      <c r="N29" s="658">
        <f t="shared" si="10"/>
        <v>0</v>
      </c>
      <c r="O29" s="322">
        <f t="shared" si="11"/>
        <v>0</v>
      </c>
      <c r="P29" s="2"/>
      <c r="Q29" s="4"/>
      <c r="R29" s="2"/>
      <c r="S29" s="2"/>
    </row>
    <row r="30" spans="1:19" s="309" customFormat="1">
      <c r="A30" s="341">
        <f t="shared" si="2"/>
        <v>20</v>
      </c>
      <c r="B30" s="284"/>
      <c r="C30" s="320">
        <f t="shared" si="3"/>
        <v>0</v>
      </c>
      <c r="D30" s="320">
        <f t="shared" si="4"/>
        <v>0</v>
      </c>
      <c r="E30" s="320">
        <f t="shared" si="5"/>
        <v>0</v>
      </c>
      <c r="F30" s="352"/>
      <c r="G30" s="341"/>
      <c r="H30" s="336"/>
      <c r="I30" s="658">
        <f t="shared" si="6"/>
        <v>0</v>
      </c>
      <c r="J30" s="658">
        <f t="shared" si="8"/>
        <v>0</v>
      </c>
      <c r="K30" s="322">
        <f t="shared" si="9"/>
        <v>0</v>
      </c>
      <c r="L30" s="336"/>
      <c r="M30" s="658">
        <f t="shared" si="7"/>
        <v>0</v>
      </c>
      <c r="N30" s="658">
        <f t="shared" si="10"/>
        <v>0</v>
      </c>
      <c r="O30" s="322">
        <f t="shared" si="11"/>
        <v>0</v>
      </c>
      <c r="P30" s="2"/>
      <c r="Q30" s="4"/>
      <c r="R30" s="2"/>
      <c r="S30" s="2"/>
    </row>
    <row r="31" spans="1:19" s="309" customFormat="1">
      <c r="A31" s="341">
        <f t="shared" si="2"/>
        <v>21</v>
      </c>
      <c r="B31" s="284"/>
      <c r="C31" s="320">
        <f t="shared" si="3"/>
        <v>0</v>
      </c>
      <c r="D31" s="320">
        <f t="shared" si="4"/>
        <v>0</v>
      </c>
      <c r="E31" s="320">
        <f t="shared" si="5"/>
        <v>0</v>
      </c>
      <c r="F31" s="352"/>
      <c r="G31" s="341"/>
      <c r="H31" s="336"/>
      <c r="I31" s="658">
        <f t="shared" si="6"/>
        <v>0</v>
      </c>
      <c r="J31" s="658">
        <f t="shared" si="8"/>
        <v>0</v>
      </c>
      <c r="K31" s="322">
        <f t="shared" si="9"/>
        <v>0</v>
      </c>
      <c r="L31" s="336"/>
      <c r="M31" s="658">
        <f t="shared" si="7"/>
        <v>0</v>
      </c>
      <c r="N31" s="658">
        <f t="shared" si="10"/>
        <v>0</v>
      </c>
      <c r="O31" s="322">
        <f t="shared" si="11"/>
        <v>0</v>
      </c>
      <c r="P31" s="2"/>
      <c r="Q31" s="4"/>
      <c r="R31" s="2"/>
      <c r="S31" s="2"/>
    </row>
    <row r="32" spans="1:19" s="309" customFormat="1">
      <c r="A32" s="341">
        <f t="shared" si="2"/>
        <v>22</v>
      </c>
      <c r="B32" s="284"/>
      <c r="C32" s="320">
        <f t="shared" si="3"/>
        <v>0</v>
      </c>
      <c r="D32" s="320">
        <f t="shared" si="4"/>
        <v>0</v>
      </c>
      <c r="E32" s="320">
        <f t="shared" si="5"/>
        <v>0</v>
      </c>
      <c r="F32" s="352"/>
      <c r="G32" s="341"/>
      <c r="H32" s="336"/>
      <c r="I32" s="658">
        <f t="shared" si="6"/>
        <v>0</v>
      </c>
      <c r="J32" s="658">
        <f t="shared" si="8"/>
        <v>0</v>
      </c>
      <c r="K32" s="322">
        <f t="shared" si="9"/>
        <v>0</v>
      </c>
      <c r="L32" s="336"/>
      <c r="M32" s="658">
        <f t="shared" si="7"/>
        <v>0</v>
      </c>
      <c r="N32" s="658">
        <f t="shared" si="10"/>
        <v>0</v>
      </c>
      <c r="O32" s="322">
        <f t="shared" si="11"/>
        <v>0</v>
      </c>
      <c r="P32" s="2"/>
      <c r="Q32" s="4"/>
      <c r="R32" s="2"/>
      <c r="S32" s="2"/>
    </row>
    <row r="33" spans="1:19" s="309" customFormat="1">
      <c r="A33" s="341">
        <f t="shared" si="2"/>
        <v>23</v>
      </c>
      <c r="B33" s="284"/>
      <c r="C33" s="320">
        <f t="shared" si="3"/>
        <v>0</v>
      </c>
      <c r="D33" s="320">
        <f t="shared" si="4"/>
        <v>0</v>
      </c>
      <c r="E33" s="320">
        <f t="shared" si="5"/>
        <v>0</v>
      </c>
      <c r="F33" s="352"/>
      <c r="G33" s="341"/>
      <c r="H33" s="336"/>
      <c r="I33" s="658">
        <f t="shared" si="6"/>
        <v>0</v>
      </c>
      <c r="J33" s="658">
        <f t="shared" si="8"/>
        <v>0</v>
      </c>
      <c r="K33" s="322">
        <f t="shared" si="9"/>
        <v>0</v>
      </c>
      <c r="L33" s="336"/>
      <c r="M33" s="658">
        <f t="shared" si="7"/>
        <v>0</v>
      </c>
      <c r="N33" s="658">
        <f t="shared" si="10"/>
        <v>0</v>
      </c>
      <c r="O33" s="322">
        <f t="shared" si="11"/>
        <v>0</v>
      </c>
      <c r="P33" s="2"/>
      <c r="Q33" s="4"/>
      <c r="R33" s="2"/>
      <c r="S33" s="2"/>
    </row>
    <row r="34" spans="1:19" s="309" customFormat="1">
      <c r="A34" s="341">
        <f t="shared" si="2"/>
        <v>24</v>
      </c>
      <c r="B34" s="284"/>
      <c r="C34" s="320">
        <f t="shared" si="3"/>
        <v>0</v>
      </c>
      <c r="D34" s="320">
        <f t="shared" si="4"/>
        <v>0</v>
      </c>
      <c r="E34" s="320">
        <f t="shared" si="5"/>
        <v>0</v>
      </c>
      <c r="F34" s="352"/>
      <c r="G34" s="341"/>
      <c r="H34" s="336"/>
      <c r="I34" s="658">
        <f t="shared" si="6"/>
        <v>0</v>
      </c>
      <c r="J34" s="658">
        <f t="shared" si="8"/>
        <v>0</v>
      </c>
      <c r="K34" s="322">
        <f t="shared" si="9"/>
        <v>0</v>
      </c>
      <c r="L34" s="336"/>
      <c r="M34" s="658">
        <f t="shared" si="7"/>
        <v>0</v>
      </c>
      <c r="N34" s="658">
        <f t="shared" si="10"/>
        <v>0</v>
      </c>
      <c r="O34" s="322">
        <f t="shared" si="11"/>
        <v>0</v>
      </c>
      <c r="P34" s="2"/>
      <c r="Q34" s="4"/>
      <c r="R34" s="2"/>
      <c r="S34" s="2"/>
    </row>
    <row r="35" spans="1:19" s="309" customFormat="1">
      <c r="A35" s="341">
        <f t="shared" si="2"/>
        <v>25</v>
      </c>
      <c r="B35" s="284"/>
      <c r="C35" s="320">
        <f t="shared" si="3"/>
        <v>0</v>
      </c>
      <c r="D35" s="320">
        <f t="shared" si="4"/>
        <v>0</v>
      </c>
      <c r="E35" s="320">
        <f t="shared" si="5"/>
        <v>0</v>
      </c>
      <c r="F35" s="352"/>
      <c r="G35" s="341"/>
      <c r="H35" s="336"/>
      <c r="I35" s="658">
        <f t="shared" si="6"/>
        <v>0</v>
      </c>
      <c r="J35" s="658">
        <f t="shared" si="8"/>
        <v>0</v>
      </c>
      <c r="K35" s="322">
        <f t="shared" si="9"/>
        <v>0</v>
      </c>
      <c r="L35" s="336"/>
      <c r="M35" s="658">
        <f t="shared" si="7"/>
        <v>0</v>
      </c>
      <c r="N35" s="658">
        <f t="shared" si="10"/>
        <v>0</v>
      </c>
      <c r="O35" s="322">
        <f t="shared" si="11"/>
        <v>0</v>
      </c>
      <c r="P35" s="2"/>
      <c r="Q35" s="4"/>
      <c r="R35" s="2"/>
      <c r="S35" s="2"/>
    </row>
    <row r="36" spans="1:19" s="309" customFormat="1">
      <c r="A36" s="341">
        <f t="shared" si="2"/>
        <v>26</v>
      </c>
      <c r="B36" s="284"/>
      <c r="C36" s="320">
        <f t="shared" si="3"/>
        <v>0</v>
      </c>
      <c r="D36" s="320">
        <f t="shared" si="4"/>
        <v>0</v>
      </c>
      <c r="E36" s="320">
        <f t="shared" si="5"/>
        <v>0</v>
      </c>
      <c r="F36" s="352"/>
      <c r="G36" s="341"/>
      <c r="H36" s="336"/>
      <c r="I36" s="658">
        <f t="shared" si="6"/>
        <v>0</v>
      </c>
      <c r="J36" s="658">
        <f t="shared" si="8"/>
        <v>0</v>
      </c>
      <c r="K36" s="322">
        <f t="shared" si="9"/>
        <v>0</v>
      </c>
      <c r="L36" s="336"/>
      <c r="M36" s="658">
        <f t="shared" si="7"/>
        <v>0</v>
      </c>
      <c r="N36" s="658">
        <f t="shared" si="10"/>
        <v>0</v>
      </c>
      <c r="O36" s="322">
        <f t="shared" si="11"/>
        <v>0</v>
      </c>
      <c r="P36" s="2"/>
      <c r="Q36" s="4"/>
      <c r="R36" s="2"/>
      <c r="S36" s="2"/>
    </row>
    <row r="37" spans="1:19" s="309" customFormat="1">
      <c r="A37" s="341">
        <f t="shared" si="2"/>
        <v>27</v>
      </c>
      <c r="B37" s="284"/>
      <c r="C37" s="320">
        <f t="shared" si="3"/>
        <v>0</v>
      </c>
      <c r="D37" s="320">
        <f t="shared" si="4"/>
        <v>0</v>
      </c>
      <c r="E37" s="320">
        <f t="shared" si="5"/>
        <v>0</v>
      </c>
      <c r="F37" s="352"/>
      <c r="G37" s="341"/>
      <c r="H37" s="336"/>
      <c r="I37" s="658">
        <f t="shared" si="6"/>
        <v>0</v>
      </c>
      <c r="J37" s="658">
        <f t="shared" si="8"/>
        <v>0</v>
      </c>
      <c r="K37" s="322">
        <f t="shared" si="9"/>
        <v>0</v>
      </c>
      <c r="L37" s="336"/>
      <c r="M37" s="658">
        <f t="shared" si="7"/>
        <v>0</v>
      </c>
      <c r="N37" s="658">
        <f t="shared" si="10"/>
        <v>0</v>
      </c>
      <c r="O37" s="322">
        <f t="shared" si="11"/>
        <v>0</v>
      </c>
      <c r="P37" s="2"/>
      <c r="Q37" s="4"/>
      <c r="R37" s="2"/>
      <c r="S37" s="2"/>
    </row>
    <row r="38" spans="1:19" s="309" customFormat="1">
      <c r="A38" s="341">
        <f t="shared" si="2"/>
        <v>28</v>
      </c>
      <c r="B38" s="284"/>
      <c r="C38" s="320">
        <f t="shared" si="3"/>
        <v>0</v>
      </c>
      <c r="D38" s="320">
        <f t="shared" si="4"/>
        <v>0</v>
      </c>
      <c r="E38" s="320">
        <f t="shared" si="5"/>
        <v>0</v>
      </c>
      <c r="F38" s="352"/>
      <c r="G38" s="341"/>
      <c r="H38" s="336"/>
      <c r="I38" s="658">
        <f t="shared" si="6"/>
        <v>0</v>
      </c>
      <c r="J38" s="658">
        <f t="shared" si="8"/>
        <v>0</v>
      </c>
      <c r="K38" s="322">
        <f t="shared" si="9"/>
        <v>0</v>
      </c>
      <c r="L38" s="336"/>
      <c r="M38" s="658">
        <f t="shared" si="7"/>
        <v>0</v>
      </c>
      <c r="N38" s="658">
        <f t="shared" si="10"/>
        <v>0</v>
      </c>
      <c r="O38" s="322">
        <f t="shared" si="11"/>
        <v>0</v>
      </c>
      <c r="P38" s="2"/>
      <c r="Q38" s="4"/>
      <c r="R38" s="2"/>
      <c r="S38" s="2"/>
    </row>
    <row r="39" spans="1:19" s="309" customFormat="1">
      <c r="A39" s="341">
        <f t="shared" si="2"/>
        <v>29</v>
      </c>
      <c r="B39" s="284"/>
      <c r="C39" s="320">
        <f t="shared" si="3"/>
        <v>0</v>
      </c>
      <c r="D39" s="320">
        <f t="shared" si="4"/>
        <v>0</v>
      </c>
      <c r="E39" s="320">
        <f t="shared" si="5"/>
        <v>0</v>
      </c>
      <c r="F39" s="352"/>
      <c r="G39" s="341"/>
      <c r="H39" s="336"/>
      <c r="I39" s="658">
        <f t="shared" si="6"/>
        <v>0</v>
      </c>
      <c r="J39" s="658">
        <f t="shared" si="8"/>
        <v>0</v>
      </c>
      <c r="K39" s="322">
        <f t="shared" si="9"/>
        <v>0</v>
      </c>
      <c r="L39" s="336"/>
      <c r="M39" s="658">
        <f t="shared" si="7"/>
        <v>0</v>
      </c>
      <c r="N39" s="658">
        <f t="shared" si="10"/>
        <v>0</v>
      </c>
      <c r="O39" s="322">
        <f t="shared" si="11"/>
        <v>0</v>
      </c>
      <c r="P39" s="2"/>
      <c r="Q39" s="4"/>
      <c r="R39" s="2"/>
      <c r="S39" s="2"/>
    </row>
    <row r="40" spans="1:19" s="309" customFormat="1">
      <c r="A40" s="341">
        <f t="shared" si="2"/>
        <v>30</v>
      </c>
      <c r="B40" s="284"/>
      <c r="C40" s="320">
        <f t="shared" si="3"/>
        <v>0</v>
      </c>
      <c r="D40" s="320">
        <f t="shared" si="4"/>
        <v>0</v>
      </c>
      <c r="E40" s="320">
        <f t="shared" si="5"/>
        <v>0</v>
      </c>
      <c r="F40" s="352"/>
      <c r="G40" s="341"/>
      <c r="H40" s="336"/>
      <c r="I40" s="658">
        <f t="shared" si="6"/>
        <v>0</v>
      </c>
      <c r="J40" s="658">
        <f t="shared" si="8"/>
        <v>0</v>
      </c>
      <c r="K40" s="322">
        <f t="shared" si="9"/>
        <v>0</v>
      </c>
      <c r="L40" s="336"/>
      <c r="M40" s="658">
        <f t="shared" si="7"/>
        <v>0</v>
      </c>
      <c r="N40" s="658">
        <f t="shared" si="10"/>
        <v>0</v>
      </c>
      <c r="O40" s="322">
        <f t="shared" si="11"/>
        <v>0</v>
      </c>
      <c r="P40" s="2"/>
      <c r="Q40" s="4"/>
      <c r="R40" s="2"/>
      <c r="S40" s="2"/>
    </row>
    <row r="41" spans="1:19" s="309" customFormat="1">
      <c r="A41" s="341">
        <f t="shared" si="2"/>
        <v>31</v>
      </c>
      <c r="B41" s="284"/>
      <c r="C41" s="320">
        <f t="shared" si="3"/>
        <v>0</v>
      </c>
      <c r="D41" s="320">
        <f t="shared" si="4"/>
        <v>0</v>
      </c>
      <c r="E41" s="320">
        <f t="shared" si="5"/>
        <v>0</v>
      </c>
      <c r="F41" s="352"/>
      <c r="G41" s="341"/>
      <c r="H41" s="336"/>
      <c r="I41" s="658">
        <f t="shared" si="6"/>
        <v>0</v>
      </c>
      <c r="J41" s="658">
        <f t="shared" si="8"/>
        <v>0</v>
      </c>
      <c r="K41" s="322">
        <f t="shared" si="9"/>
        <v>0</v>
      </c>
      <c r="L41" s="336"/>
      <c r="M41" s="658">
        <f t="shared" si="7"/>
        <v>0</v>
      </c>
      <c r="N41" s="658">
        <f t="shared" si="10"/>
        <v>0</v>
      </c>
      <c r="O41" s="322">
        <f t="shared" si="11"/>
        <v>0</v>
      </c>
      <c r="P41" s="2"/>
      <c r="Q41" s="4"/>
      <c r="R41" s="2"/>
      <c r="S41" s="2"/>
    </row>
    <row r="42" spans="1:19" s="309" customFormat="1">
      <c r="A42" s="341">
        <f t="shared" si="2"/>
        <v>32</v>
      </c>
      <c r="B42" s="284"/>
      <c r="C42" s="320">
        <f t="shared" si="3"/>
        <v>0</v>
      </c>
      <c r="D42" s="320">
        <f t="shared" si="4"/>
        <v>0</v>
      </c>
      <c r="E42" s="320">
        <f t="shared" si="5"/>
        <v>0</v>
      </c>
      <c r="F42" s="352"/>
      <c r="G42" s="341"/>
      <c r="H42" s="336"/>
      <c r="I42" s="658">
        <f t="shared" si="6"/>
        <v>0</v>
      </c>
      <c r="J42" s="658">
        <f t="shared" si="8"/>
        <v>0</v>
      </c>
      <c r="K42" s="322">
        <f t="shared" si="9"/>
        <v>0</v>
      </c>
      <c r="L42" s="336"/>
      <c r="M42" s="658">
        <f t="shared" si="7"/>
        <v>0</v>
      </c>
      <c r="N42" s="658">
        <f t="shared" si="10"/>
        <v>0</v>
      </c>
      <c r="O42" s="322">
        <f t="shared" si="11"/>
        <v>0</v>
      </c>
      <c r="P42" s="2"/>
      <c r="Q42" s="4"/>
      <c r="R42" s="2"/>
      <c r="S42" s="2"/>
    </row>
    <row r="43" spans="1:19" s="309" customFormat="1">
      <c r="A43" s="341"/>
      <c r="B43" s="341"/>
      <c r="G43" s="341"/>
      <c r="H43" s="356"/>
      <c r="I43" s="328"/>
      <c r="J43" s="328"/>
      <c r="K43" s="359"/>
      <c r="L43" s="361"/>
      <c r="M43" s="328"/>
      <c r="N43" s="328"/>
      <c r="O43" s="362"/>
      <c r="P43" s="2"/>
      <c r="Q43" s="4"/>
      <c r="R43" s="2"/>
      <c r="S43" s="2"/>
    </row>
    <row r="44" spans="1:19" s="309" customFormat="1">
      <c r="A44" s="341">
        <v>33</v>
      </c>
      <c r="B44" s="279" t="s">
        <v>1232</v>
      </c>
      <c r="C44" s="285"/>
      <c r="D44" s="288">
        <f>SUM(D31:D42)</f>
        <v>0</v>
      </c>
      <c r="E44" s="285"/>
      <c r="G44" s="341"/>
      <c r="H44" s="355"/>
      <c r="I44" s="288">
        <f>SUM(I31:I42)</f>
        <v>0</v>
      </c>
      <c r="J44" s="286"/>
      <c r="K44" s="359"/>
      <c r="L44" s="355"/>
      <c r="M44" s="288">
        <f>SUM(M31:M42)</f>
        <v>0</v>
      </c>
      <c r="N44" s="286"/>
      <c r="O44" s="362"/>
      <c r="P44" s="2"/>
      <c r="Q44" s="4"/>
      <c r="R44" s="2"/>
      <c r="S44" s="2"/>
    </row>
    <row r="45" spans="1:19" s="309" customFormat="1">
      <c r="A45" s="341">
        <v>34</v>
      </c>
      <c r="B45" s="279" t="s">
        <v>1233</v>
      </c>
      <c r="C45" s="285">
        <f>SUM(C30:C42)/13</f>
        <v>0</v>
      </c>
      <c r="D45" s="290"/>
      <c r="E45" s="285">
        <f>SUM(E30:E42)/13</f>
        <v>0</v>
      </c>
      <c r="G45" s="341"/>
      <c r="H45" s="355">
        <f>SUM(H30:H42)/13</f>
        <v>0</v>
      </c>
      <c r="I45" s="290"/>
      <c r="J45" s="286">
        <f>SUM(J30:J42)/13</f>
        <v>0</v>
      </c>
      <c r="K45" s="287">
        <f>SUM(K30:K42)/13</f>
        <v>0</v>
      </c>
      <c r="L45" s="355">
        <f>SUM(L30:L42)/13</f>
        <v>0</v>
      </c>
      <c r="M45" s="290"/>
      <c r="N45" s="286">
        <f>SUM(N30:N42)/13</f>
        <v>0</v>
      </c>
      <c r="O45" s="287">
        <f>SUM(O30:O42)/13</f>
        <v>0</v>
      </c>
      <c r="P45" s="2"/>
      <c r="Q45" s="4"/>
      <c r="R45" s="2"/>
      <c r="S45" s="2"/>
    </row>
    <row r="46" spans="1:19" s="309" customFormat="1" ht="15.75" thickBot="1">
      <c r="A46" s="318"/>
      <c r="B46" s="279"/>
      <c r="G46" s="341"/>
      <c r="H46" s="356"/>
      <c r="I46" s="328"/>
      <c r="J46" s="328"/>
      <c r="K46" s="359"/>
      <c r="L46" s="361"/>
      <c r="M46" s="328"/>
      <c r="N46" s="328"/>
      <c r="O46" s="362"/>
      <c r="P46" s="2"/>
      <c r="Q46" s="4"/>
      <c r="R46" s="2"/>
      <c r="S46" s="2"/>
    </row>
    <row r="47" spans="1:19" s="309" customFormat="1" ht="15.75" thickBot="1">
      <c r="A47" s="341">
        <v>35</v>
      </c>
      <c r="B47" s="279" t="s">
        <v>1297</v>
      </c>
      <c r="F47" s="363">
        <f>O47+K47</f>
        <v>0</v>
      </c>
      <c r="G47" s="341"/>
      <c r="H47" s="356"/>
      <c r="I47" s="328"/>
      <c r="J47" s="279"/>
      <c r="K47" s="312">
        <f>ROUND(K45*I11,2)</f>
        <v>0</v>
      </c>
      <c r="L47" s="361"/>
      <c r="M47" s="328"/>
      <c r="N47" s="279"/>
      <c r="O47" s="312">
        <f>ROUND(O45*M11,2)</f>
        <v>0</v>
      </c>
      <c r="P47" s="2"/>
      <c r="Q47" s="4"/>
      <c r="R47" s="2"/>
      <c r="S47" s="2"/>
    </row>
    <row r="48" spans="1:19" s="309" customFormat="1">
      <c r="A48" s="341"/>
      <c r="F48" s="309" t="s">
        <v>901</v>
      </c>
      <c r="G48" s="341"/>
      <c r="H48" s="694"/>
      <c r="J48" s="279"/>
      <c r="K48" s="695" t="s">
        <v>901</v>
      </c>
      <c r="L48" s="696"/>
      <c r="N48" s="279"/>
      <c r="O48" s="697" t="s">
        <v>901</v>
      </c>
      <c r="P48" s="2"/>
      <c r="Q48" s="4"/>
      <c r="R48" s="2"/>
      <c r="S48" s="2"/>
    </row>
    <row r="49" spans="1:19" s="309" customFormat="1">
      <c r="A49" s="318"/>
      <c r="B49" s="341"/>
      <c r="G49" s="341"/>
      <c r="H49" s="323"/>
      <c r="I49" s="324"/>
      <c r="J49" s="324"/>
      <c r="K49" s="360"/>
      <c r="L49" s="325"/>
      <c r="M49" s="324"/>
      <c r="N49" s="324"/>
      <c r="O49" s="327"/>
      <c r="P49" s="2"/>
      <c r="Q49" s="4"/>
      <c r="R49" s="2"/>
      <c r="S49" s="2"/>
    </row>
    <row r="50" spans="1:19" s="309" customFormat="1">
      <c r="A50" s="343" t="s">
        <v>552</v>
      </c>
      <c r="B50" s="341"/>
      <c r="G50" s="341"/>
      <c r="H50" s="328"/>
      <c r="I50" s="328"/>
      <c r="J50" s="328"/>
      <c r="K50" s="328"/>
      <c r="L50" s="329"/>
      <c r="M50" s="328"/>
      <c r="N50" s="328"/>
      <c r="O50" s="330"/>
      <c r="P50" s="2"/>
      <c r="Q50" s="4"/>
      <c r="R50" s="2"/>
      <c r="S50" s="2"/>
    </row>
    <row r="51" spans="1:19" s="309" customFormat="1">
      <c r="A51" s="318" t="s">
        <v>419</v>
      </c>
      <c r="B51" s="342" t="s">
        <v>924</v>
      </c>
      <c r="G51" s="341"/>
      <c r="H51" s="328"/>
      <c r="I51" s="328"/>
      <c r="J51" s="328"/>
      <c r="K51" s="328"/>
      <c r="L51" s="329"/>
      <c r="M51" s="328"/>
      <c r="N51" s="328"/>
      <c r="O51" s="330"/>
      <c r="P51" s="2"/>
      <c r="Q51" s="4"/>
      <c r="R51" s="2"/>
      <c r="S51" s="2"/>
    </row>
    <row r="52" spans="1:19" s="15" customFormat="1" ht="15" customHeight="1">
      <c r="A52" s="318" t="s">
        <v>421</v>
      </c>
      <c r="B52" s="342" t="s">
        <v>925</v>
      </c>
      <c r="C52" s="45"/>
      <c r="D52" s="45"/>
      <c r="E52" s="45"/>
      <c r="F52" s="45"/>
      <c r="G52" s="340"/>
      <c r="H52" s="2"/>
      <c r="I52" s="2"/>
      <c r="J52" s="2"/>
      <c r="P52" s="2"/>
      <c r="Q52" s="4"/>
      <c r="R52" s="2"/>
      <c r="S52" s="2"/>
    </row>
    <row r="53" spans="1:19" s="15" customFormat="1" ht="15" customHeight="1">
      <c r="A53" s="318" t="s">
        <v>423</v>
      </c>
      <c r="B53" s="342" t="s">
        <v>1298</v>
      </c>
      <c r="C53" s="45"/>
      <c r="D53" s="45"/>
      <c r="E53" s="45"/>
      <c r="F53" s="45"/>
      <c r="G53" s="340"/>
      <c r="H53" s="2"/>
      <c r="I53" s="2"/>
      <c r="J53" s="2"/>
      <c r="P53" s="2"/>
      <c r="Q53" s="4"/>
      <c r="R53" s="2"/>
      <c r="S53" s="2"/>
    </row>
    <row r="54" spans="1:19" ht="15" customHeight="1">
      <c r="A54" s="318" t="s">
        <v>425</v>
      </c>
      <c r="B54" s="342" t="s">
        <v>1299</v>
      </c>
      <c r="C54" s="45"/>
      <c r="D54" s="45"/>
      <c r="E54" s="45"/>
      <c r="F54" s="45"/>
      <c r="G54" s="340"/>
    </row>
    <row r="55" spans="1:19" ht="15" customHeight="1">
      <c r="A55" s="43"/>
      <c r="B55" s="44"/>
      <c r="C55" s="45"/>
      <c r="D55" s="45"/>
      <c r="E55" s="45"/>
      <c r="F55" s="45"/>
      <c r="G55" s="340"/>
    </row>
    <row r="56" spans="1:19" ht="15" customHeight="1">
      <c r="A56" s="43"/>
      <c r="B56" s="44"/>
      <c r="C56" s="45"/>
      <c r="D56" s="45"/>
      <c r="E56" s="45"/>
      <c r="F56" s="45"/>
      <c r="G56" s="340"/>
    </row>
    <row r="57" spans="1:19" ht="15" customHeight="1">
      <c r="A57" s="43"/>
      <c r="B57" s="44"/>
      <c r="C57" s="45"/>
      <c r="D57" s="45"/>
      <c r="E57" s="45"/>
      <c r="F57" s="45"/>
      <c r="G57" s="340"/>
    </row>
    <row r="58" spans="1:19" ht="15" customHeight="1">
      <c r="A58" s="43"/>
      <c r="B58" s="44"/>
      <c r="C58" s="45"/>
      <c r="D58" s="45"/>
      <c r="E58" s="45"/>
      <c r="F58" s="45"/>
      <c r="G58" s="340"/>
    </row>
    <row r="59" spans="1:19" ht="15" customHeight="1">
      <c r="A59" s="43"/>
      <c r="B59" s="44"/>
      <c r="C59" s="45"/>
      <c r="D59" s="45"/>
      <c r="E59" s="45"/>
      <c r="F59" s="45"/>
      <c r="G59" s="340"/>
    </row>
    <row r="60" spans="1:19">
      <c r="A60" s="43"/>
      <c r="B60" s="44"/>
      <c r="C60" s="45"/>
      <c r="D60" s="45"/>
      <c r="E60" s="45"/>
      <c r="F60" s="45"/>
      <c r="G60" s="340"/>
    </row>
    <row r="61" spans="1:19">
      <c r="A61" s="43"/>
      <c r="B61" s="44"/>
      <c r="C61" s="45"/>
      <c r="D61" s="45"/>
      <c r="E61" s="45"/>
      <c r="F61" s="45"/>
      <c r="G61" s="340"/>
    </row>
    <row r="62" spans="1:19">
      <c r="A62" s="43"/>
      <c r="B62" s="44"/>
      <c r="C62" s="45"/>
      <c r="D62" s="45"/>
      <c r="E62" s="45"/>
      <c r="F62" s="45"/>
      <c r="G62" s="340"/>
    </row>
    <row r="63" spans="1:19">
      <c r="A63" s="43"/>
      <c r="B63" s="44"/>
      <c r="C63" s="45"/>
      <c r="D63" s="45"/>
      <c r="E63" s="45"/>
      <c r="F63" s="45"/>
      <c r="G63" s="340"/>
    </row>
    <row r="64" spans="1:19">
      <c r="A64" s="43"/>
      <c r="B64" s="44"/>
      <c r="C64" s="45"/>
      <c r="D64" s="45"/>
      <c r="E64" s="45"/>
      <c r="F64" s="45"/>
      <c r="G64" s="340"/>
    </row>
    <row r="65" spans="1:7">
      <c r="A65" s="43"/>
      <c r="B65" s="44"/>
      <c r="C65" s="45"/>
      <c r="D65" s="45"/>
      <c r="E65" s="45"/>
      <c r="F65" s="45"/>
      <c r="G65" s="340"/>
    </row>
    <row r="66" spans="1:7">
      <c r="A66" s="43"/>
      <c r="B66" s="44"/>
      <c r="C66" s="45"/>
      <c r="D66" s="45"/>
      <c r="E66" s="45"/>
      <c r="F66" s="45"/>
      <c r="G66" s="340"/>
    </row>
    <row r="67" spans="1:7">
      <c r="A67" s="43"/>
      <c r="B67" s="44"/>
      <c r="C67" s="45"/>
      <c r="D67" s="45"/>
      <c r="E67" s="45"/>
      <c r="F67" s="45"/>
      <c r="G67" s="340"/>
    </row>
    <row r="68" spans="1:7">
      <c r="A68" s="43"/>
      <c r="B68" s="44"/>
      <c r="C68" s="45"/>
      <c r="D68" s="45"/>
      <c r="E68" s="45"/>
      <c r="F68" s="45"/>
      <c r="G68" s="340"/>
    </row>
    <row r="69" spans="1:7">
      <c r="A69" s="43"/>
      <c r="B69" s="44"/>
      <c r="C69" s="45"/>
      <c r="D69" s="45"/>
      <c r="E69" s="45"/>
      <c r="F69" s="45"/>
      <c r="G69" s="340"/>
    </row>
    <row r="70" spans="1:7">
      <c r="A70" s="43"/>
      <c r="B70" s="44"/>
      <c r="C70" s="45"/>
      <c r="D70" s="45"/>
      <c r="E70" s="45"/>
      <c r="F70" s="45"/>
      <c r="G70" s="340"/>
    </row>
    <row r="93" spans="11:12">
      <c r="K93" s="3"/>
    </row>
    <row r="94" spans="11:12">
      <c r="K94" s="3"/>
      <c r="L94" s="6"/>
    </row>
    <row r="95" spans="11:12">
      <c r="K95" s="3"/>
    </row>
    <row r="98" spans="1:17" ht="102" customHeight="1"/>
    <row r="99" spans="1:17" s="15" customFormat="1">
      <c r="A99" s="1"/>
      <c r="B99" s="26"/>
      <c r="C99" s="2"/>
      <c r="D99" s="2"/>
      <c r="E99" s="2"/>
      <c r="F99" s="2"/>
      <c r="G99" s="26"/>
      <c r="H99" s="2"/>
      <c r="I99" s="2"/>
      <c r="J99" s="2"/>
      <c r="Q99" s="14"/>
    </row>
    <row r="100" spans="1:17" s="15" customFormat="1" ht="63.75" customHeight="1">
      <c r="A100" s="1"/>
      <c r="B100" s="26"/>
      <c r="C100" s="2"/>
      <c r="D100" s="2"/>
      <c r="E100" s="2"/>
      <c r="F100" s="2"/>
      <c r="G100" s="26"/>
      <c r="H100" s="2"/>
      <c r="I100" s="2"/>
      <c r="J100" s="2"/>
      <c r="Q100" s="14"/>
    </row>
    <row r="116" spans="1:17" s="15" customFormat="1">
      <c r="A116" s="1"/>
      <c r="B116" s="26"/>
      <c r="C116" s="2"/>
      <c r="D116" s="2"/>
      <c r="E116" s="2"/>
      <c r="F116" s="2"/>
      <c r="G116" s="26"/>
      <c r="H116" s="2"/>
      <c r="I116" s="2"/>
      <c r="J116" s="2"/>
      <c r="K116" s="2"/>
      <c r="Q116" s="14"/>
    </row>
    <row r="117" spans="1:17" s="15" customFormat="1">
      <c r="A117" s="1"/>
      <c r="B117" s="26"/>
      <c r="C117" s="2"/>
      <c r="D117" s="2"/>
      <c r="E117" s="2"/>
      <c r="F117" s="2"/>
      <c r="G117" s="26"/>
      <c r="H117" s="2"/>
      <c r="I117" s="2"/>
      <c r="J117" s="2"/>
      <c r="K117" s="2"/>
      <c r="L117" s="2"/>
      <c r="Q117" s="14"/>
    </row>
    <row r="118" spans="1:17" s="15" customFormat="1">
      <c r="A118" s="1"/>
      <c r="B118" s="26"/>
      <c r="C118" s="2"/>
      <c r="D118" s="2"/>
      <c r="E118" s="2"/>
      <c r="F118" s="2"/>
      <c r="G118" s="26"/>
      <c r="H118" s="2"/>
      <c r="I118" s="2"/>
      <c r="J118" s="2"/>
      <c r="K118" s="2"/>
      <c r="L118" s="2"/>
      <c r="Q118" s="14"/>
    </row>
    <row r="119" spans="1:17" s="15" customFormat="1" ht="82.5" customHeight="1">
      <c r="A119" s="1"/>
      <c r="B119" s="26"/>
      <c r="C119" s="2"/>
      <c r="D119" s="2"/>
      <c r="E119" s="2"/>
      <c r="F119" s="2"/>
      <c r="G119" s="26"/>
      <c r="H119" s="2"/>
      <c r="I119" s="2"/>
      <c r="J119" s="2"/>
      <c r="K119" s="28"/>
      <c r="L119" s="28"/>
      <c r="Q119" s="14"/>
    </row>
    <row r="120" spans="1:17" s="15" customFormat="1">
      <c r="A120" s="1"/>
      <c r="B120" s="26"/>
      <c r="C120" s="2"/>
      <c r="D120" s="2"/>
      <c r="E120" s="2"/>
      <c r="F120" s="2"/>
      <c r="G120" s="26"/>
      <c r="H120" s="2"/>
      <c r="I120" s="2"/>
      <c r="J120" s="2"/>
      <c r="K120" s="2"/>
      <c r="L120" s="2"/>
      <c r="Q120" s="14"/>
    </row>
    <row r="121" spans="1:17" s="15" customFormat="1">
      <c r="A121" s="1"/>
      <c r="B121" s="26"/>
      <c r="C121" s="2"/>
      <c r="D121" s="2"/>
      <c r="E121" s="2"/>
      <c r="F121" s="2"/>
      <c r="G121" s="26"/>
      <c r="H121" s="2"/>
      <c r="I121" s="2"/>
      <c r="J121" s="2"/>
      <c r="K121" s="2"/>
      <c r="L121" s="2"/>
      <c r="Q121" s="14"/>
    </row>
    <row r="122" spans="1:17" s="15" customFormat="1">
      <c r="A122" s="1"/>
      <c r="B122" s="26"/>
      <c r="C122" s="2"/>
      <c r="D122" s="2"/>
      <c r="E122" s="2"/>
      <c r="F122" s="2"/>
      <c r="G122" s="26"/>
      <c r="H122" s="2"/>
      <c r="I122" s="2"/>
      <c r="J122" s="2"/>
      <c r="K122" s="2"/>
      <c r="L122" s="2"/>
      <c r="Q122" s="14"/>
    </row>
    <row r="123" spans="1:17" s="15" customFormat="1">
      <c r="A123" s="1"/>
      <c r="B123" s="26"/>
      <c r="C123" s="2"/>
      <c r="D123" s="2"/>
      <c r="E123" s="2"/>
      <c r="F123" s="2"/>
      <c r="G123" s="26"/>
      <c r="H123" s="2"/>
      <c r="I123" s="2"/>
      <c r="J123" s="2"/>
      <c r="K123" s="2"/>
      <c r="L123" s="2"/>
      <c r="Q123" s="14"/>
    </row>
    <row r="124" spans="1:17" s="15" customFormat="1">
      <c r="A124" s="1"/>
      <c r="B124" s="26"/>
      <c r="C124" s="2"/>
      <c r="D124" s="2"/>
      <c r="E124" s="2"/>
      <c r="F124" s="2"/>
      <c r="G124" s="26"/>
      <c r="H124" s="2"/>
      <c r="I124" s="2"/>
      <c r="J124" s="2"/>
      <c r="K124" s="2"/>
      <c r="L124" s="2"/>
      <c r="Q124" s="14"/>
    </row>
    <row r="125" spans="1:17" s="15" customFormat="1">
      <c r="A125" s="1"/>
      <c r="B125" s="26"/>
      <c r="C125" s="2"/>
      <c r="D125" s="2"/>
      <c r="E125" s="2"/>
      <c r="F125" s="2"/>
      <c r="G125" s="26"/>
      <c r="H125" s="2"/>
      <c r="I125" s="2"/>
      <c r="J125" s="2"/>
      <c r="K125" s="2"/>
      <c r="L125" s="2"/>
      <c r="Q125" s="14"/>
    </row>
    <row r="126" spans="1:17" s="15" customFormat="1">
      <c r="A126" s="1"/>
      <c r="B126" s="26"/>
      <c r="C126" s="2"/>
      <c r="D126" s="2"/>
      <c r="E126" s="2"/>
      <c r="F126" s="2"/>
      <c r="G126" s="26"/>
      <c r="H126" s="2"/>
      <c r="I126" s="2"/>
      <c r="J126" s="2"/>
      <c r="K126" s="2"/>
      <c r="Q126" s="14"/>
    </row>
    <row r="127" spans="1:17" s="15" customFormat="1">
      <c r="A127" s="1"/>
      <c r="B127" s="26"/>
      <c r="C127" s="2"/>
      <c r="D127" s="2"/>
      <c r="E127" s="2"/>
      <c r="F127" s="2"/>
      <c r="G127" s="26"/>
      <c r="H127" s="2"/>
      <c r="I127" s="2"/>
      <c r="J127" s="2"/>
      <c r="K127" s="2"/>
      <c r="Q127" s="14"/>
    </row>
    <row r="129" spans="11:15" ht="15" customHeight="1">
      <c r="K129" s="303"/>
    </row>
    <row r="130" spans="11:15" ht="15" customHeight="1">
      <c r="K130" s="303"/>
      <c r="L130" s="6"/>
    </row>
    <row r="131" spans="11:15" ht="30.75" customHeight="1">
      <c r="K131" s="46"/>
    </row>
    <row r="132" spans="11:15">
      <c r="K132" s="46"/>
    </row>
    <row r="133" spans="11:15">
      <c r="K133" s="47"/>
      <c r="L133" s="47"/>
      <c r="M133" s="47"/>
      <c r="N133" s="47"/>
    </row>
    <row r="135" spans="11:15" ht="30.75" customHeight="1">
      <c r="K135" s="304"/>
      <c r="L135" s="304"/>
      <c r="M135" s="304"/>
      <c r="N135" s="304"/>
      <c r="O135" s="304"/>
    </row>
    <row r="136" spans="11:15" ht="15" customHeight="1">
      <c r="K136" s="304"/>
    </row>
    <row r="137" spans="11:15" ht="82.5" customHeight="1">
      <c r="K137" s="304"/>
      <c r="L137" s="304"/>
      <c r="M137" s="304"/>
      <c r="N137" s="304"/>
      <c r="O137" s="304"/>
    </row>
    <row r="138" spans="11:15" ht="15" customHeight="1">
      <c r="K138" s="49"/>
    </row>
    <row r="139" spans="11:15">
      <c r="K139" s="49"/>
    </row>
    <row r="140" spans="11:15" ht="69.75" customHeight="1">
      <c r="K140" s="49"/>
    </row>
  </sheetData>
  <mergeCells count="8">
    <mergeCell ref="C13:F13"/>
    <mergeCell ref="A1:O1"/>
    <mergeCell ref="A2:O2"/>
    <mergeCell ref="A3:O3"/>
    <mergeCell ref="C14:F14"/>
    <mergeCell ref="C7:F7"/>
    <mergeCell ref="C9:F9"/>
    <mergeCell ref="C11:F11"/>
  </mergeCells>
  <pageMargins left="0.5" right="0.25" top="1" bottom="1" header="0.5" footer="0.5"/>
  <pageSetup scale="58" orientation="landscape" r:id="rId1"/>
  <headerFooter alignWithMargins="0"/>
  <ignoredErrors>
    <ignoredError sqref="H45:J45 L45:N4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59999389629810485"/>
  </sheetPr>
  <dimension ref="A1:K291"/>
  <sheetViews>
    <sheetView workbookViewId="0">
      <selection activeCell="S19" sqref="S19"/>
    </sheetView>
  </sheetViews>
  <sheetFormatPr defaultColWidth="8.77734375" defaultRowHeight="12.75"/>
  <cols>
    <col min="1" max="1" width="5.88671875" style="102" customWidth="1"/>
    <col min="2" max="2" width="40.88671875" style="102" customWidth="1"/>
    <col min="3" max="3" width="65" style="102" bestFit="1" customWidth="1"/>
    <col min="4" max="4" width="10.77734375" style="102" customWidth="1"/>
    <col min="5" max="5" width="4.5546875" style="102" customWidth="1"/>
    <col min="6" max="6" width="3.5546875" style="102" customWidth="1"/>
    <col min="7" max="7" width="9.77734375" style="102" customWidth="1"/>
    <col min="8" max="8" width="3.88671875" style="102" bestFit="1" customWidth="1"/>
    <col min="9" max="9" width="10.77734375" style="102" customWidth="1"/>
    <col min="10" max="10" width="1.44140625" style="102" customWidth="1"/>
    <col min="11" max="11" width="15.109375" style="102" customWidth="1"/>
    <col min="12" max="12" width="10.21875" style="102" customWidth="1"/>
    <col min="13" max="16384" width="8.77734375" style="102"/>
  </cols>
  <sheetData>
    <row r="1" spans="1:11">
      <c r="B1" s="70"/>
      <c r="C1" s="70"/>
      <c r="D1" s="103"/>
      <c r="E1" s="70"/>
      <c r="F1" s="70"/>
      <c r="G1" s="70"/>
      <c r="H1" s="70"/>
      <c r="I1" s="923" t="s">
        <v>16</v>
      </c>
      <c r="J1" s="923"/>
      <c r="K1" s="923"/>
    </row>
    <row r="2" spans="1:11">
      <c r="B2" s="70"/>
      <c r="C2" s="70"/>
      <c r="D2" s="103"/>
      <c r="E2" s="70"/>
      <c r="F2" s="70"/>
      <c r="G2" s="70"/>
      <c r="H2" s="70"/>
      <c r="I2" s="70"/>
      <c r="J2" s="922" t="s">
        <v>78</v>
      </c>
      <c r="K2" s="922"/>
    </row>
    <row r="3" spans="1:11">
      <c r="B3" s="70"/>
      <c r="D3" s="103"/>
      <c r="E3" s="70"/>
      <c r="F3" s="70"/>
      <c r="G3" s="70"/>
      <c r="H3" s="70"/>
      <c r="I3" s="70"/>
      <c r="J3" s="70"/>
      <c r="K3" s="104"/>
    </row>
    <row r="4" spans="1:11">
      <c r="B4" s="103" t="s">
        <v>79</v>
      </c>
      <c r="C4" s="77" t="s">
        <v>80</v>
      </c>
      <c r="E4" s="70"/>
      <c r="F4" s="70"/>
      <c r="G4" s="70"/>
      <c r="H4" s="70"/>
      <c r="I4" s="70"/>
      <c r="J4" s="70"/>
      <c r="K4" s="105" t="s">
        <v>1413</v>
      </c>
    </row>
    <row r="5" spans="1:11">
      <c r="B5" s="70"/>
      <c r="C5" s="107" t="s">
        <v>81</v>
      </c>
      <c r="E5" s="106"/>
      <c r="F5" s="106"/>
      <c r="G5" s="106"/>
      <c r="H5" s="70"/>
      <c r="I5" s="70"/>
      <c r="J5" s="70"/>
      <c r="K5" s="70"/>
    </row>
    <row r="6" spans="1:11">
      <c r="B6" s="70"/>
      <c r="C6" s="106"/>
      <c r="D6" s="106"/>
      <c r="E6" s="106"/>
      <c r="F6" s="106"/>
      <c r="G6" s="106"/>
      <c r="H6" s="70"/>
      <c r="I6" s="70"/>
      <c r="J6" s="70"/>
      <c r="K6" s="70"/>
    </row>
    <row r="7" spans="1:11">
      <c r="B7" s="70"/>
      <c r="C7" s="108" t="s">
        <v>82</v>
      </c>
      <c r="E7" s="106"/>
      <c r="F7" s="106"/>
      <c r="G7" s="106"/>
      <c r="H7" s="106"/>
      <c r="I7" s="106"/>
      <c r="J7" s="106"/>
      <c r="K7" s="106"/>
    </row>
    <row r="8" spans="1:11">
      <c r="A8" s="77" t="s">
        <v>83</v>
      </c>
      <c r="B8" s="70"/>
      <c r="C8" s="70"/>
      <c r="D8" s="109"/>
      <c r="E8" s="70"/>
      <c r="F8" s="70"/>
      <c r="G8" s="70"/>
      <c r="H8" s="70"/>
      <c r="I8" s="77" t="s">
        <v>84</v>
      </c>
      <c r="J8" s="70"/>
      <c r="K8" s="70"/>
    </row>
    <row r="9" spans="1:11" ht="13.5" thickBot="1">
      <c r="A9" s="110" t="s">
        <v>85</v>
      </c>
      <c r="B9" s="70"/>
      <c r="C9" s="70"/>
      <c r="D9" s="70"/>
      <c r="E9" s="70"/>
      <c r="F9" s="70"/>
      <c r="G9" s="70"/>
      <c r="H9" s="70"/>
      <c r="I9" s="110" t="s">
        <v>86</v>
      </c>
      <c r="J9" s="70"/>
      <c r="K9" s="70"/>
    </row>
    <row r="10" spans="1:11">
      <c r="A10" s="77">
        <v>1</v>
      </c>
      <c r="B10" s="70" t="s">
        <v>87</v>
      </c>
      <c r="C10" s="70"/>
      <c r="D10" s="106"/>
      <c r="E10" s="70"/>
      <c r="F10" s="70"/>
      <c r="G10" s="70"/>
      <c r="H10" s="70"/>
      <c r="I10" s="111">
        <f>'Act Att-H'!I160</f>
        <v>16118328.890938839</v>
      </c>
      <c r="J10" s="70"/>
      <c r="K10" s="70"/>
    </row>
    <row r="11" spans="1:11">
      <c r="A11" s="77"/>
      <c r="B11" s="70"/>
      <c r="C11" s="70"/>
      <c r="D11" s="70"/>
      <c r="E11" s="70"/>
      <c r="F11" s="70"/>
      <c r="G11" s="70"/>
      <c r="H11" s="70"/>
      <c r="I11" s="106"/>
      <c r="J11" s="70"/>
      <c r="K11" s="70"/>
    </row>
    <row r="12" spans="1:11" ht="13.5" thickBot="1">
      <c r="A12" s="77" t="s">
        <v>88</v>
      </c>
      <c r="B12" s="70" t="s">
        <v>89</v>
      </c>
      <c r="C12" s="106" t="s">
        <v>90</v>
      </c>
      <c r="D12" s="110" t="s">
        <v>91</v>
      </c>
      <c r="E12" s="106"/>
      <c r="F12" s="934" t="s">
        <v>92</v>
      </c>
      <c r="G12" s="934"/>
      <c r="H12" s="70"/>
      <c r="I12" s="106"/>
      <c r="J12" s="70"/>
      <c r="K12" s="70"/>
    </row>
    <row r="13" spans="1:11">
      <c r="A13" s="77">
        <v>2</v>
      </c>
      <c r="B13" s="70" t="s">
        <v>93</v>
      </c>
      <c r="C13" s="106" t="s">
        <v>94</v>
      </c>
      <c r="D13" s="173">
        <f>'A1-RevCred'!J12</f>
        <v>139732.3374875607</v>
      </c>
      <c r="E13" s="106"/>
      <c r="F13" s="106" t="s">
        <v>95</v>
      </c>
      <c r="G13" s="113">
        <f>$I$179</f>
        <v>0.61863245862384375</v>
      </c>
      <c r="H13" s="106"/>
      <c r="I13" s="62">
        <f>+G13*D13</f>
        <v>86442.959489186367</v>
      </c>
      <c r="J13" s="70"/>
      <c r="K13" s="70"/>
    </row>
    <row r="14" spans="1:11">
      <c r="A14" s="77">
        <v>3</v>
      </c>
      <c r="B14" s="70" t="s">
        <v>96</v>
      </c>
      <c r="C14" s="106" t="s">
        <v>97</v>
      </c>
      <c r="D14" s="173">
        <f>'A1-RevCred'!F48</f>
        <v>0</v>
      </c>
      <c r="E14" s="106"/>
      <c r="F14" s="114" t="str">
        <f t="shared" ref="F14" si="0">+F13</f>
        <v>TP</v>
      </c>
      <c r="G14" s="113">
        <f>$I$179</f>
        <v>0.61863245862384375</v>
      </c>
      <c r="H14" s="106"/>
      <c r="I14" s="62">
        <f>+G14*D14</f>
        <v>0</v>
      </c>
      <c r="J14" s="70"/>
      <c r="K14" s="70"/>
    </row>
    <row r="15" spans="1:11">
      <c r="A15" s="77">
        <v>4</v>
      </c>
      <c r="B15" s="175" t="s">
        <v>98</v>
      </c>
      <c r="C15" s="106"/>
      <c r="D15" s="174"/>
      <c r="E15" s="106"/>
      <c r="F15" s="114"/>
      <c r="G15" s="113"/>
      <c r="H15" s="106"/>
      <c r="I15" s="62"/>
      <c r="J15" s="70"/>
      <c r="K15" s="70"/>
    </row>
    <row r="16" spans="1:11" ht="13.5" thickBot="1">
      <c r="A16" s="77">
        <v>5</v>
      </c>
      <c r="B16" s="175" t="s">
        <v>98</v>
      </c>
      <c r="C16" s="106"/>
      <c r="D16" s="174"/>
      <c r="E16" s="106"/>
      <c r="F16" s="114"/>
      <c r="G16" s="113"/>
      <c r="H16" s="106"/>
      <c r="I16" s="63"/>
      <c r="J16" s="70"/>
      <c r="K16" s="70"/>
    </row>
    <row r="17" spans="1:11">
      <c r="A17" s="77">
        <v>6</v>
      </c>
      <c r="B17" s="70" t="s">
        <v>99</v>
      </c>
      <c r="C17" s="70"/>
      <c r="D17" s="116" t="s">
        <v>88</v>
      </c>
      <c r="E17" s="106"/>
      <c r="F17" s="106"/>
      <c r="G17" s="117"/>
      <c r="H17" s="106"/>
      <c r="I17" s="62">
        <f>SUM(I13:I16)</f>
        <v>86442.959489186367</v>
      </c>
      <c r="J17" s="70"/>
      <c r="K17" s="70"/>
    </row>
    <row r="18" spans="1:11">
      <c r="A18" s="77"/>
      <c r="B18" s="70"/>
      <c r="C18" s="70"/>
      <c r="I18" s="62"/>
      <c r="J18" s="70"/>
      <c r="K18" s="70"/>
    </row>
    <row r="19" spans="1:11" ht="13.5" thickBot="1">
      <c r="A19" s="77">
        <v>7</v>
      </c>
      <c r="B19" s="70" t="s">
        <v>100</v>
      </c>
      <c r="C19" s="70" t="s">
        <v>101</v>
      </c>
      <c r="D19" s="116"/>
      <c r="E19" s="106"/>
      <c r="F19" s="106"/>
      <c r="G19" s="106"/>
      <c r="H19" s="106"/>
      <c r="I19" s="118">
        <f>I10-I17</f>
        <v>16031885.931449652</v>
      </c>
      <c r="J19" s="70"/>
      <c r="K19" s="70"/>
    </row>
    <row r="20" spans="1:11" ht="13.5" thickTop="1">
      <c r="A20" s="77"/>
      <c r="B20" s="70"/>
      <c r="C20" s="70"/>
      <c r="D20" s="116"/>
      <c r="E20" s="106"/>
      <c r="F20" s="106"/>
      <c r="G20" s="106"/>
      <c r="H20" s="106"/>
      <c r="I20" s="419"/>
      <c r="J20" s="70"/>
      <c r="K20" s="70"/>
    </row>
    <row r="21" spans="1:11">
      <c r="A21" s="77"/>
      <c r="B21" s="70" t="s">
        <v>102</v>
      </c>
      <c r="C21" s="70"/>
      <c r="D21" s="106"/>
      <c r="E21" s="70"/>
      <c r="F21" s="70"/>
      <c r="G21" s="70"/>
      <c r="H21" s="70"/>
      <c r="I21" s="106"/>
      <c r="J21" s="70"/>
      <c r="K21" s="70"/>
    </row>
    <row r="22" spans="1:11">
      <c r="A22" s="77">
        <v>8</v>
      </c>
      <c r="B22" s="70" t="s">
        <v>103</v>
      </c>
      <c r="C22" s="102" t="s">
        <v>104</v>
      </c>
      <c r="D22" s="106"/>
      <c r="E22" s="70"/>
      <c r="F22" s="70"/>
      <c r="G22" s="70"/>
      <c r="H22" s="70"/>
      <c r="I22" s="173">
        <f>'A6-Divisor'!E21</f>
        <v>353166.66666666669</v>
      </c>
      <c r="J22" s="70"/>
      <c r="K22" s="70"/>
    </row>
    <row r="23" spans="1:11">
      <c r="A23" s="77">
        <v>9</v>
      </c>
      <c r="B23" s="70"/>
      <c r="C23" s="106"/>
      <c r="D23" s="106"/>
      <c r="E23" s="106"/>
      <c r="F23" s="106"/>
      <c r="G23" s="106"/>
      <c r="H23" s="106"/>
      <c r="I23" s="106"/>
      <c r="J23" s="70"/>
      <c r="K23" s="70"/>
    </row>
    <row r="24" spans="1:11">
      <c r="A24" s="77">
        <v>10</v>
      </c>
      <c r="B24" s="106" t="s">
        <v>105</v>
      </c>
      <c r="C24" s="106"/>
      <c r="D24" s="106"/>
      <c r="E24" s="106"/>
      <c r="F24" s="106"/>
      <c r="G24" s="106"/>
      <c r="H24" s="106"/>
      <c r="I24" s="106"/>
      <c r="J24" s="106"/>
      <c r="K24" s="70"/>
    </row>
    <row r="25" spans="1:11">
      <c r="A25" s="77">
        <v>11</v>
      </c>
      <c r="B25" s="70" t="s">
        <v>106</v>
      </c>
      <c r="C25" s="70"/>
      <c r="D25" s="572">
        <f>IFERROR(ROUND(I19/I22,2),0)</f>
        <v>45.39</v>
      </c>
      <c r="E25" s="70" t="s">
        <v>107</v>
      </c>
      <c r="F25" s="106"/>
      <c r="G25" s="106"/>
      <c r="H25" s="106"/>
      <c r="I25" s="106"/>
      <c r="J25" s="106"/>
      <c r="K25" s="70"/>
    </row>
    <row r="26" spans="1:11">
      <c r="A26" s="77">
        <v>12</v>
      </c>
      <c r="B26" s="70" t="s">
        <v>108</v>
      </c>
      <c r="C26" s="70" t="s">
        <v>109</v>
      </c>
      <c r="D26" s="572">
        <f>ROUND(D25/12,2)</f>
        <v>3.78</v>
      </c>
      <c r="E26" s="70" t="s">
        <v>110</v>
      </c>
      <c r="F26" s="106"/>
      <c r="G26" s="106"/>
      <c r="H26" s="106"/>
      <c r="I26" s="106"/>
      <c r="J26" s="106"/>
      <c r="K26" s="70"/>
    </row>
    <row r="27" spans="1:11">
      <c r="A27" s="77">
        <v>13</v>
      </c>
      <c r="B27" s="70" t="s">
        <v>111</v>
      </c>
      <c r="C27" s="70" t="s">
        <v>112</v>
      </c>
      <c r="D27" s="572">
        <f>ROUND(D25/52,2)</f>
        <v>0.87</v>
      </c>
      <c r="E27" s="70" t="s">
        <v>113</v>
      </c>
      <c r="F27" s="106"/>
      <c r="G27" s="106"/>
      <c r="H27" s="106"/>
      <c r="I27" s="106"/>
      <c r="J27" s="106"/>
      <c r="K27" s="70"/>
    </row>
    <row r="28" spans="1:11">
      <c r="A28" s="77">
        <v>14</v>
      </c>
      <c r="B28" s="70" t="s">
        <v>114</v>
      </c>
      <c r="C28" s="70" t="s">
        <v>115</v>
      </c>
      <c r="D28" s="573">
        <f>+D27/6</f>
        <v>0.14499999999999999</v>
      </c>
      <c r="E28" s="70" t="s">
        <v>116</v>
      </c>
      <c r="F28" s="106"/>
      <c r="G28" s="106"/>
      <c r="H28" s="106"/>
      <c r="I28" s="106"/>
      <c r="J28" s="106"/>
      <c r="K28" s="70"/>
    </row>
    <row r="29" spans="1:11">
      <c r="A29" s="77">
        <v>15</v>
      </c>
      <c r="B29" s="70" t="s">
        <v>117</v>
      </c>
      <c r="C29" s="70" t="s">
        <v>118</v>
      </c>
      <c r="D29" s="573">
        <f>+D27/7</f>
        <v>0.12428571428571429</v>
      </c>
      <c r="E29" s="70" t="s">
        <v>116</v>
      </c>
      <c r="F29" s="106"/>
      <c r="G29" s="106"/>
      <c r="H29" s="106"/>
      <c r="I29" s="106"/>
      <c r="J29" s="106"/>
      <c r="K29" s="70"/>
    </row>
    <row r="30" spans="1:11">
      <c r="A30" s="77">
        <v>16</v>
      </c>
      <c r="B30" s="70" t="s">
        <v>119</v>
      </c>
      <c r="C30" s="70" t="s">
        <v>120</v>
      </c>
      <c r="D30" s="572">
        <f>+D28/16*1000</f>
        <v>9.0625</v>
      </c>
      <c r="E30" s="70" t="s">
        <v>121</v>
      </c>
      <c r="F30" s="106"/>
      <c r="G30" s="106"/>
      <c r="H30" s="106"/>
      <c r="I30" s="106"/>
      <c r="J30" s="106"/>
      <c r="K30" s="70"/>
    </row>
    <row r="31" spans="1:11">
      <c r="A31" s="77">
        <v>17</v>
      </c>
      <c r="B31" s="70" t="s">
        <v>122</v>
      </c>
      <c r="C31" s="70" t="s">
        <v>123</v>
      </c>
      <c r="D31" s="572">
        <f>+D29/24*1000</f>
        <v>5.1785714285714288</v>
      </c>
      <c r="E31" s="70" t="s">
        <v>121</v>
      </c>
      <c r="F31" s="106"/>
      <c r="G31" s="106"/>
      <c r="H31" s="106"/>
      <c r="I31" s="106"/>
      <c r="J31" s="106"/>
      <c r="K31" s="70"/>
    </row>
    <row r="32" spans="1:11">
      <c r="B32" s="70"/>
      <c r="C32" s="70"/>
      <c r="D32" s="103"/>
      <c r="E32" s="70"/>
      <c r="F32" s="70"/>
      <c r="G32" s="70"/>
      <c r="H32" s="70"/>
      <c r="I32" s="923" t="str">
        <f>I1</f>
        <v>Actual Attachment H</v>
      </c>
      <c r="J32" s="923"/>
      <c r="K32" s="923"/>
    </row>
    <row r="33" spans="1:11">
      <c r="B33" s="70"/>
      <c r="C33" s="70"/>
      <c r="D33" s="103"/>
      <c r="E33" s="70"/>
      <c r="F33" s="70"/>
      <c r="G33" s="70"/>
      <c r="H33" s="70"/>
      <c r="I33" s="70"/>
      <c r="J33" s="922" t="s">
        <v>124</v>
      </c>
      <c r="K33" s="922"/>
    </row>
    <row r="34" spans="1:11">
      <c r="B34" s="70"/>
      <c r="C34" s="70"/>
      <c r="D34" s="103"/>
      <c r="E34" s="70"/>
      <c r="F34" s="70"/>
      <c r="G34" s="70"/>
      <c r="H34" s="70"/>
      <c r="I34" s="70"/>
      <c r="J34" s="70"/>
      <c r="K34" s="104"/>
    </row>
    <row r="35" spans="1:11">
      <c r="B35" s="103" t="s">
        <v>79</v>
      </c>
      <c r="C35" s="70"/>
      <c r="D35" s="77" t="s">
        <v>125</v>
      </c>
      <c r="E35" s="70"/>
      <c r="F35" s="70"/>
      <c r="G35" s="70"/>
      <c r="H35" s="70"/>
      <c r="I35" s="70"/>
      <c r="J35" s="70"/>
      <c r="K35" s="120" t="str">
        <f>K4</f>
        <v>Actuals - For the 12 months ended 12/31/2025</v>
      </c>
    </row>
    <row r="36" spans="1:11">
      <c r="B36" s="70"/>
      <c r="C36" s="106"/>
      <c r="D36" s="107" t="s">
        <v>126</v>
      </c>
      <c r="E36" s="106"/>
      <c r="F36" s="106"/>
      <c r="G36" s="106"/>
      <c r="H36" s="70"/>
      <c r="I36" s="70"/>
      <c r="J36" s="70"/>
      <c r="K36" s="70"/>
    </row>
    <row r="37" spans="1:11">
      <c r="B37" s="70"/>
      <c r="C37" s="106"/>
      <c r="D37" s="106"/>
      <c r="E37" s="106"/>
      <c r="F37" s="106"/>
      <c r="G37" s="106"/>
      <c r="H37" s="70"/>
      <c r="I37" s="70"/>
      <c r="J37" s="70"/>
      <c r="K37" s="70"/>
    </row>
    <row r="38" spans="1:11">
      <c r="A38" s="77"/>
      <c r="D38" s="121" t="str">
        <f>C7</f>
        <v>Cheyenne Light, Fuel &amp; Power</v>
      </c>
      <c r="J38" s="106"/>
      <c r="K38" s="106"/>
    </row>
    <row r="39" spans="1:11">
      <c r="B39" s="70"/>
      <c r="C39" s="70"/>
      <c r="D39" s="70"/>
      <c r="E39" s="70"/>
      <c r="F39" s="70"/>
      <c r="G39" s="70"/>
      <c r="H39" s="70"/>
      <c r="J39" s="70"/>
      <c r="K39" s="70"/>
    </row>
    <row r="40" spans="1:11">
      <c r="B40" s="77" t="s">
        <v>127</v>
      </c>
      <c r="C40" s="77" t="s">
        <v>128</v>
      </c>
      <c r="D40" s="77" t="s">
        <v>129</v>
      </c>
      <c r="E40" s="106" t="s">
        <v>88</v>
      </c>
      <c r="F40" s="106"/>
      <c r="G40" s="122" t="s">
        <v>130</v>
      </c>
      <c r="H40" s="106"/>
      <c r="I40" s="123" t="s">
        <v>131</v>
      </c>
      <c r="J40" s="106"/>
      <c r="K40" s="77"/>
    </row>
    <row r="41" spans="1:11">
      <c r="B41" s="70"/>
      <c r="C41" s="124" t="s">
        <v>132</v>
      </c>
      <c r="D41" s="106"/>
      <c r="E41" s="106"/>
      <c r="F41" s="106"/>
      <c r="G41" s="77"/>
      <c r="H41" s="106"/>
      <c r="I41" s="125" t="s">
        <v>133</v>
      </c>
      <c r="J41" s="106"/>
      <c r="K41" s="77"/>
    </row>
    <row r="42" spans="1:11">
      <c r="A42" s="77" t="s">
        <v>83</v>
      </c>
      <c r="B42" s="70"/>
      <c r="C42" s="126" t="s">
        <v>134</v>
      </c>
      <c r="D42" s="125" t="s">
        <v>135</v>
      </c>
      <c r="E42" s="127"/>
      <c r="F42" s="125" t="s">
        <v>136</v>
      </c>
      <c r="H42" s="127"/>
      <c r="I42" s="77" t="s">
        <v>137</v>
      </c>
      <c r="J42" s="106"/>
      <c r="K42" s="77"/>
    </row>
    <row r="43" spans="1:11" ht="13.5" thickBot="1">
      <c r="A43" s="110" t="s">
        <v>85</v>
      </c>
      <c r="B43" s="128" t="s">
        <v>138</v>
      </c>
      <c r="C43" s="106"/>
      <c r="D43" s="106"/>
      <c r="E43" s="106"/>
      <c r="F43" s="106"/>
      <c r="G43" s="106"/>
      <c r="H43" s="106"/>
      <c r="I43" s="106"/>
      <c r="J43" s="106"/>
      <c r="K43" s="106"/>
    </row>
    <row r="44" spans="1:11">
      <c r="A44" s="77"/>
      <c r="B44" s="70" t="s">
        <v>139</v>
      </c>
      <c r="C44" s="106"/>
      <c r="D44" s="106"/>
      <c r="E44" s="106"/>
      <c r="F44" s="106"/>
      <c r="G44" s="106"/>
      <c r="H44" s="106"/>
      <c r="I44" s="106"/>
      <c r="J44" s="106"/>
      <c r="K44" s="106"/>
    </row>
    <row r="45" spans="1:11">
      <c r="A45" s="77">
        <v>1</v>
      </c>
      <c r="B45" s="70" t="s">
        <v>140</v>
      </c>
      <c r="C45" s="50" t="s">
        <v>141</v>
      </c>
      <c r="D45" s="173">
        <f>'A4-Rate Base'!C23</f>
        <v>353698882.16923076</v>
      </c>
      <c r="E45" s="106"/>
      <c r="F45" s="106" t="s">
        <v>142</v>
      </c>
      <c r="G45" s="129" t="s">
        <v>88</v>
      </c>
      <c r="H45" s="106"/>
      <c r="I45" s="62">
        <v>0</v>
      </c>
      <c r="J45" s="106"/>
      <c r="K45" s="106"/>
    </row>
    <row r="46" spans="1:11">
      <c r="A46" s="77">
        <v>2</v>
      </c>
      <c r="B46" s="70" t="s">
        <v>143</v>
      </c>
      <c r="C46" s="50" t="s">
        <v>144</v>
      </c>
      <c r="D46" s="173">
        <f>'A4-Rate Base'!D23</f>
        <v>218038514.07999998</v>
      </c>
      <c r="E46" s="106"/>
      <c r="F46" s="106" t="s">
        <v>95</v>
      </c>
      <c r="G46" s="113">
        <f>$I$179</f>
        <v>0.61863245862384375</v>
      </c>
      <c r="H46" s="106"/>
      <c r="I46" s="62">
        <f>+G46*D46</f>
        <v>134885702.03999996</v>
      </c>
      <c r="J46" s="106"/>
      <c r="K46" s="106"/>
    </row>
    <row r="47" spans="1:11">
      <c r="A47" s="77">
        <v>3</v>
      </c>
      <c r="B47" s="70" t="s">
        <v>145</v>
      </c>
      <c r="C47" s="50" t="s">
        <v>146</v>
      </c>
      <c r="D47" s="173">
        <f>'A4-Rate Base'!E23</f>
        <v>305751737.00609326</v>
      </c>
      <c r="E47" s="106"/>
      <c r="F47" s="106" t="s">
        <v>142</v>
      </c>
      <c r="G47" s="129" t="s">
        <v>88</v>
      </c>
      <c r="H47" s="106"/>
      <c r="I47" s="62">
        <v>0</v>
      </c>
      <c r="J47" s="106"/>
      <c r="K47" s="106"/>
    </row>
    <row r="48" spans="1:11">
      <c r="A48" s="880" t="s">
        <v>147</v>
      </c>
      <c r="B48" s="56" t="s">
        <v>148</v>
      </c>
      <c r="C48" s="56" t="s">
        <v>149</v>
      </c>
      <c r="D48" s="173">
        <f>'A4-Rate Base'!F23</f>
        <v>0</v>
      </c>
      <c r="E48" s="106"/>
      <c r="F48" s="539" t="s">
        <v>150</v>
      </c>
      <c r="G48" s="113">
        <f>$I$187</f>
        <v>0</v>
      </c>
      <c r="H48" s="106"/>
      <c r="I48" s="59">
        <f>+G48*D48</f>
        <v>0</v>
      </c>
      <c r="J48" s="106"/>
      <c r="K48" s="106"/>
    </row>
    <row r="49" spans="1:11">
      <c r="A49" s="77">
        <v>4</v>
      </c>
      <c r="B49" s="70" t="s">
        <v>151</v>
      </c>
      <c r="C49" s="50" t="s">
        <v>152</v>
      </c>
      <c r="D49" s="173">
        <f>'A4-Rate Base'!G23</f>
        <v>46273561.432307683</v>
      </c>
      <c r="E49" s="106"/>
      <c r="F49" s="106" t="s">
        <v>153</v>
      </c>
      <c r="G49" s="130">
        <f>$I$207</f>
        <v>6.6848958689547669E-2</v>
      </c>
      <c r="H49" s="106"/>
      <c r="I49" s="62">
        <f>+G49*D49</f>
        <v>3093339.3966065827</v>
      </c>
      <c r="J49" s="106"/>
      <c r="K49" s="106"/>
    </row>
    <row r="50" spans="1:11">
      <c r="A50" s="77">
        <v>5</v>
      </c>
      <c r="B50" s="70" t="s">
        <v>154</v>
      </c>
      <c r="C50" s="50" t="s">
        <v>155</v>
      </c>
      <c r="D50" s="173">
        <f>'A4-Rate Base'!H23</f>
        <v>8006090.3392307693</v>
      </c>
      <c r="E50" s="106"/>
      <c r="F50" s="106" t="s">
        <v>156</v>
      </c>
      <c r="G50" s="130">
        <f>$K$211</f>
        <v>6.5297211282099338E-2</v>
      </c>
      <c r="H50" s="106"/>
      <c r="I50" s="62">
        <f>+G50*D50</f>
        <v>522775.37242432591</v>
      </c>
      <c r="J50" s="106"/>
      <c r="K50" s="106"/>
    </row>
    <row r="51" spans="1:11">
      <c r="A51" s="77">
        <v>6</v>
      </c>
      <c r="B51" s="70" t="s">
        <v>157</v>
      </c>
      <c r="C51" s="51" t="s">
        <v>158</v>
      </c>
      <c r="D51" s="183">
        <f>SUM(D45:D50)</f>
        <v>931768785.0268625</v>
      </c>
      <c r="E51" s="106"/>
      <c r="F51" s="106" t="s">
        <v>159</v>
      </c>
      <c r="G51" s="113">
        <f>IF(I51&gt;0,I51/D51,0)</f>
        <v>0.14864397588188999</v>
      </c>
      <c r="H51" s="106"/>
      <c r="I51" s="183">
        <f>SUM(I45:I50)</f>
        <v>138501816.80903089</v>
      </c>
      <c r="J51" s="106"/>
      <c r="K51" s="380"/>
    </row>
    <row r="52" spans="1:11">
      <c r="B52" s="70"/>
      <c r="C52" s="106"/>
      <c r="D52" s="106"/>
      <c r="E52" s="106"/>
      <c r="F52" s="106"/>
      <c r="G52" s="132"/>
      <c r="H52" s="106"/>
      <c r="I52" s="62"/>
      <c r="J52" s="106"/>
      <c r="K52" s="132"/>
    </row>
    <row r="53" spans="1:11">
      <c r="B53" s="70" t="s">
        <v>160</v>
      </c>
      <c r="C53" s="106"/>
      <c r="D53" s="106"/>
      <c r="E53" s="106"/>
      <c r="F53" s="106"/>
      <c r="G53" s="106"/>
      <c r="H53" s="106"/>
      <c r="I53" s="106"/>
      <c r="J53" s="106"/>
      <c r="K53" s="106"/>
    </row>
    <row r="54" spans="1:11">
      <c r="A54" s="77">
        <v>7</v>
      </c>
      <c r="B54" s="133" t="str">
        <f>+B45</f>
        <v xml:space="preserve">  Production</v>
      </c>
      <c r="C54" s="50" t="s">
        <v>161</v>
      </c>
      <c r="D54" s="863">
        <f>'A4-Rate Base'!E46</f>
        <v>95110590.143846169</v>
      </c>
      <c r="E54" s="106"/>
      <c r="F54" s="114" t="str">
        <f>+F45</f>
        <v>NA</v>
      </c>
      <c r="G54" s="130"/>
      <c r="H54" s="106"/>
      <c r="I54" s="62">
        <v>0</v>
      </c>
      <c r="J54" s="106"/>
      <c r="K54" s="106"/>
    </row>
    <row r="55" spans="1:11">
      <c r="A55" s="77">
        <v>8</v>
      </c>
      <c r="B55" s="133" t="str">
        <f>+B46</f>
        <v xml:space="preserve">  Transmission</v>
      </c>
      <c r="C55" s="50" t="s">
        <v>162</v>
      </c>
      <c r="D55" s="863">
        <f>'A4-Rate Base'!F46</f>
        <v>13807504.544418467</v>
      </c>
      <c r="E55" s="106"/>
      <c r="F55" s="114" t="str">
        <f>+F46</f>
        <v>TP</v>
      </c>
      <c r="G55" s="113">
        <f>$I$179</f>
        <v>0.61863245862384375</v>
      </c>
      <c r="H55" s="106"/>
      <c r="I55" s="62">
        <f>+G55*D55</f>
        <v>8541770.4837734923</v>
      </c>
      <c r="J55" s="106"/>
      <c r="K55" s="106"/>
    </row>
    <row r="56" spans="1:11">
      <c r="A56" s="77">
        <v>9</v>
      </c>
      <c r="B56" s="133" t="str">
        <f>+B47</f>
        <v xml:space="preserve">  Distribution</v>
      </c>
      <c r="C56" s="50" t="s">
        <v>163</v>
      </c>
      <c r="D56" s="863">
        <f>'A4-Rate Base'!G46</f>
        <v>82958761.098461553</v>
      </c>
      <c r="E56" s="106"/>
      <c r="F56" s="114" t="str">
        <f>+F47</f>
        <v>NA</v>
      </c>
      <c r="G56" s="130"/>
      <c r="H56" s="106"/>
      <c r="I56" s="62">
        <v>0</v>
      </c>
      <c r="J56" s="106"/>
      <c r="K56" s="106"/>
    </row>
    <row r="57" spans="1:11">
      <c r="A57" s="77" t="s">
        <v>164</v>
      </c>
      <c r="B57" s="56" t="s">
        <v>148</v>
      </c>
      <c r="C57" s="50" t="s">
        <v>165</v>
      </c>
      <c r="D57" s="173">
        <f>'A4-Rate Base'!D46</f>
        <v>0</v>
      </c>
      <c r="E57" s="106"/>
      <c r="F57" s="539" t="s">
        <v>150</v>
      </c>
      <c r="G57" s="113">
        <f>$I$187</f>
        <v>0</v>
      </c>
      <c r="H57" s="106"/>
      <c r="I57" s="59">
        <f>+G57*D57</f>
        <v>0</v>
      </c>
      <c r="J57" s="106"/>
      <c r="K57" s="106"/>
    </row>
    <row r="58" spans="1:11">
      <c r="A58" s="77">
        <v>10</v>
      </c>
      <c r="B58" s="133" t="str">
        <f>+B49</f>
        <v xml:space="preserve">  General &amp; Intangible</v>
      </c>
      <c r="C58" s="50" t="s">
        <v>166</v>
      </c>
      <c r="D58" s="173">
        <f>'A4-Rate Base'!H46</f>
        <v>11653908.743891519</v>
      </c>
      <c r="E58" s="106"/>
      <c r="F58" s="114" t="str">
        <f>+F49</f>
        <v>W/S</v>
      </c>
      <c r="G58" s="130">
        <f>$I$207</f>
        <v>6.6848958689547669E-2</v>
      </c>
      <c r="H58" s="106"/>
      <c r="I58" s="62">
        <f>+G58*D58</f>
        <v>779051.66419216245</v>
      </c>
      <c r="J58" s="106"/>
      <c r="K58" s="106"/>
    </row>
    <row r="59" spans="1:11">
      <c r="A59" s="77">
        <v>11</v>
      </c>
      <c r="B59" s="133" t="str">
        <f>+B50</f>
        <v xml:space="preserve">  Common</v>
      </c>
      <c r="C59" s="50" t="s">
        <v>167</v>
      </c>
      <c r="D59" s="173">
        <f>'A4-Rate Base'!I46</f>
        <v>2663446.6969230771</v>
      </c>
      <c r="E59" s="106"/>
      <c r="F59" s="114" t="str">
        <f>+F50</f>
        <v>CE</v>
      </c>
      <c r="G59" s="130">
        <f>$K$211</f>
        <v>6.5297211282099338E-2</v>
      </c>
      <c r="H59" s="106"/>
      <c r="I59" s="58">
        <f>+G59*D59</f>
        <v>173915.64170759576</v>
      </c>
      <c r="J59" s="106"/>
      <c r="K59" s="106"/>
    </row>
    <row r="60" spans="1:11">
      <c r="A60" s="77">
        <v>12</v>
      </c>
      <c r="B60" s="70" t="s">
        <v>168</v>
      </c>
      <c r="C60" s="51" t="s">
        <v>169</v>
      </c>
      <c r="D60" s="183">
        <f>SUM(D54:D59)</f>
        <v>206194211.22754076</v>
      </c>
      <c r="E60" s="106"/>
      <c r="F60" s="106"/>
      <c r="G60" s="106"/>
      <c r="H60" s="106"/>
      <c r="I60" s="183">
        <f>SUM(I54:I59)</f>
        <v>9494737.7896732502</v>
      </c>
      <c r="J60" s="106"/>
      <c r="K60" s="106"/>
    </row>
    <row r="61" spans="1:11">
      <c r="A61" s="77"/>
      <c r="C61" s="106" t="s">
        <v>88</v>
      </c>
      <c r="E61" s="106"/>
      <c r="F61" s="106"/>
      <c r="G61" s="132"/>
      <c r="H61" s="106"/>
      <c r="J61" s="106"/>
      <c r="K61" s="132"/>
    </row>
    <row r="62" spans="1:11">
      <c r="A62" s="77"/>
      <c r="B62" s="70" t="s">
        <v>170</v>
      </c>
      <c r="C62" s="106"/>
      <c r="D62" s="106"/>
      <c r="E62" s="106"/>
      <c r="F62" s="106"/>
      <c r="G62" s="106"/>
      <c r="H62" s="106"/>
      <c r="I62" s="106"/>
      <c r="J62" s="106"/>
      <c r="K62" s="106"/>
    </row>
    <row r="63" spans="1:11">
      <c r="A63" s="77">
        <v>13</v>
      </c>
      <c r="B63" s="133" t="str">
        <f>+B54</f>
        <v xml:space="preserve">  Production</v>
      </c>
      <c r="C63" s="51" t="s">
        <v>171</v>
      </c>
      <c r="D63" s="62">
        <f t="shared" ref="D63:D68" si="1">D45-D54</f>
        <v>258588292.0253846</v>
      </c>
      <c r="E63" s="106"/>
      <c r="F63" s="106"/>
      <c r="G63" s="132"/>
      <c r="H63" s="106"/>
      <c r="I63" s="106" t="s">
        <v>88</v>
      </c>
      <c r="J63" s="106"/>
      <c r="K63" s="132"/>
    </row>
    <row r="64" spans="1:11">
      <c r="A64" s="77">
        <v>14</v>
      </c>
      <c r="B64" s="133" t="str">
        <f>+B55</f>
        <v xml:space="preserve">  Transmission</v>
      </c>
      <c r="C64" s="51" t="s">
        <v>172</v>
      </c>
      <c r="D64" s="62">
        <f t="shared" si="1"/>
        <v>204231009.53558153</v>
      </c>
      <c r="E64" s="106"/>
      <c r="F64" s="106"/>
      <c r="G64" s="129"/>
      <c r="H64" s="106"/>
      <c r="I64" s="62">
        <f>I46-I55</f>
        <v>126343931.55622646</v>
      </c>
      <c r="J64" s="106"/>
      <c r="K64" s="132"/>
    </row>
    <row r="65" spans="1:11">
      <c r="A65" s="77">
        <v>15</v>
      </c>
      <c r="B65" s="133" t="str">
        <f>+B56</f>
        <v xml:space="preserve">  Distribution</v>
      </c>
      <c r="C65" s="51" t="s">
        <v>173</v>
      </c>
      <c r="D65" s="62">
        <f t="shared" si="1"/>
        <v>222792975.9076317</v>
      </c>
      <c r="E65" s="106"/>
      <c r="F65" s="106"/>
      <c r="G65" s="132"/>
      <c r="H65" s="106"/>
      <c r="I65" s="62" t="s">
        <v>88</v>
      </c>
      <c r="J65" s="106"/>
      <c r="K65" s="132"/>
    </row>
    <row r="66" spans="1:11">
      <c r="A66" s="77" t="s">
        <v>174</v>
      </c>
      <c r="B66" s="133" t="s">
        <v>148</v>
      </c>
      <c r="C66" s="51" t="s">
        <v>175</v>
      </c>
      <c r="D66" s="62">
        <f t="shared" si="1"/>
        <v>0</v>
      </c>
      <c r="E66" s="106"/>
      <c r="F66" s="106"/>
      <c r="G66" s="132"/>
      <c r="H66" s="106"/>
      <c r="I66" s="62">
        <f>I48-I57</f>
        <v>0</v>
      </c>
      <c r="J66" s="106"/>
      <c r="K66" s="132"/>
    </row>
    <row r="67" spans="1:11">
      <c r="A67" s="77">
        <v>16</v>
      </c>
      <c r="B67" s="133" t="str">
        <f>+B58</f>
        <v xml:space="preserve">  General &amp; Intangible</v>
      </c>
      <c r="C67" s="51" t="s">
        <v>176</v>
      </c>
      <c r="D67" s="62">
        <f t="shared" si="1"/>
        <v>34619652.688416168</v>
      </c>
      <c r="E67" s="106"/>
      <c r="F67" s="106"/>
      <c r="G67" s="132"/>
      <c r="H67" s="106"/>
      <c r="I67" s="62">
        <f>I49-I58</f>
        <v>2314287.7324144202</v>
      </c>
      <c r="J67" s="106"/>
      <c r="K67" s="132"/>
    </row>
    <row r="68" spans="1:11" ht="13.5" thickBot="1">
      <c r="A68" s="77">
        <v>17</v>
      </c>
      <c r="B68" s="133" t="str">
        <f>+B59</f>
        <v xml:space="preserve">  Common</v>
      </c>
      <c r="C68" s="51" t="s">
        <v>177</v>
      </c>
      <c r="D68" s="63">
        <f t="shared" si="1"/>
        <v>5342643.6423076922</v>
      </c>
      <c r="E68" s="106"/>
      <c r="F68" s="106"/>
      <c r="G68" s="132"/>
      <c r="H68" s="106"/>
      <c r="I68" s="58">
        <f>I50-I59</f>
        <v>348859.73071673012</v>
      </c>
      <c r="J68" s="106"/>
      <c r="K68" s="132"/>
    </row>
    <row r="69" spans="1:11">
      <c r="A69" s="77">
        <v>18</v>
      </c>
      <c r="B69" s="70" t="s">
        <v>178</v>
      </c>
      <c r="C69" s="51" t="s">
        <v>179</v>
      </c>
      <c r="D69" s="62">
        <f>SUM(D63:D68)</f>
        <v>725574573.79932165</v>
      </c>
      <c r="E69" s="106"/>
      <c r="F69" s="106" t="s">
        <v>180</v>
      </c>
      <c r="G69" s="113">
        <f>IF(I69&gt;0,I69/D69,0)</f>
        <v>0.17779988946393016</v>
      </c>
      <c r="H69" s="106"/>
      <c r="I69" s="183">
        <f>SUM(I63:I68)</f>
        <v>129007079.01935762</v>
      </c>
      <c r="J69" s="106"/>
      <c r="K69" s="106"/>
    </row>
    <row r="70" spans="1:11" s="2" customFormat="1">
      <c r="A70" s="52"/>
      <c r="B70" s="53"/>
      <c r="C70" s="51"/>
      <c r="D70" s="54"/>
      <c r="E70" s="50"/>
      <c r="F70" s="50"/>
      <c r="G70" s="55"/>
      <c r="H70" s="50"/>
      <c r="I70" s="62"/>
      <c r="J70" s="51"/>
      <c r="K70" s="51"/>
    </row>
    <row r="71" spans="1:11" s="2" customFormat="1">
      <c r="A71" s="52" t="s">
        <v>181</v>
      </c>
      <c r="B71" s="56" t="s">
        <v>182</v>
      </c>
      <c r="C71" s="57" t="s">
        <v>183</v>
      </c>
      <c r="D71" s="173">
        <f>'A4-Rate Base'!I23</f>
        <v>0</v>
      </c>
      <c r="E71" s="57"/>
      <c r="F71" s="72"/>
      <c r="G71" s="659"/>
      <c r="H71" s="57"/>
      <c r="I71" s="59">
        <f>+G71*D71</f>
        <v>0</v>
      </c>
      <c r="J71" s="51"/>
      <c r="K71" s="51"/>
    </row>
    <row r="72" spans="1:11" s="2" customFormat="1">
      <c r="A72" s="52"/>
      <c r="B72" s="60"/>
      <c r="C72" s="51"/>
      <c r="D72" s="54"/>
      <c r="E72" s="51"/>
      <c r="F72" s="60"/>
      <c r="G72" s="60"/>
      <c r="H72" s="51"/>
      <c r="I72" s="54"/>
      <c r="J72" s="51"/>
      <c r="K72" s="61"/>
    </row>
    <row r="73" spans="1:11">
      <c r="A73" s="77"/>
      <c r="B73" s="70" t="s">
        <v>184</v>
      </c>
      <c r="C73" s="106"/>
      <c r="D73" s="106"/>
      <c r="E73" s="106"/>
      <c r="F73" s="106"/>
      <c r="G73" s="106"/>
      <c r="H73" s="106"/>
      <c r="I73" s="106"/>
      <c r="J73" s="106"/>
      <c r="K73" s="106"/>
    </row>
    <row r="74" spans="1:11">
      <c r="A74" s="52">
        <v>19</v>
      </c>
      <c r="B74" s="53" t="s">
        <v>185</v>
      </c>
      <c r="C74" s="51" t="s">
        <v>186</v>
      </c>
      <c r="D74" s="173">
        <f>'A4-Rate Base'!E70</f>
        <v>0</v>
      </c>
      <c r="E74" s="51"/>
      <c r="F74" s="102" t="s">
        <v>187</v>
      </c>
      <c r="G74" s="64">
        <f>GP</f>
        <v>0.14864397588188999</v>
      </c>
      <c r="H74" s="50"/>
      <c r="I74" s="54">
        <f t="shared" ref="I74:I80" si="2">D74*G74</f>
        <v>0</v>
      </c>
      <c r="J74" s="106"/>
      <c r="K74" s="132"/>
    </row>
    <row r="75" spans="1:11">
      <c r="A75" s="52">
        <v>20</v>
      </c>
      <c r="B75" s="53" t="s">
        <v>188</v>
      </c>
      <c r="C75" s="51" t="s">
        <v>189</v>
      </c>
      <c r="D75" s="173">
        <f>'A4-Rate Base'!F70</f>
        <v>-85866315.5</v>
      </c>
      <c r="E75" s="51"/>
      <c r="F75" s="102" t="s">
        <v>187</v>
      </c>
      <c r="G75" s="64">
        <f>GP</f>
        <v>0.14864397588188999</v>
      </c>
      <c r="H75" s="50"/>
      <c r="I75" s="54">
        <f t="shared" si="2"/>
        <v>-12763510.530248757</v>
      </c>
      <c r="J75" s="106"/>
      <c r="K75" s="132"/>
    </row>
    <row r="76" spans="1:11">
      <c r="A76" s="52">
        <v>21</v>
      </c>
      <c r="B76" s="53" t="s">
        <v>190</v>
      </c>
      <c r="C76" s="51" t="s">
        <v>191</v>
      </c>
      <c r="D76" s="173">
        <f>'A4-Rate Base'!G70</f>
        <v>-7789711</v>
      </c>
      <c r="E76" s="51"/>
      <c r="F76" s="102" t="s">
        <v>187</v>
      </c>
      <c r="G76" s="64">
        <f>GP</f>
        <v>0.14864397588188999</v>
      </c>
      <c r="H76" s="50"/>
      <c r="I76" s="54">
        <f t="shared" si="2"/>
        <v>-1157893.614010893</v>
      </c>
      <c r="J76" s="106"/>
      <c r="K76" s="132"/>
    </row>
    <row r="77" spans="1:11">
      <c r="A77" s="52">
        <v>22</v>
      </c>
      <c r="B77" s="53" t="s">
        <v>192</v>
      </c>
      <c r="C77" s="51" t="s">
        <v>193</v>
      </c>
      <c r="D77" s="173">
        <f>'A4-Rate Base'!H70</f>
        <v>27686158.5</v>
      </c>
      <c r="E77" s="51"/>
      <c r="F77" s="102" t="s">
        <v>187</v>
      </c>
      <c r="G77" s="64">
        <f>GP</f>
        <v>0.14864397588188999</v>
      </c>
      <c r="H77" s="50"/>
      <c r="I77" s="54">
        <f t="shared" si="2"/>
        <v>4115380.6763361837</v>
      </c>
      <c r="J77" s="106"/>
      <c r="K77" s="132"/>
    </row>
    <row r="78" spans="1:11">
      <c r="A78" s="52">
        <v>23</v>
      </c>
      <c r="B78" s="60" t="s">
        <v>194</v>
      </c>
      <c r="C78" s="60" t="s">
        <v>195</v>
      </c>
      <c r="D78" s="539">
        <v>0</v>
      </c>
      <c r="E78" s="51"/>
      <c r="F78" s="51"/>
      <c r="G78" s="65">
        <v>0</v>
      </c>
      <c r="H78" s="50"/>
      <c r="I78" s="59">
        <f t="shared" si="2"/>
        <v>0</v>
      </c>
      <c r="J78" s="106"/>
      <c r="K78" s="132"/>
    </row>
    <row r="79" spans="1:11">
      <c r="A79" s="52" t="s">
        <v>196</v>
      </c>
      <c r="B79" s="56" t="s">
        <v>197</v>
      </c>
      <c r="C79" s="57" t="s">
        <v>198</v>
      </c>
      <c r="D79" s="173">
        <f>'A4-Rate Base'!C70</f>
        <v>0</v>
      </c>
      <c r="E79" s="57"/>
      <c r="F79" s="72"/>
      <c r="G79" s="659"/>
      <c r="H79" s="57"/>
      <c r="I79" s="59">
        <f t="shared" si="2"/>
        <v>0</v>
      </c>
      <c r="J79" s="106"/>
      <c r="K79" s="132"/>
    </row>
    <row r="80" spans="1:11">
      <c r="A80" s="52" t="s">
        <v>199</v>
      </c>
      <c r="B80" s="56" t="s">
        <v>200</v>
      </c>
      <c r="C80" s="57" t="s">
        <v>201</v>
      </c>
      <c r="D80" s="173">
        <f>'A4-Rate Base'!D70</f>
        <v>0</v>
      </c>
      <c r="E80" s="57"/>
      <c r="F80" s="72"/>
      <c r="G80" s="659"/>
      <c r="H80" s="57"/>
      <c r="I80" s="59">
        <f t="shared" si="2"/>
        <v>0</v>
      </c>
      <c r="J80" s="106"/>
      <c r="K80" s="132"/>
    </row>
    <row r="81" spans="1:11">
      <c r="A81" s="52" t="s">
        <v>202</v>
      </c>
      <c r="B81" s="56" t="s">
        <v>203</v>
      </c>
      <c r="C81" s="57" t="s">
        <v>204</v>
      </c>
      <c r="D81" s="173">
        <f>'A4-Rate Base'!I82</f>
        <v>0</v>
      </c>
      <c r="E81" s="57"/>
      <c r="F81" s="57"/>
      <c r="G81" s="66"/>
      <c r="H81" s="57"/>
      <c r="I81" s="59">
        <f t="shared" ref="I81" si="3">D81</f>
        <v>0</v>
      </c>
      <c r="J81" s="106"/>
      <c r="K81" s="132"/>
    </row>
    <row r="82" spans="1:11">
      <c r="A82" s="52">
        <v>24</v>
      </c>
      <c r="B82" s="133" t="s">
        <v>205</v>
      </c>
      <c r="C82" s="133" t="s">
        <v>206</v>
      </c>
      <c r="D82" s="173">
        <f>'A3-ADIT'!F24</f>
        <v>492671.65499999997</v>
      </c>
      <c r="E82" s="106"/>
      <c r="F82" s="102" t="s">
        <v>187</v>
      </c>
      <c r="G82" s="64">
        <f>GP</f>
        <v>0.14864397588188999</v>
      </c>
      <c r="H82" s="106"/>
      <c r="I82" s="59">
        <f t="shared" ref="I82" si="4">D82*G82</f>
        <v>73232.673603510819</v>
      </c>
      <c r="J82" s="106"/>
      <c r="K82" s="132"/>
    </row>
    <row r="83" spans="1:11" ht="13.5" thickBot="1">
      <c r="A83" s="77">
        <v>25</v>
      </c>
      <c r="B83" s="133" t="s">
        <v>207</v>
      </c>
      <c r="C83" s="133" t="s">
        <v>208</v>
      </c>
      <c r="D83" s="661">
        <f>'A3.1-EDIT-DDIT'!J43</f>
        <v>-32408806.695</v>
      </c>
      <c r="E83" s="106"/>
      <c r="F83" s="106"/>
      <c r="G83" s="106"/>
      <c r="H83" s="106"/>
      <c r="I83" s="63">
        <f>'A3.1-EDIT-DDIT'!P43</f>
        <v>-2579092.8367880997</v>
      </c>
      <c r="J83" s="106"/>
      <c r="K83" s="132"/>
    </row>
    <row r="84" spans="1:11">
      <c r="A84" s="77">
        <v>26</v>
      </c>
      <c r="B84" s="70" t="s">
        <v>209</v>
      </c>
      <c r="C84" s="51" t="s">
        <v>210</v>
      </c>
      <c r="D84" s="62">
        <f>SUM(D74:D83)</f>
        <v>-97886003.039999992</v>
      </c>
      <c r="E84" s="106"/>
      <c r="F84" s="106"/>
      <c r="G84" s="106"/>
      <c r="H84" s="106"/>
      <c r="I84" s="62">
        <f>SUM(I74:I83)</f>
        <v>-12311883.631108055</v>
      </c>
      <c r="J84" s="106"/>
      <c r="K84" s="106"/>
    </row>
    <row r="85" spans="1:11">
      <c r="A85" s="727"/>
      <c r="C85" s="106"/>
      <c r="E85" s="106"/>
      <c r="F85" s="106"/>
      <c r="G85" s="132"/>
      <c r="H85" s="106"/>
      <c r="J85" s="106"/>
      <c r="K85" s="132"/>
    </row>
    <row r="86" spans="1:11">
      <c r="A86" s="77">
        <v>27</v>
      </c>
      <c r="B86" s="70" t="s">
        <v>211</v>
      </c>
      <c r="C86" s="68" t="s">
        <v>212</v>
      </c>
      <c r="D86" s="173">
        <f>'A4-Rate Base'!J23</f>
        <v>649382.5384615385</v>
      </c>
      <c r="E86" s="106"/>
      <c r="F86" s="114" t="str">
        <f>+F55</f>
        <v>TP</v>
      </c>
      <c r="G86" s="113">
        <f>$I$179</f>
        <v>0.61863245862384375</v>
      </c>
      <c r="H86" s="106"/>
      <c r="I86" s="62">
        <f>+G86*D86</f>
        <v>401729.11635585432</v>
      </c>
      <c r="J86" s="106"/>
      <c r="K86" s="106"/>
    </row>
    <row r="87" spans="1:11">
      <c r="A87" s="727"/>
      <c r="B87" s="70"/>
      <c r="C87" s="106"/>
      <c r="D87" s="106"/>
      <c r="E87" s="106"/>
      <c r="F87" s="106"/>
      <c r="G87" s="106"/>
      <c r="H87" s="106"/>
      <c r="I87" s="106"/>
      <c r="J87" s="106"/>
      <c r="K87" s="106"/>
    </row>
    <row r="88" spans="1:11">
      <c r="A88" s="727"/>
      <c r="B88" s="70" t="s">
        <v>213</v>
      </c>
      <c r="C88" s="51" t="s">
        <v>214</v>
      </c>
      <c r="D88" s="106"/>
      <c r="E88" s="106"/>
      <c r="F88" s="106"/>
      <c r="G88" s="106"/>
      <c r="H88" s="106"/>
      <c r="I88" s="106"/>
      <c r="J88" s="106"/>
      <c r="K88" s="106"/>
    </row>
    <row r="89" spans="1:11">
      <c r="A89" s="77">
        <v>28</v>
      </c>
      <c r="B89" s="70" t="s">
        <v>215</v>
      </c>
      <c r="C89" s="60" t="s">
        <v>216</v>
      </c>
      <c r="D89" s="62">
        <f>+D120/8</f>
        <v>2317928.125</v>
      </c>
      <c r="E89" s="106"/>
      <c r="F89" s="106"/>
      <c r="G89" s="132"/>
      <c r="H89" s="106"/>
      <c r="I89" s="62">
        <f>+I120/8</f>
        <v>225437.97622406948</v>
      </c>
      <c r="J89" s="70"/>
      <c r="K89" s="132"/>
    </row>
    <row r="90" spans="1:11">
      <c r="A90" s="77">
        <v>29</v>
      </c>
      <c r="B90" s="70" t="s">
        <v>217</v>
      </c>
      <c r="C90" s="68" t="s">
        <v>218</v>
      </c>
      <c r="D90" s="173">
        <f>'A4-Rate Base'!F107</f>
        <v>42292.170201707806</v>
      </c>
      <c r="E90" s="106"/>
      <c r="F90" s="106" t="s">
        <v>219</v>
      </c>
      <c r="G90" s="130">
        <f>$I$198</f>
        <v>0.60627262275058558</v>
      </c>
      <c r="H90" s="106"/>
      <c r="I90" s="62">
        <f>+G90*D90</f>
        <v>25640.584950003555</v>
      </c>
      <c r="J90" s="106" t="s">
        <v>88</v>
      </c>
      <c r="K90" s="132"/>
    </row>
    <row r="91" spans="1:11" ht="13.5" thickBot="1">
      <c r="A91" s="77">
        <v>30</v>
      </c>
      <c r="B91" s="70" t="s">
        <v>220</v>
      </c>
      <c r="C91" s="50" t="s">
        <v>221</v>
      </c>
      <c r="D91" s="173">
        <f>'A8-Prepmts'!H33</f>
        <v>504660.22899648995</v>
      </c>
      <c r="E91" s="106"/>
      <c r="F91" s="106"/>
      <c r="G91" s="130"/>
      <c r="H91" s="106"/>
      <c r="I91" s="63">
        <f>D91</f>
        <v>504660.22899648995</v>
      </c>
      <c r="J91" s="106"/>
      <c r="K91" s="132"/>
    </row>
    <row r="92" spans="1:11">
      <c r="A92" s="77">
        <v>31</v>
      </c>
      <c r="B92" s="70" t="s">
        <v>222</v>
      </c>
      <c r="C92" s="51" t="s">
        <v>223</v>
      </c>
      <c r="D92" s="183">
        <f>D89+D90+D91</f>
        <v>2864880.5241981978</v>
      </c>
      <c r="E92" s="70"/>
      <c r="F92" s="70"/>
      <c r="G92" s="70"/>
      <c r="H92" s="70"/>
      <c r="I92" s="62">
        <f>I89+I90+I91</f>
        <v>755738.79017056292</v>
      </c>
      <c r="J92" s="70"/>
      <c r="K92" s="70"/>
    </row>
    <row r="93" spans="1:11" ht="13.5" thickBot="1">
      <c r="A93" s="728"/>
      <c r="C93" s="106"/>
      <c r="E93" s="106"/>
      <c r="F93" s="106"/>
      <c r="G93" s="106"/>
      <c r="H93" s="106"/>
      <c r="I93" s="134"/>
      <c r="J93" s="106"/>
      <c r="K93" s="106"/>
    </row>
    <row r="94" spans="1:11" ht="13.5" thickBot="1">
      <c r="A94" s="77">
        <v>32</v>
      </c>
      <c r="B94" s="70" t="s">
        <v>224</v>
      </c>
      <c r="C94" s="70" t="s">
        <v>225</v>
      </c>
      <c r="D94" s="69">
        <f>+D92+D86+D84+D69</f>
        <v>631202833.82198143</v>
      </c>
      <c r="E94" s="106"/>
      <c r="F94" s="106"/>
      <c r="G94" s="132"/>
      <c r="H94" s="106"/>
      <c r="I94" s="69">
        <f>+I92+I86+I84+I69</f>
        <v>117852663.29477598</v>
      </c>
      <c r="J94" s="106"/>
      <c r="K94" s="132"/>
    </row>
    <row r="95" spans="1:11" ht="13.5" thickTop="1">
      <c r="B95" s="70"/>
      <c r="C95" s="70"/>
      <c r="D95" s="103"/>
      <c r="E95" s="70"/>
      <c r="F95" s="70"/>
      <c r="G95" s="70"/>
      <c r="H95" s="70"/>
      <c r="I95" s="104"/>
      <c r="J95" s="104"/>
      <c r="K95" s="104"/>
    </row>
    <row r="96" spans="1:11">
      <c r="B96" s="70"/>
      <c r="C96" s="70"/>
      <c r="D96" s="103"/>
      <c r="E96" s="70"/>
      <c r="F96" s="70"/>
      <c r="G96" s="70"/>
      <c r="H96" s="70"/>
      <c r="I96" s="923" t="str">
        <f>I1</f>
        <v>Actual Attachment H</v>
      </c>
      <c r="J96" s="923"/>
      <c r="K96" s="923"/>
    </row>
    <row r="97" spans="1:11">
      <c r="B97" s="70"/>
      <c r="C97" s="70"/>
      <c r="D97" s="103"/>
      <c r="E97" s="70"/>
      <c r="F97" s="70"/>
      <c r="G97" s="70"/>
      <c r="H97" s="70"/>
      <c r="I97" s="70"/>
      <c r="J97" s="922" t="s">
        <v>226</v>
      </c>
      <c r="K97" s="922"/>
    </row>
    <row r="98" spans="1:11">
      <c r="B98" s="70"/>
      <c r="C98" s="70"/>
      <c r="D98" s="103"/>
      <c r="E98" s="70"/>
      <c r="F98" s="70"/>
      <c r="G98" s="70"/>
      <c r="H98" s="70"/>
      <c r="I98" s="70"/>
      <c r="J98" s="70"/>
      <c r="K98" s="104"/>
    </row>
    <row r="99" spans="1:11">
      <c r="B99" s="103" t="s">
        <v>79</v>
      </c>
      <c r="C99" s="70"/>
      <c r="D99" s="77" t="s">
        <v>125</v>
      </c>
      <c r="E99" s="70"/>
      <c r="F99" s="70"/>
      <c r="G99" s="70"/>
      <c r="H99" s="70"/>
      <c r="I99" s="70"/>
      <c r="J99" s="70"/>
      <c r="K99" s="120" t="str">
        <f>K4</f>
        <v>Actuals - For the 12 months ended 12/31/2025</v>
      </c>
    </row>
    <row r="100" spans="1:11">
      <c r="B100" s="70"/>
      <c r="C100" s="106"/>
      <c r="D100" s="107" t="s">
        <v>126</v>
      </c>
      <c r="E100" s="106"/>
      <c r="F100" s="106"/>
      <c r="G100" s="106"/>
      <c r="H100" s="70"/>
      <c r="I100" s="70"/>
      <c r="J100" s="70"/>
      <c r="K100" s="70"/>
    </row>
    <row r="101" spans="1:11">
      <c r="B101" s="70"/>
      <c r="C101" s="106"/>
      <c r="D101" s="106"/>
      <c r="E101" s="106"/>
      <c r="F101" s="106"/>
      <c r="G101" s="106"/>
      <c r="H101" s="70"/>
      <c r="I101" s="70"/>
      <c r="J101" s="70"/>
      <c r="K101" s="70"/>
    </row>
    <row r="102" spans="1:11">
      <c r="A102" s="77"/>
      <c r="D102" s="121" t="str">
        <f>C7</f>
        <v>Cheyenne Light, Fuel &amp; Power</v>
      </c>
      <c r="J102" s="106"/>
      <c r="K102" s="106"/>
    </row>
    <row r="103" spans="1:11">
      <c r="A103" s="77"/>
      <c r="D103" s="135"/>
      <c r="J103" s="106"/>
      <c r="K103" s="106"/>
    </row>
    <row r="104" spans="1:11">
      <c r="A104" s="77"/>
      <c r="B104" s="77" t="s">
        <v>127</v>
      </c>
      <c r="C104" s="77" t="s">
        <v>128</v>
      </c>
      <c r="D104" s="77" t="s">
        <v>129</v>
      </c>
      <c r="E104" s="106" t="s">
        <v>88</v>
      </c>
      <c r="F104" s="106"/>
      <c r="G104" s="122" t="s">
        <v>130</v>
      </c>
      <c r="H104" s="106"/>
      <c r="I104" s="123" t="s">
        <v>131</v>
      </c>
      <c r="J104" s="106"/>
      <c r="K104" s="106"/>
    </row>
    <row r="105" spans="1:11">
      <c r="A105" s="77" t="s">
        <v>83</v>
      </c>
      <c r="B105" s="70"/>
      <c r="C105" s="124" t="s">
        <v>132</v>
      </c>
      <c r="D105" s="106"/>
      <c r="E105" s="106"/>
      <c r="F105" s="106"/>
      <c r="G105" s="77"/>
      <c r="H105" s="106"/>
      <c r="I105" s="125" t="s">
        <v>133</v>
      </c>
      <c r="J105" s="106"/>
      <c r="K105" s="125"/>
    </row>
    <row r="106" spans="1:11" ht="13.5" thickBot="1">
      <c r="A106" s="110" t="s">
        <v>85</v>
      </c>
      <c r="B106" s="70"/>
      <c r="C106" s="126" t="s">
        <v>134</v>
      </c>
      <c r="D106" s="125" t="s">
        <v>135</v>
      </c>
      <c r="E106" s="127"/>
      <c r="F106" s="125" t="s">
        <v>136</v>
      </c>
      <c r="H106" s="127"/>
      <c r="I106" s="77" t="s">
        <v>137</v>
      </c>
      <c r="J106" s="106"/>
      <c r="K106" s="125"/>
    </row>
    <row r="107" spans="1:11">
      <c r="A107" s="77"/>
      <c r="B107" s="70" t="s">
        <v>227</v>
      </c>
      <c r="C107" s="106"/>
      <c r="D107" s="106"/>
      <c r="E107" s="106"/>
      <c r="F107" s="106"/>
      <c r="G107" s="106"/>
      <c r="H107" s="106"/>
      <c r="I107" s="106"/>
      <c r="J107" s="106"/>
      <c r="K107" s="106"/>
    </row>
    <row r="108" spans="1:11">
      <c r="A108" s="77">
        <v>1</v>
      </c>
      <c r="B108" s="70" t="s">
        <v>228</v>
      </c>
      <c r="C108" s="106" t="s">
        <v>229</v>
      </c>
      <c r="D108" s="72">
        <v>27590373</v>
      </c>
      <c r="E108" s="106"/>
      <c r="F108" s="106" t="s">
        <v>219</v>
      </c>
      <c r="G108" s="130">
        <f>$I$198</f>
        <v>0.60627262275058558</v>
      </c>
      <c r="H108" s="106"/>
      <c r="I108" s="62">
        <f>+G108*D108</f>
        <v>16727287.801376943</v>
      </c>
      <c r="J108" s="70"/>
    </row>
    <row r="109" spans="1:11">
      <c r="A109" s="77">
        <v>2</v>
      </c>
      <c r="B109" s="70" t="s">
        <v>230</v>
      </c>
      <c r="C109" s="106" t="s">
        <v>231</v>
      </c>
      <c r="D109" s="72">
        <f>108785+435370+7081</f>
        <v>551236</v>
      </c>
      <c r="E109" s="106"/>
      <c r="F109" s="106" t="s">
        <v>219</v>
      </c>
      <c r="G109" s="130">
        <f>$I$198</f>
        <v>0.60627262275058558</v>
      </c>
      <c r="H109" s="106"/>
      <c r="I109" s="54">
        <f t="shared" ref="I109:I119" si="5">+G109*D109</f>
        <v>334199.29547454178</v>
      </c>
      <c r="J109" s="70"/>
    </row>
    <row r="110" spans="1:11">
      <c r="A110" s="77" t="s">
        <v>232</v>
      </c>
      <c r="B110" s="70" t="s">
        <v>233</v>
      </c>
      <c r="C110" s="106" t="s">
        <v>234</v>
      </c>
      <c r="D110" s="72">
        <v>25993771</v>
      </c>
      <c r="E110" s="106"/>
      <c r="F110" s="106" t="s">
        <v>219</v>
      </c>
      <c r="G110" s="130">
        <f>$I$198</f>
        <v>0.60627262275058558</v>
      </c>
      <c r="H110" s="106"/>
      <c r="I110" s="54">
        <f t="shared" ref="I110" si="6">+G110*D110</f>
        <v>15759311.719348112</v>
      </c>
      <c r="J110" s="70"/>
    </row>
    <row r="111" spans="1:11">
      <c r="A111" s="77">
        <v>3</v>
      </c>
      <c r="B111" s="70" t="s">
        <v>235</v>
      </c>
      <c r="C111" s="106" t="s">
        <v>236</v>
      </c>
      <c r="D111" s="72">
        <v>19215273</v>
      </c>
      <c r="E111" s="106"/>
      <c r="F111" s="106" t="s">
        <v>153</v>
      </c>
      <c r="G111" s="130">
        <f>$I$207</f>
        <v>6.6848958689547669E-2</v>
      </c>
      <c r="H111" s="106"/>
      <c r="I111" s="62">
        <f t="shared" si="5"/>
        <v>1284520.9909853807</v>
      </c>
      <c r="J111" s="106"/>
    </row>
    <row r="112" spans="1:11">
      <c r="A112" s="77">
        <v>4</v>
      </c>
      <c r="B112" s="70" t="s">
        <v>237</v>
      </c>
      <c r="C112" s="106"/>
      <c r="D112" s="106"/>
      <c r="E112" s="106"/>
      <c r="F112" s="114"/>
      <c r="G112" s="130"/>
      <c r="H112" s="106"/>
      <c r="I112" s="62"/>
      <c r="J112" s="106"/>
    </row>
    <row r="113" spans="1:10">
      <c r="A113" s="77">
        <v>5</v>
      </c>
      <c r="B113" s="70" t="s">
        <v>238</v>
      </c>
      <c r="C113" s="106" t="s">
        <v>239</v>
      </c>
      <c r="D113" s="173">
        <f>'A2-A&amp;G'!D14</f>
        <v>1494687</v>
      </c>
      <c r="E113" s="106"/>
      <c r="F113" s="114" t="str">
        <f>F111</f>
        <v>W/S</v>
      </c>
      <c r="G113" s="130">
        <f>$I$207</f>
        <v>6.6848958689547669E-2</v>
      </c>
      <c r="H113" s="106"/>
      <c r="I113" s="54">
        <f t="shared" si="5"/>
        <v>99918.269516803935</v>
      </c>
      <c r="J113" s="106"/>
    </row>
    <row r="114" spans="1:10">
      <c r="A114" s="77" t="s">
        <v>240</v>
      </c>
      <c r="B114" s="70" t="s">
        <v>241</v>
      </c>
      <c r="C114" s="106" t="s">
        <v>242</v>
      </c>
      <c r="D114" s="173">
        <f>'A2-A&amp;G'!D23</f>
        <v>0</v>
      </c>
      <c r="E114" s="106"/>
      <c r="F114" s="136" t="str">
        <f>+F108</f>
        <v>TE</v>
      </c>
      <c r="G114" s="130">
        <f>$I$198</f>
        <v>0.60627262275058558</v>
      </c>
      <c r="H114" s="106"/>
      <c r="I114" s="54">
        <f>+G114*D114</f>
        <v>0</v>
      </c>
      <c r="J114" s="106"/>
    </row>
    <row r="115" spans="1:10">
      <c r="A115" s="77" t="s">
        <v>243</v>
      </c>
      <c r="B115" s="70" t="s">
        <v>244</v>
      </c>
      <c r="C115" s="106" t="s">
        <v>245</v>
      </c>
      <c r="D115" s="701">
        <v>358954</v>
      </c>
      <c r="E115" s="106"/>
      <c r="F115" s="114" t="s">
        <v>153</v>
      </c>
      <c r="G115" s="130">
        <f>$I$207</f>
        <v>6.6848958689547669E-2</v>
      </c>
      <c r="H115" s="106"/>
      <c r="I115" s="59">
        <f t="shared" ref="I115:I117" si="7">+G115*D115</f>
        <v>23995.701117447894</v>
      </c>
      <c r="J115" s="106"/>
    </row>
    <row r="116" spans="1:10">
      <c r="A116" s="77" t="s">
        <v>246</v>
      </c>
      <c r="B116" s="70" t="s">
        <v>247</v>
      </c>
      <c r="C116" s="106" t="s">
        <v>248</v>
      </c>
      <c r="D116" s="173">
        <f>'A2-A&amp;G'!D31</f>
        <v>581481</v>
      </c>
      <c r="E116" s="106"/>
      <c r="F116" s="114" t="str">
        <f>+F115</f>
        <v>W/S</v>
      </c>
      <c r="G116" s="130">
        <f>$I$207</f>
        <v>6.6848958689547669E-2</v>
      </c>
      <c r="H116" s="106"/>
      <c r="I116" s="59">
        <f t="shared" si="7"/>
        <v>38871.399347756866</v>
      </c>
      <c r="J116" s="106"/>
    </row>
    <row r="117" spans="1:10">
      <c r="A117" s="77" t="s">
        <v>249</v>
      </c>
      <c r="B117" s="70" t="s">
        <v>250</v>
      </c>
      <c r="C117" s="62" t="s">
        <v>251</v>
      </c>
      <c r="D117" s="701">
        <v>0</v>
      </c>
      <c r="E117" s="106"/>
      <c r="F117" s="114" t="s">
        <v>150</v>
      </c>
      <c r="G117" s="113">
        <f>$I$187</f>
        <v>0</v>
      </c>
      <c r="H117" s="106"/>
      <c r="I117" s="59">
        <f t="shared" si="7"/>
        <v>0</v>
      </c>
      <c r="J117" s="106"/>
    </row>
    <row r="118" spans="1:10">
      <c r="A118" s="77">
        <v>6</v>
      </c>
      <c r="B118" s="70" t="s">
        <v>154</v>
      </c>
      <c r="C118" s="586" t="s">
        <v>252</v>
      </c>
      <c r="D118" s="72">
        <v>0</v>
      </c>
      <c r="E118" s="106"/>
      <c r="F118" s="106" t="s">
        <v>156</v>
      </c>
      <c r="G118" s="130">
        <f>$K$211</f>
        <v>6.5297211282099338E-2</v>
      </c>
      <c r="H118" s="106"/>
      <c r="I118" s="62">
        <f t="shared" si="5"/>
        <v>0</v>
      </c>
      <c r="J118" s="106"/>
    </row>
    <row r="119" spans="1:10" ht="13.5" thickBot="1">
      <c r="A119" s="77">
        <v>7</v>
      </c>
      <c r="B119" s="70" t="s">
        <v>253</v>
      </c>
      <c r="C119" s="106" t="s">
        <v>254</v>
      </c>
      <c r="D119" s="72">
        <v>0</v>
      </c>
      <c r="E119" s="106"/>
      <c r="F119" s="106" t="s">
        <v>255</v>
      </c>
      <c r="G119" s="129">
        <v>1</v>
      </c>
      <c r="H119" s="106"/>
      <c r="I119" s="63">
        <f t="shared" si="5"/>
        <v>0</v>
      </c>
      <c r="J119" s="106"/>
    </row>
    <row r="120" spans="1:10">
      <c r="A120" s="77">
        <v>8</v>
      </c>
      <c r="B120" s="70" t="s">
        <v>256</v>
      </c>
      <c r="C120" s="106"/>
      <c r="D120" s="71">
        <f>+D108-D109-D110+D111-D113+D118+D119+D114+D115-D116</f>
        <v>18543425</v>
      </c>
      <c r="E120" s="106"/>
      <c r="F120" s="106"/>
      <c r="G120" s="106"/>
      <c r="H120" s="106"/>
      <c r="I120" s="71">
        <f>+I108-I109-I110+I111-I113+I118+I119+I114+I115-I116</f>
        <v>1803503.8097925559</v>
      </c>
      <c r="J120" s="106"/>
    </row>
    <row r="121" spans="1:10">
      <c r="A121" s="77"/>
      <c r="C121" s="106"/>
      <c r="E121" s="106"/>
      <c r="F121" s="106"/>
      <c r="G121" s="106"/>
      <c r="H121" s="106"/>
      <c r="J121" s="106"/>
    </row>
    <row r="122" spans="1:10">
      <c r="A122" s="77"/>
      <c r="B122" s="70" t="s">
        <v>257</v>
      </c>
      <c r="C122" s="106"/>
      <c r="D122" s="106"/>
      <c r="E122" s="106"/>
      <c r="F122" s="106"/>
      <c r="G122" s="106"/>
      <c r="H122" s="106"/>
      <c r="I122" s="106"/>
      <c r="J122" s="106"/>
    </row>
    <row r="123" spans="1:10">
      <c r="A123" s="77">
        <v>9</v>
      </c>
      <c r="B123" s="133" t="str">
        <f>+B108</f>
        <v xml:space="preserve">  Transmission </v>
      </c>
      <c r="C123" s="106" t="s">
        <v>258</v>
      </c>
      <c r="D123" s="72">
        <v>4413341</v>
      </c>
      <c r="E123" s="106"/>
      <c r="F123" s="106" t="s">
        <v>95</v>
      </c>
      <c r="G123" s="113">
        <f>$I$179</f>
        <v>0.61863245862384375</v>
      </c>
      <c r="H123" s="106"/>
      <c r="I123" s="62">
        <f>+G123*D123</f>
        <v>2730235.9935754132</v>
      </c>
      <c r="J123" s="106"/>
    </row>
    <row r="124" spans="1:10">
      <c r="A124" s="77" t="s">
        <v>164</v>
      </c>
      <c r="B124" s="133" t="s">
        <v>259</v>
      </c>
      <c r="C124" s="62" t="s">
        <v>260</v>
      </c>
      <c r="D124" s="881">
        <v>0</v>
      </c>
      <c r="E124" s="106"/>
      <c r="F124" s="106" t="s">
        <v>150</v>
      </c>
      <c r="G124" s="113">
        <f>$I$187</f>
        <v>0</v>
      </c>
      <c r="H124" s="106"/>
      <c r="I124" s="62">
        <f>+G124*D124</f>
        <v>0</v>
      </c>
      <c r="J124" s="106"/>
    </row>
    <row r="125" spans="1:10">
      <c r="A125" s="77">
        <v>10</v>
      </c>
      <c r="B125" s="70" t="s">
        <v>261</v>
      </c>
      <c r="C125" s="106" t="s">
        <v>262</v>
      </c>
      <c r="D125" s="72">
        <v>2843334</v>
      </c>
      <c r="E125" s="106"/>
      <c r="F125" s="106" t="s">
        <v>153</v>
      </c>
      <c r="G125" s="130">
        <f>$I$207</f>
        <v>6.6848958689547669E-2</v>
      </c>
      <c r="H125" s="106"/>
      <c r="I125" s="62">
        <f>+G125*D125</f>
        <v>190073.91710658633</v>
      </c>
      <c r="J125" s="106"/>
    </row>
    <row r="126" spans="1:10">
      <c r="A126" s="77">
        <v>11</v>
      </c>
      <c r="B126" s="133" t="str">
        <f>+B118</f>
        <v xml:space="preserve">  Common</v>
      </c>
      <c r="C126" s="106" t="s">
        <v>263</v>
      </c>
      <c r="D126" s="72">
        <v>182610</v>
      </c>
      <c r="E126" s="106"/>
      <c r="F126" s="106" t="s">
        <v>156</v>
      </c>
      <c r="G126" s="130">
        <f>$K$211</f>
        <v>6.5297211282099338E-2</v>
      </c>
      <c r="H126" s="106"/>
      <c r="I126" s="62">
        <f>+G126*D126</f>
        <v>11923.92375222416</v>
      </c>
      <c r="J126" s="106"/>
    </row>
    <row r="127" spans="1:10" s="2" customFormat="1" ht="13.5" thickBot="1">
      <c r="A127" s="73" t="s">
        <v>264</v>
      </c>
      <c r="B127" s="56" t="s">
        <v>265</v>
      </c>
      <c r="C127" s="74" t="s">
        <v>266</v>
      </c>
      <c r="D127" s="72">
        <v>0</v>
      </c>
      <c r="E127" s="54"/>
      <c r="F127" s="72"/>
      <c r="G127" s="659"/>
      <c r="H127" s="54"/>
      <c r="I127" s="67">
        <f>+G127*D127</f>
        <v>0</v>
      </c>
      <c r="J127" s="51"/>
    </row>
    <row r="128" spans="1:10">
      <c r="A128" s="77">
        <v>12</v>
      </c>
      <c r="B128" s="70" t="s">
        <v>267</v>
      </c>
      <c r="C128" s="51" t="s">
        <v>268</v>
      </c>
      <c r="D128" s="71">
        <f>SUM(D123:D127)</f>
        <v>7439285</v>
      </c>
      <c r="E128" s="106"/>
      <c r="F128" s="106"/>
      <c r="G128" s="106"/>
      <c r="H128" s="106"/>
      <c r="I128" s="62">
        <f>SUM(I123:I127)</f>
        <v>2932233.8344342238</v>
      </c>
      <c r="J128" s="106"/>
    </row>
    <row r="129" spans="1:10">
      <c r="A129" s="77"/>
      <c r="B129" s="70"/>
      <c r="C129" s="106"/>
      <c r="D129" s="106"/>
      <c r="E129" s="106"/>
      <c r="F129" s="106"/>
      <c r="G129" s="106"/>
      <c r="H129" s="106"/>
      <c r="I129" s="106"/>
      <c r="J129" s="106"/>
    </row>
    <row r="130" spans="1:10">
      <c r="A130" s="77" t="s">
        <v>88</v>
      </c>
      <c r="B130" s="70" t="s">
        <v>269</v>
      </c>
      <c r="D130" s="106"/>
      <c r="E130" s="106"/>
      <c r="F130" s="106"/>
      <c r="G130" s="106"/>
      <c r="H130" s="106"/>
      <c r="I130" s="106"/>
      <c r="J130" s="106"/>
    </row>
    <row r="131" spans="1:10">
      <c r="A131" s="77"/>
      <c r="B131" s="70" t="s">
        <v>270</v>
      </c>
      <c r="E131" s="106"/>
      <c r="F131" s="106"/>
      <c r="H131" s="106"/>
      <c r="J131" s="106"/>
    </row>
    <row r="132" spans="1:10">
      <c r="A132" s="77">
        <v>13</v>
      </c>
      <c r="B132" s="70" t="s">
        <v>271</v>
      </c>
      <c r="C132" s="106" t="s">
        <v>272</v>
      </c>
      <c r="D132" s="72">
        <f>1019750+7792+47182</f>
        <v>1074724</v>
      </c>
      <c r="E132" s="106"/>
      <c r="F132" s="106" t="s">
        <v>153</v>
      </c>
      <c r="G132" s="130">
        <f>$I$207</f>
        <v>6.6848958689547669E-2</v>
      </c>
      <c r="H132" s="106"/>
      <c r="I132" s="62">
        <f>+G132*D132</f>
        <v>71844.18027866543</v>
      </c>
      <c r="J132" s="106"/>
    </row>
    <row r="133" spans="1:10">
      <c r="A133" s="77">
        <v>14</v>
      </c>
      <c r="B133" s="70" t="s">
        <v>273</v>
      </c>
      <c r="C133" s="106" t="s">
        <v>272</v>
      </c>
      <c r="D133" s="72">
        <v>0</v>
      </c>
      <c r="E133" s="106"/>
      <c r="F133" s="114" t="str">
        <f>+F132</f>
        <v>W/S</v>
      </c>
      <c r="G133" s="130">
        <f>$I$207</f>
        <v>6.6848958689547669E-2</v>
      </c>
      <c r="H133" s="106"/>
      <c r="I133" s="62">
        <f>+G133*D133</f>
        <v>0</v>
      </c>
      <c r="J133" s="106"/>
    </row>
    <row r="134" spans="1:10">
      <c r="A134" s="77">
        <v>15</v>
      </c>
      <c r="B134" s="70" t="s">
        <v>274</v>
      </c>
      <c r="C134" s="106" t="s">
        <v>88</v>
      </c>
      <c r="E134" s="106"/>
      <c r="F134" s="106"/>
      <c r="H134" s="106"/>
      <c r="J134" s="106"/>
    </row>
    <row r="135" spans="1:10">
      <c r="A135" s="77">
        <v>16</v>
      </c>
      <c r="B135" s="70" t="s">
        <v>275</v>
      </c>
      <c r="C135" s="106" t="s">
        <v>272</v>
      </c>
      <c r="D135" s="72">
        <v>3562001</v>
      </c>
      <c r="E135" s="106"/>
      <c r="F135" s="106" t="s">
        <v>187</v>
      </c>
      <c r="G135" s="130">
        <f>+$G$51</f>
        <v>0.14864397588188999</v>
      </c>
      <c r="H135" s="106"/>
      <c r="I135" s="62">
        <f>+G135*D135</f>
        <v>529469.99073526799</v>
      </c>
      <c r="J135" s="106"/>
    </row>
    <row r="136" spans="1:10">
      <c r="A136" s="77">
        <v>17</v>
      </c>
      <c r="B136" s="70" t="s">
        <v>276</v>
      </c>
      <c r="C136" s="106" t="s">
        <v>272</v>
      </c>
      <c r="D136" s="72">
        <f>1578852-7705+80602</f>
        <v>1651749</v>
      </c>
      <c r="E136" s="106"/>
      <c r="F136" s="114" t="s">
        <v>142</v>
      </c>
      <c r="G136" s="137">
        <v>0</v>
      </c>
      <c r="H136" s="106"/>
      <c r="I136" s="62">
        <v>0</v>
      </c>
      <c r="J136" s="106"/>
    </row>
    <row r="137" spans="1:10">
      <c r="A137" s="77">
        <v>18</v>
      </c>
      <c r="B137" s="70" t="s">
        <v>277</v>
      </c>
      <c r="C137" s="106" t="s">
        <v>272</v>
      </c>
      <c r="D137" s="72">
        <v>0</v>
      </c>
      <c r="E137" s="106"/>
      <c r="F137" s="72"/>
      <c r="G137" s="659"/>
      <c r="H137" s="106"/>
      <c r="I137" s="62">
        <f>+G137*D137</f>
        <v>0</v>
      </c>
      <c r="J137" s="106"/>
    </row>
    <row r="138" spans="1:10" ht="13.5" thickBot="1">
      <c r="A138" s="77">
        <v>19</v>
      </c>
      <c r="B138" s="70" t="s">
        <v>278</v>
      </c>
      <c r="C138" s="106"/>
      <c r="D138" s="174"/>
      <c r="E138" s="106"/>
      <c r="F138" s="106"/>
      <c r="G138" s="130"/>
      <c r="H138" s="106"/>
      <c r="I138" s="62"/>
      <c r="J138" s="106"/>
    </row>
    <row r="139" spans="1:10">
      <c r="A139" s="77">
        <v>20</v>
      </c>
      <c r="B139" s="70" t="s">
        <v>279</v>
      </c>
      <c r="C139" s="51" t="s">
        <v>280</v>
      </c>
      <c r="D139" s="71">
        <f>SUM(D132:D138)</f>
        <v>6288474</v>
      </c>
      <c r="E139" s="106"/>
      <c r="F139" s="106"/>
      <c r="G139" s="117"/>
      <c r="H139" s="106"/>
      <c r="I139" s="71">
        <f>SUM(I132:I138)</f>
        <v>601314.17101393337</v>
      </c>
      <c r="J139" s="106"/>
    </row>
    <row r="140" spans="1:10">
      <c r="A140" s="77"/>
      <c r="B140" s="70"/>
      <c r="C140" s="106"/>
      <c r="D140" s="106"/>
      <c r="E140" s="106"/>
      <c r="F140" s="106"/>
      <c r="G140" s="117"/>
      <c r="H140" s="106"/>
      <c r="I140" s="106"/>
      <c r="J140" s="106"/>
    </row>
    <row r="141" spans="1:10">
      <c r="A141" s="77" t="s">
        <v>88</v>
      </c>
      <c r="B141" s="70" t="s">
        <v>281</v>
      </c>
      <c r="C141" s="106" t="s">
        <v>282</v>
      </c>
      <c r="D141" s="106"/>
      <c r="E141" s="106"/>
      <c r="G141" s="138"/>
      <c r="H141" s="106"/>
      <c r="J141" s="106"/>
    </row>
    <row r="142" spans="1:10">
      <c r="A142" s="77">
        <v>21</v>
      </c>
      <c r="B142" s="139" t="s">
        <v>283</v>
      </c>
      <c r="C142" s="106"/>
      <c r="D142" s="140">
        <f>IF(D259&gt;0,1-(((1-D260)*(1-D259))/(1-D260*D259*D261)),0)</f>
        <v>0.20999999999999996</v>
      </c>
      <c r="E142" s="106"/>
      <c r="G142" s="138"/>
      <c r="H142" s="106"/>
      <c r="J142" s="106"/>
    </row>
    <row r="143" spans="1:10">
      <c r="A143" s="77">
        <v>22</v>
      </c>
      <c r="B143" s="102" t="s">
        <v>284</v>
      </c>
      <c r="C143" s="106"/>
      <c r="D143" s="140">
        <f>IF(I231&gt;0,(D142/(1-D142))*(1-I228/I231),0)</f>
        <v>0.17189777049287</v>
      </c>
      <c r="E143" s="106"/>
      <c r="G143" s="138"/>
      <c r="H143" s="106"/>
      <c r="J143" s="106"/>
    </row>
    <row r="144" spans="1:10">
      <c r="A144" s="77"/>
      <c r="B144" s="70" t="s">
        <v>285</v>
      </c>
      <c r="C144" s="106"/>
      <c r="D144" s="106"/>
      <c r="E144" s="106"/>
      <c r="G144" s="138"/>
      <c r="H144" s="106"/>
      <c r="J144" s="106"/>
    </row>
    <row r="145" spans="1:11">
      <c r="A145" s="77"/>
      <c r="B145" s="70" t="s">
        <v>286</v>
      </c>
      <c r="C145" s="106"/>
      <c r="D145" s="106"/>
      <c r="E145" s="106"/>
      <c r="G145" s="138"/>
      <c r="H145" s="106"/>
      <c r="J145" s="106"/>
    </row>
    <row r="146" spans="1:11">
      <c r="A146" s="77">
        <v>23</v>
      </c>
      <c r="B146" s="139" t="s">
        <v>287</v>
      </c>
      <c r="C146" s="106"/>
      <c r="D146" s="381">
        <f>IF(D142&gt;0,1/(1-D142),0)</f>
        <v>1.2658227848101264</v>
      </c>
      <c r="E146" s="106"/>
      <c r="G146" s="138"/>
      <c r="H146" s="106"/>
      <c r="J146" s="106"/>
    </row>
    <row r="147" spans="1:11">
      <c r="A147" s="77">
        <v>24</v>
      </c>
      <c r="B147" s="70" t="s">
        <v>288</v>
      </c>
      <c r="C147" s="106" t="s">
        <v>289</v>
      </c>
      <c r="D147" s="72">
        <v>6</v>
      </c>
      <c r="E147" s="106"/>
      <c r="G147" s="138"/>
      <c r="H147" s="106"/>
      <c r="J147" s="106"/>
    </row>
    <row r="148" spans="1:11">
      <c r="A148" s="77" t="s">
        <v>290</v>
      </c>
      <c r="B148" s="53" t="s">
        <v>291</v>
      </c>
      <c r="C148" s="133" t="s">
        <v>292</v>
      </c>
      <c r="D148" s="173">
        <f>'A3.1-EDIT-DDIT'!N42</f>
        <v>92890.09062865001</v>
      </c>
      <c r="E148" s="106"/>
      <c r="G148" s="138"/>
      <c r="H148" s="106"/>
      <c r="J148" s="106"/>
    </row>
    <row r="149" spans="1:11">
      <c r="A149" s="77" t="s">
        <v>293</v>
      </c>
      <c r="B149" s="53" t="s">
        <v>294</v>
      </c>
      <c r="C149" s="51" t="s">
        <v>295</v>
      </c>
      <c r="D149" s="173">
        <f>'A9-PermDiffs'!G17</f>
        <v>-312443.45591762621</v>
      </c>
      <c r="E149" s="106"/>
      <c r="G149" s="138"/>
      <c r="H149" s="106"/>
      <c r="J149" s="106"/>
    </row>
    <row r="150" spans="1:11">
      <c r="A150" s="77" t="s">
        <v>296</v>
      </c>
      <c r="B150" s="53" t="s">
        <v>297</v>
      </c>
      <c r="C150" s="51" t="s">
        <v>298</v>
      </c>
      <c r="D150" s="62">
        <f>D149*D142</f>
        <v>-65613.125742701493</v>
      </c>
      <c r="E150" s="106"/>
      <c r="G150" s="138"/>
      <c r="H150" s="106"/>
      <c r="J150" s="106"/>
    </row>
    <row r="151" spans="1:11">
      <c r="A151" s="77">
        <v>25</v>
      </c>
      <c r="B151" s="139" t="s">
        <v>299</v>
      </c>
      <c r="C151" s="141" t="s">
        <v>300</v>
      </c>
      <c r="D151" s="62">
        <f>D143*D158</f>
        <v>8627563.0123481918</v>
      </c>
      <c r="E151" s="106"/>
      <c r="F151" s="106"/>
      <c r="G151" s="117"/>
      <c r="H151" s="106"/>
      <c r="I151" s="62">
        <f>D143*I158</f>
        <v>1610862.9813843614</v>
      </c>
      <c r="J151" s="106"/>
      <c r="K151" s="142" t="s">
        <v>88</v>
      </c>
    </row>
    <row r="152" spans="1:11">
      <c r="A152" s="77">
        <v>26</v>
      </c>
      <c r="B152" s="102" t="s">
        <v>301</v>
      </c>
      <c r="C152" s="141" t="s">
        <v>302</v>
      </c>
      <c r="D152" s="62">
        <f>D146*D147</f>
        <v>7.5949367088607591</v>
      </c>
      <c r="E152" s="106"/>
      <c r="F152" s="102" t="s">
        <v>187</v>
      </c>
      <c r="G152" s="64">
        <f>GP</f>
        <v>0.14864397588188999</v>
      </c>
      <c r="H152" s="106"/>
      <c r="I152" s="62">
        <f>G152*D152</f>
        <v>1.1289415889763796</v>
      </c>
      <c r="J152" s="106"/>
      <c r="K152" s="142"/>
    </row>
    <row r="153" spans="1:11">
      <c r="A153" s="77" t="s">
        <v>303</v>
      </c>
      <c r="B153" s="60" t="s">
        <v>304</v>
      </c>
      <c r="C153" s="75" t="s">
        <v>305</v>
      </c>
      <c r="D153" s="62">
        <f>D146*D148</f>
        <v>117582.39320082279</v>
      </c>
      <c r="E153" s="106"/>
      <c r="G153" s="65"/>
      <c r="H153" s="106"/>
      <c r="I153" s="62">
        <f>D153</f>
        <v>117582.39320082279</v>
      </c>
      <c r="J153" s="106"/>
      <c r="K153" s="142"/>
    </row>
    <row r="154" spans="1:11" ht="13.5" thickBot="1">
      <c r="A154" s="77" t="s">
        <v>306</v>
      </c>
      <c r="B154" s="60" t="s">
        <v>307</v>
      </c>
      <c r="C154" s="75" t="s">
        <v>308</v>
      </c>
      <c r="D154" s="62">
        <f>D146*D150</f>
        <v>-83054.589547723401</v>
      </c>
      <c r="E154" s="106"/>
      <c r="G154" s="65"/>
      <c r="H154" s="106"/>
      <c r="I154" s="62">
        <f>D154</f>
        <v>-83054.589547723401</v>
      </c>
      <c r="J154" s="106"/>
      <c r="K154" s="142"/>
    </row>
    <row r="155" spans="1:11">
      <c r="A155" s="77">
        <v>27</v>
      </c>
      <c r="B155" s="139" t="s">
        <v>309</v>
      </c>
      <c r="C155" s="60" t="s">
        <v>310</v>
      </c>
      <c r="D155" s="71">
        <f>D151+D154-D152-D153</f>
        <v>8426918.4346629381</v>
      </c>
      <c r="E155" s="106"/>
      <c r="F155" s="106" t="s">
        <v>88</v>
      </c>
      <c r="G155" s="117" t="s">
        <v>88</v>
      </c>
      <c r="H155" s="106"/>
      <c r="I155" s="71">
        <f>I151+I154-I152-I153</f>
        <v>1410224.8696942262</v>
      </c>
      <c r="J155" s="106"/>
      <c r="K155" s="106"/>
    </row>
    <row r="156" spans="1:11">
      <c r="A156" s="77" t="s">
        <v>88</v>
      </c>
      <c r="C156" s="143"/>
      <c r="D156" s="106"/>
      <c r="E156" s="106"/>
      <c r="F156" s="106"/>
      <c r="G156" s="117"/>
      <c r="H156" s="106"/>
      <c r="I156" s="106"/>
      <c r="J156" s="106"/>
      <c r="K156" s="106"/>
    </row>
    <row r="157" spans="1:11">
      <c r="B157" s="70" t="s">
        <v>311</v>
      </c>
      <c r="C157" s="132"/>
      <c r="J157" s="106"/>
    </row>
    <row r="158" spans="1:11">
      <c r="A158" s="77">
        <v>28</v>
      </c>
      <c r="B158" s="139" t="s">
        <v>312</v>
      </c>
      <c r="C158" s="715" t="s">
        <v>313</v>
      </c>
      <c r="D158" s="173">
        <f>+$I231*D94+I234</f>
        <v>50190080.927815445</v>
      </c>
      <c r="E158" s="106"/>
      <c r="F158" s="106"/>
      <c r="G158" s="138"/>
      <c r="H158" s="106"/>
      <c r="I158" s="62">
        <f>+$I231*I94+I234</f>
        <v>9371052.2060038988</v>
      </c>
      <c r="J158" s="106"/>
      <c r="K158" s="132"/>
    </row>
    <row r="159" spans="1:11">
      <c r="A159" s="77"/>
      <c r="B159" s="70"/>
      <c r="D159" s="106"/>
      <c r="E159" s="106"/>
      <c r="F159" s="106"/>
      <c r="G159" s="138"/>
      <c r="H159" s="106"/>
      <c r="I159" s="106"/>
      <c r="J159" s="106"/>
      <c r="K159" s="132"/>
    </row>
    <row r="160" spans="1:11" ht="13.5" thickBot="1">
      <c r="A160" s="77">
        <v>29</v>
      </c>
      <c r="B160" s="70" t="s">
        <v>314</v>
      </c>
      <c r="C160" s="106" t="s">
        <v>315</v>
      </c>
      <c r="D160" s="76">
        <f>+D120+D128+D139+D155+D158</f>
        <v>90888183.362478375</v>
      </c>
      <c r="E160" s="106"/>
      <c r="F160" s="106"/>
      <c r="G160" s="106"/>
      <c r="H160" s="106"/>
      <c r="I160" s="76">
        <f>+I120+I128+I139+I155+I158</f>
        <v>16118328.890938839</v>
      </c>
      <c r="J160" s="70"/>
      <c r="K160" s="70"/>
    </row>
    <row r="161" spans="1:11" ht="13.5" thickTop="1">
      <c r="A161" s="77"/>
      <c r="B161" s="70"/>
      <c r="C161" s="106"/>
      <c r="D161" s="114"/>
      <c r="E161" s="106"/>
      <c r="F161" s="106"/>
      <c r="G161" s="106"/>
      <c r="H161" s="106"/>
      <c r="I161" s="114"/>
      <c r="J161" s="70"/>
      <c r="K161" s="70"/>
    </row>
    <row r="162" spans="1:11">
      <c r="B162" s="70"/>
      <c r="C162" s="70"/>
      <c r="D162" s="103"/>
      <c r="E162" s="70"/>
      <c r="F162" s="922"/>
      <c r="G162" s="922"/>
      <c r="H162" s="922"/>
      <c r="I162" s="922"/>
      <c r="J162" s="922"/>
      <c r="K162" s="922"/>
    </row>
    <row r="163" spans="1:11">
      <c r="B163" s="70"/>
      <c r="C163" s="70"/>
      <c r="D163" s="103"/>
      <c r="E163" s="70"/>
      <c r="F163" s="70"/>
      <c r="G163" s="70"/>
      <c r="H163" s="70"/>
      <c r="I163" s="923" t="str">
        <f>I1</f>
        <v>Actual Attachment H</v>
      </c>
      <c r="J163" s="923"/>
      <c r="K163" s="923"/>
    </row>
    <row r="164" spans="1:11">
      <c r="B164" s="70"/>
      <c r="C164" s="70"/>
      <c r="D164" s="103"/>
      <c r="E164" s="70"/>
      <c r="F164" s="70"/>
      <c r="G164" s="70"/>
      <c r="H164" s="70"/>
      <c r="I164" s="70"/>
      <c r="J164" s="922" t="s">
        <v>316</v>
      </c>
      <c r="K164" s="922"/>
    </row>
    <row r="165" spans="1:11">
      <c r="B165" s="70"/>
      <c r="C165" s="70"/>
      <c r="D165" s="103"/>
      <c r="E165" s="70"/>
      <c r="F165" s="70"/>
      <c r="G165" s="70"/>
      <c r="H165" s="70"/>
      <c r="I165" s="70"/>
      <c r="J165" s="104"/>
      <c r="K165" s="104"/>
    </row>
    <row r="166" spans="1:11">
      <c r="B166" s="103" t="s">
        <v>79</v>
      </c>
      <c r="C166" s="70"/>
      <c r="D166" s="77" t="s">
        <v>125</v>
      </c>
      <c r="E166" s="70"/>
      <c r="F166" s="70"/>
      <c r="G166" s="930" t="str">
        <f>K4</f>
        <v>Actuals - For the 12 months ended 12/31/2025</v>
      </c>
      <c r="H166" s="930"/>
      <c r="I166" s="930"/>
      <c r="J166" s="930"/>
      <c r="K166" s="930"/>
    </row>
    <row r="167" spans="1:11">
      <c r="B167" s="70"/>
      <c r="C167" s="106"/>
      <c r="D167" s="107" t="s">
        <v>126</v>
      </c>
      <c r="E167" s="106"/>
      <c r="F167" s="106"/>
      <c r="G167" s="106"/>
      <c r="H167" s="70"/>
      <c r="I167" s="70"/>
      <c r="J167" s="70"/>
      <c r="K167" s="70"/>
    </row>
    <row r="168" spans="1:11">
      <c r="A168" s="77"/>
      <c r="J168" s="106"/>
      <c r="K168" s="106"/>
    </row>
    <row r="169" spans="1:11">
      <c r="A169" s="77"/>
      <c r="D169" s="121" t="str">
        <f>C7</f>
        <v>Cheyenne Light, Fuel &amp; Power</v>
      </c>
      <c r="J169" s="106"/>
      <c r="K169" s="106"/>
    </row>
    <row r="170" spans="1:11">
      <c r="A170" s="77"/>
      <c r="D170" s="135"/>
      <c r="J170" s="106"/>
      <c r="K170" s="106"/>
    </row>
    <row r="171" spans="1:11">
      <c r="A171" s="77"/>
      <c r="D171" s="125" t="s">
        <v>317</v>
      </c>
      <c r="E171" s="70"/>
      <c r="F171" s="70"/>
      <c r="G171" s="70"/>
      <c r="H171" s="70"/>
      <c r="I171" s="70"/>
      <c r="J171" s="106"/>
      <c r="K171" s="106"/>
    </row>
    <row r="172" spans="1:11">
      <c r="A172" s="77" t="s">
        <v>83</v>
      </c>
      <c r="B172" s="77" t="s">
        <v>127</v>
      </c>
      <c r="C172" s="77" t="s">
        <v>128</v>
      </c>
      <c r="D172" s="77" t="s">
        <v>129</v>
      </c>
      <c r="E172" s="106" t="s">
        <v>88</v>
      </c>
      <c r="F172" s="106"/>
      <c r="G172" s="123" t="s">
        <v>130</v>
      </c>
      <c r="H172" s="106"/>
      <c r="I172" s="123" t="s">
        <v>131</v>
      </c>
      <c r="J172" s="106"/>
      <c r="K172" s="106"/>
    </row>
    <row r="173" spans="1:11" ht="13.5" thickBot="1">
      <c r="A173" s="110" t="s">
        <v>85</v>
      </c>
      <c r="B173" s="70" t="s">
        <v>318</v>
      </c>
      <c r="C173" s="70"/>
      <c r="D173" s="70"/>
      <c r="E173" s="70"/>
      <c r="F173" s="70"/>
      <c r="G173" s="70"/>
      <c r="J173" s="106"/>
      <c r="K173" s="106"/>
    </row>
    <row r="174" spans="1:11">
      <c r="A174" s="77">
        <v>1</v>
      </c>
      <c r="B174" s="70" t="s">
        <v>319</v>
      </c>
      <c r="C174" s="70" t="s">
        <v>320</v>
      </c>
      <c r="D174" s="106"/>
      <c r="E174" s="106"/>
      <c r="F174" s="106"/>
      <c r="G174" s="106"/>
      <c r="H174" s="106"/>
      <c r="I174" s="173">
        <f>D46</f>
        <v>218038514.07999998</v>
      </c>
      <c r="J174" s="106"/>
      <c r="K174" s="106"/>
    </row>
    <row r="175" spans="1:11">
      <c r="A175" s="77">
        <v>2</v>
      </c>
      <c r="B175" s="70" t="s">
        <v>321</v>
      </c>
      <c r="C175" s="102" t="s">
        <v>322</v>
      </c>
      <c r="I175" s="882">
        <v>78806129.040000007</v>
      </c>
      <c r="J175" s="106"/>
    </row>
    <row r="176" spans="1:11" ht="13.5" thickBot="1">
      <c r="A176" s="77">
        <v>3</v>
      </c>
      <c r="B176" s="144" t="s">
        <v>323</v>
      </c>
      <c r="C176" s="144" t="s">
        <v>324</v>
      </c>
      <c r="D176" s="106"/>
      <c r="E176" s="106"/>
      <c r="F176" s="106"/>
      <c r="G176" s="107"/>
      <c r="H176" s="106"/>
      <c r="I176" s="145">
        <v>4346683</v>
      </c>
      <c r="J176" s="106"/>
    </row>
    <row r="177" spans="1:10">
      <c r="A177" s="77">
        <v>4</v>
      </c>
      <c r="B177" s="70" t="s">
        <v>325</v>
      </c>
      <c r="C177" s="70" t="s">
        <v>326</v>
      </c>
      <c r="D177" s="106"/>
      <c r="E177" s="106"/>
      <c r="F177" s="106"/>
      <c r="G177" s="107"/>
      <c r="H177" s="106"/>
      <c r="I177" s="114">
        <f>I174-I175-I176</f>
        <v>134885702.03999996</v>
      </c>
      <c r="J177" s="106"/>
    </row>
    <row r="178" spans="1:10">
      <c r="A178" s="77"/>
      <c r="C178" s="70"/>
      <c r="D178" s="106"/>
      <c r="E178" s="106"/>
      <c r="F178" s="106"/>
      <c r="G178" s="107"/>
      <c r="H178" s="106"/>
      <c r="J178" s="106"/>
    </row>
    <row r="179" spans="1:10">
      <c r="A179" s="77">
        <v>5</v>
      </c>
      <c r="B179" s="70" t="s">
        <v>327</v>
      </c>
      <c r="C179" s="109" t="s">
        <v>328</v>
      </c>
      <c r="D179" s="109"/>
      <c r="E179" s="109"/>
      <c r="F179" s="109"/>
      <c r="G179" s="123"/>
      <c r="H179" s="106" t="s">
        <v>329</v>
      </c>
      <c r="I179" s="146">
        <f>IF(I174&gt;0,I177/I174,0)</f>
        <v>0.61863245862384375</v>
      </c>
      <c r="J179" s="106"/>
    </row>
    <row r="180" spans="1:10">
      <c r="A180" s="77"/>
      <c r="J180" s="106"/>
    </row>
    <row r="181" spans="1:10">
      <c r="A181" s="77"/>
      <c r="J181" s="106"/>
    </row>
    <row r="182" spans="1:10">
      <c r="A182" s="77"/>
      <c r="B182" s="102" t="s">
        <v>330</v>
      </c>
      <c r="J182" s="106"/>
    </row>
    <row r="183" spans="1:10">
      <c r="A183" s="77" t="s">
        <v>240</v>
      </c>
      <c r="B183" s="102" t="s">
        <v>331</v>
      </c>
      <c r="C183" s="102" t="s">
        <v>332</v>
      </c>
      <c r="I183" s="884">
        <f>D48</f>
        <v>0</v>
      </c>
      <c r="J183" s="106"/>
    </row>
    <row r="184" spans="1:10" ht="13.5" thickBot="1">
      <c r="A184" s="77" t="s">
        <v>243</v>
      </c>
      <c r="B184" s="134" t="s">
        <v>333</v>
      </c>
      <c r="C184" s="134" t="s">
        <v>334</v>
      </c>
      <c r="I184" s="885">
        <v>0</v>
      </c>
      <c r="J184" s="106"/>
    </row>
    <row r="185" spans="1:10">
      <c r="A185" s="77" t="s">
        <v>246</v>
      </c>
      <c r="B185" s="102" t="s">
        <v>335</v>
      </c>
      <c r="C185" s="102" t="s">
        <v>336</v>
      </c>
      <c r="I185" s="106">
        <f>I183-I184</f>
        <v>0</v>
      </c>
      <c r="J185" s="106"/>
    </row>
    <row r="186" spans="1:10">
      <c r="A186" s="77"/>
      <c r="C186" s="70"/>
      <c r="D186" s="106"/>
      <c r="E186" s="106"/>
      <c r="F186" s="106"/>
      <c r="G186" s="107"/>
      <c r="H186" s="106"/>
      <c r="J186" s="106"/>
    </row>
    <row r="187" spans="1:10">
      <c r="A187" s="77" t="s">
        <v>249</v>
      </c>
      <c r="B187" s="102" t="s">
        <v>337</v>
      </c>
      <c r="C187" s="102" t="s">
        <v>338</v>
      </c>
      <c r="H187" s="102" t="s">
        <v>339</v>
      </c>
      <c r="I187" s="117">
        <f>IF(I183&gt;0,I185/I183,0)</f>
        <v>0</v>
      </c>
      <c r="J187" s="106"/>
    </row>
    <row r="188" spans="1:10">
      <c r="A188" s="77"/>
      <c r="J188" s="106"/>
    </row>
    <row r="189" spans="1:10">
      <c r="A189" s="77"/>
      <c r="J189" s="106"/>
    </row>
    <row r="190" spans="1:10">
      <c r="A190" s="77"/>
      <c r="J190" s="106"/>
    </row>
    <row r="191" spans="1:10">
      <c r="A191" s="77"/>
      <c r="B191" s="70" t="s">
        <v>340</v>
      </c>
      <c r="J191" s="106"/>
    </row>
    <row r="192" spans="1:10">
      <c r="A192" s="77">
        <v>6</v>
      </c>
      <c r="B192" s="102" t="s">
        <v>341</v>
      </c>
      <c r="C192" s="102" t="s">
        <v>342</v>
      </c>
      <c r="D192" s="70"/>
      <c r="E192" s="70"/>
      <c r="F192" s="70"/>
      <c r="G192" s="77"/>
      <c r="H192" s="70"/>
      <c r="I192" s="173">
        <f>D108</f>
        <v>27590373</v>
      </c>
      <c r="J192" s="106"/>
    </row>
    <row r="193" spans="1:11" ht="13.5" thickBot="1">
      <c r="A193" s="77">
        <v>7</v>
      </c>
      <c r="B193" s="144" t="s">
        <v>343</v>
      </c>
      <c r="C193" s="144" t="s">
        <v>344</v>
      </c>
      <c r="D193" s="106"/>
      <c r="E193" s="106"/>
      <c r="F193" s="106"/>
      <c r="G193" s="106"/>
      <c r="H193" s="106"/>
      <c r="I193" s="148">
        <f>D109</f>
        <v>551236</v>
      </c>
      <c r="J193" s="106"/>
    </row>
    <row r="194" spans="1:11">
      <c r="A194" s="77">
        <v>8</v>
      </c>
      <c r="B194" s="70" t="s">
        <v>345</v>
      </c>
      <c r="C194" s="109" t="s">
        <v>346</v>
      </c>
      <c r="D194" s="109"/>
      <c r="E194" s="109"/>
      <c r="F194" s="109"/>
      <c r="G194" s="123"/>
      <c r="H194" s="109"/>
      <c r="I194" s="114">
        <f>+I192-I193</f>
        <v>27039137</v>
      </c>
    </row>
    <row r="195" spans="1:11">
      <c r="A195" s="77"/>
      <c r="B195" s="70"/>
      <c r="C195" s="70"/>
      <c r="D195" s="106"/>
      <c r="E195" s="106"/>
      <c r="F195" s="106"/>
      <c r="G195" s="106"/>
    </row>
    <row r="196" spans="1:11">
      <c r="A196" s="77">
        <v>9</v>
      </c>
      <c r="B196" s="70" t="s">
        <v>347</v>
      </c>
      <c r="C196" s="70" t="s">
        <v>348</v>
      </c>
      <c r="D196" s="106"/>
      <c r="E196" s="106"/>
      <c r="F196" s="106"/>
      <c r="G196" s="106"/>
      <c r="H196" s="106"/>
      <c r="I196" s="130">
        <f>IF(I192&gt;0,I194/I192,0)</f>
        <v>0.98002071229700305</v>
      </c>
    </row>
    <row r="197" spans="1:11">
      <c r="A197" s="77">
        <v>10</v>
      </c>
      <c r="B197" s="70" t="s">
        <v>349</v>
      </c>
      <c r="C197" s="70" t="s">
        <v>350</v>
      </c>
      <c r="D197" s="106"/>
      <c r="E197" s="106"/>
      <c r="F197" s="106"/>
      <c r="G197" s="106"/>
      <c r="H197" s="70" t="s">
        <v>95</v>
      </c>
      <c r="I197" s="130">
        <f>$I$179</f>
        <v>0.61863245862384375</v>
      </c>
    </row>
    <row r="198" spans="1:11">
      <c r="A198" s="77">
        <v>11</v>
      </c>
      <c r="B198" s="70" t="s">
        <v>351</v>
      </c>
      <c r="C198" s="70" t="s">
        <v>352</v>
      </c>
      <c r="D198" s="70"/>
      <c r="E198" s="70"/>
      <c r="F198" s="70"/>
      <c r="G198" s="70"/>
      <c r="H198" s="70" t="s">
        <v>353</v>
      </c>
      <c r="I198" s="113">
        <f>+I197*I196</f>
        <v>0.60627262275058558</v>
      </c>
    </row>
    <row r="199" spans="1:11">
      <c r="A199" s="77"/>
      <c r="C199" s="70"/>
      <c r="D199" s="106"/>
      <c r="E199" s="106"/>
      <c r="F199" s="106"/>
      <c r="G199" s="107"/>
      <c r="H199" s="106"/>
    </row>
    <row r="200" spans="1:11">
      <c r="A200" s="77" t="s">
        <v>88</v>
      </c>
      <c r="B200" s="70" t="s">
        <v>354</v>
      </c>
      <c r="C200" s="106"/>
      <c r="D200" s="106"/>
      <c r="E200" s="106"/>
      <c r="F200" s="106"/>
      <c r="G200" s="106"/>
      <c r="H200" s="106"/>
      <c r="I200" s="106"/>
      <c r="J200" s="106"/>
      <c r="K200" s="106"/>
    </row>
    <row r="201" spans="1:11" ht="13.5" thickBot="1">
      <c r="A201" s="77" t="s">
        <v>88</v>
      </c>
      <c r="B201" s="70"/>
      <c r="C201" s="156" t="s">
        <v>355</v>
      </c>
      <c r="D201" s="157" t="s">
        <v>356</v>
      </c>
      <c r="E201" s="860"/>
      <c r="F201" s="106"/>
      <c r="G201" s="157" t="s">
        <v>357</v>
      </c>
      <c r="H201" s="106"/>
      <c r="I201" s="106"/>
      <c r="J201" s="106"/>
      <c r="K201" s="106"/>
    </row>
    <row r="202" spans="1:11">
      <c r="A202" s="77">
        <v>12</v>
      </c>
      <c r="B202" s="70" t="s">
        <v>140</v>
      </c>
      <c r="C202" s="106" t="s">
        <v>358</v>
      </c>
      <c r="D202" s="115">
        <v>3801907</v>
      </c>
      <c r="E202" s="158">
        <v>0</v>
      </c>
      <c r="F202" s="158"/>
      <c r="G202" s="114">
        <f>D202*E202</f>
        <v>0</v>
      </c>
      <c r="H202" s="106"/>
      <c r="I202" s="106"/>
      <c r="J202" s="106"/>
    </row>
    <row r="203" spans="1:11">
      <c r="A203" s="77">
        <v>13</v>
      </c>
      <c r="B203" s="70" t="s">
        <v>143</v>
      </c>
      <c r="C203" s="106" t="s">
        <v>359</v>
      </c>
      <c r="D203" s="115">
        <v>752255</v>
      </c>
      <c r="E203" s="541">
        <f>$I$179</f>
        <v>0.61863245862384375</v>
      </c>
      <c r="F203" s="158" t="s">
        <v>95</v>
      </c>
      <c r="G203" s="114">
        <f>D203*E203</f>
        <v>465369.36016207957</v>
      </c>
      <c r="H203" s="106"/>
      <c r="I203" s="106"/>
      <c r="J203" s="106"/>
    </row>
    <row r="204" spans="1:11">
      <c r="A204" s="77">
        <v>14</v>
      </c>
      <c r="B204" s="70" t="s">
        <v>145</v>
      </c>
      <c r="C204" s="106" t="s">
        <v>360</v>
      </c>
      <c r="D204" s="115">
        <v>1914953</v>
      </c>
      <c r="E204" s="158">
        <v>0</v>
      </c>
      <c r="F204" s="158"/>
      <c r="G204" s="114">
        <f>D204*E204</f>
        <v>0</v>
      </c>
      <c r="H204" s="106"/>
      <c r="I204" s="861"/>
      <c r="J204" s="106"/>
    </row>
    <row r="205" spans="1:11">
      <c r="A205" s="77" t="s">
        <v>361</v>
      </c>
      <c r="B205" s="70" t="s">
        <v>250</v>
      </c>
      <c r="C205" s="106" t="s">
        <v>362</v>
      </c>
      <c r="D205" s="115">
        <v>0</v>
      </c>
      <c r="E205" s="158">
        <f>$I$187</f>
        <v>0</v>
      </c>
      <c r="F205" s="158" t="s">
        <v>150</v>
      </c>
      <c r="G205" s="114">
        <f>D205*E205</f>
        <v>0</v>
      </c>
      <c r="H205" s="106"/>
      <c r="I205" s="862"/>
      <c r="J205" s="106"/>
    </row>
    <row r="206" spans="1:11" ht="13.5" thickBot="1">
      <c r="A206" s="77">
        <v>15</v>
      </c>
      <c r="B206" s="70" t="s">
        <v>363</v>
      </c>
      <c r="C206" s="106" t="s">
        <v>364</v>
      </c>
      <c r="D206" s="145">
        <f>392253+100268+(-131)</f>
        <v>492390</v>
      </c>
      <c r="E206" s="158">
        <v>0</v>
      </c>
      <c r="F206" s="158"/>
      <c r="G206" s="160">
        <f>D206*E206</f>
        <v>0</v>
      </c>
      <c r="H206" s="106"/>
      <c r="I206" s="110" t="s">
        <v>365</v>
      </c>
      <c r="J206" s="106"/>
    </row>
    <row r="207" spans="1:11">
      <c r="A207" s="77">
        <v>16</v>
      </c>
      <c r="B207" s="70" t="s">
        <v>366</v>
      </c>
      <c r="C207" s="106" t="s">
        <v>367</v>
      </c>
      <c r="D207" s="114">
        <f>SUM(D202:D206)</f>
        <v>6961505</v>
      </c>
      <c r="E207" s="106"/>
      <c r="F207" s="106"/>
      <c r="G207" s="114">
        <f>SUM(G202:G206)</f>
        <v>465369.36016207957</v>
      </c>
      <c r="H207" s="77" t="s">
        <v>368</v>
      </c>
      <c r="I207" s="130">
        <f>IF(G207&gt;0,G207/D207,0)</f>
        <v>6.6848958689547669E-2</v>
      </c>
      <c r="J207" s="107" t="s">
        <v>368</v>
      </c>
      <c r="K207" s="142" t="s">
        <v>369</v>
      </c>
    </row>
    <row r="208" spans="1:11">
      <c r="A208" s="77"/>
      <c r="B208" s="70"/>
      <c r="C208" s="106"/>
      <c r="D208" s="106"/>
      <c r="E208" s="106"/>
      <c r="F208" s="106"/>
      <c r="G208" s="106"/>
      <c r="H208" s="106"/>
      <c r="I208" s="106"/>
      <c r="J208" s="106"/>
      <c r="K208" s="106"/>
    </row>
    <row r="209" spans="1:11">
      <c r="A209" s="77"/>
      <c r="B209" s="70" t="s">
        <v>370</v>
      </c>
      <c r="C209" s="106"/>
      <c r="D209" s="107" t="s">
        <v>356</v>
      </c>
      <c r="E209" s="106"/>
      <c r="F209" s="106"/>
      <c r="G209" s="107" t="s">
        <v>371</v>
      </c>
      <c r="H209" s="138" t="s">
        <v>88</v>
      </c>
      <c r="I209" s="131" t="s">
        <v>372</v>
      </c>
      <c r="J209" s="106"/>
      <c r="K209" s="106"/>
    </row>
    <row r="210" spans="1:11">
      <c r="A210" s="77">
        <v>17</v>
      </c>
      <c r="B210" s="70" t="s">
        <v>373</v>
      </c>
      <c r="C210" s="106" t="s">
        <v>374</v>
      </c>
      <c r="D210" s="115">
        <v>830921962</v>
      </c>
      <c r="E210" s="106"/>
      <c r="G210" s="77" t="s">
        <v>375</v>
      </c>
      <c r="H210" s="138"/>
      <c r="I210" s="77" t="s">
        <v>376</v>
      </c>
      <c r="J210" s="106"/>
      <c r="K210" s="77" t="s">
        <v>156</v>
      </c>
    </row>
    <row r="211" spans="1:11">
      <c r="A211" s="77">
        <v>18</v>
      </c>
      <c r="B211" s="70" t="s">
        <v>377</v>
      </c>
      <c r="C211" s="106" t="s">
        <v>378</v>
      </c>
      <c r="D211" s="716">
        <v>0</v>
      </c>
      <c r="E211" s="106"/>
      <c r="G211" s="113">
        <f>IF(D213&gt;0,D210/D213,0)</f>
        <v>0.97678726134456662</v>
      </c>
      <c r="H211" s="107" t="s">
        <v>379</v>
      </c>
      <c r="I211" s="113">
        <f>I207</f>
        <v>6.6848958689547669E-2</v>
      </c>
      <c r="J211" s="138" t="s">
        <v>368</v>
      </c>
      <c r="K211" s="161">
        <f>I211*G211</f>
        <v>6.5297211282099338E-2</v>
      </c>
    </row>
    <row r="212" spans="1:11" ht="13.5" thickBot="1">
      <c r="A212" s="77">
        <v>19</v>
      </c>
      <c r="B212" s="144" t="s">
        <v>363</v>
      </c>
      <c r="C212" s="156" t="s">
        <v>380</v>
      </c>
      <c r="D212" s="145">
        <v>19746341</v>
      </c>
      <c r="E212" s="106"/>
      <c r="F212" s="106"/>
      <c r="G212" s="106" t="s">
        <v>88</v>
      </c>
      <c r="H212" s="106"/>
      <c r="I212" s="106"/>
      <c r="J212" s="106"/>
      <c r="K212" s="106"/>
    </row>
    <row r="213" spans="1:11">
      <c r="A213" s="77">
        <v>20</v>
      </c>
      <c r="B213" s="70" t="s">
        <v>366</v>
      </c>
      <c r="C213" s="106" t="s">
        <v>381</v>
      </c>
      <c r="D213" s="114">
        <f>D210+D211+D212</f>
        <v>850668303</v>
      </c>
      <c r="E213" s="106"/>
      <c r="F213" s="106"/>
      <c r="G213" s="106"/>
      <c r="H213" s="106"/>
      <c r="I213" s="106"/>
      <c r="J213" s="106"/>
      <c r="K213" s="106"/>
    </row>
    <row r="214" spans="1:11">
      <c r="A214" s="77"/>
      <c r="B214" s="70"/>
      <c r="C214" s="106"/>
      <c r="E214" s="106"/>
      <c r="F214" s="106"/>
      <c r="G214" s="106"/>
      <c r="H214" s="106"/>
      <c r="I214" s="106"/>
      <c r="J214" s="106"/>
      <c r="K214" s="106"/>
    </row>
    <row r="215" spans="1:11" ht="13.5" thickBot="1">
      <c r="A215" s="77"/>
      <c r="B215" s="70" t="s">
        <v>382</v>
      </c>
      <c r="C215" s="106"/>
      <c r="D215" s="106"/>
      <c r="E215" s="106"/>
      <c r="F215" s="106"/>
      <c r="G215" s="106"/>
      <c r="H215" s="106"/>
      <c r="I215" s="157" t="s">
        <v>356</v>
      </c>
      <c r="J215" s="106"/>
      <c r="K215" s="106"/>
    </row>
    <row r="216" spans="1:11">
      <c r="A216" s="77">
        <v>21</v>
      </c>
      <c r="B216" s="106" t="s">
        <v>383</v>
      </c>
      <c r="C216" s="106" t="s">
        <v>384</v>
      </c>
      <c r="D216" s="106"/>
      <c r="E216" s="106"/>
      <c r="F216" s="106"/>
      <c r="G216" s="106"/>
      <c r="H216" s="106"/>
      <c r="I216" s="162">
        <f>11266178+73327+11725-0-0+13780084-1487064</f>
        <v>23644250</v>
      </c>
      <c r="J216" s="106"/>
      <c r="K216" s="106"/>
    </row>
    <row r="217" spans="1:11">
      <c r="A217" s="77"/>
      <c r="B217" s="106"/>
      <c r="C217" s="106"/>
      <c r="D217" s="106"/>
      <c r="E217" s="106"/>
      <c r="F217" s="106"/>
      <c r="G217" s="106"/>
      <c r="H217" s="106"/>
      <c r="I217" s="106"/>
      <c r="J217" s="106"/>
      <c r="K217" s="106"/>
    </row>
    <row r="218" spans="1:11">
      <c r="A218" s="77">
        <v>22</v>
      </c>
      <c r="B218" s="106" t="s">
        <v>385</v>
      </c>
      <c r="C218" s="106" t="s">
        <v>386</v>
      </c>
      <c r="D218" s="106"/>
      <c r="E218" s="106"/>
      <c r="F218" s="106"/>
      <c r="G218" s="106"/>
      <c r="H218" s="106"/>
      <c r="I218" s="163">
        <v>0</v>
      </c>
      <c r="J218" s="106"/>
      <c r="K218" s="106"/>
    </row>
    <row r="219" spans="1:11">
      <c r="A219" s="77"/>
      <c r="B219" s="70"/>
      <c r="C219" s="106"/>
      <c r="D219" s="106"/>
      <c r="E219" s="106"/>
      <c r="F219" s="106"/>
      <c r="G219" s="106"/>
      <c r="H219" s="106"/>
      <c r="I219" s="106"/>
      <c r="J219" s="106"/>
      <c r="K219" s="106"/>
    </row>
    <row r="220" spans="1:11">
      <c r="A220" s="77"/>
      <c r="B220" s="164" t="s">
        <v>387</v>
      </c>
      <c r="C220" s="106"/>
      <c r="D220" s="106"/>
      <c r="E220" s="106"/>
      <c r="F220" s="106"/>
      <c r="G220" s="106"/>
      <c r="H220" s="106"/>
      <c r="I220" s="106"/>
      <c r="J220" s="106"/>
      <c r="K220" s="106"/>
    </row>
    <row r="221" spans="1:11">
      <c r="A221" s="77">
        <v>23</v>
      </c>
      <c r="B221" s="106" t="s">
        <v>388</v>
      </c>
      <c r="C221" s="106" t="s">
        <v>389</v>
      </c>
      <c r="D221" s="70"/>
      <c r="E221" s="106"/>
      <c r="F221" s="106"/>
      <c r="G221" s="106"/>
      <c r="H221" s="106"/>
      <c r="I221" s="115">
        <v>437098506</v>
      </c>
      <c r="J221" s="106"/>
      <c r="K221" s="106"/>
    </row>
    <row r="222" spans="1:11">
      <c r="A222" s="77">
        <v>24</v>
      </c>
      <c r="B222" s="106" t="s">
        <v>390</v>
      </c>
      <c r="C222" s="106" t="s">
        <v>391</v>
      </c>
      <c r="D222" s="106"/>
      <c r="E222" s="106"/>
      <c r="F222" s="106"/>
      <c r="G222" s="106"/>
      <c r="H222" s="106"/>
      <c r="I222" s="911">
        <f>+D229</f>
        <v>0</v>
      </c>
      <c r="J222" s="106"/>
      <c r="K222" s="106"/>
    </row>
    <row r="223" spans="1:11">
      <c r="A223" s="77">
        <v>25</v>
      </c>
      <c r="B223" s="70" t="s">
        <v>392</v>
      </c>
      <c r="C223" s="70" t="s">
        <v>393</v>
      </c>
      <c r="D223" s="106"/>
      <c r="E223" s="106"/>
      <c r="F223" s="106"/>
      <c r="G223" s="106"/>
      <c r="H223" s="106"/>
      <c r="I223" s="910">
        <v>0</v>
      </c>
      <c r="J223" s="106"/>
      <c r="K223" s="106"/>
    </row>
    <row r="224" spans="1:11" ht="13.5" thickBot="1">
      <c r="A224" s="77">
        <v>26</v>
      </c>
      <c r="B224" s="144" t="s">
        <v>394</v>
      </c>
      <c r="C224" s="144" t="s">
        <v>395</v>
      </c>
      <c r="D224" s="106"/>
      <c r="E224" s="106"/>
      <c r="F224" s="106"/>
      <c r="G224" s="106"/>
      <c r="H224" s="106"/>
      <c r="I224" s="910">
        <v>0</v>
      </c>
      <c r="J224" s="106"/>
      <c r="K224" s="106"/>
    </row>
    <row r="225" spans="1:11">
      <c r="A225" s="77">
        <v>27</v>
      </c>
      <c r="B225" s="70" t="s">
        <v>396</v>
      </c>
      <c r="C225" s="109" t="s">
        <v>397</v>
      </c>
      <c r="D225" s="114"/>
      <c r="E225" s="70"/>
      <c r="F225" s="70"/>
      <c r="G225" s="70"/>
      <c r="H225" s="70"/>
      <c r="I225" s="179">
        <f>I221-I222-I223-I224</f>
        <v>437098506</v>
      </c>
      <c r="J225" s="106"/>
      <c r="K225" s="106"/>
    </row>
    <row r="226" spans="1:11">
      <c r="A226" s="77"/>
      <c r="B226" s="70"/>
      <c r="C226" s="106"/>
      <c r="D226" s="106"/>
      <c r="E226" s="106"/>
      <c r="F226" s="106"/>
      <c r="G226" s="107" t="s">
        <v>398</v>
      </c>
      <c r="H226" s="106"/>
      <c r="I226" s="106"/>
      <c r="J226" s="106"/>
      <c r="K226" s="106"/>
    </row>
    <row r="227" spans="1:11" ht="13.5" thickBot="1">
      <c r="A227" s="77"/>
      <c r="B227" s="70"/>
      <c r="C227" s="106"/>
      <c r="D227" s="110" t="s">
        <v>356</v>
      </c>
      <c r="E227" s="110" t="s">
        <v>399</v>
      </c>
      <c r="F227" s="106"/>
      <c r="G227" s="110" t="s">
        <v>400</v>
      </c>
      <c r="H227" s="106"/>
      <c r="I227" s="110" t="s">
        <v>401</v>
      </c>
      <c r="J227" s="106"/>
      <c r="K227" s="106"/>
    </row>
    <row r="228" spans="1:11">
      <c r="A228" s="77">
        <v>28</v>
      </c>
      <c r="B228" s="70" t="s">
        <v>402</v>
      </c>
      <c r="C228" s="70" t="s">
        <v>403</v>
      </c>
      <c r="D228" s="115">
        <f>195000000+0+256300000+0-46833787</f>
        <v>404466213</v>
      </c>
      <c r="E228" s="165">
        <f>IF($D$231&gt;0,D228/$D$231,0)</f>
        <v>0.48061213103207573</v>
      </c>
      <c r="F228" s="166"/>
      <c r="G228" s="167">
        <f>IF(D228&gt;0,I216/D228,0)</f>
        <v>5.845791129159162E-2</v>
      </c>
      <c r="I228" s="167">
        <f>G228*E228</f>
        <v>2.809558132153589E-2</v>
      </c>
      <c r="J228" s="168" t="s">
        <v>404</v>
      </c>
    </row>
    <row r="229" spans="1:11">
      <c r="A229" s="77">
        <v>29</v>
      </c>
      <c r="B229" s="70" t="s">
        <v>405</v>
      </c>
      <c r="C229" s="70" t="s">
        <v>406</v>
      </c>
      <c r="D229" s="910">
        <v>0</v>
      </c>
      <c r="E229" s="165">
        <f>IF($D$231&gt;0,D229/$D$231,0)</f>
        <v>0</v>
      </c>
      <c r="F229" s="166"/>
      <c r="G229" s="167">
        <f>IF(D229&gt;0,I218/D229,0)</f>
        <v>0</v>
      </c>
      <c r="I229" s="167">
        <f>G229*E229</f>
        <v>0</v>
      </c>
      <c r="J229" s="106"/>
    </row>
    <row r="230" spans="1:11" ht="13.5" thickBot="1">
      <c r="A230" s="77">
        <v>30</v>
      </c>
      <c r="B230" s="144" t="s">
        <v>407</v>
      </c>
      <c r="C230" s="144" t="s">
        <v>408</v>
      </c>
      <c r="D230" s="160">
        <f>I225</f>
        <v>437098506</v>
      </c>
      <c r="E230" s="165">
        <f>IF($D$231&gt;0,D230/$D$231,0)</f>
        <v>0.51938786896792422</v>
      </c>
      <c r="F230" s="166"/>
      <c r="G230" s="167">
        <v>9.9000000000000005E-2</v>
      </c>
      <c r="I230" s="169">
        <f>G230*E230</f>
        <v>5.1419399027824497E-2</v>
      </c>
      <c r="J230" s="106"/>
    </row>
    <row r="231" spans="1:11">
      <c r="A231" s="77">
        <v>31</v>
      </c>
      <c r="B231" s="70" t="s">
        <v>409</v>
      </c>
      <c r="C231" s="109" t="s">
        <v>410</v>
      </c>
      <c r="D231" s="114">
        <f>D230+D229+D228</f>
        <v>841564719</v>
      </c>
      <c r="E231" s="106" t="s">
        <v>88</v>
      </c>
      <c r="F231" s="106"/>
      <c r="G231" s="106"/>
      <c r="H231" s="106"/>
      <c r="I231" s="167">
        <f>SUM(I228:I230)</f>
        <v>7.9514980349360387E-2</v>
      </c>
      <c r="J231" s="168" t="s">
        <v>411</v>
      </c>
    </row>
    <row r="232" spans="1:11">
      <c r="E232" s="106"/>
      <c r="F232" s="106"/>
      <c r="G232" s="106"/>
      <c r="H232" s="106"/>
    </row>
    <row r="233" spans="1:11">
      <c r="A233" s="931"/>
      <c r="B233" s="931"/>
      <c r="C233" s="931"/>
      <c r="D233" s="106"/>
      <c r="E233" s="106"/>
      <c r="F233" s="132"/>
      <c r="G233" s="932"/>
      <c r="H233" s="932"/>
      <c r="I233" s="932"/>
      <c r="J233" s="932"/>
      <c r="K233" s="932"/>
    </row>
    <row r="234" spans="1:11">
      <c r="A234" s="77">
        <v>32</v>
      </c>
      <c r="B234" s="70" t="s">
        <v>412</v>
      </c>
      <c r="C234" s="70" t="s">
        <v>413</v>
      </c>
      <c r="D234" s="103"/>
      <c r="E234" s="70"/>
      <c r="F234" s="70"/>
      <c r="G234" s="70"/>
      <c r="H234" s="345"/>
      <c r="I234" s="163">
        <f>SUM('A7-IncentPlant'!F19:F42)</f>
        <v>0</v>
      </c>
      <c r="J234" s="345"/>
      <c r="K234" s="345"/>
    </row>
    <row r="235" spans="1:11">
      <c r="B235" s="70"/>
      <c r="C235" s="70"/>
      <c r="D235" s="103"/>
      <c r="E235" s="70"/>
      <c r="F235" s="70"/>
      <c r="G235" s="922"/>
      <c r="H235" s="922"/>
      <c r="I235" s="922"/>
      <c r="J235" s="922"/>
      <c r="K235" s="922"/>
    </row>
    <row r="236" spans="1:11">
      <c r="B236" s="70"/>
      <c r="C236" s="70"/>
      <c r="D236" s="103"/>
      <c r="E236" s="70"/>
      <c r="F236" s="70"/>
      <c r="G236" s="70"/>
      <c r="H236" s="70"/>
      <c r="I236" s="923" t="str">
        <f>I1</f>
        <v>Actual Attachment H</v>
      </c>
      <c r="J236" s="923"/>
      <c r="K236" s="923"/>
    </row>
    <row r="237" spans="1:11">
      <c r="B237" s="70"/>
      <c r="C237" s="70"/>
      <c r="D237" s="103"/>
      <c r="E237" s="70"/>
      <c r="F237" s="70"/>
      <c r="G237" s="70"/>
      <c r="H237" s="70"/>
      <c r="I237" s="70"/>
      <c r="J237" s="922" t="s">
        <v>414</v>
      </c>
      <c r="K237" s="922"/>
    </row>
    <row r="238" spans="1:11">
      <c r="B238" s="70"/>
      <c r="C238" s="70"/>
      <c r="D238" s="103"/>
      <c r="E238" s="70"/>
      <c r="F238" s="70"/>
      <c r="G238" s="70"/>
      <c r="H238" s="70"/>
      <c r="I238" s="70"/>
      <c r="J238" s="70"/>
      <c r="K238" s="104"/>
    </row>
    <row r="239" spans="1:11">
      <c r="B239" s="103" t="s">
        <v>79</v>
      </c>
      <c r="C239" s="70"/>
      <c r="D239" s="77" t="s">
        <v>125</v>
      </c>
      <c r="E239" s="70"/>
      <c r="F239" s="70"/>
      <c r="G239" s="70"/>
      <c r="H239" s="70"/>
      <c r="I239" s="70"/>
      <c r="J239" s="70"/>
      <c r="K239" s="120" t="str">
        <f>K4</f>
        <v>Actuals - For the 12 months ended 12/31/2025</v>
      </c>
    </row>
    <row r="240" spans="1:11">
      <c r="B240" s="70"/>
      <c r="C240" s="106"/>
      <c r="D240" s="107" t="s">
        <v>126</v>
      </c>
      <c r="E240" s="106"/>
      <c r="F240" s="106"/>
      <c r="G240" s="106"/>
      <c r="H240" s="70"/>
      <c r="I240" s="70"/>
      <c r="J240" s="70"/>
      <c r="K240" s="70"/>
    </row>
    <row r="241" spans="1:11">
      <c r="A241" s="77"/>
      <c r="C241" s="77"/>
      <c r="D241" s="106"/>
      <c r="E241" s="106"/>
      <c r="F241" s="106"/>
      <c r="G241" s="106"/>
      <c r="H241" s="70"/>
      <c r="I241" s="151"/>
      <c r="K241" s="106"/>
    </row>
    <row r="242" spans="1:11">
      <c r="A242" s="77"/>
      <c r="C242" s="77"/>
      <c r="D242" s="170" t="str">
        <f>C7</f>
        <v>Cheyenne Light, Fuel &amp; Power</v>
      </c>
      <c r="E242" s="106"/>
      <c r="F242" s="106"/>
      <c r="G242" s="106"/>
      <c r="H242" s="70"/>
      <c r="I242" s="151"/>
      <c r="K242" s="106"/>
    </row>
    <row r="243" spans="1:11">
      <c r="A243" s="77"/>
      <c r="C243" s="77"/>
      <c r="D243" s="106"/>
      <c r="E243" s="106"/>
      <c r="F243" s="106"/>
      <c r="G243" s="106"/>
      <c r="H243" s="70"/>
      <c r="I243" s="151"/>
      <c r="K243" s="106"/>
    </row>
    <row r="244" spans="1:11">
      <c r="A244" s="77"/>
      <c r="B244" s="70" t="s">
        <v>415</v>
      </c>
      <c r="C244" s="77"/>
      <c r="D244" s="106"/>
      <c r="E244" s="106"/>
      <c r="F244" s="106"/>
      <c r="G244" s="106"/>
      <c r="H244" s="70"/>
      <c r="I244" s="106"/>
      <c r="J244" s="70"/>
      <c r="K244" s="106"/>
    </row>
    <row r="245" spans="1:11">
      <c r="A245" s="77"/>
      <c r="B245" s="171" t="s">
        <v>416</v>
      </c>
      <c r="C245" s="77"/>
      <c r="D245" s="106"/>
      <c r="E245" s="106"/>
      <c r="F245" s="106"/>
      <c r="G245" s="106"/>
      <c r="H245" s="70"/>
      <c r="I245" s="106"/>
      <c r="J245" s="70"/>
      <c r="K245" s="106"/>
    </row>
    <row r="246" spans="1:11">
      <c r="A246" s="77" t="s">
        <v>417</v>
      </c>
      <c r="B246" s="70"/>
      <c r="C246" s="70"/>
      <c r="D246" s="106"/>
      <c r="E246" s="106"/>
      <c r="F246" s="106"/>
      <c r="G246" s="106"/>
      <c r="H246" s="70"/>
      <c r="I246" s="106"/>
      <c r="J246" s="70"/>
      <c r="K246" s="106"/>
    </row>
    <row r="247" spans="1:11" ht="13.5" thickBot="1">
      <c r="A247" s="110" t="s">
        <v>418</v>
      </c>
      <c r="B247" s="70"/>
      <c r="C247" s="70"/>
      <c r="D247" s="106"/>
      <c r="E247" s="106"/>
      <c r="F247" s="106"/>
      <c r="G247" s="106"/>
      <c r="H247" s="70"/>
      <c r="I247" s="106"/>
      <c r="J247" s="70"/>
      <c r="K247" s="106"/>
    </row>
    <row r="248" spans="1:11">
      <c r="A248" s="78" t="s">
        <v>419</v>
      </c>
      <c r="B248" s="81" t="s">
        <v>420</v>
      </c>
      <c r="C248" s="82"/>
      <c r="D248" s="83"/>
      <c r="E248" s="83"/>
      <c r="F248" s="83"/>
      <c r="G248" s="83"/>
      <c r="H248" s="82"/>
      <c r="I248" s="83"/>
      <c r="J248" s="82"/>
      <c r="K248" s="83"/>
    </row>
    <row r="249" spans="1:11">
      <c r="A249" s="78" t="s">
        <v>421</v>
      </c>
      <c r="B249" s="927" t="s">
        <v>422</v>
      </c>
      <c r="C249" s="927"/>
      <c r="D249" s="927"/>
      <c r="E249" s="927"/>
      <c r="F249" s="927"/>
      <c r="G249" s="927"/>
      <c r="H249" s="927"/>
      <c r="I249" s="927"/>
      <c r="J249" s="927"/>
      <c r="K249" s="927"/>
    </row>
    <row r="250" spans="1:11">
      <c r="A250" s="78" t="s">
        <v>423</v>
      </c>
      <c r="B250" s="924" t="s">
        <v>424</v>
      </c>
      <c r="C250" s="924"/>
      <c r="D250" s="924"/>
      <c r="E250" s="924"/>
      <c r="F250" s="924"/>
      <c r="G250" s="924"/>
      <c r="H250" s="924"/>
      <c r="I250" s="924"/>
      <c r="J250" s="924"/>
      <c r="K250" s="924"/>
    </row>
    <row r="251" spans="1:11">
      <c r="A251" s="78" t="s">
        <v>425</v>
      </c>
      <c r="B251" s="926" t="s">
        <v>426</v>
      </c>
      <c r="C251" s="926"/>
      <c r="D251" s="926"/>
      <c r="E251" s="926"/>
      <c r="F251" s="926"/>
      <c r="G251" s="926"/>
      <c r="H251" s="926"/>
      <c r="I251" s="926"/>
      <c r="J251" s="82"/>
      <c r="K251" s="82"/>
    </row>
    <row r="252" spans="1:11">
      <c r="A252" s="78" t="s">
        <v>427</v>
      </c>
      <c r="B252" s="924" t="s">
        <v>428</v>
      </c>
      <c r="C252" s="924"/>
      <c r="D252" s="924"/>
      <c r="E252" s="924"/>
      <c r="F252" s="924"/>
      <c r="G252" s="924"/>
      <c r="H252" s="924"/>
      <c r="I252" s="924"/>
      <c r="J252" s="924"/>
      <c r="K252" s="924"/>
    </row>
    <row r="253" spans="1:11">
      <c r="A253" s="78" t="s">
        <v>429</v>
      </c>
      <c r="B253" s="925" t="s">
        <v>430</v>
      </c>
      <c r="C253" s="925"/>
      <c r="D253" s="925"/>
      <c r="E253" s="925"/>
      <c r="F253" s="925"/>
      <c r="G253" s="925"/>
      <c r="H253" s="925"/>
      <c r="I253" s="925"/>
      <c r="J253" s="85"/>
      <c r="K253" s="85"/>
    </row>
    <row r="254" spans="1:11">
      <c r="A254" s="78" t="s">
        <v>431</v>
      </c>
      <c r="B254" s="79" t="s">
        <v>432</v>
      </c>
      <c r="C254" s="70"/>
      <c r="D254" s="70"/>
      <c r="E254" s="70"/>
      <c r="F254" s="70"/>
      <c r="G254" s="70"/>
      <c r="H254" s="70"/>
      <c r="I254" s="70"/>
      <c r="J254" s="82"/>
      <c r="K254" s="82"/>
    </row>
    <row r="255" spans="1:11">
      <c r="A255" s="78" t="s">
        <v>433</v>
      </c>
      <c r="B255" s="926" t="s">
        <v>434</v>
      </c>
      <c r="C255" s="926"/>
      <c r="D255" s="926"/>
      <c r="E255" s="926"/>
      <c r="F255" s="926"/>
      <c r="G255" s="926"/>
      <c r="H255" s="926"/>
      <c r="I255" s="926"/>
      <c r="J255" s="86"/>
      <c r="K255" s="82"/>
    </row>
    <row r="256" spans="1:11">
      <c r="A256" s="78" t="s">
        <v>435</v>
      </c>
      <c r="B256" s="926" t="s">
        <v>436</v>
      </c>
      <c r="C256" s="926"/>
      <c r="D256" s="926"/>
      <c r="E256" s="926"/>
      <c r="F256" s="926"/>
      <c r="G256" s="926"/>
      <c r="H256" s="926"/>
      <c r="I256" s="926"/>
      <c r="J256" s="82"/>
      <c r="K256" s="82"/>
    </row>
    <row r="257" spans="1:11">
      <c r="A257" s="78" t="s">
        <v>437</v>
      </c>
      <c r="B257" s="926" t="s">
        <v>438</v>
      </c>
      <c r="C257" s="926"/>
      <c r="D257" s="926"/>
      <c r="E257" s="926"/>
      <c r="F257" s="926"/>
      <c r="G257" s="926"/>
      <c r="H257" s="926"/>
      <c r="I257" s="926"/>
      <c r="J257" s="82"/>
      <c r="K257" s="82"/>
    </row>
    <row r="258" spans="1:11">
      <c r="A258" s="78" t="s">
        <v>439</v>
      </c>
      <c r="B258" s="924" t="s">
        <v>440</v>
      </c>
      <c r="C258" s="924"/>
      <c r="D258" s="924"/>
      <c r="E258" s="924"/>
      <c r="F258" s="924"/>
      <c r="G258" s="924"/>
      <c r="H258" s="924"/>
      <c r="I258" s="924"/>
      <c r="J258" s="924"/>
      <c r="K258" s="924"/>
    </row>
    <row r="259" spans="1:11">
      <c r="A259" s="84" t="s">
        <v>88</v>
      </c>
      <c r="B259" s="70" t="s">
        <v>441</v>
      </c>
      <c r="C259" s="70" t="s">
        <v>442</v>
      </c>
      <c r="D259" s="172">
        <v>0.21</v>
      </c>
      <c r="E259" s="70" t="s">
        <v>443</v>
      </c>
      <c r="F259" s="70"/>
      <c r="G259" s="70"/>
      <c r="H259" s="70"/>
      <c r="I259" s="70"/>
      <c r="J259" s="70"/>
      <c r="K259" s="70"/>
    </row>
    <row r="260" spans="1:11">
      <c r="A260" s="84"/>
      <c r="B260" s="70"/>
      <c r="C260" s="70" t="s">
        <v>444</v>
      </c>
      <c r="D260" s="172">
        <v>0</v>
      </c>
      <c r="E260" s="70" t="s">
        <v>445</v>
      </c>
      <c r="F260" s="70"/>
      <c r="G260" s="70"/>
      <c r="H260" s="70"/>
      <c r="I260" s="70"/>
      <c r="J260" s="70"/>
      <c r="K260" s="70"/>
    </row>
    <row r="261" spans="1:11">
      <c r="A261" s="84"/>
      <c r="B261" s="70"/>
      <c r="C261" s="70" t="s">
        <v>446</v>
      </c>
      <c r="D261" s="172">
        <v>0</v>
      </c>
      <c r="E261" s="70" t="s">
        <v>447</v>
      </c>
      <c r="F261" s="70"/>
      <c r="G261" s="70"/>
      <c r="H261" s="70"/>
      <c r="I261" s="70"/>
      <c r="J261" s="70"/>
      <c r="K261" s="70"/>
    </row>
    <row r="262" spans="1:11">
      <c r="A262" s="78" t="s">
        <v>448</v>
      </c>
      <c r="B262" s="939" t="s">
        <v>449</v>
      </c>
      <c r="C262" s="939"/>
      <c r="D262" s="939"/>
      <c r="E262" s="939"/>
      <c r="F262" s="939"/>
      <c r="G262" s="939"/>
      <c r="H262" s="939"/>
      <c r="I262" s="939"/>
      <c r="J262" s="70"/>
      <c r="K262" s="70"/>
    </row>
    <row r="263" spans="1:11">
      <c r="A263" s="78" t="s">
        <v>450</v>
      </c>
      <c r="B263" s="926" t="s">
        <v>451</v>
      </c>
      <c r="C263" s="926"/>
      <c r="D263" s="926"/>
      <c r="E263" s="926"/>
      <c r="F263" s="926"/>
      <c r="G263" s="926"/>
      <c r="H263" s="926"/>
      <c r="I263" s="926"/>
      <c r="J263" s="87"/>
      <c r="K263" s="82"/>
    </row>
    <row r="264" spans="1:11">
      <c r="A264" s="78" t="s">
        <v>452</v>
      </c>
      <c r="B264" s="937" t="s">
        <v>453</v>
      </c>
      <c r="C264" s="937"/>
      <c r="D264" s="937"/>
      <c r="E264" s="937"/>
      <c r="F264" s="937"/>
      <c r="G264" s="937"/>
      <c r="H264" s="937"/>
      <c r="I264" s="937"/>
      <c r="J264" s="937"/>
      <c r="K264" s="937"/>
    </row>
    <row r="265" spans="1:11">
      <c r="A265" s="78" t="s">
        <v>454</v>
      </c>
      <c r="B265" s="925" t="s">
        <v>455</v>
      </c>
      <c r="C265" s="925"/>
      <c r="D265" s="925"/>
      <c r="E265" s="925"/>
      <c r="F265" s="925"/>
      <c r="G265" s="925"/>
      <c r="H265" s="925"/>
      <c r="I265" s="925"/>
      <c r="J265" s="85"/>
      <c r="K265" s="85"/>
    </row>
    <row r="266" spans="1:11">
      <c r="A266" s="78" t="s">
        <v>456</v>
      </c>
      <c r="B266" s="921" t="s">
        <v>457</v>
      </c>
      <c r="C266" s="921"/>
      <c r="D266" s="921"/>
      <c r="E266" s="921"/>
      <c r="F266" s="921"/>
      <c r="G266" s="921"/>
      <c r="H266" s="921"/>
      <c r="I266" s="921"/>
      <c r="J266" s="921"/>
      <c r="K266" s="921"/>
    </row>
    <row r="267" spans="1:11">
      <c r="A267" s="78" t="s">
        <v>458</v>
      </c>
      <c r="B267" s="928" t="s">
        <v>459</v>
      </c>
      <c r="C267" s="928"/>
      <c r="D267" s="928"/>
      <c r="E267" s="928"/>
      <c r="F267" s="928"/>
      <c r="G267" s="928"/>
      <c r="H267" s="928"/>
      <c r="I267" s="928"/>
      <c r="J267" s="82"/>
      <c r="K267" s="82"/>
    </row>
    <row r="268" spans="1:11">
      <c r="A268" s="78" t="s">
        <v>460</v>
      </c>
      <c r="B268" s="929" t="s">
        <v>461</v>
      </c>
      <c r="C268" s="929"/>
      <c r="D268" s="929"/>
      <c r="E268" s="929"/>
      <c r="F268" s="929"/>
      <c r="G268" s="929"/>
      <c r="H268" s="929"/>
      <c r="I268" s="929"/>
      <c r="J268" s="88"/>
      <c r="K268" s="88"/>
    </row>
    <row r="269" spans="1:11">
      <c r="A269" s="78" t="s">
        <v>462</v>
      </c>
      <c r="B269" s="938" t="s">
        <v>463</v>
      </c>
      <c r="C269" s="938"/>
      <c r="D269" s="938"/>
      <c r="E269" s="938"/>
      <c r="F269" s="938"/>
      <c r="G269" s="938"/>
      <c r="H269" s="938"/>
      <c r="I269" s="938"/>
      <c r="J269" s="82"/>
      <c r="K269" s="82"/>
    </row>
    <row r="270" spans="1:11">
      <c r="A270" s="80" t="s">
        <v>464</v>
      </c>
      <c r="B270" s="920" t="s">
        <v>465</v>
      </c>
      <c r="C270" s="920"/>
      <c r="D270" s="920"/>
      <c r="E270" s="920"/>
      <c r="F270" s="920"/>
      <c r="G270" s="920"/>
      <c r="H270" s="920"/>
      <c r="I270" s="920"/>
      <c r="J270" s="90"/>
      <c r="K270" s="90"/>
    </row>
    <row r="271" spans="1:11">
      <c r="A271" s="80" t="s">
        <v>466</v>
      </c>
      <c r="B271" s="933" t="s">
        <v>467</v>
      </c>
      <c r="C271" s="933"/>
      <c r="D271" s="933"/>
      <c r="E271" s="933"/>
      <c r="F271" s="933"/>
      <c r="G271" s="933"/>
      <c r="H271" s="933"/>
      <c r="I271" s="933"/>
      <c r="J271" s="91"/>
      <c r="K271" s="91"/>
    </row>
    <row r="272" spans="1:11">
      <c r="A272" s="80" t="s">
        <v>468</v>
      </c>
      <c r="B272" s="920" t="s">
        <v>469</v>
      </c>
      <c r="C272" s="920"/>
      <c r="D272" s="920"/>
      <c r="E272" s="920"/>
      <c r="F272" s="920"/>
      <c r="G272" s="920"/>
      <c r="H272" s="920"/>
      <c r="I272" s="920"/>
      <c r="J272" s="91"/>
      <c r="K272" s="91"/>
    </row>
    <row r="273" spans="1:11">
      <c r="A273" s="80" t="s">
        <v>470</v>
      </c>
      <c r="B273" s="920" t="s">
        <v>471</v>
      </c>
      <c r="C273" s="920"/>
      <c r="D273" s="920"/>
      <c r="E273" s="920"/>
      <c r="F273" s="920"/>
      <c r="G273" s="920"/>
      <c r="H273" s="920"/>
      <c r="I273" s="920"/>
      <c r="J273" s="91"/>
      <c r="K273" s="91"/>
    </row>
    <row r="274" spans="1:11">
      <c r="A274" s="80" t="s">
        <v>472</v>
      </c>
      <c r="B274" s="920" t="s">
        <v>473</v>
      </c>
      <c r="C274" s="920"/>
      <c r="D274" s="920"/>
      <c r="E274" s="920"/>
      <c r="F274" s="920"/>
      <c r="G274" s="920"/>
      <c r="H274" s="920"/>
      <c r="I274" s="920"/>
      <c r="J274" s="91"/>
      <c r="K274" s="91"/>
    </row>
    <row r="275" spans="1:11">
      <c r="A275" s="80" t="s">
        <v>474</v>
      </c>
      <c r="B275" s="920" t="s">
        <v>475</v>
      </c>
      <c r="C275" s="920"/>
      <c r="D275" s="920"/>
      <c r="E275" s="920"/>
      <c r="F275" s="920"/>
      <c r="G275" s="920"/>
      <c r="H275" s="920"/>
      <c r="I275" s="920"/>
      <c r="J275" s="91"/>
      <c r="K275" s="91"/>
    </row>
    <row r="276" spans="1:11">
      <c r="A276" s="80" t="s">
        <v>476</v>
      </c>
      <c r="B276" s="920" t="s">
        <v>477</v>
      </c>
      <c r="C276" s="920"/>
      <c r="D276" s="920"/>
      <c r="E276" s="920"/>
      <c r="F276" s="920"/>
      <c r="G276" s="920"/>
      <c r="H276" s="920"/>
      <c r="I276" s="920"/>
      <c r="J276" s="91"/>
      <c r="K276" s="91"/>
    </row>
    <row r="277" spans="1:11">
      <c r="A277" s="80" t="s">
        <v>478</v>
      </c>
      <c r="B277" s="933" t="s">
        <v>479</v>
      </c>
      <c r="C277" s="933"/>
      <c r="D277" s="933"/>
      <c r="E277" s="933"/>
      <c r="F277" s="933"/>
      <c r="G277" s="933"/>
      <c r="H277" s="933"/>
      <c r="I277" s="933"/>
      <c r="J277" s="91"/>
      <c r="K277" s="91"/>
    </row>
    <row r="278" spans="1:11">
      <c r="A278" s="26" t="s">
        <v>480</v>
      </c>
      <c r="B278" s="919" t="s">
        <v>481</v>
      </c>
      <c r="C278" s="919"/>
      <c r="D278" s="919"/>
      <c r="E278" s="919"/>
      <c r="F278" s="919"/>
      <c r="G278" s="919"/>
      <c r="H278" s="919"/>
      <c r="I278" s="919"/>
      <c r="J278" s="420"/>
      <c r="K278" s="420"/>
    </row>
    <row r="279" spans="1:11">
      <c r="A279" s="80" t="s">
        <v>482</v>
      </c>
      <c r="B279" s="933" t="s">
        <v>483</v>
      </c>
      <c r="C279" s="933"/>
      <c r="D279" s="933"/>
      <c r="E279" s="933"/>
      <c r="F279" s="933"/>
      <c r="G279" s="933"/>
      <c r="H279" s="933"/>
      <c r="I279" s="933"/>
      <c r="J279" s="420"/>
      <c r="K279" s="420"/>
    </row>
    <row r="281" spans="1:11">
      <c r="A281" s="92"/>
      <c r="B281" s="936"/>
      <c r="C281" s="936"/>
      <c r="D281" s="936"/>
      <c r="E281" s="936"/>
      <c r="F281" s="936"/>
      <c r="G281" s="936"/>
      <c r="H281" s="936"/>
      <c r="I281" s="936"/>
      <c r="J281" s="95"/>
      <c r="K281" s="95"/>
    </row>
    <row r="282" spans="1:11">
      <c r="A282" s="92"/>
    </row>
    <row r="283" spans="1:11">
      <c r="A283" s="92"/>
    </row>
    <row r="284" spans="1:11">
      <c r="A284" s="89"/>
      <c r="B284" s="96"/>
      <c r="C284" s="96"/>
      <c r="D284" s="96"/>
      <c r="E284" s="96"/>
      <c r="F284" s="96"/>
      <c r="G284" s="96"/>
      <c r="H284" s="97"/>
      <c r="I284" s="98"/>
      <c r="J284" s="99"/>
      <c r="K284" s="99"/>
    </row>
    <row r="285" spans="1:11">
      <c r="A285" s="89"/>
      <c r="J285" s="100"/>
      <c r="K285" s="100"/>
    </row>
    <row r="286" spans="1:11">
      <c r="A286" s="89"/>
      <c r="B286" s="88"/>
      <c r="C286" s="88"/>
      <c r="D286" s="88"/>
      <c r="E286" s="88"/>
      <c r="F286" s="88"/>
      <c r="G286" s="88"/>
      <c r="H286" s="88"/>
      <c r="I286" s="88"/>
      <c r="J286" s="88"/>
      <c r="K286" s="88"/>
    </row>
    <row r="287" spans="1:11">
      <c r="A287" s="89"/>
      <c r="B287" s="88"/>
      <c r="C287" s="88"/>
      <c r="D287" s="88"/>
      <c r="E287" s="88"/>
      <c r="F287" s="88"/>
      <c r="G287" s="88"/>
      <c r="H287" s="88"/>
      <c r="I287" s="88"/>
      <c r="J287" s="88"/>
      <c r="K287" s="88"/>
    </row>
    <row r="288" spans="1:11">
      <c r="A288" s="89"/>
      <c r="C288" s="88"/>
      <c r="D288" s="88"/>
      <c r="E288" s="88"/>
      <c r="F288" s="88"/>
      <c r="G288" s="88"/>
      <c r="H288" s="88"/>
      <c r="I288" s="88"/>
      <c r="J288" s="88"/>
      <c r="K288" s="88"/>
    </row>
    <row r="289" spans="1:11">
      <c r="A289" s="92"/>
      <c r="B289" s="935"/>
      <c r="C289" s="935"/>
      <c r="D289" s="935"/>
      <c r="E289" s="935"/>
      <c r="F289" s="935"/>
      <c r="G289" s="935"/>
      <c r="H289" s="935"/>
      <c r="I289" s="935"/>
      <c r="J289" s="88"/>
      <c r="K289" s="88"/>
    </row>
    <row r="290" spans="1:11">
      <c r="A290" s="89"/>
      <c r="B290" s="101"/>
      <c r="C290" s="88"/>
      <c r="D290" s="88"/>
      <c r="E290" s="88"/>
      <c r="F290" s="88"/>
      <c r="G290" s="88"/>
      <c r="H290" s="88"/>
      <c r="I290" s="88"/>
      <c r="J290" s="88"/>
      <c r="K290" s="88"/>
    </row>
    <row r="291" spans="1:11">
      <c r="A291" s="88"/>
      <c r="B291" s="101"/>
      <c r="C291" s="88"/>
      <c r="D291" s="88"/>
      <c r="E291" s="88"/>
      <c r="F291" s="88"/>
      <c r="G291" s="88"/>
      <c r="H291" s="88"/>
      <c r="I291" s="88"/>
      <c r="J291" s="88"/>
      <c r="K291" s="88"/>
    </row>
  </sheetData>
  <sheetProtection formatCells="0" formatColumns="0"/>
  <mergeCells count="45">
    <mergeCell ref="B279:I279"/>
    <mergeCell ref="B274:I274"/>
    <mergeCell ref="F12:G12"/>
    <mergeCell ref="B289:I289"/>
    <mergeCell ref="B251:I251"/>
    <mergeCell ref="B252:K252"/>
    <mergeCell ref="B272:I272"/>
    <mergeCell ref="B276:I276"/>
    <mergeCell ref="B277:I277"/>
    <mergeCell ref="B281:I281"/>
    <mergeCell ref="B264:K264"/>
    <mergeCell ref="B269:I269"/>
    <mergeCell ref="B273:I273"/>
    <mergeCell ref="B271:I271"/>
    <mergeCell ref="B262:I262"/>
    <mergeCell ref="B263:I263"/>
    <mergeCell ref="B268:I268"/>
    <mergeCell ref="I1:K1"/>
    <mergeCell ref="J2:K2"/>
    <mergeCell ref="I163:K163"/>
    <mergeCell ref="I96:K96"/>
    <mergeCell ref="J97:K97"/>
    <mergeCell ref="I32:K32"/>
    <mergeCell ref="J33:K33"/>
    <mergeCell ref="J164:K164"/>
    <mergeCell ref="G166:K166"/>
    <mergeCell ref="A233:C233"/>
    <mergeCell ref="G233:K233"/>
    <mergeCell ref="F162:K162"/>
    <mergeCell ref="B278:I278"/>
    <mergeCell ref="B275:I275"/>
    <mergeCell ref="B266:K266"/>
    <mergeCell ref="G235:K235"/>
    <mergeCell ref="I236:K236"/>
    <mergeCell ref="J237:K237"/>
    <mergeCell ref="B258:K258"/>
    <mergeCell ref="B250:K250"/>
    <mergeCell ref="B253:I253"/>
    <mergeCell ref="B255:I255"/>
    <mergeCell ref="B256:I256"/>
    <mergeCell ref="B257:I257"/>
    <mergeCell ref="B270:I270"/>
    <mergeCell ref="B249:K249"/>
    <mergeCell ref="B265:I265"/>
    <mergeCell ref="B267:I267"/>
  </mergeCells>
  <printOptions horizontalCentered="1"/>
  <pageMargins left="0.5" right="0.5" top="0.25" bottom="0.25" header="0.5" footer="0.5"/>
  <pageSetup paperSize="17" scale="73" orientation="landscape" r:id="rId1"/>
  <headerFooter alignWithMargins="0"/>
  <rowBreaks count="4" manualBreakCount="4">
    <brk id="31" max="10" man="1"/>
    <brk id="95" max="10" man="1"/>
    <brk id="162" max="10" man="1"/>
    <brk id="235" max="10" man="1"/>
  </rowBreaks>
  <ignoredErrors>
    <ignoredError sqref="G40:I40 B40:C40 B104 C104:I104" numberStoredAsText="1"/>
    <ignoredError sqref="G114 I81:I82" formula="1"/>
    <ignoredError sqref="I32 I163 I96 D207:D209 I236"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8" tint="0.59999389629810485"/>
    <pageSetUpPr fitToPage="1"/>
  </sheetPr>
  <dimension ref="A1:P177"/>
  <sheetViews>
    <sheetView workbookViewId="0">
      <selection sqref="A1:K1"/>
    </sheetView>
  </sheetViews>
  <sheetFormatPr defaultColWidth="8.77734375" defaultRowHeight="12.75"/>
  <cols>
    <col min="1" max="1" width="5.21875" style="600" customWidth="1"/>
    <col min="2" max="2" width="9.109375" style="600" customWidth="1"/>
    <col min="3" max="4" width="7.5546875" style="600" customWidth="1"/>
    <col min="5" max="5" width="8.77734375" style="600" customWidth="1"/>
    <col min="6" max="6" width="7.5546875" style="600" customWidth="1"/>
    <col min="7" max="7" width="2.109375" style="600" customWidth="1"/>
    <col min="8" max="9" width="11.44140625" style="600" customWidth="1"/>
    <col min="10" max="10" width="13.44140625" style="600" customWidth="1"/>
    <col min="11" max="11" width="1.44140625" style="602" customWidth="1"/>
    <col min="12" max="13" width="10.21875" style="600" bestFit="1" customWidth="1"/>
    <col min="14" max="14" width="10.77734375" style="600" bestFit="1" customWidth="1"/>
    <col min="15" max="16384" width="8.77734375" style="600"/>
  </cols>
  <sheetData>
    <row r="1" spans="1:11" s="599" customFormat="1">
      <c r="A1" s="949" t="s">
        <v>74</v>
      </c>
      <c r="B1" s="949"/>
      <c r="C1" s="949"/>
      <c r="D1" s="949"/>
      <c r="E1" s="949"/>
      <c r="F1" s="949"/>
      <c r="G1" s="949"/>
      <c r="H1" s="949"/>
      <c r="I1" s="949"/>
      <c r="J1" s="949"/>
      <c r="K1" s="949"/>
    </row>
    <row r="2" spans="1:11" s="599" customFormat="1">
      <c r="A2" s="949" t="s">
        <v>587</v>
      </c>
      <c r="B2" s="949"/>
      <c r="C2" s="949"/>
      <c r="D2" s="949"/>
      <c r="E2" s="949"/>
      <c r="F2" s="949"/>
      <c r="G2" s="949"/>
      <c r="H2" s="949"/>
      <c r="I2" s="949"/>
      <c r="J2" s="949"/>
      <c r="K2" s="949"/>
    </row>
    <row r="3" spans="1:11" s="599" customFormat="1">
      <c r="A3" s="950" t="s">
        <v>82</v>
      </c>
      <c r="B3" s="950"/>
      <c r="C3" s="950"/>
      <c r="D3" s="950"/>
      <c r="E3" s="950"/>
      <c r="F3" s="950"/>
      <c r="G3" s="950"/>
      <c r="H3" s="950"/>
      <c r="I3" s="950"/>
      <c r="J3" s="950"/>
      <c r="K3" s="950"/>
    </row>
    <row r="4" spans="1:11" s="599" customFormat="1">
      <c r="A4" s="598"/>
      <c r="B4" s="598"/>
      <c r="C4" s="598"/>
      <c r="D4" s="598"/>
      <c r="E4" s="598"/>
      <c r="F4" s="598"/>
      <c r="G4" s="598"/>
      <c r="H4" s="598"/>
      <c r="I4" s="598"/>
      <c r="J4" s="553" t="s">
        <v>1300</v>
      </c>
    </row>
    <row r="5" spans="1:11">
      <c r="I5" s="601" t="s">
        <v>1301</v>
      </c>
      <c r="J5" s="710"/>
    </row>
    <row r="6" spans="1:11">
      <c r="A6" s="600">
        <v>1</v>
      </c>
      <c r="B6" s="603" t="s">
        <v>1302</v>
      </c>
      <c r="H6" s="604"/>
      <c r="I6" s="604"/>
      <c r="J6" s="604"/>
      <c r="K6" s="605"/>
    </row>
    <row r="7" spans="1:11">
      <c r="A7" s="600">
        <f>+A6+1</f>
        <v>2</v>
      </c>
      <c r="B7" s="1005" t="s">
        <v>1303</v>
      </c>
      <c r="C7" s="1006"/>
      <c r="D7" s="1006"/>
      <c r="E7" s="1006"/>
      <c r="F7" s="1007"/>
      <c r="G7" s="606"/>
      <c r="H7" s="1005" t="s">
        <v>1304</v>
      </c>
      <c r="I7" s="1006"/>
      <c r="J7" s="1007"/>
      <c r="K7" s="605"/>
    </row>
    <row r="8" spans="1:11">
      <c r="B8" s="607" t="s">
        <v>419</v>
      </c>
      <c r="C8" s="607" t="s">
        <v>421</v>
      </c>
      <c r="D8" s="607" t="s">
        <v>423</v>
      </c>
      <c r="E8" s="607" t="s">
        <v>425</v>
      </c>
      <c r="F8" s="607" t="s">
        <v>427</v>
      </c>
      <c r="G8" s="606"/>
      <c r="H8" s="607" t="s">
        <v>429</v>
      </c>
      <c r="I8" s="607" t="s">
        <v>431</v>
      </c>
      <c r="J8" s="607" t="s">
        <v>433</v>
      </c>
      <c r="K8" s="605"/>
    </row>
    <row r="9" spans="1:11" ht="51">
      <c r="A9" s="600">
        <f>+A7+1</f>
        <v>3</v>
      </c>
      <c r="B9" s="608" t="s">
        <v>744</v>
      </c>
      <c r="C9" s="608" t="s">
        <v>1305</v>
      </c>
      <c r="D9" s="608" t="s">
        <v>1306</v>
      </c>
      <c r="E9" s="608" t="s">
        <v>1307</v>
      </c>
      <c r="F9" s="608" t="s">
        <v>1308</v>
      </c>
      <c r="G9" s="609"/>
      <c r="H9" s="608" t="s">
        <v>1309</v>
      </c>
      <c r="I9" s="608" t="s">
        <v>1310</v>
      </c>
      <c r="J9" s="608" t="s">
        <v>1311</v>
      </c>
      <c r="K9" s="609"/>
    </row>
    <row r="10" spans="1:11">
      <c r="A10" s="600">
        <f t="shared" ref="A10:A24" si="0">+A9+1</f>
        <v>4</v>
      </c>
      <c r="C10" s="609"/>
      <c r="D10" s="609"/>
      <c r="E10" s="609"/>
      <c r="F10" s="609"/>
      <c r="G10" s="609"/>
      <c r="H10" s="609"/>
      <c r="I10" s="609"/>
      <c r="J10" s="609"/>
      <c r="K10" s="609"/>
    </row>
    <row r="11" spans="1:11">
      <c r="A11" s="600">
        <f t="shared" si="0"/>
        <v>5</v>
      </c>
      <c r="B11" s="610" t="s">
        <v>1312</v>
      </c>
      <c r="C11" s="611"/>
      <c r="D11" s="612"/>
      <c r="E11" s="612"/>
      <c r="F11" s="612"/>
      <c r="G11" s="612"/>
      <c r="H11" s="613"/>
      <c r="I11" s="613"/>
      <c r="J11" s="614"/>
      <c r="K11" s="615"/>
    </row>
    <row r="12" spans="1:11">
      <c r="A12" s="600">
        <f t="shared" si="0"/>
        <v>6</v>
      </c>
      <c r="B12" s="611" t="s">
        <v>762</v>
      </c>
      <c r="C12" s="616">
        <v>31</v>
      </c>
      <c r="D12" s="711"/>
      <c r="E12" s="711"/>
      <c r="F12" s="551">
        <f>IF(E12=0,0,D12/E12)</f>
        <v>0</v>
      </c>
      <c r="G12" s="547"/>
      <c r="H12" s="614"/>
      <c r="I12" s="578">
        <f>+H12*F12</f>
        <v>0</v>
      </c>
      <c r="J12" s="578">
        <f t="shared" ref="J12:J23" si="1">+I12+J11</f>
        <v>0</v>
      </c>
      <c r="K12" s="615"/>
    </row>
    <row r="13" spans="1:11">
      <c r="A13" s="600">
        <f t="shared" si="0"/>
        <v>7</v>
      </c>
      <c r="B13" s="611" t="s">
        <v>763</v>
      </c>
      <c r="C13" s="617"/>
      <c r="D13" s="711"/>
      <c r="E13" s="711"/>
      <c r="F13" s="551">
        <f t="shared" ref="F13:F23" si="2">IF(E13=0,0,D13/E13)</f>
        <v>0</v>
      </c>
      <c r="G13" s="547"/>
      <c r="H13" s="614"/>
      <c r="I13" s="578">
        <f t="shared" ref="I13:I23" si="3">+H13*F13</f>
        <v>0</v>
      </c>
      <c r="J13" s="578">
        <f t="shared" si="1"/>
        <v>0</v>
      </c>
      <c r="K13" s="615"/>
    </row>
    <row r="14" spans="1:11">
      <c r="A14" s="600">
        <f t="shared" si="0"/>
        <v>8</v>
      </c>
      <c r="B14" s="611" t="s">
        <v>892</v>
      </c>
      <c r="C14" s="616">
        <v>31</v>
      </c>
      <c r="D14" s="711"/>
      <c r="E14" s="711"/>
      <c r="F14" s="551">
        <f t="shared" si="2"/>
        <v>0</v>
      </c>
      <c r="G14" s="547"/>
      <c r="H14" s="614"/>
      <c r="I14" s="578">
        <f t="shared" si="3"/>
        <v>0</v>
      </c>
      <c r="J14" s="578">
        <f t="shared" si="1"/>
        <v>0</v>
      </c>
      <c r="K14" s="615"/>
    </row>
    <row r="15" spans="1:11">
      <c r="A15" s="600">
        <f t="shared" si="0"/>
        <v>9</v>
      </c>
      <c r="B15" s="611" t="s">
        <v>765</v>
      </c>
      <c r="C15" s="616">
        <v>30</v>
      </c>
      <c r="D15" s="711"/>
      <c r="E15" s="711"/>
      <c r="F15" s="551">
        <f t="shared" si="2"/>
        <v>0</v>
      </c>
      <c r="G15" s="547"/>
      <c r="H15" s="614"/>
      <c r="I15" s="578">
        <f t="shared" si="3"/>
        <v>0</v>
      </c>
      <c r="J15" s="578">
        <f t="shared" si="1"/>
        <v>0</v>
      </c>
      <c r="K15" s="615"/>
    </row>
    <row r="16" spans="1:11">
      <c r="A16" s="600">
        <f t="shared" si="0"/>
        <v>10</v>
      </c>
      <c r="B16" s="611" t="s">
        <v>766</v>
      </c>
      <c r="C16" s="616">
        <v>31</v>
      </c>
      <c r="D16" s="711"/>
      <c r="E16" s="711"/>
      <c r="F16" s="551">
        <f t="shared" si="2"/>
        <v>0</v>
      </c>
      <c r="G16" s="547"/>
      <c r="H16" s="614"/>
      <c r="I16" s="578">
        <f t="shared" si="3"/>
        <v>0</v>
      </c>
      <c r="J16" s="578">
        <f t="shared" si="1"/>
        <v>0</v>
      </c>
      <c r="K16" s="615"/>
    </row>
    <row r="17" spans="1:14">
      <c r="A17" s="600">
        <f t="shared" si="0"/>
        <v>11</v>
      </c>
      <c r="B17" s="611" t="s">
        <v>18</v>
      </c>
      <c r="C17" s="616">
        <v>30</v>
      </c>
      <c r="D17" s="711"/>
      <c r="E17" s="711"/>
      <c r="F17" s="551">
        <f t="shared" si="2"/>
        <v>0</v>
      </c>
      <c r="G17" s="547"/>
      <c r="H17" s="614"/>
      <c r="I17" s="578">
        <f t="shared" si="3"/>
        <v>0</v>
      </c>
      <c r="J17" s="578">
        <f t="shared" si="1"/>
        <v>0</v>
      </c>
      <c r="K17" s="615"/>
    </row>
    <row r="18" spans="1:14">
      <c r="A18" s="600">
        <f t="shared" si="0"/>
        <v>12</v>
      </c>
      <c r="B18" s="611" t="s">
        <v>767</v>
      </c>
      <c r="C18" s="616">
        <v>31</v>
      </c>
      <c r="D18" s="711"/>
      <c r="E18" s="711"/>
      <c r="F18" s="551">
        <f t="shared" si="2"/>
        <v>0</v>
      </c>
      <c r="G18" s="547"/>
      <c r="H18" s="614"/>
      <c r="I18" s="578">
        <f t="shared" si="3"/>
        <v>0</v>
      </c>
      <c r="J18" s="578">
        <f t="shared" si="1"/>
        <v>0</v>
      </c>
      <c r="K18" s="615"/>
    </row>
    <row r="19" spans="1:14">
      <c r="A19" s="600">
        <f t="shared" si="0"/>
        <v>13</v>
      </c>
      <c r="B19" s="611" t="s">
        <v>893</v>
      </c>
      <c r="C19" s="616">
        <v>31</v>
      </c>
      <c r="D19" s="711"/>
      <c r="E19" s="711"/>
      <c r="F19" s="551">
        <f t="shared" si="2"/>
        <v>0</v>
      </c>
      <c r="G19" s="547"/>
      <c r="H19" s="614"/>
      <c r="I19" s="578">
        <f t="shared" si="3"/>
        <v>0</v>
      </c>
      <c r="J19" s="578">
        <f t="shared" si="1"/>
        <v>0</v>
      </c>
      <c r="K19" s="615"/>
    </row>
    <row r="20" spans="1:14">
      <c r="A20" s="600">
        <f t="shared" si="0"/>
        <v>14</v>
      </c>
      <c r="B20" s="611" t="s">
        <v>769</v>
      </c>
      <c r="C20" s="616">
        <v>30</v>
      </c>
      <c r="D20" s="711"/>
      <c r="E20" s="711"/>
      <c r="F20" s="551">
        <f t="shared" si="2"/>
        <v>0</v>
      </c>
      <c r="G20" s="547"/>
      <c r="H20" s="614"/>
      <c r="I20" s="578">
        <f t="shared" si="3"/>
        <v>0</v>
      </c>
      <c r="J20" s="578">
        <f t="shared" si="1"/>
        <v>0</v>
      </c>
      <c r="K20" s="615"/>
    </row>
    <row r="21" spans="1:14">
      <c r="A21" s="600">
        <f t="shared" si="0"/>
        <v>15</v>
      </c>
      <c r="B21" s="611" t="s">
        <v>770</v>
      </c>
      <c r="C21" s="616">
        <v>31</v>
      </c>
      <c r="D21" s="711"/>
      <c r="E21" s="711"/>
      <c r="F21" s="551">
        <f t="shared" si="2"/>
        <v>0</v>
      </c>
      <c r="G21" s="547"/>
      <c r="H21" s="614"/>
      <c r="I21" s="578">
        <f t="shared" si="3"/>
        <v>0</v>
      </c>
      <c r="J21" s="578">
        <f t="shared" si="1"/>
        <v>0</v>
      </c>
      <c r="K21" s="615"/>
    </row>
    <row r="22" spans="1:14">
      <c r="A22" s="600">
        <f t="shared" si="0"/>
        <v>16</v>
      </c>
      <c r="B22" s="611" t="s">
        <v>771</v>
      </c>
      <c r="C22" s="616">
        <v>30</v>
      </c>
      <c r="D22" s="711"/>
      <c r="E22" s="711"/>
      <c r="F22" s="551">
        <f t="shared" si="2"/>
        <v>0</v>
      </c>
      <c r="G22" s="547"/>
      <c r="H22" s="614"/>
      <c r="I22" s="578">
        <f t="shared" si="3"/>
        <v>0</v>
      </c>
      <c r="J22" s="578">
        <f t="shared" si="1"/>
        <v>0</v>
      </c>
      <c r="K22" s="615"/>
    </row>
    <row r="23" spans="1:14">
      <c r="A23" s="600">
        <f t="shared" si="0"/>
        <v>17</v>
      </c>
      <c r="B23" s="611" t="s">
        <v>894</v>
      </c>
      <c r="C23" s="616">
        <v>31</v>
      </c>
      <c r="D23" s="711"/>
      <c r="E23" s="711"/>
      <c r="F23" s="551">
        <f t="shared" si="2"/>
        <v>0</v>
      </c>
      <c r="G23" s="547"/>
      <c r="H23" s="614"/>
      <c r="I23" s="578">
        <f t="shared" si="3"/>
        <v>0</v>
      </c>
      <c r="J23" s="578">
        <f t="shared" si="1"/>
        <v>0</v>
      </c>
      <c r="K23" s="615"/>
      <c r="L23" s="634"/>
      <c r="M23" s="636"/>
      <c r="N23" s="634"/>
    </row>
    <row r="24" spans="1:14">
      <c r="A24" s="600">
        <f t="shared" si="0"/>
        <v>18</v>
      </c>
      <c r="B24" s="618"/>
      <c r="C24" s="618" t="s">
        <v>91</v>
      </c>
      <c r="D24" s="618"/>
      <c r="E24" s="618"/>
      <c r="F24" s="619"/>
      <c r="G24" s="612"/>
      <c r="H24" s="620">
        <f>SUM(H12:H23)</f>
        <v>0</v>
      </c>
      <c r="I24" s="620">
        <f>SUM(I12:I23)</f>
        <v>0</v>
      </c>
      <c r="J24" s="619"/>
      <c r="K24" s="609"/>
    </row>
    <row r="25" spans="1:14">
      <c r="B25" s="621"/>
      <c r="C25" s="621"/>
      <c r="D25" s="621"/>
      <c r="E25" s="621"/>
      <c r="F25" s="622"/>
      <c r="G25" s="622"/>
      <c r="I25" s="623"/>
      <c r="J25" s="622"/>
      <c r="K25" s="609"/>
      <c r="L25" s="634"/>
    </row>
    <row r="26" spans="1:14">
      <c r="A26" s="600">
        <f>+A24+1</f>
        <v>19</v>
      </c>
      <c r="B26" s="600" t="s">
        <v>1313</v>
      </c>
      <c r="F26" s="600" t="s">
        <v>1314</v>
      </c>
      <c r="G26" s="622"/>
      <c r="I26" s="622"/>
      <c r="J26" s="635">
        <f>'A3-ADIT'!E15</f>
        <v>27736908</v>
      </c>
    </row>
    <row r="27" spans="1:14">
      <c r="A27" s="600">
        <f>+A26+1</f>
        <v>20</v>
      </c>
      <c r="B27" s="600" t="s">
        <v>1315</v>
      </c>
      <c r="F27" s="600" t="s">
        <v>1316</v>
      </c>
      <c r="G27" s="622"/>
      <c r="I27" s="622"/>
      <c r="J27" s="635">
        <f>J166*-0.21</f>
        <v>6781095.9426000006</v>
      </c>
    </row>
    <row r="28" spans="1:14">
      <c r="A28" s="600">
        <f t="shared" ref="A28" si="4">+A27+1</f>
        <v>21</v>
      </c>
      <c r="B28" s="600" t="s">
        <v>1317</v>
      </c>
      <c r="F28" s="600" t="s">
        <v>1318</v>
      </c>
      <c r="G28" s="622"/>
      <c r="I28" s="622"/>
      <c r="J28" s="635">
        <f>J26-J27</f>
        <v>20955812.057399999</v>
      </c>
    </row>
    <row r="29" spans="1:14">
      <c r="A29" s="600">
        <f>+A28+1</f>
        <v>22</v>
      </c>
      <c r="B29" s="600" t="s">
        <v>1319</v>
      </c>
      <c r="F29" s="600" t="s">
        <v>1320</v>
      </c>
      <c r="G29" s="622"/>
      <c r="I29" s="622"/>
      <c r="J29" s="635">
        <f>J27</f>
        <v>6781095.9426000006</v>
      </c>
    </row>
    <row r="30" spans="1:14">
      <c r="A30" s="600">
        <f>+A29+1</f>
        <v>23</v>
      </c>
      <c r="B30" s="600" t="s">
        <v>1321</v>
      </c>
      <c r="F30" s="600" t="s">
        <v>567</v>
      </c>
      <c r="G30" s="622"/>
      <c r="I30" s="622"/>
      <c r="J30" s="614"/>
    </row>
    <row r="31" spans="1:14">
      <c r="A31" s="600">
        <f>+A30+1</f>
        <v>24</v>
      </c>
      <c r="B31" s="600" t="s">
        <v>1322</v>
      </c>
      <c r="F31" s="600" t="s">
        <v>1323</v>
      </c>
      <c r="G31" s="622"/>
      <c r="I31" s="622"/>
      <c r="J31" s="624">
        <f>J29+J30</f>
        <v>6781095.9426000006</v>
      </c>
    </row>
    <row r="32" spans="1:14">
      <c r="A32" s="600">
        <v>25</v>
      </c>
      <c r="B32" s="600" t="s">
        <v>1324</v>
      </c>
      <c r="F32" s="600" t="s">
        <v>1325</v>
      </c>
      <c r="G32" s="622"/>
      <c r="I32" s="609"/>
      <c r="J32" s="625">
        <f>J23</f>
        <v>0</v>
      </c>
    </row>
    <row r="33" spans="1:11">
      <c r="A33" s="600">
        <v>26</v>
      </c>
      <c r="B33" s="600" t="s">
        <v>1326</v>
      </c>
      <c r="F33" s="600" t="s">
        <v>1327</v>
      </c>
      <c r="J33" s="636">
        <f>J31+J32</f>
        <v>6781095.9426000006</v>
      </c>
    </row>
    <row r="34" spans="1:11">
      <c r="A34" s="600">
        <v>27</v>
      </c>
      <c r="B34" s="600" t="s">
        <v>1328</v>
      </c>
      <c r="F34" s="600" t="s">
        <v>1329</v>
      </c>
      <c r="J34" s="873">
        <f>'A3.1-EDIT-DDIT'!P44</f>
        <v>7.9579999999999984E-2</v>
      </c>
    </row>
    <row r="35" spans="1:11">
      <c r="A35" s="600">
        <v>28</v>
      </c>
      <c r="B35" s="603" t="s">
        <v>1330</v>
      </c>
      <c r="F35" s="600" t="s">
        <v>1331</v>
      </c>
      <c r="J35" s="643">
        <f>J33*J34</f>
        <v>539639.61511210795</v>
      </c>
    </row>
    <row r="36" spans="1:11">
      <c r="J36" s="636"/>
    </row>
    <row r="37" spans="1:11">
      <c r="J37" s="636"/>
    </row>
    <row r="38" spans="1:11" ht="15">
      <c r="A38"/>
      <c r="B38"/>
      <c r="C38"/>
      <c r="D38"/>
      <c r="E38"/>
      <c r="F38"/>
      <c r="G38"/>
      <c r="H38"/>
      <c r="I38"/>
      <c r="J38"/>
    </row>
    <row r="39" spans="1:11">
      <c r="A39" s="1004" t="str">
        <f>A1</f>
        <v>Worksheet P5</v>
      </c>
      <c r="B39" s="1004"/>
      <c r="C39" s="1004"/>
      <c r="D39" s="1004"/>
      <c r="E39" s="1004"/>
      <c r="F39" s="1004"/>
      <c r="G39" s="1004"/>
      <c r="H39" s="1004"/>
      <c r="I39" s="1004"/>
      <c r="J39" s="1004"/>
      <c r="K39" s="1004"/>
    </row>
    <row r="40" spans="1:11">
      <c r="A40" s="1004" t="str">
        <f>A2</f>
        <v>Accumulated Deferred Income Taxes</v>
      </c>
      <c r="B40" s="1004"/>
      <c r="C40" s="1004"/>
      <c r="D40" s="1004"/>
      <c r="E40" s="1004"/>
      <c r="F40" s="1004"/>
      <c r="G40" s="1004"/>
      <c r="H40" s="1004"/>
      <c r="I40" s="1004"/>
      <c r="J40" s="1004"/>
      <c r="K40" s="1004"/>
    </row>
    <row r="41" spans="1:11">
      <c r="A41" s="1008" t="str">
        <f>A3</f>
        <v>Cheyenne Light, Fuel &amp; Power</v>
      </c>
      <c r="B41" s="1008"/>
      <c r="C41" s="1008"/>
      <c r="D41" s="1008"/>
      <c r="E41" s="1008"/>
      <c r="F41" s="1008"/>
      <c r="G41" s="1008"/>
      <c r="H41" s="1008"/>
      <c r="I41" s="1008"/>
      <c r="J41" s="1008"/>
      <c r="K41" s="1008"/>
    </row>
    <row r="42" spans="1:11">
      <c r="J42" s="602" t="s">
        <v>1332</v>
      </c>
    </row>
    <row r="43" spans="1:11">
      <c r="B43" s="603"/>
      <c r="J43" s="601"/>
      <c r="K43" s="627"/>
    </row>
    <row r="44" spans="1:11">
      <c r="A44" s="600">
        <f>A35+1</f>
        <v>29</v>
      </c>
      <c r="B44" s="603" t="s">
        <v>1333</v>
      </c>
      <c r="H44" s="604"/>
      <c r="I44" s="604"/>
      <c r="J44" s="604"/>
    </row>
    <row r="45" spans="1:11">
      <c r="A45" s="600">
        <f>+A44+1</f>
        <v>30</v>
      </c>
      <c r="B45" s="1005" t="s">
        <v>1303</v>
      </c>
      <c r="C45" s="1006"/>
      <c r="D45" s="1006"/>
      <c r="E45" s="1006"/>
      <c r="F45" s="1007"/>
      <c r="G45" s="606"/>
      <c r="H45" s="1005" t="s">
        <v>1304</v>
      </c>
      <c r="I45" s="1006"/>
      <c r="J45" s="1007"/>
    </row>
    <row r="46" spans="1:11">
      <c r="B46" s="607" t="s">
        <v>419</v>
      </c>
      <c r="C46" s="607" t="s">
        <v>421</v>
      </c>
      <c r="D46" s="607" t="s">
        <v>423</v>
      </c>
      <c r="E46" s="607" t="s">
        <v>425</v>
      </c>
      <c r="F46" s="607" t="s">
        <v>427</v>
      </c>
      <c r="G46" s="606"/>
      <c r="H46" s="607" t="s">
        <v>429</v>
      </c>
      <c r="I46" s="607" t="s">
        <v>431</v>
      </c>
      <c r="J46" s="607" t="s">
        <v>433</v>
      </c>
    </row>
    <row r="47" spans="1:11" ht="51">
      <c r="A47" s="600">
        <f>+A45+1</f>
        <v>31</v>
      </c>
      <c r="B47" s="608" t="s">
        <v>744</v>
      </c>
      <c r="C47" s="608" t="s">
        <v>1305</v>
      </c>
      <c r="D47" s="608" t="s">
        <v>1306</v>
      </c>
      <c r="E47" s="608" t="s">
        <v>1307</v>
      </c>
      <c r="F47" s="608" t="s">
        <v>1308</v>
      </c>
      <c r="G47" s="609"/>
      <c r="H47" s="608" t="s">
        <v>1309</v>
      </c>
      <c r="I47" s="608" t="s">
        <v>1310</v>
      </c>
      <c r="J47" s="608" t="s">
        <v>1311</v>
      </c>
    </row>
    <row r="48" spans="1:11">
      <c r="A48" s="600">
        <f t="shared" ref="A48:A62" si="5">+A47+1</f>
        <v>32</v>
      </c>
      <c r="C48" s="609"/>
      <c r="D48" s="609"/>
      <c r="E48" s="609"/>
      <c r="F48" s="609"/>
      <c r="G48" s="609"/>
      <c r="H48" s="609"/>
      <c r="I48" s="609"/>
      <c r="J48" s="609"/>
    </row>
    <row r="49" spans="1:11">
      <c r="A49" s="600">
        <f t="shared" si="5"/>
        <v>33</v>
      </c>
      <c r="B49" s="610" t="s">
        <v>1312</v>
      </c>
      <c r="C49" s="611"/>
      <c r="D49" s="612"/>
      <c r="E49" s="612"/>
      <c r="F49" s="612"/>
      <c r="G49" s="612"/>
      <c r="H49" s="613"/>
      <c r="I49" s="613"/>
      <c r="J49" s="614"/>
      <c r="K49" s="628"/>
    </row>
    <row r="50" spans="1:11">
      <c r="A50" s="600">
        <f t="shared" si="5"/>
        <v>34</v>
      </c>
      <c r="B50" s="611" t="s">
        <v>762</v>
      </c>
      <c r="C50" s="616">
        <v>31</v>
      </c>
      <c r="D50" s="711"/>
      <c r="E50" s="711"/>
      <c r="F50" s="551">
        <f>IF(E50=0,0,D50/E50)</f>
        <v>0</v>
      </c>
      <c r="G50" s="547"/>
      <c r="H50" s="614"/>
      <c r="I50" s="548">
        <f>+H50*F50</f>
        <v>0</v>
      </c>
      <c r="J50" s="548">
        <f t="shared" ref="J50:J61" si="6">+I50+J49</f>
        <v>0</v>
      </c>
    </row>
    <row r="51" spans="1:11">
      <c r="A51" s="600">
        <f t="shared" si="5"/>
        <v>35</v>
      </c>
      <c r="B51" s="611" t="s">
        <v>763</v>
      </c>
      <c r="C51" s="617"/>
      <c r="D51" s="711"/>
      <c r="E51" s="711"/>
      <c r="F51" s="551">
        <f t="shared" ref="F51:F61" si="7">IF(E51=0,0,D51/E51)</f>
        <v>0</v>
      </c>
      <c r="G51" s="547"/>
      <c r="H51" s="614"/>
      <c r="I51" s="548">
        <f t="shared" ref="I51:I61" si="8">+H51*F51</f>
        <v>0</v>
      </c>
      <c r="J51" s="548">
        <f t="shared" si="6"/>
        <v>0</v>
      </c>
    </row>
    <row r="52" spans="1:11">
      <c r="A52" s="600">
        <f t="shared" si="5"/>
        <v>36</v>
      </c>
      <c r="B52" s="611" t="s">
        <v>892</v>
      </c>
      <c r="C52" s="616">
        <v>31</v>
      </c>
      <c r="D52" s="711"/>
      <c r="E52" s="711"/>
      <c r="F52" s="551">
        <f t="shared" si="7"/>
        <v>0</v>
      </c>
      <c r="G52" s="547"/>
      <c r="H52" s="614"/>
      <c r="I52" s="548">
        <f t="shared" si="8"/>
        <v>0</v>
      </c>
      <c r="J52" s="548">
        <f t="shared" si="6"/>
        <v>0</v>
      </c>
    </row>
    <row r="53" spans="1:11">
      <c r="A53" s="600">
        <f t="shared" si="5"/>
        <v>37</v>
      </c>
      <c r="B53" s="611" t="s">
        <v>765</v>
      </c>
      <c r="C53" s="616">
        <v>30</v>
      </c>
      <c r="D53" s="711"/>
      <c r="E53" s="711"/>
      <c r="F53" s="551">
        <f t="shared" si="7"/>
        <v>0</v>
      </c>
      <c r="G53" s="547"/>
      <c r="H53" s="614"/>
      <c r="I53" s="548">
        <f t="shared" si="8"/>
        <v>0</v>
      </c>
      <c r="J53" s="548">
        <f t="shared" si="6"/>
        <v>0</v>
      </c>
    </row>
    <row r="54" spans="1:11">
      <c r="A54" s="600">
        <f t="shared" si="5"/>
        <v>38</v>
      </c>
      <c r="B54" s="611" t="s">
        <v>766</v>
      </c>
      <c r="C54" s="616">
        <v>31</v>
      </c>
      <c r="D54" s="711"/>
      <c r="E54" s="711"/>
      <c r="F54" s="551">
        <f t="shared" si="7"/>
        <v>0</v>
      </c>
      <c r="G54" s="547"/>
      <c r="H54" s="614"/>
      <c r="I54" s="548">
        <f t="shared" si="8"/>
        <v>0</v>
      </c>
      <c r="J54" s="548">
        <f t="shared" si="6"/>
        <v>0</v>
      </c>
    </row>
    <row r="55" spans="1:11">
      <c r="A55" s="600">
        <f t="shared" si="5"/>
        <v>39</v>
      </c>
      <c r="B55" s="611" t="s">
        <v>18</v>
      </c>
      <c r="C55" s="616">
        <v>30</v>
      </c>
      <c r="D55" s="711"/>
      <c r="E55" s="711"/>
      <c r="F55" s="551">
        <f t="shared" si="7"/>
        <v>0</v>
      </c>
      <c r="G55" s="547"/>
      <c r="H55" s="614"/>
      <c r="I55" s="548">
        <f t="shared" si="8"/>
        <v>0</v>
      </c>
      <c r="J55" s="548">
        <f t="shared" si="6"/>
        <v>0</v>
      </c>
    </row>
    <row r="56" spans="1:11">
      <c r="A56" s="600">
        <f t="shared" si="5"/>
        <v>40</v>
      </c>
      <c r="B56" s="611" t="s">
        <v>767</v>
      </c>
      <c r="C56" s="616">
        <v>31</v>
      </c>
      <c r="D56" s="711"/>
      <c r="E56" s="711"/>
      <c r="F56" s="551">
        <f t="shared" si="7"/>
        <v>0</v>
      </c>
      <c r="G56" s="547"/>
      <c r="H56" s="614"/>
      <c r="I56" s="548">
        <f t="shared" si="8"/>
        <v>0</v>
      </c>
      <c r="J56" s="548">
        <f t="shared" si="6"/>
        <v>0</v>
      </c>
    </row>
    <row r="57" spans="1:11">
      <c r="A57" s="600">
        <f t="shared" si="5"/>
        <v>41</v>
      </c>
      <c r="B57" s="611" t="s">
        <v>893</v>
      </c>
      <c r="C57" s="616">
        <v>31</v>
      </c>
      <c r="D57" s="711"/>
      <c r="E57" s="711"/>
      <c r="F57" s="551">
        <f t="shared" si="7"/>
        <v>0</v>
      </c>
      <c r="G57" s="547"/>
      <c r="H57" s="614"/>
      <c r="I57" s="548">
        <f t="shared" si="8"/>
        <v>0</v>
      </c>
      <c r="J57" s="548">
        <f t="shared" si="6"/>
        <v>0</v>
      </c>
    </row>
    <row r="58" spans="1:11">
      <c r="A58" s="600">
        <f t="shared" si="5"/>
        <v>42</v>
      </c>
      <c r="B58" s="611" t="s">
        <v>769</v>
      </c>
      <c r="C58" s="616">
        <v>30</v>
      </c>
      <c r="D58" s="711"/>
      <c r="E58" s="711"/>
      <c r="F58" s="551">
        <f t="shared" si="7"/>
        <v>0</v>
      </c>
      <c r="G58" s="547"/>
      <c r="H58" s="614"/>
      <c r="I58" s="548">
        <f t="shared" si="8"/>
        <v>0</v>
      </c>
      <c r="J58" s="548">
        <f t="shared" si="6"/>
        <v>0</v>
      </c>
    </row>
    <row r="59" spans="1:11">
      <c r="A59" s="600">
        <f t="shared" si="5"/>
        <v>43</v>
      </c>
      <c r="B59" s="611" t="s">
        <v>770</v>
      </c>
      <c r="C59" s="616">
        <v>31</v>
      </c>
      <c r="D59" s="711"/>
      <c r="E59" s="711"/>
      <c r="F59" s="551">
        <f t="shared" si="7"/>
        <v>0</v>
      </c>
      <c r="G59" s="547"/>
      <c r="H59" s="614"/>
      <c r="I59" s="548">
        <f t="shared" si="8"/>
        <v>0</v>
      </c>
      <c r="J59" s="548">
        <f t="shared" si="6"/>
        <v>0</v>
      </c>
    </row>
    <row r="60" spans="1:11">
      <c r="A60" s="600">
        <f t="shared" si="5"/>
        <v>44</v>
      </c>
      <c r="B60" s="611" t="s">
        <v>771</v>
      </c>
      <c r="C60" s="616">
        <v>30</v>
      </c>
      <c r="D60" s="711"/>
      <c r="E60" s="711"/>
      <c r="F60" s="551">
        <f t="shared" si="7"/>
        <v>0</v>
      </c>
      <c r="G60" s="547"/>
      <c r="H60" s="614"/>
      <c r="I60" s="548">
        <f t="shared" si="8"/>
        <v>0</v>
      </c>
      <c r="J60" s="548">
        <f t="shared" si="6"/>
        <v>0</v>
      </c>
    </row>
    <row r="61" spans="1:11">
      <c r="A61" s="600">
        <f t="shared" si="5"/>
        <v>45</v>
      </c>
      <c r="B61" s="611" t="s">
        <v>894</v>
      </c>
      <c r="C61" s="616">
        <v>31</v>
      </c>
      <c r="D61" s="711"/>
      <c r="E61" s="711"/>
      <c r="F61" s="551">
        <f t="shared" si="7"/>
        <v>0</v>
      </c>
      <c r="G61" s="547"/>
      <c r="H61" s="614"/>
      <c r="I61" s="548">
        <f t="shared" si="8"/>
        <v>0</v>
      </c>
      <c r="J61" s="548">
        <f t="shared" si="6"/>
        <v>0</v>
      </c>
    </row>
    <row r="62" spans="1:11">
      <c r="A62" s="600">
        <f t="shared" si="5"/>
        <v>46</v>
      </c>
      <c r="B62" s="618"/>
      <c r="C62" s="618" t="s">
        <v>91</v>
      </c>
      <c r="D62" s="618"/>
      <c r="E62" s="618"/>
      <c r="F62" s="619"/>
      <c r="G62" s="612"/>
      <c r="H62" s="620">
        <f>SUM(H50:H61)</f>
        <v>0</v>
      </c>
      <c r="I62" s="620">
        <f>SUM(I50:I61)</f>
        <v>0</v>
      </c>
      <c r="J62" s="619"/>
    </row>
    <row r="63" spans="1:11">
      <c r="B63" s="621"/>
      <c r="C63" s="621"/>
      <c r="D63" s="621"/>
      <c r="E63" s="621"/>
      <c r="F63" s="622"/>
      <c r="G63" s="622"/>
      <c r="I63" s="623"/>
      <c r="J63" s="622"/>
    </row>
    <row r="64" spans="1:11">
      <c r="A64" s="600">
        <f>+A62+1</f>
        <v>47</v>
      </c>
      <c r="B64" s="600" t="s">
        <v>1334</v>
      </c>
      <c r="F64" s="600" t="s">
        <v>1335</v>
      </c>
      <c r="G64" s="622"/>
      <c r="I64" s="622"/>
      <c r="J64" s="617"/>
    </row>
    <row r="65" spans="1:11">
      <c r="A65" s="600">
        <f>+A64+1</f>
        <v>48</v>
      </c>
      <c r="B65" s="600" t="s">
        <v>1336</v>
      </c>
      <c r="F65" s="600" t="str">
        <f>"(Line "&amp;A64&amp;" less line "&amp;A66&amp;")"</f>
        <v>(Line 47 less line 49)</v>
      </c>
      <c r="G65" s="622"/>
      <c r="I65" s="622"/>
      <c r="J65" s="624">
        <f>+J64-J66</f>
        <v>0</v>
      </c>
    </row>
    <row r="66" spans="1:11">
      <c r="A66" s="600">
        <f t="shared" ref="A66:A72" si="9">+A65+1</f>
        <v>49</v>
      </c>
      <c r="B66" s="600" t="s">
        <v>1337</v>
      </c>
      <c r="F66" s="600" t="str">
        <f>"(Line "&amp;A49&amp;", Col H)"</f>
        <v>(Line 33, Col H)</v>
      </c>
      <c r="G66" s="622"/>
      <c r="I66" s="622"/>
      <c r="J66" s="613">
        <f>+J49</f>
        <v>0</v>
      </c>
    </row>
    <row r="67" spans="1:11">
      <c r="A67" s="600">
        <f t="shared" si="9"/>
        <v>50</v>
      </c>
      <c r="B67" s="600" t="s">
        <v>1338</v>
      </c>
      <c r="F67" s="600" t="s">
        <v>1339</v>
      </c>
      <c r="G67" s="622"/>
      <c r="I67" s="622"/>
      <c r="J67" s="617"/>
    </row>
    <row r="68" spans="1:11">
      <c r="A68" s="600">
        <f t="shared" si="9"/>
        <v>51</v>
      </c>
      <c r="B68" s="600" t="str">
        <f>+B65</f>
        <v>Less non Prorated Items</v>
      </c>
      <c r="F68" s="600" t="str">
        <f>"(Line "&amp;A67&amp;" less line "&amp;A69&amp;")"</f>
        <v>(Line 50 less line 52)</v>
      </c>
      <c r="G68" s="622"/>
      <c r="I68" s="622"/>
      <c r="J68" s="624">
        <f>+J67-J69</f>
        <v>0</v>
      </c>
    </row>
    <row r="69" spans="1:11">
      <c r="A69" s="600">
        <f t="shared" si="9"/>
        <v>52</v>
      </c>
      <c r="B69" s="600" t="s">
        <v>1324</v>
      </c>
      <c r="F69" s="600" t="str">
        <f>"(Line "&amp;A61&amp;", Col H)"</f>
        <v>(Line 45, Col H)</v>
      </c>
      <c r="G69" s="622"/>
      <c r="I69" s="622"/>
      <c r="J69" s="613">
        <f>+J61</f>
        <v>0</v>
      </c>
    </row>
    <row r="70" spans="1:11">
      <c r="A70" s="600">
        <f t="shared" si="9"/>
        <v>53</v>
      </c>
      <c r="B70" s="600" t="s">
        <v>593</v>
      </c>
      <c r="F70" s="600" t="s">
        <v>1411</v>
      </c>
      <c r="G70" s="622"/>
      <c r="I70" s="609"/>
      <c r="J70" s="625">
        <f>(J66+J69)/2+(J65+J68)/2</f>
        <v>0</v>
      </c>
    </row>
    <row r="71" spans="1:11">
      <c r="A71" s="600">
        <f t="shared" si="9"/>
        <v>54</v>
      </c>
      <c r="B71" s="600" t="s">
        <v>613</v>
      </c>
      <c r="G71" s="622"/>
      <c r="I71" s="609"/>
      <c r="J71" s="635">
        <v>0</v>
      </c>
    </row>
    <row r="72" spans="1:11">
      <c r="A72" s="600">
        <f t="shared" si="9"/>
        <v>55</v>
      </c>
      <c r="B72" s="600" t="s">
        <v>1330</v>
      </c>
      <c r="F72" s="600" t="s">
        <v>1340</v>
      </c>
      <c r="J72" s="626">
        <f>+J70</f>
        <v>0</v>
      </c>
    </row>
    <row r="73" spans="1:11">
      <c r="A73" s="1004" t="str">
        <f>A1</f>
        <v>Worksheet P5</v>
      </c>
      <c r="B73" s="1004"/>
      <c r="C73" s="1004"/>
      <c r="D73" s="1004"/>
      <c r="E73" s="1004"/>
      <c r="F73" s="1004"/>
      <c r="G73" s="1004"/>
      <c r="H73" s="1004"/>
      <c r="I73" s="1004"/>
      <c r="J73" s="1004"/>
      <c r="K73" s="1004"/>
    </row>
    <row r="74" spans="1:11">
      <c r="A74" s="1004" t="str">
        <f>A2</f>
        <v>Accumulated Deferred Income Taxes</v>
      </c>
      <c r="B74" s="1004"/>
      <c r="C74" s="1004"/>
      <c r="D74" s="1004"/>
      <c r="E74" s="1004"/>
      <c r="F74" s="1004"/>
      <c r="G74" s="1004"/>
      <c r="H74" s="1004"/>
      <c r="I74" s="1004"/>
      <c r="J74" s="1004"/>
      <c r="K74" s="1004"/>
    </row>
    <row r="75" spans="1:11">
      <c r="A75" s="1004" t="str">
        <f>A3</f>
        <v>Cheyenne Light, Fuel &amp; Power</v>
      </c>
      <c r="B75" s="1004"/>
      <c r="C75" s="1004"/>
      <c r="D75" s="1004"/>
      <c r="E75" s="1004"/>
      <c r="F75" s="1004"/>
      <c r="G75" s="1004"/>
      <c r="H75" s="1004"/>
      <c r="I75" s="1004"/>
      <c r="J75" s="1004"/>
      <c r="K75" s="1004"/>
    </row>
    <row r="76" spans="1:11">
      <c r="A76" s="629"/>
      <c r="B76" s="629"/>
      <c r="C76" s="629"/>
      <c r="D76" s="629"/>
      <c r="E76" s="629"/>
      <c r="F76" s="629"/>
      <c r="G76" s="629"/>
      <c r="H76" s="629"/>
      <c r="I76" s="629"/>
      <c r="J76" s="602" t="s">
        <v>1341</v>
      </c>
      <c r="K76" s="629"/>
    </row>
    <row r="78" spans="1:11">
      <c r="A78" s="600">
        <f>+A72+1</f>
        <v>56</v>
      </c>
      <c r="B78" s="603" t="s">
        <v>1342</v>
      </c>
      <c r="H78" s="604"/>
      <c r="I78" s="604"/>
      <c r="J78" s="604"/>
    </row>
    <row r="79" spans="1:11">
      <c r="A79" s="600">
        <f>+A78+1</f>
        <v>57</v>
      </c>
      <c r="B79" s="1009" t="s">
        <v>1303</v>
      </c>
      <c r="C79" s="1010"/>
      <c r="D79" s="1010"/>
      <c r="E79" s="1010"/>
      <c r="F79" s="1011"/>
      <c r="G79" s="606"/>
      <c r="H79" s="1005" t="s">
        <v>1304</v>
      </c>
      <c r="I79" s="1006"/>
      <c r="J79" s="1007"/>
    </row>
    <row r="80" spans="1:11">
      <c r="B80" s="607" t="s">
        <v>419</v>
      </c>
      <c r="C80" s="607" t="s">
        <v>421</v>
      </c>
      <c r="D80" s="607" t="s">
        <v>423</v>
      </c>
      <c r="E80" s="607" t="s">
        <v>425</v>
      </c>
      <c r="F80" s="607" t="s">
        <v>427</v>
      </c>
      <c r="G80" s="606"/>
      <c r="H80" s="607" t="s">
        <v>429</v>
      </c>
      <c r="I80" s="607" t="s">
        <v>431</v>
      </c>
      <c r="J80" s="607" t="s">
        <v>433</v>
      </c>
    </row>
    <row r="81" spans="1:16" ht="51">
      <c r="A81" s="600">
        <f>+A79+1</f>
        <v>58</v>
      </c>
      <c r="B81" s="608" t="s">
        <v>744</v>
      </c>
      <c r="C81" s="608" t="s">
        <v>1305</v>
      </c>
      <c r="D81" s="608" t="s">
        <v>1306</v>
      </c>
      <c r="E81" s="608" t="s">
        <v>1307</v>
      </c>
      <c r="F81" s="608" t="s">
        <v>1308</v>
      </c>
      <c r="G81" s="609"/>
      <c r="H81" s="608" t="s">
        <v>1309</v>
      </c>
      <c r="I81" s="608" t="s">
        <v>1310</v>
      </c>
      <c r="J81" s="608" t="s">
        <v>1311</v>
      </c>
    </row>
    <row r="82" spans="1:16">
      <c r="A82" s="600">
        <f t="shared" ref="A82:A96" si="10">+A81+1</f>
        <v>59</v>
      </c>
      <c r="C82" s="609"/>
      <c r="D82" s="609"/>
      <c r="E82" s="609"/>
      <c r="F82" s="609"/>
      <c r="G82" s="609"/>
      <c r="H82" s="609"/>
      <c r="I82" s="609"/>
      <c r="J82" s="609"/>
      <c r="L82" s="630"/>
      <c r="M82" s="630"/>
      <c r="N82" s="630"/>
      <c r="O82" s="630"/>
      <c r="P82" s="630"/>
    </row>
    <row r="83" spans="1:16">
      <c r="A83" s="600">
        <f>+A82+1</f>
        <v>60</v>
      </c>
      <c r="B83" s="600" t="s">
        <v>1337</v>
      </c>
      <c r="C83" s="611"/>
      <c r="D83" s="612"/>
      <c r="E83" s="612"/>
      <c r="F83" s="612"/>
      <c r="G83" s="612"/>
      <c r="H83" s="613"/>
      <c r="I83" s="613"/>
      <c r="J83" s="614"/>
      <c r="L83" s="631"/>
      <c r="M83" s="630"/>
      <c r="N83" s="630"/>
      <c r="O83" s="630"/>
      <c r="P83" s="630"/>
    </row>
    <row r="84" spans="1:16">
      <c r="A84" s="600">
        <f t="shared" si="10"/>
        <v>61</v>
      </c>
      <c r="B84" s="611" t="s">
        <v>762</v>
      </c>
      <c r="C84" s="616">
        <v>31</v>
      </c>
      <c r="D84" s="711"/>
      <c r="E84" s="711"/>
      <c r="F84" s="568">
        <f>IF(E84=0,0,D84/E84)</f>
        <v>0</v>
      </c>
      <c r="G84" s="632"/>
      <c r="H84" s="614"/>
      <c r="I84" s="578">
        <f>+H84*F84</f>
        <v>0</v>
      </c>
      <c r="J84" s="578">
        <f>+I84+J83</f>
        <v>0</v>
      </c>
      <c r="L84" s="549"/>
      <c r="M84" s="550"/>
      <c r="N84" s="630"/>
      <c r="O84" s="630"/>
      <c r="P84" s="630"/>
    </row>
    <row r="85" spans="1:16">
      <c r="A85" s="600">
        <f t="shared" si="10"/>
        <v>62</v>
      </c>
      <c r="B85" s="611" t="s">
        <v>763</v>
      </c>
      <c r="C85" s="617"/>
      <c r="D85" s="711"/>
      <c r="E85" s="711"/>
      <c r="F85" s="568">
        <f t="shared" ref="F85:F95" si="11">IF(E85=0,0,D85/E85)</f>
        <v>0</v>
      </c>
      <c r="G85" s="552"/>
      <c r="H85" s="614"/>
      <c r="I85" s="578">
        <f t="shared" ref="I85:I95" si="12">+H85*F85</f>
        <v>0</v>
      </c>
      <c r="J85" s="578">
        <f t="shared" ref="J85:J95" si="13">+I85+J84</f>
        <v>0</v>
      </c>
      <c r="K85" s="633"/>
      <c r="L85" s="549"/>
      <c r="M85" s="549"/>
      <c r="N85" s="630"/>
      <c r="O85" s="630"/>
      <c r="P85" s="630"/>
    </row>
    <row r="86" spans="1:16">
      <c r="A86" s="600">
        <f t="shared" si="10"/>
        <v>63</v>
      </c>
      <c r="B86" s="611" t="s">
        <v>892</v>
      </c>
      <c r="C86" s="616">
        <v>31</v>
      </c>
      <c r="D86" s="711"/>
      <c r="E86" s="711"/>
      <c r="F86" s="568">
        <f t="shared" si="11"/>
        <v>0</v>
      </c>
      <c r="G86" s="552"/>
      <c r="H86" s="614"/>
      <c r="I86" s="578">
        <f t="shared" si="12"/>
        <v>0</v>
      </c>
      <c r="J86" s="578">
        <f t="shared" si="13"/>
        <v>0</v>
      </c>
      <c r="L86" s="549"/>
      <c r="M86" s="549"/>
      <c r="N86" s="630"/>
      <c r="O86" s="630"/>
      <c r="P86" s="630"/>
    </row>
    <row r="87" spans="1:16">
      <c r="A87" s="600">
        <f t="shared" si="10"/>
        <v>64</v>
      </c>
      <c r="B87" s="611" t="s">
        <v>765</v>
      </c>
      <c r="C87" s="616">
        <v>30</v>
      </c>
      <c r="D87" s="711"/>
      <c r="E87" s="711"/>
      <c r="F87" s="568">
        <f t="shared" si="11"/>
        <v>0</v>
      </c>
      <c r="G87" s="552"/>
      <c r="H87" s="614"/>
      <c r="I87" s="578">
        <f t="shared" si="12"/>
        <v>0</v>
      </c>
      <c r="J87" s="578">
        <f t="shared" si="13"/>
        <v>0</v>
      </c>
      <c r="L87" s="549"/>
      <c r="M87" s="549"/>
      <c r="N87" s="630"/>
      <c r="O87" s="630"/>
      <c r="P87" s="630"/>
    </row>
    <row r="88" spans="1:16">
      <c r="A88" s="600">
        <f t="shared" si="10"/>
        <v>65</v>
      </c>
      <c r="B88" s="611" t="s">
        <v>766</v>
      </c>
      <c r="C88" s="616">
        <v>31</v>
      </c>
      <c r="D88" s="711"/>
      <c r="E88" s="711"/>
      <c r="F88" s="568">
        <f t="shared" si="11"/>
        <v>0</v>
      </c>
      <c r="G88" s="552"/>
      <c r="H88" s="614"/>
      <c r="I88" s="578">
        <f t="shared" si="12"/>
        <v>0</v>
      </c>
      <c r="J88" s="578">
        <f t="shared" si="13"/>
        <v>0</v>
      </c>
      <c r="L88" s="549"/>
      <c r="M88" s="549"/>
      <c r="N88" s="630"/>
      <c r="O88" s="630"/>
      <c r="P88" s="630"/>
    </row>
    <row r="89" spans="1:16">
      <c r="A89" s="600">
        <f t="shared" si="10"/>
        <v>66</v>
      </c>
      <c r="B89" s="611" t="s">
        <v>18</v>
      </c>
      <c r="C89" s="616">
        <v>30</v>
      </c>
      <c r="D89" s="711"/>
      <c r="E89" s="711"/>
      <c r="F89" s="568">
        <f t="shared" si="11"/>
        <v>0</v>
      </c>
      <c r="G89" s="552"/>
      <c r="H89" s="614"/>
      <c r="I89" s="578">
        <f t="shared" si="12"/>
        <v>0</v>
      </c>
      <c r="J89" s="578">
        <f t="shared" si="13"/>
        <v>0</v>
      </c>
      <c r="L89" s="549"/>
      <c r="M89" s="549"/>
      <c r="N89" s="630"/>
      <c r="O89" s="630"/>
      <c r="P89" s="630"/>
    </row>
    <row r="90" spans="1:16">
      <c r="A90" s="600">
        <f t="shared" si="10"/>
        <v>67</v>
      </c>
      <c r="B90" s="611" t="s">
        <v>767</v>
      </c>
      <c r="C90" s="616">
        <v>31</v>
      </c>
      <c r="D90" s="711"/>
      <c r="E90" s="711"/>
      <c r="F90" s="568">
        <f t="shared" si="11"/>
        <v>0</v>
      </c>
      <c r="G90" s="552"/>
      <c r="H90" s="614"/>
      <c r="I90" s="578">
        <f t="shared" si="12"/>
        <v>0</v>
      </c>
      <c r="J90" s="578">
        <f t="shared" si="13"/>
        <v>0</v>
      </c>
      <c r="L90" s="549"/>
      <c r="M90" s="549"/>
      <c r="N90" s="631"/>
      <c r="O90" s="630"/>
      <c r="P90" s="549"/>
    </row>
    <row r="91" spans="1:16">
      <c r="A91" s="600">
        <f t="shared" si="10"/>
        <v>68</v>
      </c>
      <c r="B91" s="611" t="s">
        <v>893</v>
      </c>
      <c r="C91" s="616">
        <v>31</v>
      </c>
      <c r="D91" s="711"/>
      <c r="E91" s="711"/>
      <c r="F91" s="568">
        <f t="shared" si="11"/>
        <v>0</v>
      </c>
      <c r="G91" s="552"/>
      <c r="H91" s="614"/>
      <c r="I91" s="578">
        <f t="shared" si="12"/>
        <v>0</v>
      </c>
      <c r="J91" s="578">
        <f t="shared" si="13"/>
        <v>0</v>
      </c>
      <c r="L91" s="549"/>
      <c r="M91" s="549"/>
      <c r="N91" s="631"/>
      <c r="O91" s="630"/>
      <c r="P91" s="549"/>
    </row>
    <row r="92" spans="1:16">
      <c r="A92" s="600">
        <f t="shared" si="10"/>
        <v>69</v>
      </c>
      <c r="B92" s="611" t="s">
        <v>769</v>
      </c>
      <c r="C92" s="616">
        <v>30</v>
      </c>
      <c r="D92" s="711"/>
      <c r="E92" s="711"/>
      <c r="F92" s="568">
        <f t="shared" si="11"/>
        <v>0</v>
      </c>
      <c r="G92" s="552"/>
      <c r="H92" s="614"/>
      <c r="I92" s="578">
        <f t="shared" si="12"/>
        <v>0</v>
      </c>
      <c r="J92" s="578">
        <f t="shared" si="13"/>
        <v>0</v>
      </c>
      <c r="L92" s="549"/>
      <c r="M92" s="549"/>
      <c r="N92" s="631"/>
      <c r="O92" s="630"/>
      <c r="P92" s="549"/>
    </row>
    <row r="93" spans="1:16">
      <c r="A93" s="600">
        <f t="shared" si="10"/>
        <v>70</v>
      </c>
      <c r="B93" s="611" t="s">
        <v>770</v>
      </c>
      <c r="C93" s="616">
        <v>31</v>
      </c>
      <c r="D93" s="711"/>
      <c r="E93" s="711"/>
      <c r="F93" s="568">
        <f t="shared" si="11"/>
        <v>0</v>
      </c>
      <c r="G93" s="552"/>
      <c r="H93" s="614"/>
      <c r="I93" s="578">
        <f t="shared" si="12"/>
        <v>0</v>
      </c>
      <c r="J93" s="578">
        <f t="shared" si="13"/>
        <v>0</v>
      </c>
      <c r="L93" s="549"/>
      <c r="M93" s="549"/>
      <c r="N93" s="631"/>
      <c r="O93" s="630"/>
      <c r="P93" s="549"/>
    </row>
    <row r="94" spans="1:16">
      <c r="A94" s="600">
        <f t="shared" si="10"/>
        <v>71</v>
      </c>
      <c r="B94" s="611" t="s">
        <v>771</v>
      </c>
      <c r="C94" s="616">
        <v>30</v>
      </c>
      <c r="D94" s="711"/>
      <c r="E94" s="711"/>
      <c r="F94" s="568">
        <f t="shared" si="11"/>
        <v>0</v>
      </c>
      <c r="G94" s="552"/>
      <c r="H94" s="614"/>
      <c r="I94" s="578">
        <f t="shared" si="12"/>
        <v>0</v>
      </c>
      <c r="J94" s="578">
        <f t="shared" si="13"/>
        <v>0</v>
      </c>
      <c r="L94" s="549"/>
      <c r="M94" s="549"/>
      <c r="N94" s="631"/>
      <c r="O94" s="630"/>
      <c r="P94" s="549"/>
    </row>
    <row r="95" spans="1:16">
      <c r="A95" s="600">
        <f t="shared" si="10"/>
        <v>72</v>
      </c>
      <c r="B95" s="611" t="s">
        <v>894</v>
      </c>
      <c r="C95" s="616">
        <v>31</v>
      </c>
      <c r="D95" s="711"/>
      <c r="E95" s="711"/>
      <c r="F95" s="568">
        <f t="shared" si="11"/>
        <v>0</v>
      </c>
      <c r="G95" s="552"/>
      <c r="H95" s="614"/>
      <c r="I95" s="578">
        <f t="shared" si="12"/>
        <v>0</v>
      </c>
      <c r="J95" s="578">
        <f t="shared" si="13"/>
        <v>0</v>
      </c>
      <c r="L95" s="549"/>
      <c r="M95" s="549"/>
      <c r="N95" s="631"/>
      <c r="O95" s="630"/>
      <c r="P95" s="549"/>
    </row>
    <row r="96" spans="1:16">
      <c r="A96" s="600">
        <f t="shared" si="10"/>
        <v>73</v>
      </c>
      <c r="B96" s="618"/>
      <c r="C96" s="618" t="s">
        <v>91</v>
      </c>
      <c r="D96" s="618"/>
      <c r="E96" s="618"/>
      <c r="F96" s="619"/>
      <c r="G96" s="612"/>
      <c r="H96" s="620">
        <f>SUM(H84:H95)</f>
        <v>0</v>
      </c>
      <c r="I96" s="620">
        <f>SUM(I84:I95)</f>
        <v>0</v>
      </c>
      <c r="J96" s="619"/>
      <c r="L96" s="634"/>
    </row>
    <row r="97" spans="1:16">
      <c r="B97" s="621"/>
      <c r="C97" s="621"/>
      <c r="D97" s="621"/>
      <c r="E97" s="621"/>
      <c r="F97" s="622"/>
      <c r="G97" s="612"/>
      <c r="H97" s="613"/>
      <c r="I97" s="613"/>
      <c r="J97" s="622"/>
      <c r="L97" s="634"/>
    </row>
    <row r="98" spans="1:16">
      <c r="A98" s="600">
        <f>+A96+1</f>
        <v>74</v>
      </c>
      <c r="B98" s="610" t="s">
        <v>1343</v>
      </c>
      <c r="C98" s="609"/>
      <c r="D98" s="609"/>
      <c r="E98" s="609"/>
      <c r="F98" s="610" t="s">
        <v>1344</v>
      </c>
      <c r="G98" s="609"/>
      <c r="H98" s="609"/>
      <c r="I98" s="609"/>
      <c r="J98" s="577">
        <f>'A3-ADIT'!E13</f>
        <v>-86866444</v>
      </c>
      <c r="L98" s="630"/>
      <c r="M98" s="630"/>
      <c r="N98" s="630"/>
      <c r="O98" s="630"/>
      <c r="P98" s="630"/>
    </row>
    <row r="99" spans="1:16">
      <c r="A99" s="600">
        <f>A98+1</f>
        <v>75</v>
      </c>
      <c r="B99" s="600" t="s">
        <v>1345</v>
      </c>
      <c r="C99" s="609"/>
      <c r="D99" s="609"/>
      <c r="E99" s="609"/>
      <c r="F99" s="610" t="s">
        <v>1346</v>
      </c>
      <c r="G99" s="609"/>
      <c r="H99" s="609"/>
      <c r="I99" s="609"/>
      <c r="J99" s="698">
        <f>'Proj Att-H'!G250</f>
        <v>0.23597340795866856</v>
      </c>
      <c r="L99" s="630"/>
      <c r="M99" s="630"/>
      <c r="N99" s="630"/>
      <c r="O99" s="630"/>
      <c r="P99" s="630"/>
    </row>
    <row r="100" spans="1:16">
      <c r="A100" s="600">
        <f t="shared" ref="A100:A106" si="14">+A99+1</f>
        <v>76</v>
      </c>
      <c r="B100" s="600" t="s">
        <v>1347</v>
      </c>
      <c r="C100" s="609"/>
      <c r="D100" s="609"/>
      <c r="E100" s="609"/>
      <c r="F100" s="610" t="s">
        <v>1348</v>
      </c>
      <c r="G100" s="609"/>
      <c r="H100" s="609"/>
      <c r="I100" s="609"/>
      <c r="J100" s="699">
        <f>J98*J99</f>
        <v>-20498170.827930838</v>
      </c>
      <c r="L100" s="630"/>
      <c r="M100" s="630"/>
      <c r="N100" s="630"/>
      <c r="O100" s="630"/>
      <c r="P100" s="630"/>
    </row>
    <row r="101" spans="1:16">
      <c r="A101" s="600">
        <f t="shared" si="14"/>
        <v>77</v>
      </c>
      <c r="B101" s="600" t="s">
        <v>1321</v>
      </c>
      <c r="C101" s="609"/>
      <c r="D101" s="609"/>
      <c r="E101" s="609"/>
      <c r="F101" s="610" t="s">
        <v>1349</v>
      </c>
      <c r="G101" s="609"/>
      <c r="H101" s="609"/>
      <c r="I101" s="609"/>
      <c r="J101" s="577">
        <f>'P1-Trans Plant'!V42</f>
        <v>0</v>
      </c>
      <c r="L101" s="630"/>
      <c r="M101" s="630"/>
      <c r="N101" s="630"/>
      <c r="O101" s="630"/>
      <c r="P101" s="630"/>
    </row>
    <row r="102" spans="1:16">
      <c r="A102" s="600">
        <f t="shared" si="14"/>
        <v>78</v>
      </c>
      <c r="B102" s="600" t="s">
        <v>1350</v>
      </c>
      <c r="F102" s="600" t="s">
        <v>1351</v>
      </c>
      <c r="G102" s="622"/>
      <c r="I102" s="622"/>
      <c r="J102" s="635">
        <f>J100+J101</f>
        <v>-20498170.827930838</v>
      </c>
    </row>
    <row r="103" spans="1:16">
      <c r="A103" s="600">
        <f t="shared" si="14"/>
        <v>79</v>
      </c>
      <c r="B103" s="600" t="s">
        <v>1324</v>
      </c>
      <c r="F103" s="600" t="s">
        <v>1352</v>
      </c>
      <c r="G103" s="622"/>
      <c r="I103" s="622"/>
      <c r="J103" s="613">
        <f>+J95</f>
        <v>0</v>
      </c>
    </row>
    <row r="104" spans="1:16">
      <c r="A104" s="600">
        <f t="shared" si="14"/>
        <v>80</v>
      </c>
      <c r="B104" s="600" t="s">
        <v>1353</v>
      </c>
      <c r="F104" s="600" t="s">
        <v>1354</v>
      </c>
      <c r="G104" s="622"/>
      <c r="I104" s="609"/>
      <c r="J104" s="625">
        <f>J102+J103</f>
        <v>-20498170.827930838</v>
      </c>
      <c r="L104" s="636"/>
    </row>
    <row r="105" spans="1:16">
      <c r="A105" s="600">
        <f t="shared" si="14"/>
        <v>81</v>
      </c>
      <c r="B105" s="600" t="s">
        <v>613</v>
      </c>
      <c r="G105" s="622"/>
      <c r="I105" s="609"/>
      <c r="J105" s="635">
        <v>0</v>
      </c>
    </row>
    <row r="106" spans="1:16">
      <c r="A106" s="600">
        <f t="shared" si="14"/>
        <v>82</v>
      </c>
      <c r="B106" s="600" t="s">
        <v>1330</v>
      </c>
      <c r="F106" s="600" t="s">
        <v>1355</v>
      </c>
      <c r="J106" s="626">
        <f>+J104</f>
        <v>-20498170.827930838</v>
      </c>
    </row>
    <row r="107" spans="1:16">
      <c r="A107" s="1004" t="str">
        <f>A1</f>
        <v>Worksheet P5</v>
      </c>
      <c r="B107" s="1004"/>
      <c r="C107" s="1004"/>
      <c r="D107" s="1004"/>
      <c r="E107" s="1004"/>
      <c r="F107" s="1004"/>
      <c r="G107" s="1004"/>
      <c r="H107" s="1004"/>
      <c r="I107" s="1004"/>
      <c r="J107" s="1004"/>
      <c r="K107" s="1004"/>
    </row>
    <row r="108" spans="1:16">
      <c r="A108" s="1004" t="str">
        <f>A2</f>
        <v>Accumulated Deferred Income Taxes</v>
      </c>
      <c r="B108" s="1004"/>
      <c r="C108" s="1004"/>
      <c r="D108" s="1004"/>
      <c r="E108" s="1004"/>
      <c r="F108" s="1004"/>
      <c r="G108" s="1004"/>
      <c r="H108" s="1004"/>
      <c r="I108" s="1004"/>
      <c r="J108" s="1004"/>
      <c r="K108" s="1004"/>
    </row>
    <row r="109" spans="1:16">
      <c r="A109" s="1004" t="str">
        <f>A3</f>
        <v>Cheyenne Light, Fuel &amp; Power</v>
      </c>
      <c r="B109" s="1004"/>
      <c r="C109" s="1004"/>
      <c r="D109" s="1004"/>
      <c r="E109" s="1004"/>
      <c r="F109" s="1004"/>
      <c r="G109" s="1004"/>
      <c r="H109" s="1004"/>
      <c r="I109" s="1004"/>
      <c r="J109" s="1004"/>
      <c r="K109" s="1004"/>
    </row>
    <row r="110" spans="1:16">
      <c r="J110" s="602" t="s">
        <v>1356</v>
      </c>
    </row>
    <row r="111" spans="1:16">
      <c r="A111" s="637"/>
      <c r="B111" s="637"/>
      <c r="C111" s="637"/>
      <c r="D111" s="637"/>
      <c r="E111" s="637"/>
      <c r="F111" s="637"/>
      <c r="G111" s="637"/>
      <c r="H111" s="637"/>
    </row>
    <row r="112" spans="1:16">
      <c r="A112" s="600">
        <f>A106+1</f>
        <v>83</v>
      </c>
      <c r="B112" s="603" t="s">
        <v>1357</v>
      </c>
      <c r="H112" s="604"/>
      <c r="I112" s="604"/>
      <c r="J112" s="604"/>
    </row>
    <row r="113" spans="1:10">
      <c r="A113" s="600">
        <f>+A112+1</f>
        <v>84</v>
      </c>
      <c r="B113" s="1005" t="s">
        <v>1303</v>
      </c>
      <c r="C113" s="1006"/>
      <c r="D113" s="1006"/>
      <c r="E113" s="1006"/>
      <c r="F113" s="1007"/>
      <c r="G113" s="606"/>
      <c r="H113" s="1005" t="s">
        <v>1304</v>
      </c>
      <c r="I113" s="1006"/>
      <c r="J113" s="1007"/>
    </row>
    <row r="114" spans="1:10">
      <c r="B114" s="607" t="s">
        <v>419</v>
      </c>
      <c r="C114" s="607" t="s">
        <v>421</v>
      </c>
      <c r="D114" s="607" t="s">
        <v>423</v>
      </c>
      <c r="E114" s="607" t="s">
        <v>425</v>
      </c>
      <c r="F114" s="607" t="s">
        <v>427</v>
      </c>
      <c r="G114" s="606"/>
      <c r="H114" s="607" t="s">
        <v>429</v>
      </c>
      <c r="I114" s="607" t="s">
        <v>431</v>
      </c>
      <c r="J114" s="607" t="s">
        <v>433</v>
      </c>
    </row>
    <row r="115" spans="1:10" ht="51">
      <c r="A115" s="600">
        <f>+A113+1</f>
        <v>85</v>
      </c>
      <c r="B115" s="608" t="s">
        <v>744</v>
      </c>
      <c r="C115" s="608" t="s">
        <v>1305</v>
      </c>
      <c r="D115" s="608" t="s">
        <v>1306</v>
      </c>
      <c r="E115" s="608" t="s">
        <v>1307</v>
      </c>
      <c r="F115" s="608" t="s">
        <v>1308</v>
      </c>
      <c r="G115" s="609"/>
      <c r="H115" s="608" t="s">
        <v>1309</v>
      </c>
      <c r="I115" s="608" t="s">
        <v>1310</v>
      </c>
      <c r="J115" s="608" t="s">
        <v>1311</v>
      </c>
    </row>
    <row r="116" spans="1:10">
      <c r="A116" s="600">
        <f t="shared" ref="A116:A130" si="15">+A115+1</f>
        <v>86</v>
      </c>
      <c r="C116" s="609"/>
      <c r="D116" s="609"/>
      <c r="E116" s="609"/>
      <c r="F116" s="609"/>
      <c r="G116" s="609"/>
      <c r="H116" s="609"/>
      <c r="I116" s="609"/>
      <c r="J116" s="609"/>
    </row>
    <row r="117" spans="1:10">
      <c r="A117" s="600">
        <f t="shared" si="15"/>
        <v>87</v>
      </c>
      <c r="B117" s="610" t="s">
        <v>1312</v>
      </c>
      <c r="C117" s="611"/>
      <c r="D117" s="612"/>
      <c r="E117" s="612"/>
      <c r="F117" s="612"/>
      <c r="G117" s="612"/>
      <c r="H117" s="613"/>
      <c r="I117" s="613"/>
      <c r="J117" s="614"/>
    </row>
    <row r="118" spans="1:10">
      <c r="A118" s="600">
        <f t="shared" si="15"/>
        <v>88</v>
      </c>
      <c r="B118" s="611" t="s">
        <v>762</v>
      </c>
      <c r="C118" s="616">
        <v>31</v>
      </c>
      <c r="D118" s="711"/>
      <c r="E118" s="711"/>
      <c r="F118" s="551">
        <f>IF(E118=0,0,D118/E118)</f>
        <v>0</v>
      </c>
      <c r="G118" s="547"/>
      <c r="H118" s="614"/>
      <c r="I118" s="548">
        <f>+H118*F118</f>
        <v>0</v>
      </c>
      <c r="J118" s="548">
        <f t="shared" ref="J118:J129" si="16">+I118+J117</f>
        <v>0</v>
      </c>
    </row>
    <row r="119" spans="1:10">
      <c r="A119" s="600">
        <f t="shared" si="15"/>
        <v>89</v>
      </c>
      <c r="B119" s="611" t="s">
        <v>763</v>
      </c>
      <c r="C119" s="617"/>
      <c r="D119" s="711"/>
      <c r="E119" s="711"/>
      <c r="F119" s="551">
        <f t="shared" ref="F119:F129" si="17">IF(E119=0,0,D119/E119)</f>
        <v>0</v>
      </c>
      <c r="G119" s="547"/>
      <c r="H119" s="614"/>
      <c r="I119" s="548">
        <f t="shared" ref="I119:I129" si="18">+H119*F119</f>
        <v>0</v>
      </c>
      <c r="J119" s="548">
        <f t="shared" si="16"/>
        <v>0</v>
      </c>
    </row>
    <row r="120" spans="1:10">
      <c r="A120" s="600">
        <f t="shared" si="15"/>
        <v>90</v>
      </c>
      <c r="B120" s="611" t="s">
        <v>892</v>
      </c>
      <c r="C120" s="616">
        <v>31</v>
      </c>
      <c r="D120" s="711"/>
      <c r="E120" s="711"/>
      <c r="F120" s="551">
        <f t="shared" si="17"/>
        <v>0</v>
      </c>
      <c r="G120" s="547"/>
      <c r="H120" s="614"/>
      <c r="I120" s="548">
        <f t="shared" si="18"/>
        <v>0</v>
      </c>
      <c r="J120" s="548">
        <f t="shared" si="16"/>
        <v>0</v>
      </c>
    </row>
    <row r="121" spans="1:10">
      <c r="A121" s="600">
        <f t="shared" si="15"/>
        <v>91</v>
      </c>
      <c r="B121" s="611" t="s">
        <v>765</v>
      </c>
      <c r="C121" s="616">
        <v>30</v>
      </c>
      <c r="D121" s="711"/>
      <c r="E121" s="711"/>
      <c r="F121" s="551">
        <f t="shared" si="17"/>
        <v>0</v>
      </c>
      <c r="G121" s="547"/>
      <c r="H121" s="614"/>
      <c r="I121" s="548">
        <f t="shared" si="18"/>
        <v>0</v>
      </c>
      <c r="J121" s="548">
        <f t="shared" si="16"/>
        <v>0</v>
      </c>
    </row>
    <row r="122" spans="1:10">
      <c r="A122" s="600">
        <f t="shared" si="15"/>
        <v>92</v>
      </c>
      <c r="B122" s="611" t="s">
        <v>766</v>
      </c>
      <c r="C122" s="616">
        <v>31</v>
      </c>
      <c r="D122" s="711"/>
      <c r="E122" s="711"/>
      <c r="F122" s="551">
        <f t="shared" si="17"/>
        <v>0</v>
      </c>
      <c r="G122" s="547"/>
      <c r="H122" s="614"/>
      <c r="I122" s="548">
        <f t="shared" si="18"/>
        <v>0</v>
      </c>
      <c r="J122" s="548">
        <f t="shared" si="16"/>
        <v>0</v>
      </c>
    </row>
    <row r="123" spans="1:10">
      <c r="A123" s="600">
        <f t="shared" si="15"/>
        <v>93</v>
      </c>
      <c r="B123" s="611" t="s">
        <v>18</v>
      </c>
      <c r="C123" s="616">
        <v>30</v>
      </c>
      <c r="D123" s="711"/>
      <c r="E123" s="711"/>
      <c r="F123" s="551">
        <f t="shared" si="17"/>
        <v>0</v>
      </c>
      <c r="G123" s="547"/>
      <c r="H123" s="614"/>
      <c r="I123" s="548">
        <f t="shared" si="18"/>
        <v>0</v>
      </c>
      <c r="J123" s="548">
        <f t="shared" si="16"/>
        <v>0</v>
      </c>
    </row>
    <row r="124" spans="1:10">
      <c r="A124" s="600">
        <f t="shared" si="15"/>
        <v>94</v>
      </c>
      <c r="B124" s="611" t="s">
        <v>767</v>
      </c>
      <c r="C124" s="616">
        <v>31</v>
      </c>
      <c r="D124" s="711"/>
      <c r="E124" s="711"/>
      <c r="F124" s="551">
        <f t="shared" si="17"/>
        <v>0</v>
      </c>
      <c r="G124" s="547"/>
      <c r="H124" s="614"/>
      <c r="I124" s="548">
        <f t="shared" si="18"/>
        <v>0</v>
      </c>
      <c r="J124" s="548">
        <f t="shared" si="16"/>
        <v>0</v>
      </c>
    </row>
    <row r="125" spans="1:10">
      <c r="A125" s="600">
        <f t="shared" si="15"/>
        <v>95</v>
      </c>
      <c r="B125" s="611" t="s">
        <v>893</v>
      </c>
      <c r="C125" s="616">
        <v>31</v>
      </c>
      <c r="D125" s="711"/>
      <c r="E125" s="711"/>
      <c r="F125" s="551">
        <f t="shared" si="17"/>
        <v>0</v>
      </c>
      <c r="G125" s="547"/>
      <c r="H125" s="614"/>
      <c r="I125" s="548">
        <f t="shared" si="18"/>
        <v>0</v>
      </c>
      <c r="J125" s="548">
        <f t="shared" si="16"/>
        <v>0</v>
      </c>
    </row>
    <row r="126" spans="1:10">
      <c r="A126" s="600">
        <f t="shared" si="15"/>
        <v>96</v>
      </c>
      <c r="B126" s="611" t="s">
        <v>769</v>
      </c>
      <c r="C126" s="616">
        <v>30</v>
      </c>
      <c r="D126" s="711"/>
      <c r="E126" s="711"/>
      <c r="F126" s="551">
        <f t="shared" si="17"/>
        <v>0</v>
      </c>
      <c r="G126" s="547"/>
      <c r="H126" s="614"/>
      <c r="I126" s="548">
        <f t="shared" si="18"/>
        <v>0</v>
      </c>
      <c r="J126" s="548">
        <f t="shared" si="16"/>
        <v>0</v>
      </c>
    </row>
    <row r="127" spans="1:10">
      <c r="A127" s="600">
        <f t="shared" si="15"/>
        <v>97</v>
      </c>
      <c r="B127" s="611" t="s">
        <v>770</v>
      </c>
      <c r="C127" s="616">
        <v>31</v>
      </c>
      <c r="D127" s="711"/>
      <c r="E127" s="711"/>
      <c r="F127" s="551">
        <f t="shared" si="17"/>
        <v>0</v>
      </c>
      <c r="G127" s="547"/>
      <c r="H127" s="614"/>
      <c r="I127" s="548">
        <f t="shared" si="18"/>
        <v>0</v>
      </c>
      <c r="J127" s="548">
        <f t="shared" si="16"/>
        <v>0</v>
      </c>
    </row>
    <row r="128" spans="1:10">
      <c r="A128" s="600">
        <f t="shared" si="15"/>
        <v>98</v>
      </c>
      <c r="B128" s="611" t="s">
        <v>771</v>
      </c>
      <c r="C128" s="616">
        <v>30</v>
      </c>
      <c r="D128" s="711"/>
      <c r="E128" s="711"/>
      <c r="F128" s="551">
        <f t="shared" si="17"/>
        <v>0</v>
      </c>
      <c r="G128" s="547"/>
      <c r="H128" s="614"/>
      <c r="I128" s="548">
        <f t="shared" si="18"/>
        <v>0</v>
      </c>
      <c r="J128" s="548">
        <f t="shared" si="16"/>
        <v>0</v>
      </c>
    </row>
    <row r="129" spans="1:11">
      <c r="A129" s="600">
        <f t="shared" si="15"/>
        <v>99</v>
      </c>
      <c r="B129" s="611" t="s">
        <v>894</v>
      </c>
      <c r="C129" s="616">
        <v>31</v>
      </c>
      <c r="D129" s="711"/>
      <c r="E129" s="711"/>
      <c r="F129" s="551">
        <f t="shared" si="17"/>
        <v>0</v>
      </c>
      <c r="G129" s="547"/>
      <c r="H129" s="614"/>
      <c r="I129" s="548">
        <f t="shared" si="18"/>
        <v>0</v>
      </c>
      <c r="J129" s="548">
        <f t="shared" si="16"/>
        <v>0</v>
      </c>
    </row>
    <row r="130" spans="1:11">
      <c r="A130" s="600">
        <f t="shared" si="15"/>
        <v>100</v>
      </c>
      <c r="B130" s="618"/>
      <c r="C130" s="618" t="s">
        <v>91</v>
      </c>
      <c r="D130" s="618"/>
      <c r="E130" s="618"/>
      <c r="F130" s="619"/>
      <c r="G130" s="612"/>
      <c r="H130" s="620">
        <f>SUM(H118:H129)</f>
        <v>0</v>
      </c>
      <c r="I130" s="620">
        <f>SUM(I118:I129)</f>
        <v>0</v>
      </c>
      <c r="J130" s="619"/>
    </row>
    <row r="131" spans="1:11">
      <c r="B131" s="621"/>
      <c r="C131" s="621"/>
      <c r="D131" s="621"/>
      <c r="E131" s="621"/>
      <c r="F131" s="622"/>
      <c r="G131" s="622"/>
      <c r="I131" s="623"/>
      <c r="J131" s="622"/>
    </row>
    <row r="132" spans="1:11">
      <c r="A132" s="600">
        <f>+A130+1</f>
        <v>101</v>
      </c>
      <c r="B132" s="600" t="s">
        <v>1350</v>
      </c>
      <c r="F132" s="600" t="s">
        <v>1358</v>
      </c>
      <c r="G132" s="622"/>
      <c r="I132" s="622"/>
      <c r="J132" s="617"/>
    </row>
    <row r="133" spans="1:11">
      <c r="A133" s="600">
        <f>+A132+1</f>
        <v>102</v>
      </c>
      <c r="B133" s="600" t="s">
        <v>1336</v>
      </c>
      <c r="F133" s="600" t="str">
        <f>"(Line "&amp;A132&amp;" less line "&amp;A134&amp;")"</f>
        <v>(Line 101 less line 103)</v>
      </c>
      <c r="G133" s="622"/>
      <c r="I133" s="622"/>
      <c r="J133" s="624">
        <f>+J132-J134</f>
        <v>0</v>
      </c>
    </row>
    <row r="134" spans="1:11">
      <c r="A134" s="600">
        <f t="shared" ref="A134:A140" si="19">+A133+1</f>
        <v>103</v>
      </c>
      <c r="B134" s="600" t="s">
        <v>1337</v>
      </c>
      <c r="F134" s="600" t="str">
        <f>"(Line "&amp;A117&amp;", Col H)"</f>
        <v>(Line 87, Col H)</v>
      </c>
      <c r="G134" s="622"/>
      <c r="I134" s="622"/>
      <c r="J134" s="613">
        <f>+J117</f>
        <v>0</v>
      </c>
    </row>
    <row r="135" spans="1:11">
      <c r="A135" s="600">
        <f t="shared" si="19"/>
        <v>104</v>
      </c>
      <c r="B135" s="600" t="s">
        <v>1338</v>
      </c>
      <c r="F135" s="600" t="s">
        <v>1359</v>
      </c>
      <c r="G135" s="622"/>
      <c r="I135" s="622"/>
      <c r="J135" s="635">
        <f>'A3-ADIT'!E14</f>
        <v>-8545458</v>
      </c>
    </row>
    <row r="136" spans="1:11">
      <c r="A136" s="600">
        <f t="shared" si="19"/>
        <v>105</v>
      </c>
      <c r="B136" s="600" t="str">
        <f>+B133</f>
        <v>Less non Prorated Items</v>
      </c>
      <c r="F136" s="600" t="str">
        <f>"(Line "&amp;A135&amp;" less line "&amp;A137&amp;")"</f>
        <v>(Line 104 less line 106)</v>
      </c>
      <c r="G136" s="622"/>
      <c r="I136" s="622"/>
      <c r="J136" s="624">
        <f>+J135-J137</f>
        <v>-8545458</v>
      </c>
    </row>
    <row r="137" spans="1:11">
      <c r="A137" s="600">
        <f t="shared" si="19"/>
        <v>106</v>
      </c>
      <c r="B137" s="600" t="s">
        <v>1324</v>
      </c>
      <c r="F137" s="600" t="str">
        <f>"(Line "&amp;A129&amp;", Col H)"</f>
        <v>(Line 99, Col H)</v>
      </c>
      <c r="G137" s="622"/>
      <c r="I137" s="622"/>
      <c r="J137" s="613">
        <f>+J129</f>
        <v>0</v>
      </c>
    </row>
    <row r="138" spans="1:11">
      <c r="A138" s="600">
        <f t="shared" si="19"/>
        <v>107</v>
      </c>
      <c r="B138" s="600" t="s">
        <v>593</v>
      </c>
      <c r="F138" s="600" t="s">
        <v>1412</v>
      </c>
      <c r="G138" s="622"/>
      <c r="I138" s="609"/>
      <c r="J138" s="625">
        <f>(J134+J137)/2+(J133+J136)/2</f>
        <v>-4272729</v>
      </c>
    </row>
    <row r="139" spans="1:11">
      <c r="A139" s="600">
        <f t="shared" si="19"/>
        <v>108</v>
      </c>
      <c r="B139" s="600" t="s">
        <v>613</v>
      </c>
      <c r="G139" s="622"/>
      <c r="I139" s="609"/>
      <c r="J139" s="635">
        <v>0</v>
      </c>
    </row>
    <row r="140" spans="1:11">
      <c r="A140" s="600">
        <f t="shared" si="19"/>
        <v>109</v>
      </c>
      <c r="B140" s="600" t="s">
        <v>1330</v>
      </c>
      <c r="F140" s="600" t="str">
        <f>"(Line "&amp;A138&amp;")"</f>
        <v>(Line 107)</v>
      </c>
      <c r="J140" s="626">
        <f>+J138</f>
        <v>-4272729</v>
      </c>
    </row>
    <row r="141" spans="1:11">
      <c r="A141" s="1004" t="str">
        <f>A39</f>
        <v>Worksheet P5</v>
      </c>
      <c r="B141" s="1004"/>
      <c r="C141" s="1004"/>
      <c r="D141" s="1004"/>
      <c r="E141" s="1004"/>
      <c r="F141" s="1004"/>
      <c r="G141" s="1004"/>
      <c r="H141" s="1004"/>
      <c r="I141" s="1004"/>
      <c r="J141" s="1004"/>
      <c r="K141" s="1004"/>
    </row>
    <row r="142" spans="1:11">
      <c r="A142" s="1004" t="str">
        <f>"Excess "&amp;A40</f>
        <v>Excess Accumulated Deferred Income Taxes</v>
      </c>
      <c r="B142" s="1004"/>
      <c r="C142" s="1004"/>
      <c r="D142" s="1004"/>
      <c r="E142" s="1004"/>
      <c r="F142" s="1004"/>
      <c r="G142" s="1004"/>
      <c r="H142" s="1004"/>
      <c r="I142" s="1004"/>
      <c r="J142" s="1004"/>
      <c r="K142" s="1004"/>
    </row>
    <row r="143" spans="1:11">
      <c r="A143" s="1004" t="str">
        <f>A41</f>
        <v>Cheyenne Light, Fuel &amp; Power</v>
      </c>
      <c r="B143" s="1004"/>
      <c r="C143" s="1004"/>
      <c r="D143" s="1004"/>
      <c r="E143" s="1004"/>
      <c r="F143" s="1004"/>
      <c r="G143" s="1004"/>
      <c r="H143" s="1004"/>
      <c r="I143" s="1004"/>
      <c r="J143" s="1004"/>
      <c r="K143" s="1004"/>
    </row>
    <row r="144" spans="1:11">
      <c r="J144" s="602" t="s">
        <v>1360</v>
      </c>
    </row>
    <row r="145" spans="1:10">
      <c r="A145" s="637"/>
      <c r="B145" s="637"/>
      <c r="C145" s="637"/>
      <c r="D145" s="637"/>
      <c r="E145" s="637"/>
      <c r="F145" s="637"/>
      <c r="G145" s="637"/>
      <c r="H145" s="637"/>
    </row>
    <row r="146" spans="1:10">
      <c r="A146" s="600">
        <f>A140+1</f>
        <v>110</v>
      </c>
      <c r="B146" s="603" t="s">
        <v>1361</v>
      </c>
      <c r="H146" s="604"/>
      <c r="I146" s="604"/>
      <c r="J146" s="604"/>
    </row>
    <row r="147" spans="1:10">
      <c r="A147" s="600">
        <f>+A146+1</f>
        <v>111</v>
      </c>
      <c r="B147" s="1005" t="s">
        <v>1303</v>
      </c>
      <c r="C147" s="1006"/>
      <c r="D147" s="1006"/>
      <c r="E147" s="1006"/>
      <c r="F147" s="1007"/>
      <c r="G147" s="606"/>
      <c r="H147" s="1005" t="s">
        <v>1304</v>
      </c>
      <c r="I147" s="1006"/>
      <c r="J147" s="1007"/>
    </row>
    <row r="148" spans="1:10">
      <c r="B148" s="607" t="s">
        <v>419</v>
      </c>
      <c r="C148" s="607" t="s">
        <v>421</v>
      </c>
      <c r="D148" s="607" t="s">
        <v>423</v>
      </c>
      <c r="E148" s="607" t="s">
        <v>425</v>
      </c>
      <c r="F148" s="607" t="s">
        <v>427</v>
      </c>
      <c r="G148" s="606"/>
      <c r="H148" s="607" t="s">
        <v>429</v>
      </c>
      <c r="I148" s="607" t="s">
        <v>431</v>
      </c>
      <c r="J148" s="607" t="s">
        <v>433</v>
      </c>
    </row>
    <row r="149" spans="1:10" ht="51">
      <c r="A149" s="600">
        <f>+A147+1</f>
        <v>112</v>
      </c>
      <c r="B149" s="608" t="s">
        <v>744</v>
      </c>
      <c r="C149" s="608" t="s">
        <v>1305</v>
      </c>
      <c r="D149" s="608" t="s">
        <v>1306</v>
      </c>
      <c r="E149" s="608" t="s">
        <v>1307</v>
      </c>
      <c r="F149" s="608" t="s">
        <v>1308</v>
      </c>
      <c r="G149" s="609"/>
      <c r="H149" s="608" t="s">
        <v>1309</v>
      </c>
      <c r="I149" s="608" t="s">
        <v>1310</v>
      </c>
      <c r="J149" s="608" t="s">
        <v>1311</v>
      </c>
    </row>
    <row r="150" spans="1:10">
      <c r="A150" s="600">
        <f t="shared" ref="A150:A164" si="20">+A149+1</f>
        <v>113</v>
      </c>
      <c r="C150" s="609"/>
      <c r="D150" s="609"/>
      <c r="E150" s="609"/>
      <c r="F150" s="609"/>
      <c r="G150" s="609"/>
      <c r="H150" s="609"/>
      <c r="I150" s="609"/>
      <c r="J150" s="609"/>
    </row>
    <row r="151" spans="1:10">
      <c r="A151" s="600">
        <f t="shared" si="20"/>
        <v>114</v>
      </c>
      <c r="B151" s="610" t="s">
        <v>1312</v>
      </c>
      <c r="C151" s="611"/>
      <c r="D151" s="612"/>
      <c r="E151" s="612"/>
      <c r="F151" s="612"/>
      <c r="G151" s="612"/>
      <c r="H151" s="613"/>
      <c r="I151" s="613"/>
      <c r="J151" s="614"/>
    </row>
    <row r="152" spans="1:10">
      <c r="A152" s="600">
        <f t="shared" si="20"/>
        <v>115</v>
      </c>
      <c r="B152" s="611" t="s">
        <v>762</v>
      </c>
      <c r="C152" s="616">
        <v>31</v>
      </c>
      <c r="D152" s="711"/>
      <c r="E152" s="711"/>
      <c r="F152" s="551">
        <f>IF(E152=0,0,D152/E152)</f>
        <v>0</v>
      </c>
      <c r="G152" s="547"/>
      <c r="H152" s="638">
        <f>'A3.1-EDIT-DDIT'!H40/12</f>
        <v>122628.63666666666</v>
      </c>
      <c r="I152" s="548">
        <f>+H152*F152</f>
        <v>0</v>
      </c>
      <c r="J152" s="578">
        <f t="shared" ref="J152:J163" si="21">+I152+J151</f>
        <v>0</v>
      </c>
    </row>
    <row r="153" spans="1:10">
      <c r="A153" s="600">
        <f t="shared" si="20"/>
        <v>116</v>
      </c>
      <c r="B153" s="611" t="s">
        <v>763</v>
      </c>
      <c r="C153" s="617"/>
      <c r="D153" s="711"/>
      <c r="E153" s="711"/>
      <c r="F153" s="551">
        <f t="shared" ref="F153:F163" si="22">IF(E153=0,0,D153/E153)</f>
        <v>0</v>
      </c>
      <c r="G153" s="547"/>
      <c r="H153" s="638">
        <f>H152</f>
        <v>122628.63666666666</v>
      </c>
      <c r="I153" s="548">
        <f t="shared" ref="I153:I163" si="23">+H153*F153</f>
        <v>0</v>
      </c>
      <c r="J153" s="578">
        <f t="shared" si="21"/>
        <v>0</v>
      </c>
    </row>
    <row r="154" spans="1:10">
      <c r="A154" s="600">
        <f t="shared" si="20"/>
        <v>117</v>
      </c>
      <c r="B154" s="611" t="s">
        <v>892</v>
      </c>
      <c r="C154" s="616">
        <v>31</v>
      </c>
      <c r="D154" s="711"/>
      <c r="E154" s="711"/>
      <c r="F154" s="551">
        <f t="shared" si="22"/>
        <v>0</v>
      </c>
      <c r="G154" s="547"/>
      <c r="H154" s="638">
        <f t="shared" ref="H154:H163" si="24">H153</f>
        <v>122628.63666666666</v>
      </c>
      <c r="I154" s="548">
        <f t="shared" si="23"/>
        <v>0</v>
      </c>
      <c r="J154" s="578">
        <f t="shared" si="21"/>
        <v>0</v>
      </c>
    </row>
    <row r="155" spans="1:10">
      <c r="A155" s="600">
        <f t="shared" si="20"/>
        <v>118</v>
      </c>
      <c r="B155" s="611" t="s">
        <v>765</v>
      </c>
      <c r="C155" s="616">
        <v>30</v>
      </c>
      <c r="D155" s="711"/>
      <c r="E155" s="711"/>
      <c r="F155" s="551">
        <f t="shared" si="22"/>
        <v>0</v>
      </c>
      <c r="G155" s="547"/>
      <c r="H155" s="638">
        <f t="shared" si="24"/>
        <v>122628.63666666666</v>
      </c>
      <c r="I155" s="548">
        <f t="shared" si="23"/>
        <v>0</v>
      </c>
      <c r="J155" s="578">
        <f t="shared" si="21"/>
        <v>0</v>
      </c>
    </row>
    <row r="156" spans="1:10">
      <c r="A156" s="600">
        <f t="shared" si="20"/>
        <v>119</v>
      </c>
      <c r="B156" s="611" t="s">
        <v>766</v>
      </c>
      <c r="C156" s="616">
        <v>31</v>
      </c>
      <c r="D156" s="711"/>
      <c r="E156" s="711"/>
      <c r="F156" s="551">
        <f t="shared" si="22"/>
        <v>0</v>
      </c>
      <c r="G156" s="547"/>
      <c r="H156" s="638">
        <f t="shared" si="24"/>
        <v>122628.63666666666</v>
      </c>
      <c r="I156" s="548">
        <f t="shared" si="23"/>
        <v>0</v>
      </c>
      <c r="J156" s="578">
        <f t="shared" si="21"/>
        <v>0</v>
      </c>
    </row>
    <row r="157" spans="1:10">
      <c r="A157" s="600">
        <f t="shared" si="20"/>
        <v>120</v>
      </c>
      <c r="B157" s="611" t="s">
        <v>18</v>
      </c>
      <c r="C157" s="616">
        <v>30</v>
      </c>
      <c r="D157" s="711"/>
      <c r="E157" s="711"/>
      <c r="F157" s="551">
        <f t="shared" si="22"/>
        <v>0</v>
      </c>
      <c r="G157" s="547"/>
      <c r="H157" s="638">
        <f t="shared" si="24"/>
        <v>122628.63666666666</v>
      </c>
      <c r="I157" s="548">
        <f t="shared" si="23"/>
        <v>0</v>
      </c>
      <c r="J157" s="578">
        <f t="shared" si="21"/>
        <v>0</v>
      </c>
    </row>
    <row r="158" spans="1:10">
      <c r="A158" s="600">
        <f t="shared" si="20"/>
        <v>121</v>
      </c>
      <c r="B158" s="611" t="s">
        <v>767</v>
      </c>
      <c r="C158" s="616">
        <v>31</v>
      </c>
      <c r="D158" s="711"/>
      <c r="E158" s="711"/>
      <c r="F158" s="551">
        <f t="shared" si="22"/>
        <v>0</v>
      </c>
      <c r="G158" s="547"/>
      <c r="H158" s="638">
        <f t="shared" si="24"/>
        <v>122628.63666666666</v>
      </c>
      <c r="I158" s="548">
        <f t="shared" si="23"/>
        <v>0</v>
      </c>
      <c r="J158" s="578">
        <f t="shared" si="21"/>
        <v>0</v>
      </c>
    </row>
    <row r="159" spans="1:10">
      <c r="A159" s="600">
        <f t="shared" si="20"/>
        <v>122</v>
      </c>
      <c r="B159" s="611" t="s">
        <v>893</v>
      </c>
      <c r="C159" s="616">
        <v>31</v>
      </c>
      <c r="D159" s="711"/>
      <c r="E159" s="711"/>
      <c r="F159" s="551">
        <f t="shared" si="22"/>
        <v>0</v>
      </c>
      <c r="G159" s="547"/>
      <c r="H159" s="638">
        <f t="shared" si="24"/>
        <v>122628.63666666666</v>
      </c>
      <c r="I159" s="548">
        <f t="shared" si="23"/>
        <v>0</v>
      </c>
      <c r="J159" s="578">
        <f t="shared" si="21"/>
        <v>0</v>
      </c>
    </row>
    <row r="160" spans="1:10">
      <c r="A160" s="600">
        <f t="shared" si="20"/>
        <v>123</v>
      </c>
      <c r="B160" s="611" t="s">
        <v>769</v>
      </c>
      <c r="C160" s="616">
        <v>30</v>
      </c>
      <c r="D160" s="711"/>
      <c r="E160" s="711"/>
      <c r="F160" s="551">
        <f t="shared" si="22"/>
        <v>0</v>
      </c>
      <c r="G160" s="547"/>
      <c r="H160" s="638">
        <f t="shared" si="24"/>
        <v>122628.63666666666</v>
      </c>
      <c r="I160" s="548">
        <f t="shared" si="23"/>
        <v>0</v>
      </c>
      <c r="J160" s="578">
        <f t="shared" si="21"/>
        <v>0</v>
      </c>
    </row>
    <row r="161" spans="1:14">
      <c r="A161" s="600">
        <f t="shared" si="20"/>
        <v>124</v>
      </c>
      <c r="B161" s="611" t="s">
        <v>770</v>
      </c>
      <c r="C161" s="616">
        <v>31</v>
      </c>
      <c r="D161" s="711"/>
      <c r="E161" s="711"/>
      <c r="F161" s="551">
        <f t="shared" si="22"/>
        <v>0</v>
      </c>
      <c r="G161" s="547"/>
      <c r="H161" s="638">
        <f t="shared" si="24"/>
        <v>122628.63666666666</v>
      </c>
      <c r="I161" s="548">
        <f t="shared" si="23"/>
        <v>0</v>
      </c>
      <c r="J161" s="578">
        <f t="shared" si="21"/>
        <v>0</v>
      </c>
    </row>
    <row r="162" spans="1:14">
      <c r="A162" s="600">
        <f t="shared" si="20"/>
        <v>125</v>
      </c>
      <c r="B162" s="611" t="s">
        <v>771</v>
      </c>
      <c r="C162" s="616">
        <v>30</v>
      </c>
      <c r="D162" s="711"/>
      <c r="E162" s="711"/>
      <c r="F162" s="551">
        <f t="shared" si="22"/>
        <v>0</v>
      </c>
      <c r="G162" s="547"/>
      <c r="H162" s="638">
        <f t="shared" si="24"/>
        <v>122628.63666666666</v>
      </c>
      <c r="I162" s="548">
        <f t="shared" si="23"/>
        <v>0</v>
      </c>
      <c r="J162" s="578">
        <f t="shared" si="21"/>
        <v>0</v>
      </c>
    </row>
    <row r="163" spans="1:14">
      <c r="A163" s="600">
        <f t="shared" si="20"/>
        <v>126</v>
      </c>
      <c r="B163" s="611" t="s">
        <v>894</v>
      </c>
      <c r="C163" s="616">
        <v>31</v>
      </c>
      <c r="D163" s="711"/>
      <c r="E163" s="711"/>
      <c r="F163" s="551">
        <f t="shared" si="22"/>
        <v>0</v>
      </c>
      <c r="G163" s="547"/>
      <c r="H163" s="638">
        <f t="shared" si="24"/>
        <v>122628.63666666666</v>
      </c>
      <c r="I163" s="548">
        <f t="shared" si="23"/>
        <v>0</v>
      </c>
      <c r="J163" s="578">
        <f t="shared" si="21"/>
        <v>0</v>
      </c>
      <c r="L163" s="634"/>
    </row>
    <row r="164" spans="1:14">
      <c r="A164" s="600">
        <f t="shared" si="20"/>
        <v>127</v>
      </c>
      <c r="B164" s="618"/>
      <c r="C164" s="618" t="s">
        <v>91</v>
      </c>
      <c r="D164" s="618"/>
      <c r="E164" s="618"/>
      <c r="F164" s="619"/>
      <c r="G164" s="612"/>
      <c r="H164" s="620">
        <f>SUM(H152:H163)</f>
        <v>1471543.6400000004</v>
      </c>
      <c r="I164" s="620">
        <f>SUM(I152:I163)</f>
        <v>0</v>
      </c>
      <c r="J164" s="619"/>
    </row>
    <row r="165" spans="1:14">
      <c r="B165" s="621"/>
      <c r="C165" s="621"/>
      <c r="D165" s="621"/>
      <c r="E165" s="621"/>
      <c r="F165" s="622"/>
      <c r="G165" s="622"/>
      <c r="I165" s="641"/>
      <c r="J165" s="622"/>
    </row>
    <row r="166" spans="1:14">
      <c r="A166" s="600">
        <f>+A164+1</f>
        <v>128</v>
      </c>
      <c r="B166" s="600" t="s">
        <v>1362</v>
      </c>
      <c r="F166" s="600" t="s">
        <v>1363</v>
      </c>
      <c r="G166" s="622"/>
      <c r="I166" s="622"/>
      <c r="J166" s="874">
        <f>'A3.1-EDIT-DDIT'!J40</f>
        <v>-32290933.060000002</v>
      </c>
      <c r="M166" s="634"/>
      <c r="N166" s="636"/>
    </row>
    <row r="167" spans="1:14">
      <c r="A167" s="600">
        <f t="shared" ref="A167:A173" si="25">+A166+1</f>
        <v>129</v>
      </c>
      <c r="B167" s="600" t="s">
        <v>1321</v>
      </c>
      <c r="F167" s="600" t="s">
        <v>1364</v>
      </c>
      <c r="G167" s="622"/>
      <c r="I167" s="622"/>
      <c r="J167" s="874">
        <f>'A3.1-EDIT-DDIT'!H40</f>
        <v>1471543.64</v>
      </c>
    </row>
    <row r="168" spans="1:14">
      <c r="A168" s="600">
        <f t="shared" si="25"/>
        <v>130</v>
      </c>
      <c r="B168" s="600" t="s">
        <v>1365</v>
      </c>
      <c r="F168" s="600" t="s">
        <v>1366</v>
      </c>
      <c r="G168" s="622"/>
      <c r="I168" s="622"/>
      <c r="J168" s="635">
        <f>J166+J167</f>
        <v>-30819389.420000002</v>
      </c>
    </row>
    <row r="169" spans="1:14">
      <c r="A169" s="600">
        <f t="shared" si="25"/>
        <v>131</v>
      </c>
      <c r="B169" s="600" t="s">
        <v>1367</v>
      </c>
      <c r="F169" s="610" t="s">
        <v>1368</v>
      </c>
      <c r="G169" s="622"/>
      <c r="I169" s="622"/>
      <c r="J169" s="624">
        <f>J168</f>
        <v>-30819389.420000002</v>
      </c>
      <c r="L169" s="634"/>
    </row>
    <row r="170" spans="1:14">
      <c r="A170" s="600">
        <f t="shared" si="25"/>
        <v>132</v>
      </c>
      <c r="B170" s="600" t="s">
        <v>1324</v>
      </c>
      <c r="F170" s="600" t="s">
        <v>1369</v>
      </c>
      <c r="G170" s="622"/>
      <c r="I170" s="609"/>
      <c r="J170" s="625">
        <f>J163</f>
        <v>0</v>
      </c>
    </row>
    <row r="171" spans="1:14">
      <c r="A171" s="600">
        <f t="shared" si="25"/>
        <v>133</v>
      </c>
      <c r="B171" s="600" t="s">
        <v>1353</v>
      </c>
      <c r="F171" s="600" t="s">
        <v>1370</v>
      </c>
      <c r="G171" s="622"/>
      <c r="I171" s="609"/>
      <c r="J171" s="635">
        <f>J169+J170</f>
        <v>-30819389.420000002</v>
      </c>
    </row>
    <row r="172" spans="1:14">
      <c r="A172" s="600">
        <f t="shared" si="25"/>
        <v>134</v>
      </c>
      <c r="B172" s="600" t="s">
        <v>613</v>
      </c>
      <c r="G172" s="622"/>
      <c r="I172" s="609"/>
      <c r="J172" s="635">
        <v>0</v>
      </c>
    </row>
    <row r="173" spans="1:14">
      <c r="A173" s="600">
        <f t="shared" si="25"/>
        <v>135</v>
      </c>
      <c r="B173" s="600" t="s">
        <v>1326</v>
      </c>
      <c r="F173" s="600" t="s">
        <v>1371</v>
      </c>
      <c r="J173" s="636">
        <f>J171</f>
        <v>-30819389.420000002</v>
      </c>
    </row>
    <row r="174" spans="1:14">
      <c r="A174" s="600">
        <v>136</v>
      </c>
      <c r="B174" s="600" t="s">
        <v>1328</v>
      </c>
      <c r="F174" s="600" t="s">
        <v>1372</v>
      </c>
      <c r="J174" s="873">
        <f>'A3.1-EDIT-DDIT'!P44</f>
        <v>7.9579999999999984E-2</v>
      </c>
    </row>
    <row r="175" spans="1:14">
      <c r="A175" s="600">
        <v>137</v>
      </c>
      <c r="B175" s="603" t="s">
        <v>1330</v>
      </c>
      <c r="F175" s="600" t="s">
        <v>1373</v>
      </c>
      <c r="J175" s="626">
        <f>J173*J174</f>
        <v>-2452607.0100435996</v>
      </c>
      <c r="L175" s="634"/>
      <c r="M175" s="636"/>
      <c r="N175" s="634"/>
    </row>
    <row r="176" spans="1:14">
      <c r="J176" s="639"/>
      <c r="M176" s="634"/>
      <c r="N176" s="634"/>
    </row>
    <row r="177" spans="10:12">
      <c r="J177" s="640"/>
      <c r="L177" s="640"/>
    </row>
  </sheetData>
  <mergeCells count="25">
    <mergeCell ref="B147:F147"/>
    <mergeCell ref="H147:J147"/>
    <mergeCell ref="A75:K75"/>
    <mergeCell ref="B79:F79"/>
    <mergeCell ref="H79:J79"/>
    <mergeCell ref="A107:K107"/>
    <mergeCell ref="A108:K108"/>
    <mergeCell ref="A109:K109"/>
    <mergeCell ref="B113:F113"/>
    <mergeCell ref="H113:J113"/>
    <mergeCell ref="A141:K141"/>
    <mergeCell ref="A142:K142"/>
    <mergeCell ref="A143:K143"/>
    <mergeCell ref="A74:K74"/>
    <mergeCell ref="A1:K1"/>
    <mergeCell ref="A2:K2"/>
    <mergeCell ref="A3:K3"/>
    <mergeCell ref="B7:F7"/>
    <mergeCell ref="H7:J7"/>
    <mergeCell ref="A39:K39"/>
    <mergeCell ref="A40:K40"/>
    <mergeCell ref="A41:K41"/>
    <mergeCell ref="B45:F45"/>
    <mergeCell ref="H45:J45"/>
    <mergeCell ref="A73:K73"/>
  </mergeCells>
  <printOptions horizontalCentered="1"/>
  <pageMargins left="0.45" right="0.45" top="0.5" bottom="0.5" header="0.3" footer="0.3"/>
  <pageSetup scale="97" fitToHeight="0" orientation="portrait" r:id="rId1"/>
  <rowBreaks count="4" manualBreakCount="4">
    <brk id="38" max="9" man="1"/>
    <brk id="72" max="9" man="1"/>
    <brk id="106" max="9" man="1"/>
    <brk id="140" max="9" man="1"/>
  </rowBreaks>
  <ignoredErrors>
    <ignoredError sqref="J32 J103"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FFFF99"/>
  </sheetPr>
  <dimension ref="A1:M161"/>
  <sheetViews>
    <sheetView workbookViewId="0">
      <selection activeCell="K30" sqref="K30"/>
    </sheetView>
  </sheetViews>
  <sheetFormatPr defaultColWidth="8.77734375" defaultRowHeight="12.75"/>
  <cols>
    <col min="1" max="1" width="5.77734375" style="365" bestFit="1" customWidth="1"/>
    <col min="2" max="2" width="50.21875" style="365" customWidth="1"/>
    <col min="3" max="3" width="19.5546875" style="367" bestFit="1" customWidth="1"/>
    <col min="4" max="4" width="12.109375" style="370" customWidth="1"/>
    <col min="5" max="5" width="7.5546875" style="365" bestFit="1" customWidth="1"/>
    <col min="6" max="16384" width="8.77734375" style="365"/>
  </cols>
  <sheetData>
    <row r="1" spans="1:13">
      <c r="A1" s="949" t="s">
        <v>76</v>
      </c>
      <c r="B1" s="949"/>
      <c r="C1" s="949"/>
      <c r="D1" s="949"/>
      <c r="E1" s="949"/>
      <c r="F1" s="215"/>
      <c r="G1" s="943"/>
      <c r="H1" s="943"/>
      <c r="I1" s="943"/>
      <c r="J1" s="943"/>
      <c r="K1" s="943"/>
      <c r="L1" s="943"/>
      <c r="M1" s="943"/>
    </row>
    <row r="2" spans="1:13">
      <c r="A2" s="949" t="s">
        <v>77</v>
      </c>
      <c r="B2" s="949"/>
      <c r="C2" s="949"/>
      <c r="D2" s="949"/>
      <c r="E2" s="949"/>
      <c r="F2" s="215"/>
      <c r="G2" s="215"/>
    </row>
    <row r="3" spans="1:13">
      <c r="A3" s="950" t="str">
        <f>'Act Att-H'!C7</f>
        <v>Cheyenne Light, Fuel &amp; Power</v>
      </c>
      <c r="B3" s="950"/>
      <c r="C3" s="950"/>
      <c r="D3" s="950"/>
      <c r="E3" s="950"/>
      <c r="F3" s="227"/>
      <c r="G3" s="227"/>
    </row>
    <row r="4" spans="1:13" ht="12.75" customHeight="1">
      <c r="A4" s="366"/>
      <c r="D4" s="368" t="s">
        <v>78</v>
      </c>
      <c r="E4" s="368"/>
    </row>
    <row r="6" spans="1:13">
      <c r="A6" s="429" t="s">
        <v>622</v>
      </c>
      <c r="B6" s="429" t="s">
        <v>13</v>
      </c>
      <c r="C6" s="375" t="s">
        <v>1134</v>
      </c>
      <c r="D6" s="430" t="s">
        <v>86</v>
      </c>
    </row>
    <row r="7" spans="1:13">
      <c r="C7" s="437"/>
    </row>
    <row r="8" spans="1:13">
      <c r="A8" s="367">
        <v>1</v>
      </c>
      <c r="B8" s="369" t="s">
        <v>1374</v>
      </c>
      <c r="C8" s="437"/>
    </row>
    <row r="9" spans="1:13">
      <c r="A9" s="367">
        <f>A8+1</f>
        <v>2</v>
      </c>
      <c r="B9" s="371" t="s">
        <v>1375</v>
      </c>
      <c r="C9" s="437" t="s">
        <v>1376</v>
      </c>
      <c r="D9" s="712"/>
      <c r="G9" s="416"/>
    </row>
    <row r="10" spans="1:13">
      <c r="A10" s="367">
        <f t="shared" ref="A10:A41" si="0">A9+1</f>
        <v>3</v>
      </c>
      <c r="B10" s="373" t="s">
        <v>1377</v>
      </c>
      <c r="C10" s="437" t="s">
        <v>1378</v>
      </c>
      <c r="D10" s="712"/>
      <c r="G10" s="416"/>
    </row>
    <row r="11" spans="1:13">
      <c r="A11" s="367">
        <f t="shared" si="0"/>
        <v>4</v>
      </c>
      <c r="B11" s="374" t="s">
        <v>1379</v>
      </c>
      <c r="C11" s="437" t="s">
        <v>1380</v>
      </c>
      <c r="D11" s="712"/>
      <c r="G11" s="416"/>
    </row>
    <row r="12" spans="1:13">
      <c r="A12" s="367">
        <f t="shared" si="0"/>
        <v>5</v>
      </c>
      <c r="B12" s="374" t="s">
        <v>1381</v>
      </c>
      <c r="C12" s="437" t="s">
        <v>1382</v>
      </c>
      <c r="D12" s="712"/>
      <c r="G12" s="416"/>
    </row>
    <row r="13" spans="1:13">
      <c r="A13" s="367">
        <f t="shared" si="0"/>
        <v>6</v>
      </c>
      <c r="B13" s="374" t="s">
        <v>1383</v>
      </c>
      <c r="C13" s="437" t="s">
        <v>1384</v>
      </c>
      <c r="D13" s="712"/>
      <c r="G13" s="416"/>
    </row>
    <row r="14" spans="1:13">
      <c r="A14" s="367">
        <f t="shared" si="0"/>
        <v>7</v>
      </c>
      <c r="B14" s="374" t="s">
        <v>1385</v>
      </c>
      <c r="C14" s="437" t="s">
        <v>1386</v>
      </c>
      <c r="D14" s="712"/>
      <c r="G14" s="416"/>
    </row>
    <row r="15" spans="1:13">
      <c r="A15" s="367">
        <f t="shared" si="0"/>
        <v>8</v>
      </c>
      <c r="B15" s="433" t="s">
        <v>1387</v>
      </c>
      <c r="C15" s="714" t="s">
        <v>1388</v>
      </c>
      <c r="D15" s="432">
        <f>D9-D10-D11-D12-D13-D14</f>
        <v>0</v>
      </c>
    </row>
    <row r="16" spans="1:13">
      <c r="A16" s="367">
        <f t="shared" si="0"/>
        <v>9</v>
      </c>
      <c r="B16" s="371"/>
      <c r="D16" s="372"/>
    </row>
    <row r="17" spans="1:11">
      <c r="A17" s="367">
        <f t="shared" si="0"/>
        <v>10</v>
      </c>
      <c r="B17" s="371" t="s">
        <v>1389</v>
      </c>
      <c r="C17" s="437" t="s">
        <v>1390</v>
      </c>
      <c r="D17" s="173">
        <f>'A1-RevCred'!H48</f>
        <v>0</v>
      </c>
    </row>
    <row r="18" spans="1:11">
      <c r="A18" s="367">
        <f t="shared" si="0"/>
        <v>11</v>
      </c>
      <c r="B18" s="371"/>
      <c r="D18" s="372"/>
    </row>
    <row r="19" spans="1:11">
      <c r="A19" s="367">
        <f t="shared" si="0"/>
        <v>12</v>
      </c>
      <c r="B19" s="371" t="s">
        <v>1391</v>
      </c>
      <c r="C19" s="437" t="s">
        <v>1392</v>
      </c>
      <c r="D19" s="439">
        <f>D15-D17</f>
        <v>0</v>
      </c>
    </row>
    <row r="20" spans="1:11">
      <c r="A20" s="367">
        <f t="shared" si="0"/>
        <v>13</v>
      </c>
      <c r="B20" s="371"/>
      <c r="C20" s="437"/>
      <c r="D20" s="438"/>
    </row>
    <row r="21" spans="1:11">
      <c r="A21" s="367">
        <f t="shared" si="0"/>
        <v>14</v>
      </c>
      <c r="B21" s="369" t="s">
        <v>1393</v>
      </c>
      <c r="D21" s="372"/>
    </row>
    <row r="22" spans="1:11">
      <c r="A22" s="367">
        <f t="shared" si="0"/>
        <v>15</v>
      </c>
      <c r="B22" s="238" t="s">
        <v>1394</v>
      </c>
      <c r="C22" s="437" t="s">
        <v>1395</v>
      </c>
      <c r="D22" s="435">
        <f>D15</f>
        <v>0</v>
      </c>
    </row>
    <row r="23" spans="1:11">
      <c r="A23" s="367">
        <f t="shared" si="0"/>
        <v>16</v>
      </c>
      <c r="B23" s="238" t="s">
        <v>1396</v>
      </c>
      <c r="C23" s="437" t="s">
        <v>1397</v>
      </c>
      <c r="D23" s="431"/>
      <c r="G23" s="416"/>
    </row>
    <row r="24" spans="1:11">
      <c r="A24" s="367">
        <f t="shared" si="0"/>
        <v>17</v>
      </c>
      <c r="B24" s="238" t="s">
        <v>1398</v>
      </c>
      <c r="C24" s="437" t="s">
        <v>1399</v>
      </c>
      <c r="D24" s="436">
        <f>D22-D23</f>
        <v>0</v>
      </c>
    </row>
    <row r="25" spans="1:11" s="238" customFormat="1">
      <c r="A25" s="367">
        <f t="shared" si="0"/>
        <v>18</v>
      </c>
      <c r="B25" s="238" t="s">
        <v>1400</v>
      </c>
      <c r="C25" s="242" t="s">
        <v>1401</v>
      </c>
      <c r="D25" s="265">
        <f>'TU-TrueUp'!H53</f>
        <v>0</v>
      </c>
      <c r="I25" s="245"/>
      <c r="J25" s="245"/>
      <c r="K25" s="245"/>
    </row>
    <row r="26" spans="1:11" s="238" customFormat="1">
      <c r="A26" s="367">
        <f t="shared" si="0"/>
        <v>19</v>
      </c>
      <c r="B26" s="238" t="s">
        <v>1402</v>
      </c>
      <c r="C26" s="238" t="s">
        <v>1403</v>
      </c>
      <c r="D26" s="267">
        <f>D25*D24*24/12</f>
        <v>0</v>
      </c>
      <c r="I26" s="245"/>
      <c r="J26" s="245"/>
      <c r="K26" s="245"/>
    </row>
    <row r="27" spans="1:11" s="238" customFormat="1">
      <c r="A27" s="367">
        <f t="shared" si="0"/>
        <v>20</v>
      </c>
      <c r="B27" s="242" t="s">
        <v>1404</v>
      </c>
      <c r="C27" s="242" t="s">
        <v>1405</v>
      </c>
      <c r="D27" s="440">
        <f>(D24+D26)</f>
        <v>0</v>
      </c>
      <c r="E27" s="239"/>
      <c r="I27" s="245"/>
      <c r="J27" s="245"/>
      <c r="K27" s="245"/>
    </row>
    <row r="28" spans="1:11" s="238" customFormat="1">
      <c r="A28" s="367">
        <f t="shared" si="0"/>
        <v>21</v>
      </c>
      <c r="B28" s="241"/>
      <c r="C28" s="242"/>
      <c r="E28" s="239"/>
      <c r="F28" s="434"/>
      <c r="I28" s="245"/>
      <c r="J28" s="245"/>
      <c r="K28" s="245"/>
    </row>
    <row r="29" spans="1:11" s="238" customFormat="1" ht="13.5" thickBot="1">
      <c r="A29" s="367">
        <f t="shared" si="0"/>
        <v>22</v>
      </c>
      <c r="B29" s="241" t="s">
        <v>1406</v>
      </c>
      <c r="C29" s="242" t="s">
        <v>1407</v>
      </c>
      <c r="D29" s="444">
        <f>D19+D27</f>
        <v>0</v>
      </c>
      <c r="E29" s="239"/>
      <c r="F29" s="434"/>
      <c r="I29" s="245"/>
      <c r="J29" s="245"/>
      <c r="K29" s="245"/>
    </row>
    <row r="30" spans="1:11" s="238" customFormat="1" ht="13.5" thickTop="1">
      <c r="A30" s="367">
        <f t="shared" si="0"/>
        <v>23</v>
      </c>
      <c r="B30" s="241"/>
      <c r="C30" s="242"/>
      <c r="E30" s="239"/>
      <c r="F30" s="434"/>
      <c r="I30" s="245"/>
      <c r="J30" s="245"/>
      <c r="K30" s="245"/>
    </row>
    <row r="31" spans="1:11">
      <c r="A31" s="367">
        <f t="shared" si="0"/>
        <v>24</v>
      </c>
      <c r="B31" s="369" t="s">
        <v>545</v>
      </c>
      <c r="C31" s="70"/>
      <c r="D31" s="106"/>
      <c r="E31" s="70"/>
      <c r="F31" s="70"/>
      <c r="G31" s="70"/>
      <c r="H31" s="70"/>
      <c r="I31" s="106"/>
      <c r="J31" s="70"/>
      <c r="K31" s="70"/>
    </row>
    <row r="32" spans="1:11">
      <c r="A32" s="367">
        <f t="shared" si="0"/>
        <v>25</v>
      </c>
      <c r="B32" s="70" t="s">
        <v>103</v>
      </c>
      <c r="C32" s="102" t="s">
        <v>1408</v>
      </c>
      <c r="D32" s="173">
        <f>'P3-Divisor'!G24</f>
        <v>0</v>
      </c>
      <c r="E32" s="70"/>
      <c r="F32" s="70"/>
      <c r="G32" s="70"/>
      <c r="H32" s="70"/>
      <c r="J32" s="70"/>
      <c r="K32" s="70"/>
    </row>
    <row r="33" spans="1:11">
      <c r="A33" s="367">
        <f t="shared" si="0"/>
        <v>26</v>
      </c>
      <c r="B33" s="70"/>
      <c r="C33" s="106"/>
      <c r="D33" s="106"/>
      <c r="E33" s="106"/>
      <c r="F33" s="106"/>
      <c r="G33" s="106"/>
      <c r="H33" s="106"/>
      <c r="I33" s="106"/>
      <c r="J33" s="70"/>
      <c r="K33" s="70"/>
    </row>
    <row r="34" spans="1:11">
      <c r="A34" s="367">
        <f t="shared" si="0"/>
        <v>27</v>
      </c>
      <c r="B34" s="369" t="s">
        <v>834</v>
      </c>
      <c r="C34" s="106"/>
      <c r="D34" s="106"/>
      <c r="E34" s="106"/>
      <c r="F34" s="106"/>
      <c r="G34" s="106"/>
      <c r="H34" s="106"/>
      <c r="I34" s="106"/>
      <c r="J34" s="106"/>
      <c r="K34" s="70"/>
    </row>
    <row r="35" spans="1:11">
      <c r="A35" s="367">
        <f t="shared" si="0"/>
        <v>28</v>
      </c>
      <c r="B35" s="70" t="s">
        <v>106</v>
      </c>
      <c r="C35" s="70"/>
      <c r="D35" s="572">
        <f>IFERROR(ROUND(D29/D32,2),0)</f>
        <v>0</v>
      </c>
      <c r="E35" s="70" t="s">
        <v>107</v>
      </c>
      <c r="F35" s="106"/>
      <c r="G35" s="106"/>
      <c r="H35" s="106"/>
      <c r="I35" s="106"/>
      <c r="J35" s="106"/>
      <c r="K35" s="70"/>
    </row>
    <row r="36" spans="1:11">
      <c r="A36" s="367">
        <f t="shared" si="0"/>
        <v>29</v>
      </c>
      <c r="B36" s="70" t="s">
        <v>108</v>
      </c>
      <c r="C36" s="70" t="s">
        <v>109</v>
      </c>
      <c r="D36" s="572">
        <f>ROUND(D35/12,2)</f>
        <v>0</v>
      </c>
      <c r="E36" s="70" t="s">
        <v>110</v>
      </c>
      <c r="F36" s="106"/>
      <c r="G36" s="106"/>
      <c r="H36" s="106"/>
      <c r="I36" s="106"/>
      <c r="J36" s="106"/>
      <c r="K36" s="70"/>
    </row>
    <row r="37" spans="1:11">
      <c r="A37" s="367">
        <f t="shared" si="0"/>
        <v>30</v>
      </c>
      <c r="B37" s="70" t="s">
        <v>111</v>
      </c>
      <c r="C37" s="70" t="s">
        <v>112</v>
      </c>
      <c r="D37" s="572">
        <f>ROUND(D35/52,2)</f>
        <v>0</v>
      </c>
      <c r="E37" s="70" t="s">
        <v>113</v>
      </c>
      <c r="F37" s="106"/>
      <c r="G37" s="106"/>
      <c r="H37" s="106"/>
      <c r="I37" s="106"/>
      <c r="J37" s="106"/>
      <c r="K37" s="70"/>
    </row>
    <row r="38" spans="1:11">
      <c r="A38" s="367">
        <f t="shared" si="0"/>
        <v>31</v>
      </c>
      <c r="B38" s="70" t="s">
        <v>114</v>
      </c>
      <c r="C38" s="70" t="s">
        <v>115</v>
      </c>
      <c r="D38" s="573">
        <f>+D37/6</f>
        <v>0</v>
      </c>
      <c r="E38" s="70" t="s">
        <v>116</v>
      </c>
      <c r="F38" s="106"/>
      <c r="G38" s="106"/>
      <c r="H38" s="106"/>
      <c r="I38" s="106"/>
      <c r="J38" s="106"/>
      <c r="K38" s="70"/>
    </row>
    <row r="39" spans="1:11">
      <c r="A39" s="367">
        <f t="shared" si="0"/>
        <v>32</v>
      </c>
      <c r="B39" s="70" t="s">
        <v>117</v>
      </c>
      <c r="C39" s="70" t="s">
        <v>118</v>
      </c>
      <c r="D39" s="573">
        <f>+D37/7</f>
        <v>0</v>
      </c>
      <c r="E39" s="70" t="s">
        <v>116</v>
      </c>
      <c r="F39" s="106"/>
      <c r="G39" s="106"/>
      <c r="H39" s="106"/>
      <c r="I39" s="106"/>
      <c r="J39" s="106"/>
      <c r="K39" s="70"/>
    </row>
    <row r="40" spans="1:11">
      <c r="A40" s="367">
        <f t="shared" si="0"/>
        <v>33</v>
      </c>
      <c r="B40" s="70" t="s">
        <v>119</v>
      </c>
      <c r="C40" s="70" t="s">
        <v>120</v>
      </c>
      <c r="D40" s="572">
        <f>+D38/16*1000</f>
        <v>0</v>
      </c>
      <c r="E40" s="70" t="s">
        <v>121</v>
      </c>
      <c r="F40" s="106"/>
      <c r="G40" s="106"/>
      <c r="H40" s="106"/>
      <c r="I40" s="106"/>
      <c r="J40" s="106"/>
      <c r="K40" s="70"/>
    </row>
    <row r="41" spans="1:11">
      <c r="A41" s="367">
        <f t="shared" si="0"/>
        <v>34</v>
      </c>
      <c r="B41" s="70" t="s">
        <v>122</v>
      </c>
      <c r="C41" s="70" t="s">
        <v>123</v>
      </c>
      <c r="D41" s="572">
        <f>+D39/24*1000</f>
        <v>0</v>
      </c>
      <c r="E41" s="70" t="s">
        <v>121</v>
      </c>
      <c r="F41" s="106"/>
      <c r="G41" s="106"/>
      <c r="H41" s="106"/>
      <c r="I41" s="106"/>
      <c r="J41" s="106"/>
      <c r="K41" s="70"/>
    </row>
    <row r="42" spans="1:11">
      <c r="A42" s="367"/>
      <c r="B42" s="70"/>
      <c r="C42" s="70"/>
      <c r="D42" s="574"/>
      <c r="E42" s="70"/>
      <c r="F42" s="106"/>
      <c r="G42" s="106"/>
      <c r="H42" s="106"/>
      <c r="I42" s="106"/>
      <c r="J42" s="106"/>
      <c r="K42" s="70"/>
    </row>
    <row r="43" spans="1:11">
      <c r="A43" s="367"/>
      <c r="B43" s="371"/>
      <c r="C43" s="428"/>
      <c r="D43" s="372"/>
    </row>
    <row r="44" spans="1:11">
      <c r="A44" s="205" t="s">
        <v>552</v>
      </c>
      <c r="B44" s="371"/>
      <c r="D44" s="372"/>
    </row>
    <row r="45" spans="1:11">
      <c r="A45" s="418" t="s">
        <v>419</v>
      </c>
      <c r="B45" s="1014" t="s">
        <v>1409</v>
      </c>
      <c r="C45" s="1014"/>
      <c r="D45" s="1014"/>
    </row>
    <row r="46" spans="1:11">
      <c r="A46" s="367" t="s">
        <v>421</v>
      </c>
      <c r="B46" s="1014" t="s">
        <v>1410</v>
      </c>
      <c r="C46" s="1014"/>
      <c r="D46" s="1014"/>
    </row>
    <row r="47" spans="1:11">
      <c r="A47" s="367"/>
      <c r="B47" s="1012"/>
      <c r="C47" s="1012"/>
      <c r="D47" s="1012"/>
      <c r="G47" s="416"/>
    </row>
    <row r="48" spans="1:11">
      <c r="A48" s="367"/>
      <c r="B48" s="544"/>
      <c r="C48" s="544"/>
      <c r="D48" s="545"/>
    </row>
    <row r="49" spans="1:5">
      <c r="A49" s="367"/>
      <c r="B49" s="543"/>
      <c r="C49" s="544"/>
      <c r="D49" s="545"/>
    </row>
    <row r="50" spans="1:5">
      <c r="A50" s="367"/>
      <c r="B50" s="1013"/>
      <c r="C50" s="1013"/>
      <c r="D50" s="1013"/>
    </row>
    <row r="51" spans="1:5">
      <c r="A51" s="367"/>
      <c r="B51" s="371"/>
      <c r="D51" s="376"/>
      <c r="E51" s="377"/>
    </row>
    <row r="52" spans="1:5">
      <c r="A52" s="367"/>
      <c r="B52" s="371"/>
      <c r="D52" s="376"/>
    </row>
    <row r="53" spans="1:5">
      <c r="A53" s="367"/>
      <c r="B53" s="371"/>
      <c r="D53" s="376"/>
    </row>
    <row r="54" spans="1:5">
      <c r="A54" s="367"/>
      <c r="B54" s="371"/>
      <c r="D54" s="376"/>
    </row>
    <row r="55" spans="1:5">
      <c r="A55" s="367"/>
      <c r="D55" s="372"/>
    </row>
    <row r="56" spans="1:5">
      <c r="A56" s="367"/>
      <c r="B56" s="378"/>
      <c r="D56" s="372"/>
    </row>
    <row r="57" spans="1:5">
      <c r="A57" s="367"/>
      <c r="B57" s="378"/>
      <c r="D57" s="372"/>
    </row>
    <row r="58" spans="1:5">
      <c r="A58" s="367"/>
      <c r="B58" s="378"/>
      <c r="D58" s="372"/>
    </row>
    <row r="59" spans="1:5">
      <c r="A59" s="367"/>
      <c r="B59" s="378"/>
      <c r="D59" s="372"/>
    </row>
    <row r="60" spans="1:5">
      <c r="A60" s="367"/>
      <c r="B60" s="378"/>
      <c r="D60" s="372"/>
    </row>
    <row r="61" spans="1:5">
      <c r="A61" s="367"/>
      <c r="B61" s="378"/>
      <c r="D61" s="372"/>
    </row>
    <row r="62" spans="1:5">
      <c r="A62" s="367"/>
      <c r="B62" s="378"/>
      <c r="D62" s="372"/>
    </row>
    <row r="63" spans="1:5">
      <c r="A63" s="367"/>
      <c r="B63" s="378"/>
      <c r="D63" s="372"/>
    </row>
    <row r="64" spans="1:5">
      <c r="A64" s="367"/>
      <c r="B64" s="378"/>
      <c r="D64" s="372"/>
    </row>
    <row r="65" spans="1:4">
      <c r="A65" s="367"/>
      <c r="B65" s="378"/>
      <c r="D65" s="372"/>
    </row>
    <row r="66" spans="1:4">
      <c r="A66" s="367"/>
      <c r="B66" s="371"/>
      <c r="D66" s="372"/>
    </row>
    <row r="67" spans="1:4">
      <c r="A67" s="367"/>
      <c r="B67" s="371"/>
      <c r="D67" s="372"/>
    </row>
    <row r="68" spans="1:4">
      <c r="A68" s="367"/>
      <c r="B68" s="371"/>
      <c r="D68" s="372"/>
    </row>
    <row r="69" spans="1:4">
      <c r="A69" s="367"/>
      <c r="B69" s="371"/>
      <c r="D69" s="372"/>
    </row>
    <row r="70" spans="1:4">
      <c r="A70" s="367"/>
      <c r="B70" s="371"/>
      <c r="D70" s="372"/>
    </row>
    <row r="71" spans="1:4">
      <c r="A71" s="367"/>
      <c r="B71" s="375"/>
      <c r="D71" s="372"/>
    </row>
    <row r="72" spans="1:4">
      <c r="A72" s="367"/>
      <c r="B72" s="371"/>
    </row>
    <row r="73" spans="1:4">
      <c r="A73" s="367"/>
      <c r="B73" s="371"/>
    </row>
    <row r="74" spans="1:4">
      <c r="A74" s="367"/>
      <c r="B74" s="371"/>
      <c r="D74" s="376"/>
    </row>
    <row r="75" spans="1:4">
      <c r="A75" s="367"/>
      <c r="B75" s="371"/>
      <c r="D75" s="376"/>
    </row>
    <row r="76" spans="1:4">
      <c r="A76" s="367"/>
      <c r="B76" s="371"/>
      <c r="D76" s="376"/>
    </row>
    <row r="77" spans="1:4">
      <c r="A77" s="367"/>
      <c r="B77" s="371"/>
      <c r="D77" s="376"/>
    </row>
    <row r="78" spans="1:4">
      <c r="A78" s="367"/>
      <c r="B78" s="371"/>
      <c r="D78" s="372"/>
    </row>
    <row r="79" spans="1:4">
      <c r="A79" s="367"/>
      <c r="B79" s="371"/>
      <c r="D79" s="372"/>
    </row>
    <row r="80" spans="1:4">
      <c r="A80" s="367"/>
      <c r="B80" s="371"/>
      <c r="D80" s="372"/>
    </row>
    <row r="150" spans="1:11" s="367" customFormat="1">
      <c r="A150" s="365"/>
      <c r="B150" s="365"/>
      <c r="D150" s="370"/>
      <c r="E150" s="365"/>
      <c r="F150" s="365"/>
      <c r="G150" s="365"/>
      <c r="H150" s="365"/>
      <c r="I150" s="365"/>
      <c r="J150" s="365"/>
      <c r="K150" s="365"/>
    </row>
    <row r="161" spans="5:11">
      <c r="E161" s="367"/>
      <c r="F161" s="367"/>
      <c r="G161" s="367"/>
      <c r="H161" s="367"/>
      <c r="I161" s="367"/>
      <c r="J161" s="367"/>
      <c r="K161" s="367"/>
    </row>
  </sheetData>
  <mergeCells count="8">
    <mergeCell ref="G1:M1"/>
    <mergeCell ref="B47:D47"/>
    <mergeCell ref="B50:D50"/>
    <mergeCell ref="A1:E1"/>
    <mergeCell ref="A2:E2"/>
    <mergeCell ref="A3:E3"/>
    <mergeCell ref="B45:D45"/>
    <mergeCell ref="B46:D46"/>
  </mergeCells>
  <printOptions horizontalCentered="1"/>
  <pageMargins left="0.25" right="0.25" top="0.25" bottom="0.25" header="0.5" footer="0.5"/>
  <pageSetup scale="85" firstPageNumber="7" orientation="portrait" cellComments="atEnd" r:id="rId1"/>
  <headerFooter alignWithMargins="0"/>
  <ignoredErrors>
    <ignoredError sqref="D36:D41 D2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59999389629810485"/>
    <pageSetUpPr fitToPage="1"/>
  </sheetPr>
  <dimension ref="A1:U61"/>
  <sheetViews>
    <sheetView zoomScale="90" zoomScaleNormal="90" workbookViewId="0">
      <selection sqref="A1:N1"/>
    </sheetView>
  </sheetViews>
  <sheetFormatPr defaultColWidth="8.77734375" defaultRowHeight="12.75"/>
  <cols>
    <col min="1" max="1" width="4.77734375" style="2" bestFit="1" customWidth="1"/>
    <col min="2" max="2" width="12.77734375" style="2" customWidth="1"/>
    <col min="3" max="3" width="24.109375" style="2" customWidth="1"/>
    <col min="4" max="4" width="7.5546875" style="2" bestFit="1" customWidth="1"/>
    <col min="5" max="5" width="9.5546875" style="2" bestFit="1" customWidth="1"/>
    <col min="6" max="6" width="9" style="2" customWidth="1"/>
    <col min="7" max="7" width="10.77734375" style="2" customWidth="1"/>
    <col min="8" max="12" width="9" style="2" customWidth="1"/>
    <col min="13" max="13" width="8.109375" style="2" customWidth="1"/>
    <col min="14" max="14" width="9.21875" style="2" bestFit="1" customWidth="1"/>
    <col min="15" max="15" width="12.44140625" style="2" customWidth="1"/>
    <col min="16" max="16" width="12.5546875" style="2" customWidth="1"/>
    <col min="17" max="16384" width="8.77734375" style="2"/>
  </cols>
  <sheetData>
    <row r="1" spans="1:21">
      <c r="A1" s="944" t="s">
        <v>20</v>
      </c>
      <c r="B1" s="944"/>
      <c r="C1" s="944"/>
      <c r="D1" s="944"/>
      <c r="E1" s="944"/>
      <c r="F1" s="944"/>
      <c r="G1" s="944"/>
      <c r="H1" s="944"/>
      <c r="I1" s="944"/>
      <c r="J1" s="944"/>
      <c r="K1" s="944"/>
      <c r="L1" s="944"/>
      <c r="M1" s="944"/>
      <c r="N1" s="944"/>
      <c r="O1" s="943"/>
      <c r="P1" s="943"/>
      <c r="Q1" s="943"/>
      <c r="R1" s="943"/>
      <c r="S1" s="943"/>
      <c r="T1" s="943"/>
      <c r="U1" s="943"/>
    </row>
    <row r="2" spans="1:21">
      <c r="A2" s="945" t="s">
        <v>484</v>
      </c>
      <c r="B2" s="945"/>
      <c r="C2" s="945"/>
      <c r="D2" s="945"/>
      <c r="E2" s="945"/>
      <c r="F2" s="945"/>
      <c r="G2" s="945"/>
      <c r="H2" s="945"/>
      <c r="I2" s="945"/>
      <c r="J2" s="945"/>
      <c r="K2" s="945"/>
      <c r="L2" s="945"/>
      <c r="M2" s="945"/>
      <c r="N2" s="945"/>
    </row>
    <row r="3" spans="1:21">
      <c r="A3" s="945" t="str">
        <f>'Act Att-H'!C7</f>
        <v>Cheyenne Light, Fuel &amp; Power</v>
      </c>
      <c r="B3" s="945"/>
      <c r="C3" s="945"/>
      <c r="D3" s="945"/>
      <c r="E3" s="945"/>
      <c r="F3" s="945"/>
      <c r="G3" s="945"/>
      <c r="H3" s="945"/>
      <c r="I3" s="945"/>
      <c r="J3" s="945"/>
      <c r="K3" s="945"/>
      <c r="L3" s="945"/>
      <c r="M3" s="945"/>
      <c r="N3" s="945"/>
    </row>
    <row r="4" spans="1:21">
      <c r="B4" s="441"/>
      <c r="C4" s="441"/>
      <c r="D4" s="441"/>
      <c r="E4" s="441"/>
      <c r="F4" s="441"/>
      <c r="G4" s="441"/>
      <c r="H4" s="441"/>
      <c r="I4" s="441"/>
      <c r="J4" s="441"/>
      <c r="K4" s="441"/>
      <c r="M4" s="2" t="s">
        <v>3</v>
      </c>
    </row>
    <row r="5" spans="1:21">
      <c r="A5" s="125" t="s">
        <v>485</v>
      </c>
      <c r="B5" s="128" t="s">
        <v>486</v>
      </c>
      <c r="C5" s="70"/>
      <c r="D5" s="102"/>
      <c r="E5" s="70"/>
      <c r="F5" s="70"/>
      <c r="G5" s="446"/>
      <c r="H5" s="70"/>
      <c r="I5" s="151"/>
      <c r="J5" s="102"/>
      <c r="K5" s="447"/>
    </row>
    <row r="6" spans="1:21">
      <c r="B6" s="448"/>
      <c r="C6" s="102"/>
      <c r="D6" s="449"/>
      <c r="E6" s="102"/>
      <c r="F6" s="102"/>
      <c r="G6" s="102"/>
      <c r="H6" s="102"/>
      <c r="I6" s="102"/>
      <c r="J6" s="102"/>
    </row>
    <row r="7" spans="1:21">
      <c r="A7" s="5">
        <v>1</v>
      </c>
      <c r="B7" s="450" t="s">
        <v>487</v>
      </c>
      <c r="C7" s="450" t="s">
        <v>13</v>
      </c>
      <c r="D7" s="451"/>
      <c r="E7" s="450" t="s">
        <v>91</v>
      </c>
      <c r="F7" s="450" t="s">
        <v>488</v>
      </c>
      <c r="G7" s="450" t="s">
        <v>489</v>
      </c>
      <c r="H7" s="947" t="s">
        <v>92</v>
      </c>
      <c r="I7" s="947"/>
      <c r="J7" s="450" t="s">
        <v>91</v>
      </c>
    </row>
    <row r="8" spans="1:21">
      <c r="A8" s="5">
        <f>A7+1</f>
        <v>2</v>
      </c>
      <c r="E8" s="26" t="s">
        <v>490</v>
      </c>
      <c r="F8" s="453" t="s">
        <v>491</v>
      </c>
      <c r="G8" s="453" t="s">
        <v>492</v>
      </c>
      <c r="H8" s="946" t="s">
        <v>493</v>
      </c>
      <c r="I8" s="946"/>
      <c r="J8" s="453" t="s">
        <v>494</v>
      </c>
    </row>
    <row r="9" spans="1:21">
      <c r="A9" s="5">
        <f t="shared" ref="A9:A57" si="0">A8+1</f>
        <v>3</v>
      </c>
      <c r="B9" s="454" t="s">
        <v>495</v>
      </c>
      <c r="C9" s="455"/>
      <c r="F9" s="455"/>
      <c r="G9" s="455"/>
      <c r="H9" s="102"/>
    </row>
    <row r="10" spans="1:21">
      <c r="A10" s="5">
        <f t="shared" si="0"/>
        <v>4</v>
      </c>
      <c r="B10" s="456">
        <v>45400</v>
      </c>
      <c r="C10" s="455" t="s">
        <v>496</v>
      </c>
      <c r="E10" s="211">
        <v>129030</v>
      </c>
      <c r="F10" s="219">
        <v>0</v>
      </c>
      <c r="G10" s="219">
        <f>SUM(E10:F10)</f>
        <v>129030</v>
      </c>
      <c r="H10" s="589" t="s">
        <v>95</v>
      </c>
      <c r="I10" s="161">
        <f>'Act Att-H'!I179</f>
        <v>0.61863245862384375</v>
      </c>
      <c r="J10" s="219">
        <f>G10*I10</f>
        <v>79822.146136234558</v>
      </c>
      <c r="K10" s="441"/>
      <c r="O10" s="416"/>
    </row>
    <row r="11" spans="1:21">
      <c r="A11" s="5">
        <f t="shared" si="0"/>
        <v>5</v>
      </c>
      <c r="B11" s="456">
        <v>45400</v>
      </c>
      <c r="C11" s="455" t="s">
        <v>497</v>
      </c>
      <c r="E11" s="457">
        <v>917500</v>
      </c>
      <c r="F11" s="455">
        <v>0</v>
      </c>
      <c r="G11" s="455">
        <f>SUM(E11:F11)</f>
        <v>917500</v>
      </c>
      <c r="H11" s="26" t="s">
        <v>156</v>
      </c>
      <c r="I11" s="161">
        <f>'Act Att-H'!K211</f>
        <v>6.5297211282099338E-2</v>
      </c>
      <c r="J11" s="219">
        <f>G11*I11</f>
        <v>59910.191351326139</v>
      </c>
      <c r="O11" s="416"/>
      <c r="P11" s="420"/>
    </row>
    <row r="12" spans="1:21">
      <c r="A12" s="5">
        <f t="shared" si="0"/>
        <v>6</v>
      </c>
      <c r="B12" s="458" t="s">
        <v>498</v>
      </c>
      <c r="C12" s="458"/>
      <c r="D12" s="459"/>
      <c r="E12" s="432">
        <f>SUM(E10:E11)</f>
        <v>1046530</v>
      </c>
      <c r="F12" s="432">
        <f>SUM(F10:F11)</f>
        <v>0</v>
      </c>
      <c r="G12" s="432">
        <f>SUM(G10:G11)</f>
        <v>1046530</v>
      </c>
      <c r="H12" s="459"/>
      <c r="I12" s="590"/>
      <c r="J12" s="591">
        <f>SUM(J10:J11)</f>
        <v>139732.3374875607</v>
      </c>
    </row>
    <row r="13" spans="1:21">
      <c r="A13" s="5">
        <f t="shared" si="0"/>
        <v>7</v>
      </c>
      <c r="B13" s="460"/>
      <c r="C13" s="461"/>
      <c r="D13" s="461"/>
      <c r="E13" s="102"/>
      <c r="F13" s="102"/>
      <c r="G13" s="102"/>
      <c r="H13" s="452"/>
    </row>
    <row r="14" spans="1:21">
      <c r="A14" s="5">
        <f t="shared" si="0"/>
        <v>8</v>
      </c>
    </row>
    <row r="15" spans="1:21">
      <c r="A15" s="5">
        <f t="shared" si="0"/>
        <v>9</v>
      </c>
      <c r="B15" s="128" t="s">
        <v>499</v>
      </c>
      <c r="C15" s="70"/>
      <c r="D15" s="70"/>
      <c r="E15" s="70"/>
      <c r="F15" s="70"/>
      <c r="G15" s="70"/>
      <c r="H15" s="70"/>
      <c r="I15" s="151"/>
      <c r="J15" s="102"/>
      <c r="K15" s="447"/>
    </row>
    <row r="16" spans="1:21">
      <c r="A16" s="5">
        <f t="shared" si="0"/>
        <v>10</v>
      </c>
      <c r="F16" s="185"/>
      <c r="G16" s="185"/>
      <c r="H16" s="185" t="s">
        <v>500</v>
      </c>
      <c r="I16" s="185" t="s">
        <v>501</v>
      </c>
      <c r="K16" s="185"/>
      <c r="L16" s="185" t="s">
        <v>502</v>
      </c>
      <c r="M16" s="185"/>
      <c r="N16" s="185"/>
    </row>
    <row r="17" spans="1:16">
      <c r="A17" s="5">
        <f t="shared" si="0"/>
        <v>11</v>
      </c>
      <c r="B17" s="422"/>
      <c r="F17" s="185"/>
      <c r="G17" s="185"/>
      <c r="H17" s="185" t="s">
        <v>503</v>
      </c>
      <c r="I17" s="185" t="s">
        <v>504</v>
      </c>
      <c r="J17" s="185" t="s">
        <v>505</v>
      </c>
      <c r="K17" s="185" t="s">
        <v>502</v>
      </c>
      <c r="L17" s="185" t="s">
        <v>506</v>
      </c>
      <c r="M17" s="185" t="s">
        <v>507</v>
      </c>
      <c r="N17" s="185"/>
    </row>
    <row r="18" spans="1:16">
      <c r="A18" s="5">
        <f t="shared" si="0"/>
        <v>12</v>
      </c>
      <c r="F18" s="185" t="s">
        <v>508</v>
      </c>
      <c r="G18" s="185" t="s">
        <v>509</v>
      </c>
      <c r="H18" s="185" t="s">
        <v>510</v>
      </c>
      <c r="I18" s="185" t="s">
        <v>511</v>
      </c>
      <c r="J18" s="185" t="s">
        <v>512</v>
      </c>
      <c r="K18" s="185" t="s">
        <v>513</v>
      </c>
      <c r="L18" s="185" t="s">
        <v>514</v>
      </c>
      <c r="M18" s="185" t="s">
        <v>514</v>
      </c>
      <c r="N18" s="185"/>
    </row>
    <row r="19" spans="1:16">
      <c r="A19" s="5">
        <f t="shared" si="0"/>
        <v>13</v>
      </c>
      <c r="F19" s="185" t="s">
        <v>515</v>
      </c>
      <c r="G19" s="185" t="s">
        <v>516</v>
      </c>
      <c r="H19" s="185" t="s">
        <v>517</v>
      </c>
      <c r="I19" s="185" t="s">
        <v>518</v>
      </c>
      <c r="J19" s="185" t="s">
        <v>519</v>
      </c>
      <c r="K19" s="185" t="s">
        <v>520</v>
      </c>
      <c r="L19" s="185" t="s">
        <v>521</v>
      </c>
      <c r="M19" s="185" t="s">
        <v>521</v>
      </c>
      <c r="N19" s="185" t="s">
        <v>522</v>
      </c>
    </row>
    <row r="20" spans="1:16">
      <c r="A20" s="5">
        <f t="shared" si="0"/>
        <v>14</v>
      </c>
      <c r="B20" s="185"/>
      <c r="C20" s="185"/>
      <c r="D20" s="185" t="s">
        <v>523</v>
      </c>
      <c r="E20" s="185" t="s">
        <v>524</v>
      </c>
      <c r="F20" s="185" t="s">
        <v>525</v>
      </c>
      <c r="G20" s="185" t="s">
        <v>526</v>
      </c>
      <c r="H20" s="185" t="s">
        <v>527</v>
      </c>
      <c r="I20" s="185" t="s">
        <v>528</v>
      </c>
      <c r="J20" s="185" t="s">
        <v>529</v>
      </c>
      <c r="K20" s="185" t="s">
        <v>530</v>
      </c>
      <c r="L20" s="185" t="s">
        <v>531</v>
      </c>
      <c r="M20" s="185" t="s">
        <v>532</v>
      </c>
      <c r="N20" s="185" t="s">
        <v>83</v>
      </c>
      <c r="P20" s="718"/>
    </row>
    <row r="21" spans="1:16">
      <c r="A21" s="5">
        <f t="shared" si="0"/>
        <v>15</v>
      </c>
      <c r="B21" s="450" t="s">
        <v>533</v>
      </c>
      <c r="C21" s="450" t="s">
        <v>13</v>
      </c>
      <c r="D21" s="462" t="s">
        <v>534</v>
      </c>
      <c r="E21" s="462" t="s">
        <v>535</v>
      </c>
      <c r="F21" s="450"/>
      <c r="G21" s="450"/>
      <c r="H21" s="450"/>
      <c r="I21" s="450"/>
      <c r="J21" s="450"/>
      <c r="K21" s="450"/>
      <c r="L21" s="450"/>
      <c r="M21" s="450"/>
      <c r="N21" s="450" t="s">
        <v>536</v>
      </c>
      <c r="O21" s="918"/>
    </row>
    <row r="22" spans="1:16">
      <c r="A22" s="5">
        <f t="shared" si="0"/>
        <v>16</v>
      </c>
      <c r="E22" s="26" t="s">
        <v>490</v>
      </c>
      <c r="F22" s="26" t="s">
        <v>491</v>
      </c>
      <c r="G22" s="26" t="s">
        <v>492</v>
      </c>
      <c r="H22" s="26" t="s">
        <v>493</v>
      </c>
      <c r="I22" s="26" t="s">
        <v>537</v>
      </c>
      <c r="J22" s="26" t="s">
        <v>538</v>
      </c>
      <c r="K22" s="26" t="s">
        <v>539</v>
      </c>
      <c r="L22" s="26" t="s">
        <v>540</v>
      </c>
      <c r="M22" s="26" t="s">
        <v>541</v>
      </c>
      <c r="N22" s="26" t="s">
        <v>542</v>
      </c>
    </row>
    <row r="23" spans="1:16">
      <c r="A23" s="5">
        <f t="shared" si="0"/>
        <v>17</v>
      </c>
    </row>
    <row r="24" spans="1:16">
      <c r="A24" s="5">
        <f t="shared" si="0"/>
        <v>18</v>
      </c>
      <c r="B24" s="463" t="s">
        <v>544</v>
      </c>
      <c r="C24" s="463" t="s">
        <v>1414</v>
      </c>
      <c r="D24" s="464" t="s">
        <v>1420</v>
      </c>
      <c r="E24" s="465"/>
      <c r="F24" s="466"/>
      <c r="G24" s="467"/>
      <c r="H24" s="466"/>
      <c r="I24" s="466">
        <v>444869.45</v>
      </c>
      <c r="J24" s="466"/>
      <c r="K24" s="466"/>
      <c r="L24" s="466"/>
      <c r="M24" s="466"/>
      <c r="N24" s="466">
        <f t="shared" ref="N24:N30" si="1">SUM(F24:M24)</f>
        <v>444869.45</v>
      </c>
      <c r="O24" s="416"/>
    </row>
    <row r="25" spans="1:16">
      <c r="A25" s="5">
        <f t="shared" si="0"/>
        <v>19</v>
      </c>
      <c r="B25" s="463" t="s">
        <v>544</v>
      </c>
      <c r="C25" s="463" t="s">
        <v>1414</v>
      </c>
      <c r="D25" s="464" t="s">
        <v>1421</v>
      </c>
      <c r="E25" s="465"/>
      <c r="F25" s="466"/>
      <c r="G25" s="466"/>
      <c r="H25" s="466"/>
      <c r="I25" s="466">
        <v>-113070</v>
      </c>
      <c r="J25" s="466"/>
      <c r="K25" s="466"/>
      <c r="L25" s="466"/>
      <c r="M25" s="466"/>
      <c r="N25" s="466">
        <f t="shared" si="1"/>
        <v>-113070</v>
      </c>
      <c r="O25" s="416"/>
    </row>
    <row r="26" spans="1:16">
      <c r="A26" s="5">
        <f t="shared" si="0"/>
        <v>20</v>
      </c>
      <c r="B26" s="463" t="s">
        <v>545</v>
      </c>
      <c r="C26" s="463" t="s">
        <v>1416</v>
      </c>
      <c r="D26" s="464" t="s">
        <v>1422</v>
      </c>
      <c r="E26" s="465"/>
      <c r="F26" s="466"/>
      <c r="G26" s="466">
        <v>153.37</v>
      </c>
      <c r="H26" s="466">
        <v>3</v>
      </c>
      <c r="I26" s="466"/>
      <c r="J26" s="466"/>
      <c r="K26" s="466"/>
      <c r="L26" s="466"/>
      <c r="M26" s="466"/>
      <c r="N26" s="466">
        <f t="shared" si="1"/>
        <v>156.37</v>
      </c>
      <c r="O26" s="416"/>
    </row>
    <row r="27" spans="1:16">
      <c r="A27" s="5">
        <f t="shared" si="0"/>
        <v>21</v>
      </c>
      <c r="B27" s="463" t="s">
        <v>546</v>
      </c>
      <c r="C27" s="463" t="s">
        <v>1415</v>
      </c>
      <c r="D27" s="464" t="s">
        <v>1423</v>
      </c>
      <c r="E27" s="465"/>
      <c r="F27" s="466">
        <v>2861</v>
      </c>
      <c r="G27" s="466"/>
      <c r="H27" s="466">
        <v>556</v>
      </c>
      <c r="I27" s="466"/>
      <c r="J27" s="466"/>
      <c r="K27" s="466"/>
      <c r="L27" s="466"/>
      <c r="M27" s="466"/>
      <c r="N27" s="466">
        <f t="shared" si="1"/>
        <v>3417</v>
      </c>
      <c r="O27" s="416"/>
    </row>
    <row r="28" spans="1:16">
      <c r="A28" s="5">
        <f t="shared" si="0"/>
        <v>22</v>
      </c>
      <c r="B28" s="463" t="s">
        <v>546</v>
      </c>
      <c r="C28" s="463" t="s">
        <v>1417</v>
      </c>
      <c r="D28" s="463" t="s">
        <v>1423</v>
      </c>
      <c r="E28" s="465"/>
      <c r="F28" s="466">
        <v>9139</v>
      </c>
      <c r="G28" s="466"/>
      <c r="H28" s="466">
        <v>1572</v>
      </c>
      <c r="I28" s="466"/>
      <c r="J28" s="466"/>
      <c r="K28" s="466"/>
      <c r="L28" s="466"/>
      <c r="M28" s="466"/>
      <c r="N28" s="466">
        <f t="shared" si="1"/>
        <v>10711</v>
      </c>
      <c r="O28" s="416"/>
    </row>
    <row r="29" spans="1:16">
      <c r="A29" s="5">
        <f t="shared" si="0"/>
        <v>23</v>
      </c>
      <c r="B29" s="463" t="s">
        <v>544</v>
      </c>
      <c r="C29" s="463" t="s">
        <v>1418</v>
      </c>
      <c r="D29" s="464"/>
      <c r="E29" s="465"/>
      <c r="F29" s="466"/>
      <c r="G29" s="466"/>
      <c r="H29" s="466"/>
      <c r="I29" s="466">
        <v>673787.29</v>
      </c>
      <c r="J29" s="466"/>
      <c r="K29" s="466"/>
      <c r="L29" s="466"/>
      <c r="M29" s="466"/>
      <c r="N29" s="466">
        <f t="shared" si="1"/>
        <v>673787.29</v>
      </c>
      <c r="O29" s="416"/>
    </row>
    <row r="30" spans="1:16">
      <c r="A30" s="5">
        <f t="shared" si="0"/>
        <v>24</v>
      </c>
      <c r="B30" s="463" t="s">
        <v>544</v>
      </c>
      <c r="C30" s="463" t="s">
        <v>1419</v>
      </c>
      <c r="D30" s="464"/>
      <c r="E30" s="465"/>
      <c r="F30" s="466"/>
      <c r="G30" s="466"/>
      <c r="H30" s="466"/>
      <c r="I30" s="466">
        <v>414846.69</v>
      </c>
      <c r="J30" s="466"/>
      <c r="K30" s="466"/>
      <c r="L30" s="466"/>
      <c r="M30" s="466"/>
      <c r="N30" s="466">
        <f t="shared" si="1"/>
        <v>414846.69</v>
      </c>
      <c r="O30" s="416"/>
    </row>
    <row r="31" spans="1:16">
      <c r="A31" s="5">
        <f t="shared" si="0"/>
        <v>25</v>
      </c>
      <c r="B31" s="463"/>
      <c r="C31" s="463"/>
      <c r="D31" s="464"/>
      <c r="E31" s="465"/>
      <c r="F31" s="466"/>
      <c r="G31" s="466"/>
      <c r="H31" s="466"/>
      <c r="I31" s="466"/>
      <c r="J31" s="466"/>
      <c r="K31" s="466"/>
      <c r="L31" s="466"/>
      <c r="M31" s="466"/>
      <c r="N31" s="466"/>
      <c r="O31" s="416"/>
    </row>
    <row r="32" spans="1:16">
      <c r="A32" s="5">
        <f t="shared" si="0"/>
        <v>26</v>
      </c>
      <c r="B32" s="463"/>
      <c r="C32" s="463"/>
      <c r="D32" s="464"/>
      <c r="E32" s="465"/>
      <c r="F32" s="466"/>
      <c r="G32" s="466"/>
      <c r="H32" s="466"/>
      <c r="I32" s="466"/>
      <c r="J32" s="466"/>
      <c r="K32" s="466"/>
      <c r="L32" s="466"/>
      <c r="M32" s="466"/>
      <c r="N32" s="466"/>
      <c r="O32" s="416"/>
    </row>
    <row r="33" spans="1:16">
      <c r="A33" s="5">
        <f t="shared" si="0"/>
        <v>27</v>
      </c>
      <c r="B33" s="463"/>
      <c r="C33" s="463"/>
      <c r="D33" s="464"/>
      <c r="E33" s="465"/>
      <c r="F33" s="466"/>
      <c r="G33" s="466"/>
      <c r="H33" s="466"/>
      <c r="I33" s="466"/>
      <c r="J33" s="466"/>
      <c r="K33" s="466"/>
      <c r="L33" s="466"/>
      <c r="M33" s="466"/>
      <c r="N33" s="466"/>
      <c r="O33" s="416"/>
    </row>
    <row r="34" spans="1:16">
      <c r="A34" s="5">
        <f t="shared" si="0"/>
        <v>28</v>
      </c>
      <c r="B34" s="463"/>
      <c r="C34" s="463"/>
      <c r="D34" s="463"/>
      <c r="E34" s="465"/>
      <c r="F34" s="466"/>
      <c r="G34" s="466"/>
      <c r="H34" s="466"/>
      <c r="I34" s="466"/>
      <c r="J34" s="466"/>
      <c r="K34" s="466"/>
      <c r="L34" s="466"/>
      <c r="M34" s="466"/>
      <c r="N34" s="466"/>
      <c r="O34" s="416"/>
    </row>
    <row r="35" spans="1:16">
      <c r="A35" s="5">
        <f t="shared" si="0"/>
        <v>29</v>
      </c>
      <c r="B35" s="463"/>
      <c r="C35" s="463"/>
      <c r="D35" s="463"/>
      <c r="E35" s="465"/>
      <c r="F35" s="466"/>
      <c r="G35" s="466"/>
      <c r="H35" s="466"/>
      <c r="I35" s="466"/>
      <c r="J35" s="466"/>
      <c r="K35" s="466"/>
      <c r="L35" s="466"/>
      <c r="M35" s="466"/>
      <c r="N35" s="466"/>
      <c r="O35" s="416"/>
    </row>
    <row r="36" spans="1:16">
      <c r="A36" s="5">
        <f t="shared" si="0"/>
        <v>30</v>
      </c>
      <c r="B36" s="463"/>
      <c r="C36" s="463"/>
      <c r="D36" s="463"/>
      <c r="E36" s="463"/>
      <c r="F36" s="466"/>
      <c r="G36" s="466"/>
      <c r="H36" s="466"/>
      <c r="I36" s="466"/>
      <c r="J36" s="466"/>
      <c r="K36" s="466"/>
      <c r="L36" s="466"/>
      <c r="M36" s="466"/>
      <c r="N36" s="466"/>
      <c r="O36" s="416"/>
      <c r="P36" s="719"/>
    </row>
    <row r="37" spans="1:16">
      <c r="A37" s="5">
        <f t="shared" si="0"/>
        <v>31</v>
      </c>
      <c r="B37" s="463"/>
      <c r="C37" s="463"/>
      <c r="D37" s="463"/>
      <c r="E37" s="465"/>
      <c r="F37" s="466"/>
      <c r="G37" s="466"/>
      <c r="H37" s="466"/>
      <c r="I37" s="466"/>
      <c r="J37" s="466"/>
      <c r="K37" s="466"/>
      <c r="L37" s="466"/>
      <c r="M37" s="466"/>
      <c r="N37" s="466"/>
      <c r="O37" s="416"/>
    </row>
    <row r="38" spans="1:16">
      <c r="A38" s="5">
        <f t="shared" si="0"/>
        <v>32</v>
      </c>
      <c r="B38" s="463"/>
      <c r="C38" s="463"/>
      <c r="D38" s="464"/>
      <c r="E38" s="465"/>
      <c r="F38" s="466"/>
      <c r="G38" s="466"/>
      <c r="H38" s="466"/>
      <c r="I38" s="466"/>
      <c r="J38" s="466"/>
      <c r="K38" s="466"/>
      <c r="L38" s="466"/>
      <c r="M38" s="466"/>
      <c r="N38" s="466"/>
      <c r="O38" s="416"/>
    </row>
    <row r="39" spans="1:16">
      <c r="A39" s="5">
        <f t="shared" si="0"/>
        <v>33</v>
      </c>
      <c r="B39" s="463"/>
      <c r="C39" s="463"/>
      <c r="D39" s="464"/>
      <c r="E39" s="465"/>
      <c r="F39" s="466"/>
      <c r="G39" s="466"/>
      <c r="H39" s="466"/>
      <c r="I39" s="466"/>
      <c r="J39" s="466"/>
      <c r="K39" s="466"/>
      <c r="L39" s="466"/>
      <c r="M39" s="466"/>
      <c r="N39" s="466"/>
      <c r="O39" s="416"/>
    </row>
    <row r="40" spans="1:16">
      <c r="A40" s="5">
        <f t="shared" si="0"/>
        <v>34</v>
      </c>
      <c r="B40" s="463"/>
      <c r="C40" s="463"/>
      <c r="D40" s="464"/>
      <c r="E40" s="465"/>
      <c r="F40" s="466"/>
      <c r="G40" s="466"/>
      <c r="H40" s="466"/>
      <c r="I40" s="466"/>
      <c r="J40" s="466"/>
      <c r="K40" s="466"/>
      <c r="L40" s="466"/>
      <c r="M40" s="466"/>
      <c r="N40" s="466"/>
      <c r="O40" s="416"/>
    </row>
    <row r="41" spans="1:16">
      <c r="A41" s="5">
        <f t="shared" si="0"/>
        <v>35</v>
      </c>
      <c r="B41" s="463"/>
      <c r="C41" s="463"/>
      <c r="D41" s="464"/>
      <c r="E41" s="465"/>
      <c r="F41" s="466"/>
      <c r="G41" s="466"/>
      <c r="H41" s="466"/>
      <c r="I41" s="466"/>
      <c r="J41" s="466"/>
      <c r="K41" s="466"/>
      <c r="L41" s="466"/>
      <c r="M41" s="466"/>
      <c r="N41" s="466"/>
      <c r="O41" s="416"/>
    </row>
    <row r="42" spans="1:16">
      <c r="A42" s="5">
        <f t="shared" si="0"/>
        <v>36</v>
      </c>
      <c r="B42" s="463"/>
      <c r="C42" s="463"/>
      <c r="D42" s="463"/>
      <c r="E42" s="465"/>
      <c r="F42" s="466"/>
      <c r="G42" s="466"/>
      <c r="H42" s="466"/>
      <c r="I42" s="466"/>
      <c r="J42" s="466"/>
      <c r="K42" s="466"/>
      <c r="L42" s="466"/>
      <c r="M42" s="466"/>
      <c r="N42" s="466"/>
      <c r="O42" s="416"/>
    </row>
    <row r="43" spans="1:16">
      <c r="A43" s="5">
        <f t="shared" si="0"/>
        <v>37</v>
      </c>
      <c r="B43" s="463"/>
      <c r="C43" s="463"/>
      <c r="D43" s="463"/>
      <c r="E43" s="465"/>
      <c r="F43" s="466"/>
      <c r="G43" s="466"/>
      <c r="H43" s="466"/>
      <c r="I43" s="466"/>
      <c r="J43" s="466"/>
      <c r="K43" s="466"/>
      <c r="L43" s="466"/>
      <c r="M43" s="466"/>
      <c r="N43" s="466"/>
      <c r="O43" s="416"/>
    </row>
    <row r="44" spans="1:16">
      <c r="A44" s="5">
        <f t="shared" si="0"/>
        <v>38</v>
      </c>
      <c r="B44" s="468"/>
      <c r="C44" s="468"/>
      <c r="D44" s="468"/>
      <c r="E44" s="468"/>
      <c r="F44" s="469"/>
      <c r="G44" s="469"/>
      <c r="H44" s="469"/>
      <c r="I44" s="469"/>
      <c r="J44" s="469"/>
      <c r="K44" s="469"/>
      <c r="L44" s="469"/>
      <c r="M44" s="469"/>
      <c r="N44" s="469"/>
      <c r="O44" s="416"/>
    </row>
    <row r="45" spans="1:16">
      <c r="A45" s="5">
        <f t="shared" si="0"/>
        <v>39</v>
      </c>
      <c r="B45" s="459"/>
      <c r="C45" s="459" t="s">
        <v>91</v>
      </c>
      <c r="D45" s="459"/>
      <c r="E45" s="470"/>
      <c r="F45" s="470">
        <f t="shared" ref="F45:N45" si="2">SUM(F24:F44)</f>
        <v>12000</v>
      </c>
      <c r="G45" s="470">
        <f t="shared" si="2"/>
        <v>153.37</v>
      </c>
      <c r="H45" s="470">
        <f t="shared" si="2"/>
        <v>2131</v>
      </c>
      <c r="I45" s="470">
        <f t="shared" si="2"/>
        <v>1420433.43</v>
      </c>
      <c r="J45" s="470">
        <f t="shared" si="2"/>
        <v>0</v>
      </c>
      <c r="K45" s="470">
        <f t="shared" si="2"/>
        <v>0</v>
      </c>
      <c r="L45" s="470">
        <f t="shared" si="2"/>
        <v>0</v>
      </c>
      <c r="M45" s="470">
        <f t="shared" si="2"/>
        <v>0</v>
      </c>
      <c r="N45" s="470">
        <f t="shared" si="2"/>
        <v>1434717.8</v>
      </c>
      <c r="O45" s="909"/>
    </row>
    <row r="46" spans="1:16">
      <c r="A46" s="5">
        <f t="shared" si="0"/>
        <v>40</v>
      </c>
      <c r="E46" s="212"/>
      <c r="F46" s="471"/>
      <c r="G46" s="471"/>
      <c r="H46" s="471"/>
      <c r="I46" s="471"/>
      <c r="J46" s="471"/>
      <c r="K46" s="471"/>
      <c r="L46" s="471"/>
      <c r="M46" s="471"/>
      <c r="N46" s="471"/>
      <c r="O46" s="909"/>
    </row>
    <row r="47" spans="1:16">
      <c r="A47" s="5">
        <f t="shared" si="0"/>
        <v>41</v>
      </c>
      <c r="B47" s="472" t="s">
        <v>543</v>
      </c>
      <c r="E47" s="473"/>
      <c r="F47" s="471"/>
      <c r="G47" s="471"/>
      <c r="H47" s="471"/>
      <c r="I47" s="471"/>
      <c r="J47" s="471"/>
      <c r="K47" s="471"/>
      <c r="L47" s="471"/>
      <c r="M47" s="471"/>
      <c r="N47" s="471"/>
    </row>
    <row r="48" spans="1:16" s="422" customFormat="1" ht="15" customHeight="1">
      <c r="A48" s="5">
        <f t="shared" si="0"/>
        <v>42</v>
      </c>
      <c r="B48" s="2" t="s">
        <v>544</v>
      </c>
      <c r="C48" s="2"/>
      <c r="D48" s="2"/>
      <c r="E48" s="2"/>
      <c r="F48" s="471">
        <f t="shared" ref="F48:N51" si="3">SUMIF($B$24:$B$44,$B48,F$24:F$44)</f>
        <v>0</v>
      </c>
      <c r="G48" s="471">
        <f t="shared" si="3"/>
        <v>0</v>
      </c>
      <c r="H48" s="471">
        <f t="shared" si="3"/>
        <v>0</v>
      </c>
      <c r="I48" s="471">
        <f t="shared" si="3"/>
        <v>1420433.43</v>
      </c>
      <c r="J48" s="471">
        <f t="shared" si="3"/>
        <v>0</v>
      </c>
      <c r="K48" s="471">
        <f t="shared" si="3"/>
        <v>0</v>
      </c>
      <c r="L48" s="471">
        <f t="shared" si="3"/>
        <v>0</v>
      </c>
      <c r="M48" s="471">
        <f t="shared" si="3"/>
        <v>0</v>
      </c>
      <c r="N48" s="471">
        <f t="shared" si="3"/>
        <v>1420433.43</v>
      </c>
    </row>
    <row r="49" spans="1:14">
      <c r="A49" s="5">
        <f t="shared" si="0"/>
        <v>43</v>
      </c>
      <c r="B49" s="2" t="s">
        <v>545</v>
      </c>
      <c r="F49" s="471">
        <f t="shared" si="3"/>
        <v>0</v>
      </c>
      <c r="G49" s="471">
        <f t="shared" si="3"/>
        <v>153.37</v>
      </c>
      <c r="H49" s="471">
        <f t="shared" si="3"/>
        <v>3</v>
      </c>
      <c r="I49" s="471">
        <f t="shared" si="3"/>
        <v>0</v>
      </c>
      <c r="J49" s="471">
        <f t="shared" si="3"/>
        <v>0</v>
      </c>
      <c r="K49" s="471">
        <f t="shared" si="3"/>
        <v>0</v>
      </c>
      <c r="L49" s="471">
        <f t="shared" si="3"/>
        <v>0</v>
      </c>
      <c r="M49" s="471">
        <f t="shared" si="3"/>
        <v>0</v>
      </c>
      <c r="N49" s="471">
        <f t="shared" si="3"/>
        <v>156.37</v>
      </c>
    </row>
    <row r="50" spans="1:14">
      <c r="A50" s="5">
        <f t="shared" si="0"/>
        <v>44</v>
      </c>
      <c r="B50" s="2" t="s">
        <v>546</v>
      </c>
      <c r="F50" s="471">
        <f t="shared" si="3"/>
        <v>12000</v>
      </c>
      <c r="G50" s="471">
        <f t="shared" si="3"/>
        <v>0</v>
      </c>
      <c r="H50" s="471">
        <f t="shared" si="3"/>
        <v>2128</v>
      </c>
      <c r="I50" s="471">
        <f t="shared" si="3"/>
        <v>0</v>
      </c>
      <c r="J50" s="471">
        <f t="shared" si="3"/>
        <v>0</v>
      </c>
      <c r="K50" s="471">
        <f t="shared" si="3"/>
        <v>0</v>
      </c>
      <c r="L50" s="471">
        <f t="shared" si="3"/>
        <v>0</v>
      </c>
      <c r="M50" s="471">
        <f t="shared" si="3"/>
        <v>0</v>
      </c>
      <c r="N50" s="471">
        <f t="shared" si="3"/>
        <v>14128</v>
      </c>
    </row>
    <row r="51" spans="1:14">
      <c r="A51" s="5">
        <f t="shared" si="0"/>
        <v>45</v>
      </c>
      <c r="B51" s="2" t="s">
        <v>547</v>
      </c>
      <c r="F51" s="471">
        <f t="shared" si="3"/>
        <v>0</v>
      </c>
      <c r="G51" s="471">
        <f t="shared" si="3"/>
        <v>0</v>
      </c>
      <c r="H51" s="471">
        <f t="shared" si="3"/>
        <v>0</v>
      </c>
      <c r="I51" s="471">
        <f t="shared" si="3"/>
        <v>0</v>
      </c>
      <c r="J51" s="471">
        <f t="shared" si="3"/>
        <v>0</v>
      </c>
      <c r="K51" s="471">
        <f t="shared" si="3"/>
        <v>0</v>
      </c>
      <c r="L51" s="471">
        <f t="shared" si="3"/>
        <v>0</v>
      </c>
      <c r="M51" s="471">
        <f t="shared" si="3"/>
        <v>0</v>
      </c>
      <c r="N51" s="471">
        <f t="shared" si="3"/>
        <v>0</v>
      </c>
    </row>
    <row r="52" spans="1:14">
      <c r="A52" s="5">
        <f t="shared" si="0"/>
        <v>46</v>
      </c>
      <c r="B52" s="459" t="s">
        <v>91</v>
      </c>
      <c r="C52" s="459"/>
      <c r="D52" s="459"/>
      <c r="E52" s="459"/>
      <c r="F52" s="470">
        <f t="shared" ref="F52" si="4">SUM(F48:F51)</f>
        <v>12000</v>
      </c>
      <c r="G52" s="470">
        <f t="shared" ref="G52:M52" si="5">SUM(G48:G51)</f>
        <v>153.37</v>
      </c>
      <c r="H52" s="470">
        <f t="shared" si="5"/>
        <v>2131</v>
      </c>
      <c r="I52" s="470">
        <f t="shared" si="5"/>
        <v>1420433.43</v>
      </c>
      <c r="J52" s="470">
        <f t="shared" si="5"/>
        <v>0</v>
      </c>
      <c r="K52" s="470">
        <f t="shared" si="5"/>
        <v>0</v>
      </c>
      <c r="L52" s="470">
        <f t="shared" si="5"/>
        <v>0</v>
      </c>
      <c r="M52" s="470">
        <f t="shared" si="5"/>
        <v>0</v>
      </c>
      <c r="N52" s="470">
        <f>SUM(N48:N51)</f>
        <v>1434717.8</v>
      </c>
    </row>
    <row r="53" spans="1:14">
      <c r="A53" s="5">
        <f t="shared" si="0"/>
        <v>47</v>
      </c>
      <c r="F53" s="471"/>
      <c r="G53" s="471"/>
      <c r="H53" s="471"/>
      <c r="I53" s="471"/>
      <c r="J53" s="471"/>
      <c r="K53" s="471"/>
      <c r="L53" s="471"/>
      <c r="M53" s="471"/>
      <c r="N53" s="471"/>
    </row>
    <row r="54" spans="1:14">
      <c r="A54" s="5">
        <f t="shared" si="0"/>
        <v>48</v>
      </c>
      <c r="B54" s="474" t="s">
        <v>548</v>
      </c>
    </row>
    <row r="55" spans="1:14">
      <c r="A55" s="5">
        <f t="shared" si="0"/>
        <v>49</v>
      </c>
      <c r="B55" s="2" t="s">
        <v>546</v>
      </c>
      <c r="C55" s="2" t="s">
        <v>549</v>
      </c>
    </row>
    <row r="56" spans="1:14">
      <c r="A56" s="5">
        <f t="shared" si="0"/>
        <v>50</v>
      </c>
      <c r="B56" s="2" t="s">
        <v>545</v>
      </c>
      <c r="C56" s="2" t="s">
        <v>550</v>
      </c>
    </row>
    <row r="57" spans="1:14">
      <c r="A57" s="5">
        <f t="shared" si="0"/>
        <v>51</v>
      </c>
      <c r="B57" s="2" t="s">
        <v>544</v>
      </c>
      <c r="C57" s="2" t="s">
        <v>551</v>
      </c>
    </row>
    <row r="58" spans="1:14">
      <c r="A58" s="5"/>
    </row>
    <row r="59" spans="1:14">
      <c r="A59" s="475" t="s">
        <v>552</v>
      </c>
    </row>
    <row r="60" spans="1:14" ht="12.75" customHeight="1">
      <c r="A60" s="26" t="s">
        <v>419</v>
      </c>
      <c r="B60" s="926" t="s">
        <v>553</v>
      </c>
      <c r="C60" s="926"/>
      <c r="D60" s="926"/>
      <c r="E60" s="926"/>
      <c r="F60" s="926"/>
      <c r="G60" s="926"/>
      <c r="H60" s="926"/>
      <c r="I60" s="926"/>
      <c r="J60" s="926"/>
      <c r="K60" s="926"/>
      <c r="L60" s="926"/>
      <c r="M60" s="926"/>
    </row>
    <row r="61" spans="1:14">
      <c r="A61" s="26" t="s">
        <v>421</v>
      </c>
      <c r="B61" s="2" t="s">
        <v>554</v>
      </c>
    </row>
  </sheetData>
  <mergeCells count="7">
    <mergeCell ref="O1:U1"/>
    <mergeCell ref="A1:N1"/>
    <mergeCell ref="A2:N2"/>
    <mergeCell ref="A3:N3"/>
    <mergeCell ref="B60:M60"/>
    <mergeCell ref="H8:I8"/>
    <mergeCell ref="H7:I7"/>
  </mergeCells>
  <pageMargins left="0.5" right="0.25" top="1" bottom="1" header="0.5" footer="0.5"/>
  <pageSetup scale="4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59999389629810485"/>
    <pageSetUpPr fitToPage="1"/>
  </sheetPr>
  <dimension ref="A1:D49"/>
  <sheetViews>
    <sheetView workbookViewId="0">
      <selection sqref="A1:D1"/>
    </sheetView>
  </sheetViews>
  <sheetFormatPr defaultColWidth="7.109375" defaultRowHeight="12.75"/>
  <cols>
    <col min="1" max="1" width="5.5546875" style="203" customWidth="1"/>
    <col min="2" max="2" width="35.5546875" style="203" customWidth="1"/>
    <col min="3" max="3" width="24.21875" style="203" customWidth="1"/>
    <col min="4" max="4" width="11.109375" style="214" customWidth="1"/>
    <col min="5" max="16384" width="7.109375" style="203"/>
  </cols>
  <sheetData>
    <row r="1" spans="1:4" ht="14.25" customHeight="1">
      <c r="A1" s="949" t="s">
        <v>23</v>
      </c>
      <c r="B1" s="949"/>
      <c r="C1" s="949"/>
      <c r="D1" s="949"/>
    </row>
    <row r="2" spans="1:4">
      <c r="A2" s="949" t="s">
        <v>555</v>
      </c>
      <c r="B2" s="949"/>
      <c r="C2" s="949"/>
      <c r="D2" s="949"/>
    </row>
    <row r="3" spans="1:4">
      <c r="A3" s="950" t="str">
        <f>'Act Att-H'!C7</f>
        <v>Cheyenne Light, Fuel &amp; Power</v>
      </c>
      <c r="B3" s="949"/>
      <c r="C3" s="949"/>
      <c r="D3" s="949"/>
    </row>
    <row r="4" spans="1:4">
      <c r="D4" s="204" t="s">
        <v>3</v>
      </c>
    </row>
    <row r="5" spans="1:4">
      <c r="D5" s="203"/>
    </row>
    <row r="6" spans="1:4">
      <c r="A6" s="205" t="s">
        <v>83</v>
      </c>
      <c r="C6" s="206" t="s">
        <v>132</v>
      </c>
      <c r="D6" s="207"/>
    </row>
    <row r="7" spans="1:4">
      <c r="A7" s="208" t="s">
        <v>85</v>
      </c>
      <c r="B7" s="208" t="s">
        <v>556</v>
      </c>
      <c r="C7" s="209" t="s">
        <v>134</v>
      </c>
      <c r="D7" s="210" t="s">
        <v>135</v>
      </c>
    </row>
    <row r="8" spans="1:4" ht="13.35" customHeight="1">
      <c r="A8" s="205">
        <v>1</v>
      </c>
      <c r="B8" s="203" t="s">
        <v>557</v>
      </c>
      <c r="C8" s="203" t="s">
        <v>558</v>
      </c>
      <c r="D8" s="211">
        <v>74473</v>
      </c>
    </row>
    <row r="9" spans="1:4" ht="13.35" customHeight="1">
      <c r="A9" s="205">
        <v>2</v>
      </c>
      <c r="B9" s="203" t="s">
        <v>559</v>
      </c>
      <c r="C9" s="203" t="s">
        <v>560</v>
      </c>
      <c r="D9" s="211">
        <v>1301644</v>
      </c>
    </row>
    <row r="10" spans="1:4" ht="13.35" customHeight="1">
      <c r="A10" s="205">
        <v>3</v>
      </c>
      <c r="B10" s="203" t="s">
        <v>561</v>
      </c>
      <c r="C10" s="203" t="s">
        <v>562</v>
      </c>
      <c r="D10" s="211">
        <v>118570</v>
      </c>
    </row>
    <row r="11" spans="1:4" ht="13.35" customHeight="1">
      <c r="A11" s="205">
        <v>4</v>
      </c>
      <c r="B11" s="203" t="s">
        <v>563</v>
      </c>
      <c r="C11" s="203" t="s">
        <v>564</v>
      </c>
      <c r="D11" s="211">
        <v>0</v>
      </c>
    </row>
    <row r="12" spans="1:4" ht="13.35" customHeight="1">
      <c r="A12" s="205" t="s">
        <v>565</v>
      </c>
      <c r="B12" s="203" t="s">
        <v>566</v>
      </c>
      <c r="C12" s="203" t="s">
        <v>567</v>
      </c>
      <c r="D12" s="211"/>
    </row>
    <row r="13" spans="1:4" ht="13.35" customHeight="1">
      <c r="A13" s="205" t="s">
        <v>568</v>
      </c>
      <c r="B13" s="203" t="s">
        <v>569</v>
      </c>
      <c r="C13" s="203" t="s">
        <v>567</v>
      </c>
      <c r="D13" s="211"/>
    </row>
    <row r="14" spans="1:4" ht="13.35" customHeight="1" thickBot="1">
      <c r="A14" s="205">
        <v>5</v>
      </c>
      <c r="B14" s="203" t="s">
        <v>570</v>
      </c>
      <c r="C14" s="203" t="s">
        <v>571</v>
      </c>
      <c r="D14" s="213">
        <f>SUM(D8:D10,D12:D13)-D11</f>
        <v>1494687</v>
      </c>
    </row>
    <row r="15" spans="1:4" ht="13.35" customHeight="1" thickTop="1">
      <c r="A15" s="205">
        <v>6</v>
      </c>
    </row>
    <row r="16" spans="1:4" ht="13.35" customHeight="1">
      <c r="A16" s="205">
        <v>7</v>
      </c>
    </row>
    <row r="17" spans="1:4" ht="13.35" customHeight="1">
      <c r="A17" s="205">
        <v>8</v>
      </c>
      <c r="B17" s="215" t="s">
        <v>572</v>
      </c>
      <c r="D17" s="216"/>
    </row>
    <row r="18" spans="1:4" ht="13.15" customHeight="1">
      <c r="A18" s="205">
        <v>9</v>
      </c>
      <c r="D18" s="216"/>
    </row>
    <row r="19" spans="1:4" ht="13.35" customHeight="1">
      <c r="A19" s="205">
        <v>10</v>
      </c>
      <c r="B19" s="203" t="s">
        <v>573</v>
      </c>
      <c r="C19" s="203" t="s">
        <v>574</v>
      </c>
      <c r="D19" s="211">
        <v>0</v>
      </c>
    </row>
    <row r="20" spans="1:4" ht="13.35" customHeight="1">
      <c r="A20" s="205">
        <v>11</v>
      </c>
      <c r="B20" s="203" t="s">
        <v>575</v>
      </c>
      <c r="C20" s="203" t="s">
        <v>576</v>
      </c>
      <c r="D20" s="211">
        <v>0</v>
      </c>
    </row>
    <row r="21" spans="1:4" ht="13.35" customHeight="1">
      <c r="A21" s="205">
        <v>12</v>
      </c>
      <c r="D21" s="212"/>
    </row>
    <row r="22" spans="1:4" ht="13.35" customHeight="1">
      <c r="A22" s="205">
        <v>13</v>
      </c>
      <c r="D22" s="217"/>
    </row>
    <row r="23" spans="1:4" ht="13.35" customHeight="1">
      <c r="A23" s="205">
        <v>14</v>
      </c>
      <c r="B23" s="203" t="s">
        <v>91</v>
      </c>
      <c r="C23" s="215"/>
      <c r="D23" s="218">
        <f>SUM(D19:D22)</f>
        <v>0</v>
      </c>
    </row>
    <row r="24" spans="1:4" ht="13.35" customHeight="1">
      <c r="A24" s="205">
        <v>15</v>
      </c>
      <c r="D24" s="212"/>
    </row>
    <row r="25" spans="1:4" ht="13.35" customHeight="1" thickBot="1">
      <c r="A25" s="205">
        <v>16</v>
      </c>
      <c r="B25" s="203" t="s">
        <v>577</v>
      </c>
      <c r="D25" s="213">
        <f>+D23</f>
        <v>0</v>
      </c>
    </row>
    <row r="26" spans="1:4" ht="13.35" customHeight="1" thickTop="1">
      <c r="A26" s="205">
        <v>17</v>
      </c>
      <c r="D26" s="219"/>
    </row>
    <row r="27" spans="1:4" ht="13.35" customHeight="1">
      <c r="A27" s="205">
        <v>18</v>
      </c>
      <c r="D27" s="219"/>
    </row>
    <row r="28" spans="1:4" ht="13.35" customHeight="1">
      <c r="A28" s="205">
        <v>19</v>
      </c>
      <c r="B28" s="215" t="s">
        <v>578</v>
      </c>
      <c r="D28" s="219"/>
    </row>
    <row r="29" spans="1:4" ht="13.15" customHeight="1">
      <c r="A29" s="205">
        <v>20</v>
      </c>
      <c r="B29" s="203" t="s">
        <v>579</v>
      </c>
      <c r="C29" s="203" t="s">
        <v>580</v>
      </c>
      <c r="D29" s="211">
        <v>0</v>
      </c>
    </row>
    <row r="30" spans="1:4" ht="13.35" customHeight="1">
      <c r="A30" s="205">
        <v>21</v>
      </c>
      <c r="B30" s="203" t="s">
        <v>581</v>
      </c>
      <c r="C30" s="203" t="s">
        <v>580</v>
      </c>
      <c r="D30" s="211">
        <v>581481</v>
      </c>
    </row>
    <row r="31" spans="1:4" ht="13.35" customHeight="1" thickBot="1">
      <c r="A31" s="205">
        <v>22</v>
      </c>
      <c r="B31" s="203" t="s">
        <v>578</v>
      </c>
      <c r="C31" s="203" t="s">
        <v>582</v>
      </c>
      <c r="D31" s="213">
        <f>SUM(D29:D30)</f>
        <v>581481</v>
      </c>
    </row>
    <row r="32" spans="1:4" ht="13.35" customHeight="1" thickTop="1">
      <c r="A32" s="205"/>
      <c r="D32" s="219"/>
    </row>
    <row r="33" spans="1:4" ht="13.35" customHeight="1">
      <c r="A33" s="379" t="s">
        <v>552</v>
      </c>
      <c r="B33" s="220"/>
      <c r="D33" s="219"/>
    </row>
    <row r="34" spans="1:4" ht="25.5" customHeight="1">
      <c r="A34" s="418" t="s">
        <v>419</v>
      </c>
      <c r="B34" s="948" t="s">
        <v>583</v>
      </c>
      <c r="C34" s="948"/>
      <c r="D34" s="948"/>
    </row>
    <row r="35" spans="1:4" ht="33" customHeight="1">
      <c r="A35" s="418" t="s">
        <v>421</v>
      </c>
      <c r="B35" s="948" t="s">
        <v>584</v>
      </c>
      <c r="C35" s="948"/>
      <c r="D35" s="948"/>
    </row>
    <row r="36" spans="1:4" ht="17.25" customHeight="1">
      <c r="A36" s="418" t="s">
        <v>423</v>
      </c>
      <c r="B36" s="948" t="s">
        <v>585</v>
      </c>
      <c r="C36" s="948"/>
      <c r="D36" s="948"/>
    </row>
    <row r="37" spans="1:4" ht="25.5" customHeight="1">
      <c r="A37" s="418" t="s">
        <v>425</v>
      </c>
      <c r="B37" s="948" t="s">
        <v>586</v>
      </c>
      <c r="C37" s="948"/>
      <c r="D37" s="948"/>
    </row>
    <row r="38" spans="1:4">
      <c r="A38" s="205"/>
    </row>
    <row r="39" spans="1:4">
      <c r="A39" s="205"/>
    </row>
    <row r="40" spans="1:4">
      <c r="A40" s="205"/>
    </row>
    <row r="41" spans="1:4">
      <c r="A41" s="205"/>
    </row>
    <row r="42" spans="1:4">
      <c r="A42" s="205"/>
    </row>
    <row r="43" spans="1:4">
      <c r="A43" s="205"/>
    </row>
    <row r="44" spans="1:4">
      <c r="A44" s="205"/>
    </row>
    <row r="45" spans="1:4">
      <c r="A45" s="205"/>
    </row>
    <row r="46" spans="1:4">
      <c r="A46" s="205"/>
    </row>
    <row r="47" spans="1:4">
      <c r="A47" s="205"/>
    </row>
    <row r="49" ht="25.5" customHeight="1"/>
  </sheetData>
  <mergeCells count="7">
    <mergeCell ref="B37:D37"/>
    <mergeCell ref="B36:D36"/>
    <mergeCell ref="B35:D35"/>
    <mergeCell ref="A1:D1"/>
    <mergeCell ref="A2:D2"/>
    <mergeCell ref="A3:D3"/>
    <mergeCell ref="B34:D34"/>
  </mergeCells>
  <pageMargins left="0.75" right="0.75" top="1" bottom="1" header="0.5" footer="0.5"/>
  <pageSetup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59999389629810485"/>
    <pageSetUpPr fitToPage="1"/>
  </sheetPr>
  <dimension ref="A1:F83"/>
  <sheetViews>
    <sheetView workbookViewId="0">
      <selection sqref="A1:F1"/>
    </sheetView>
  </sheetViews>
  <sheetFormatPr defaultRowHeight="12.75"/>
  <cols>
    <col min="1" max="1" width="6.109375" style="2" customWidth="1"/>
    <col min="2" max="2" width="36.44140625" style="2" bestFit="1" customWidth="1"/>
    <col min="3" max="3" width="38.6640625" style="2" bestFit="1" customWidth="1"/>
    <col min="4" max="4" width="12.21875" style="2" bestFit="1" customWidth="1"/>
    <col min="5" max="5" width="12.109375" style="2" bestFit="1" customWidth="1"/>
    <col min="6" max="6" width="15.5546875" style="2" bestFit="1" customWidth="1"/>
    <col min="7" max="245" width="8.77734375" style="2"/>
    <col min="246" max="246" width="6.109375" style="2" customWidth="1"/>
    <col min="247" max="249" width="11.77734375" style="2" customWidth="1"/>
    <col min="250" max="251" width="9.77734375" style="2" customWidth="1"/>
    <col min="252" max="252" width="15.109375" style="2" bestFit="1" customWidth="1"/>
    <col min="253" max="501" width="8.77734375" style="2"/>
    <col min="502" max="502" width="6.109375" style="2" customWidth="1"/>
    <col min="503" max="505" width="11.77734375" style="2" customWidth="1"/>
    <col min="506" max="507" width="9.77734375" style="2" customWidth="1"/>
    <col min="508" max="508" width="15.109375" style="2" bestFit="1" customWidth="1"/>
    <col min="509" max="757" width="8.77734375" style="2"/>
    <col min="758" max="758" width="6.109375" style="2" customWidth="1"/>
    <col min="759" max="761" width="11.77734375" style="2" customWidth="1"/>
    <col min="762" max="763" width="9.77734375" style="2" customWidth="1"/>
    <col min="764" max="764" width="15.109375" style="2" bestFit="1" customWidth="1"/>
    <col min="765" max="1013" width="8.77734375" style="2"/>
    <col min="1014" max="1014" width="6.109375" style="2" customWidth="1"/>
    <col min="1015" max="1017" width="11.77734375" style="2" customWidth="1"/>
    <col min="1018" max="1019" width="9.77734375" style="2" customWidth="1"/>
    <col min="1020" max="1020" width="15.109375" style="2" bestFit="1" customWidth="1"/>
    <col min="1021" max="1269" width="8.77734375" style="2"/>
    <col min="1270" max="1270" width="6.109375" style="2" customWidth="1"/>
    <col min="1271" max="1273" width="11.77734375" style="2" customWidth="1"/>
    <col min="1274" max="1275" width="9.77734375" style="2" customWidth="1"/>
    <col min="1276" max="1276" width="15.109375" style="2" bestFit="1" customWidth="1"/>
    <col min="1277" max="1525" width="8.77734375" style="2"/>
    <col min="1526" max="1526" width="6.109375" style="2" customWidth="1"/>
    <col min="1527" max="1529" width="11.77734375" style="2" customWidth="1"/>
    <col min="1530" max="1531" width="9.77734375" style="2" customWidth="1"/>
    <col min="1532" max="1532" width="15.109375" style="2" bestFit="1" customWidth="1"/>
    <col min="1533" max="1781" width="8.77734375" style="2"/>
    <col min="1782" max="1782" width="6.109375" style="2" customWidth="1"/>
    <col min="1783" max="1785" width="11.77734375" style="2" customWidth="1"/>
    <col min="1786" max="1787" width="9.77734375" style="2" customWidth="1"/>
    <col min="1788" max="1788" width="15.109375" style="2" bestFit="1" customWidth="1"/>
    <col min="1789" max="2037" width="8.77734375" style="2"/>
    <col min="2038" max="2038" width="6.109375" style="2" customWidth="1"/>
    <col min="2039" max="2041" width="11.77734375" style="2" customWidth="1"/>
    <col min="2042" max="2043" width="9.77734375" style="2" customWidth="1"/>
    <col min="2044" max="2044" width="15.109375" style="2" bestFit="1" customWidth="1"/>
    <col min="2045" max="2293" width="8.77734375" style="2"/>
    <col min="2294" max="2294" width="6.109375" style="2" customWidth="1"/>
    <col min="2295" max="2297" width="11.77734375" style="2" customWidth="1"/>
    <col min="2298" max="2299" width="9.77734375" style="2" customWidth="1"/>
    <col min="2300" max="2300" width="15.109375" style="2" bestFit="1" customWidth="1"/>
    <col min="2301" max="2549" width="8.77734375" style="2"/>
    <col min="2550" max="2550" width="6.109375" style="2" customWidth="1"/>
    <col min="2551" max="2553" width="11.77734375" style="2" customWidth="1"/>
    <col min="2554" max="2555" width="9.77734375" style="2" customWidth="1"/>
    <col min="2556" max="2556" width="15.109375" style="2" bestFit="1" customWidth="1"/>
    <col min="2557" max="2805" width="8.77734375" style="2"/>
    <col min="2806" max="2806" width="6.109375" style="2" customWidth="1"/>
    <col min="2807" max="2809" width="11.77734375" style="2" customWidth="1"/>
    <col min="2810" max="2811" width="9.77734375" style="2" customWidth="1"/>
    <col min="2812" max="2812" width="15.109375" style="2" bestFit="1" customWidth="1"/>
    <col min="2813" max="3061" width="8.77734375" style="2"/>
    <col min="3062" max="3062" width="6.109375" style="2" customWidth="1"/>
    <col min="3063" max="3065" width="11.77734375" style="2" customWidth="1"/>
    <col min="3066" max="3067" width="9.77734375" style="2" customWidth="1"/>
    <col min="3068" max="3068" width="15.109375" style="2" bestFit="1" customWidth="1"/>
    <col min="3069" max="3317" width="8.77734375" style="2"/>
    <col min="3318" max="3318" width="6.109375" style="2" customWidth="1"/>
    <col min="3319" max="3321" width="11.77734375" style="2" customWidth="1"/>
    <col min="3322" max="3323" width="9.77734375" style="2" customWidth="1"/>
    <col min="3324" max="3324" width="15.109375" style="2" bestFit="1" customWidth="1"/>
    <col min="3325" max="3573" width="8.77734375" style="2"/>
    <col min="3574" max="3574" width="6.109375" style="2" customWidth="1"/>
    <col min="3575" max="3577" width="11.77734375" style="2" customWidth="1"/>
    <col min="3578" max="3579" width="9.77734375" style="2" customWidth="1"/>
    <col min="3580" max="3580" width="15.109375" style="2" bestFit="1" customWidth="1"/>
    <col min="3581" max="3829" width="8.77734375" style="2"/>
    <col min="3830" max="3830" width="6.109375" style="2" customWidth="1"/>
    <col min="3831" max="3833" width="11.77734375" style="2" customWidth="1"/>
    <col min="3834" max="3835" width="9.77734375" style="2" customWidth="1"/>
    <col min="3836" max="3836" width="15.109375" style="2" bestFit="1" customWidth="1"/>
    <col min="3837" max="4085" width="8.77734375" style="2"/>
    <col min="4086" max="4086" width="6.109375" style="2" customWidth="1"/>
    <col min="4087" max="4089" width="11.77734375" style="2" customWidth="1"/>
    <col min="4090" max="4091" width="9.77734375" style="2" customWidth="1"/>
    <col min="4092" max="4092" width="15.109375" style="2" bestFit="1" customWidth="1"/>
    <col min="4093" max="4341" width="8.77734375" style="2"/>
    <col min="4342" max="4342" width="6.109375" style="2" customWidth="1"/>
    <col min="4343" max="4345" width="11.77734375" style="2" customWidth="1"/>
    <col min="4346" max="4347" width="9.77734375" style="2" customWidth="1"/>
    <col min="4348" max="4348" width="15.109375" style="2" bestFit="1" customWidth="1"/>
    <col min="4349" max="4597" width="8.77734375" style="2"/>
    <col min="4598" max="4598" width="6.109375" style="2" customWidth="1"/>
    <col min="4599" max="4601" width="11.77734375" style="2" customWidth="1"/>
    <col min="4602" max="4603" width="9.77734375" style="2" customWidth="1"/>
    <col min="4604" max="4604" width="15.109375" style="2" bestFit="1" customWidth="1"/>
    <col min="4605" max="4853" width="8.77734375" style="2"/>
    <col min="4854" max="4854" width="6.109375" style="2" customWidth="1"/>
    <col min="4855" max="4857" width="11.77734375" style="2" customWidth="1"/>
    <col min="4858" max="4859" width="9.77734375" style="2" customWidth="1"/>
    <col min="4860" max="4860" width="15.109375" style="2" bestFit="1" customWidth="1"/>
    <col min="4861" max="5109" width="8.77734375" style="2"/>
    <col min="5110" max="5110" width="6.109375" style="2" customWidth="1"/>
    <col min="5111" max="5113" width="11.77734375" style="2" customWidth="1"/>
    <col min="5114" max="5115" width="9.77734375" style="2" customWidth="1"/>
    <col min="5116" max="5116" width="15.109375" style="2" bestFit="1" customWidth="1"/>
    <col min="5117" max="5365" width="8.77734375" style="2"/>
    <col min="5366" max="5366" width="6.109375" style="2" customWidth="1"/>
    <col min="5367" max="5369" width="11.77734375" style="2" customWidth="1"/>
    <col min="5370" max="5371" width="9.77734375" style="2" customWidth="1"/>
    <col min="5372" max="5372" width="15.109375" style="2" bestFit="1" customWidth="1"/>
    <col min="5373" max="5621" width="8.77734375" style="2"/>
    <col min="5622" max="5622" width="6.109375" style="2" customWidth="1"/>
    <col min="5623" max="5625" width="11.77734375" style="2" customWidth="1"/>
    <col min="5626" max="5627" width="9.77734375" style="2" customWidth="1"/>
    <col min="5628" max="5628" width="15.109375" style="2" bestFit="1" customWidth="1"/>
    <col min="5629" max="5877" width="8.77734375" style="2"/>
    <col min="5878" max="5878" width="6.109375" style="2" customWidth="1"/>
    <col min="5879" max="5881" width="11.77734375" style="2" customWidth="1"/>
    <col min="5882" max="5883" width="9.77734375" style="2" customWidth="1"/>
    <col min="5884" max="5884" width="15.109375" style="2" bestFit="1" customWidth="1"/>
    <col min="5885" max="6133" width="8.77734375" style="2"/>
    <col min="6134" max="6134" width="6.109375" style="2" customWidth="1"/>
    <col min="6135" max="6137" width="11.77734375" style="2" customWidth="1"/>
    <col min="6138" max="6139" width="9.77734375" style="2" customWidth="1"/>
    <col min="6140" max="6140" width="15.109375" style="2" bestFit="1" customWidth="1"/>
    <col min="6141" max="6389" width="8.77734375" style="2"/>
    <col min="6390" max="6390" width="6.109375" style="2" customWidth="1"/>
    <col min="6391" max="6393" width="11.77734375" style="2" customWidth="1"/>
    <col min="6394" max="6395" width="9.77734375" style="2" customWidth="1"/>
    <col min="6396" max="6396" width="15.109375" style="2" bestFit="1" customWidth="1"/>
    <col min="6397" max="6645" width="8.77734375" style="2"/>
    <col min="6646" max="6646" width="6.109375" style="2" customWidth="1"/>
    <col min="6647" max="6649" width="11.77734375" style="2" customWidth="1"/>
    <col min="6650" max="6651" width="9.77734375" style="2" customWidth="1"/>
    <col min="6652" max="6652" width="15.109375" style="2" bestFit="1" customWidth="1"/>
    <col min="6653" max="6901" width="8.77734375" style="2"/>
    <col min="6902" max="6902" width="6.109375" style="2" customWidth="1"/>
    <col min="6903" max="6905" width="11.77734375" style="2" customWidth="1"/>
    <col min="6906" max="6907" width="9.77734375" style="2" customWidth="1"/>
    <col min="6908" max="6908" width="15.109375" style="2" bestFit="1" customWidth="1"/>
    <col min="6909" max="7157" width="8.77734375" style="2"/>
    <col min="7158" max="7158" width="6.109375" style="2" customWidth="1"/>
    <col min="7159" max="7161" width="11.77734375" style="2" customWidth="1"/>
    <col min="7162" max="7163" width="9.77734375" style="2" customWidth="1"/>
    <col min="7164" max="7164" width="15.109375" style="2" bestFit="1" customWidth="1"/>
    <col min="7165" max="7413" width="8.77734375" style="2"/>
    <col min="7414" max="7414" width="6.109375" style="2" customWidth="1"/>
    <col min="7415" max="7417" width="11.77734375" style="2" customWidth="1"/>
    <col min="7418" max="7419" width="9.77734375" style="2" customWidth="1"/>
    <col min="7420" max="7420" width="15.109375" style="2" bestFit="1" customWidth="1"/>
    <col min="7421" max="7669" width="8.77734375" style="2"/>
    <col min="7670" max="7670" width="6.109375" style="2" customWidth="1"/>
    <col min="7671" max="7673" width="11.77734375" style="2" customWidth="1"/>
    <col min="7674" max="7675" width="9.77734375" style="2" customWidth="1"/>
    <col min="7676" max="7676" width="15.109375" style="2" bestFit="1" customWidth="1"/>
    <col min="7677" max="7925" width="8.77734375" style="2"/>
    <col min="7926" max="7926" width="6.109375" style="2" customWidth="1"/>
    <col min="7927" max="7929" width="11.77734375" style="2" customWidth="1"/>
    <col min="7930" max="7931" width="9.77734375" style="2" customWidth="1"/>
    <col min="7932" max="7932" width="15.109375" style="2" bestFit="1" customWidth="1"/>
    <col min="7933" max="8181" width="8.77734375" style="2"/>
    <col min="8182" max="8182" width="6.109375" style="2" customWidth="1"/>
    <col min="8183" max="8185" width="11.77734375" style="2" customWidth="1"/>
    <col min="8186" max="8187" width="9.77734375" style="2" customWidth="1"/>
    <col min="8188" max="8188" width="15.109375" style="2" bestFit="1" customWidth="1"/>
    <col min="8189" max="8437" width="8.77734375" style="2"/>
    <col min="8438" max="8438" width="6.109375" style="2" customWidth="1"/>
    <col min="8439" max="8441" width="11.77734375" style="2" customWidth="1"/>
    <col min="8442" max="8443" width="9.77734375" style="2" customWidth="1"/>
    <col min="8444" max="8444" width="15.109375" style="2" bestFit="1" customWidth="1"/>
    <col min="8445" max="8693" width="8.77734375" style="2"/>
    <col min="8694" max="8694" width="6.109375" style="2" customWidth="1"/>
    <col min="8695" max="8697" width="11.77734375" style="2" customWidth="1"/>
    <col min="8698" max="8699" width="9.77734375" style="2" customWidth="1"/>
    <col min="8700" max="8700" width="15.109375" style="2" bestFit="1" customWidth="1"/>
    <col min="8701" max="8949" width="8.77734375" style="2"/>
    <col min="8950" max="8950" width="6.109375" style="2" customWidth="1"/>
    <col min="8951" max="8953" width="11.77734375" style="2" customWidth="1"/>
    <col min="8954" max="8955" width="9.77734375" style="2" customWidth="1"/>
    <col min="8956" max="8956" width="15.109375" style="2" bestFit="1" customWidth="1"/>
    <col min="8957" max="9205" width="8.77734375" style="2"/>
    <col min="9206" max="9206" width="6.109375" style="2" customWidth="1"/>
    <col min="9207" max="9209" width="11.77734375" style="2" customWidth="1"/>
    <col min="9210" max="9211" width="9.77734375" style="2" customWidth="1"/>
    <col min="9212" max="9212" width="15.109375" style="2" bestFit="1" customWidth="1"/>
    <col min="9213" max="9461" width="8.77734375" style="2"/>
    <col min="9462" max="9462" width="6.109375" style="2" customWidth="1"/>
    <col min="9463" max="9465" width="11.77734375" style="2" customWidth="1"/>
    <col min="9466" max="9467" width="9.77734375" style="2" customWidth="1"/>
    <col min="9468" max="9468" width="15.109375" style="2" bestFit="1" customWidth="1"/>
    <col min="9469" max="9717" width="8.77734375" style="2"/>
    <col min="9718" max="9718" width="6.109375" style="2" customWidth="1"/>
    <col min="9719" max="9721" width="11.77734375" style="2" customWidth="1"/>
    <col min="9722" max="9723" width="9.77734375" style="2" customWidth="1"/>
    <col min="9724" max="9724" width="15.109375" style="2" bestFit="1" customWidth="1"/>
    <col min="9725" max="9973" width="8.77734375" style="2"/>
    <col min="9974" max="9974" width="6.109375" style="2" customWidth="1"/>
    <col min="9975" max="9977" width="11.77734375" style="2" customWidth="1"/>
    <col min="9978" max="9979" width="9.77734375" style="2" customWidth="1"/>
    <col min="9980" max="9980" width="15.109375" style="2" bestFit="1" customWidth="1"/>
    <col min="9981" max="10229" width="8.77734375" style="2"/>
    <col min="10230" max="10230" width="6.109375" style="2" customWidth="1"/>
    <col min="10231" max="10233" width="11.77734375" style="2" customWidth="1"/>
    <col min="10234" max="10235" width="9.77734375" style="2" customWidth="1"/>
    <col min="10236" max="10236" width="15.109375" style="2" bestFit="1" customWidth="1"/>
    <col min="10237" max="10485" width="8.77734375" style="2"/>
    <col min="10486" max="10486" width="6.109375" style="2" customWidth="1"/>
    <col min="10487" max="10489" width="11.77734375" style="2" customWidth="1"/>
    <col min="10490" max="10491" width="9.77734375" style="2" customWidth="1"/>
    <col min="10492" max="10492" width="15.109375" style="2" bestFit="1" customWidth="1"/>
    <col min="10493" max="10741" width="8.77734375" style="2"/>
    <col min="10742" max="10742" width="6.109375" style="2" customWidth="1"/>
    <col min="10743" max="10745" width="11.77734375" style="2" customWidth="1"/>
    <col min="10746" max="10747" width="9.77734375" style="2" customWidth="1"/>
    <col min="10748" max="10748" width="15.109375" style="2" bestFit="1" customWidth="1"/>
    <col min="10749" max="10997" width="8.77734375" style="2"/>
    <col min="10998" max="10998" width="6.109375" style="2" customWidth="1"/>
    <col min="10999" max="11001" width="11.77734375" style="2" customWidth="1"/>
    <col min="11002" max="11003" width="9.77734375" style="2" customWidth="1"/>
    <col min="11004" max="11004" width="15.109375" style="2" bestFit="1" customWidth="1"/>
    <col min="11005" max="11253" width="8.77734375" style="2"/>
    <col min="11254" max="11254" width="6.109375" style="2" customWidth="1"/>
    <col min="11255" max="11257" width="11.77734375" style="2" customWidth="1"/>
    <col min="11258" max="11259" width="9.77734375" style="2" customWidth="1"/>
    <col min="11260" max="11260" width="15.109375" style="2" bestFit="1" customWidth="1"/>
    <col min="11261" max="11509" width="8.77734375" style="2"/>
    <col min="11510" max="11510" width="6.109375" style="2" customWidth="1"/>
    <col min="11511" max="11513" width="11.77734375" style="2" customWidth="1"/>
    <col min="11514" max="11515" width="9.77734375" style="2" customWidth="1"/>
    <col min="11516" max="11516" width="15.109375" style="2" bestFit="1" customWidth="1"/>
    <col min="11517" max="11765" width="8.77734375" style="2"/>
    <col min="11766" max="11766" width="6.109375" style="2" customWidth="1"/>
    <col min="11767" max="11769" width="11.77734375" style="2" customWidth="1"/>
    <col min="11770" max="11771" width="9.77734375" style="2" customWidth="1"/>
    <col min="11772" max="11772" width="15.109375" style="2" bestFit="1" customWidth="1"/>
    <col min="11773" max="12021" width="8.77734375" style="2"/>
    <col min="12022" max="12022" width="6.109375" style="2" customWidth="1"/>
    <col min="12023" max="12025" width="11.77734375" style="2" customWidth="1"/>
    <col min="12026" max="12027" width="9.77734375" style="2" customWidth="1"/>
    <col min="12028" max="12028" width="15.109375" style="2" bestFit="1" customWidth="1"/>
    <col min="12029" max="12277" width="8.77734375" style="2"/>
    <col min="12278" max="12278" width="6.109375" style="2" customWidth="1"/>
    <col min="12279" max="12281" width="11.77734375" style="2" customWidth="1"/>
    <col min="12282" max="12283" width="9.77734375" style="2" customWidth="1"/>
    <col min="12284" max="12284" width="15.109375" style="2" bestFit="1" customWidth="1"/>
    <col min="12285" max="12533" width="8.77734375" style="2"/>
    <col min="12534" max="12534" width="6.109375" style="2" customWidth="1"/>
    <col min="12535" max="12537" width="11.77734375" style="2" customWidth="1"/>
    <col min="12538" max="12539" width="9.77734375" style="2" customWidth="1"/>
    <col min="12540" max="12540" width="15.109375" style="2" bestFit="1" customWidth="1"/>
    <col min="12541" max="12789" width="8.77734375" style="2"/>
    <col min="12790" max="12790" width="6.109375" style="2" customWidth="1"/>
    <col min="12791" max="12793" width="11.77734375" style="2" customWidth="1"/>
    <col min="12794" max="12795" width="9.77734375" style="2" customWidth="1"/>
    <col min="12796" max="12796" width="15.109375" style="2" bestFit="1" customWidth="1"/>
    <col min="12797" max="13045" width="8.77734375" style="2"/>
    <col min="13046" max="13046" width="6.109375" style="2" customWidth="1"/>
    <col min="13047" max="13049" width="11.77734375" style="2" customWidth="1"/>
    <col min="13050" max="13051" width="9.77734375" style="2" customWidth="1"/>
    <col min="13052" max="13052" width="15.109375" style="2" bestFit="1" customWidth="1"/>
    <col min="13053" max="13301" width="8.77734375" style="2"/>
    <col min="13302" max="13302" width="6.109375" style="2" customWidth="1"/>
    <col min="13303" max="13305" width="11.77734375" style="2" customWidth="1"/>
    <col min="13306" max="13307" width="9.77734375" style="2" customWidth="1"/>
    <col min="13308" max="13308" width="15.109375" style="2" bestFit="1" customWidth="1"/>
    <col min="13309" max="13557" width="8.77734375" style="2"/>
    <col min="13558" max="13558" width="6.109375" style="2" customWidth="1"/>
    <col min="13559" max="13561" width="11.77734375" style="2" customWidth="1"/>
    <col min="13562" max="13563" width="9.77734375" style="2" customWidth="1"/>
    <col min="13564" max="13564" width="15.109375" style="2" bestFit="1" customWidth="1"/>
    <col min="13565" max="13813" width="8.77734375" style="2"/>
    <col min="13814" max="13814" width="6.109375" style="2" customWidth="1"/>
    <col min="13815" max="13817" width="11.77734375" style="2" customWidth="1"/>
    <col min="13818" max="13819" width="9.77734375" style="2" customWidth="1"/>
    <col min="13820" max="13820" width="15.109375" style="2" bestFit="1" customWidth="1"/>
    <col min="13821" max="14069" width="8.77734375" style="2"/>
    <col min="14070" max="14070" width="6.109375" style="2" customWidth="1"/>
    <col min="14071" max="14073" width="11.77734375" style="2" customWidth="1"/>
    <col min="14074" max="14075" width="9.77734375" style="2" customWidth="1"/>
    <col min="14076" max="14076" width="15.109375" style="2" bestFit="1" customWidth="1"/>
    <col min="14077" max="14325" width="8.77734375" style="2"/>
    <col min="14326" max="14326" width="6.109375" style="2" customWidth="1"/>
    <col min="14327" max="14329" width="11.77734375" style="2" customWidth="1"/>
    <col min="14330" max="14331" width="9.77734375" style="2" customWidth="1"/>
    <col min="14332" max="14332" width="15.109375" style="2" bestFit="1" customWidth="1"/>
    <col min="14333" max="14581" width="8.77734375" style="2"/>
    <col min="14582" max="14582" width="6.109375" style="2" customWidth="1"/>
    <col min="14583" max="14585" width="11.77734375" style="2" customWidth="1"/>
    <col min="14586" max="14587" width="9.77734375" style="2" customWidth="1"/>
    <col min="14588" max="14588" width="15.109375" style="2" bestFit="1" customWidth="1"/>
    <col min="14589" max="14837" width="8.77734375" style="2"/>
    <col min="14838" max="14838" width="6.109375" style="2" customWidth="1"/>
    <col min="14839" max="14841" width="11.77734375" style="2" customWidth="1"/>
    <col min="14842" max="14843" width="9.77734375" style="2" customWidth="1"/>
    <col min="14844" max="14844" width="15.109375" style="2" bestFit="1" customWidth="1"/>
    <col min="14845" max="15093" width="8.77734375" style="2"/>
    <col min="15094" max="15094" width="6.109375" style="2" customWidth="1"/>
    <col min="15095" max="15097" width="11.77734375" style="2" customWidth="1"/>
    <col min="15098" max="15099" width="9.77734375" style="2" customWidth="1"/>
    <col min="15100" max="15100" width="15.109375" style="2" bestFit="1" customWidth="1"/>
    <col min="15101" max="15349" width="8.77734375" style="2"/>
    <col min="15350" max="15350" width="6.109375" style="2" customWidth="1"/>
    <col min="15351" max="15353" width="11.77734375" style="2" customWidth="1"/>
    <col min="15354" max="15355" width="9.77734375" style="2" customWidth="1"/>
    <col min="15356" max="15356" width="15.109375" style="2" bestFit="1" customWidth="1"/>
    <col min="15357" max="15605" width="8.77734375" style="2"/>
    <col min="15606" max="15606" width="6.109375" style="2" customWidth="1"/>
    <col min="15607" max="15609" width="11.77734375" style="2" customWidth="1"/>
    <col min="15610" max="15611" width="9.77734375" style="2" customWidth="1"/>
    <col min="15612" max="15612" width="15.109375" style="2" bestFit="1" customWidth="1"/>
    <col min="15613" max="15861" width="8.77734375" style="2"/>
    <col min="15862" max="15862" width="6.109375" style="2" customWidth="1"/>
    <col min="15863" max="15865" width="11.77734375" style="2" customWidth="1"/>
    <col min="15866" max="15867" width="9.77734375" style="2" customWidth="1"/>
    <col min="15868" max="15868" width="15.109375" style="2" bestFit="1" customWidth="1"/>
    <col min="15869" max="16117" width="8.77734375" style="2"/>
    <col min="16118" max="16118" width="6.109375" style="2" customWidth="1"/>
    <col min="16119" max="16121" width="11.77734375" style="2" customWidth="1"/>
    <col min="16122" max="16123" width="9.77734375" style="2" customWidth="1"/>
    <col min="16124" max="16124" width="15.109375" style="2" bestFit="1" customWidth="1"/>
    <col min="16125" max="16373" width="8.77734375" style="2"/>
    <col min="16374" max="16384" width="8.77734375" style="2" customWidth="1"/>
  </cols>
  <sheetData>
    <row r="1" spans="1:6">
      <c r="A1" s="949" t="s">
        <v>26</v>
      </c>
      <c r="B1" s="949"/>
      <c r="C1" s="949"/>
      <c r="D1" s="949"/>
      <c r="E1" s="949"/>
      <c r="F1" s="949"/>
    </row>
    <row r="2" spans="1:6">
      <c r="A2" s="949" t="s">
        <v>587</v>
      </c>
      <c r="B2" s="949"/>
      <c r="C2" s="949"/>
      <c r="D2" s="949"/>
      <c r="E2" s="949"/>
      <c r="F2" s="949"/>
    </row>
    <row r="3" spans="1:6">
      <c r="A3" s="950" t="str">
        <f>'Act Att-H'!C7</f>
        <v>Cheyenne Light, Fuel &amp; Power</v>
      </c>
      <c r="B3" s="950"/>
      <c r="C3" s="950"/>
      <c r="D3" s="950"/>
      <c r="E3" s="950"/>
      <c r="F3" s="950"/>
    </row>
    <row r="4" spans="1:6" s="215" customFormat="1"/>
    <row r="5" spans="1:6">
      <c r="A5" s="423"/>
      <c r="B5" s="423"/>
      <c r="C5" s="423"/>
      <c r="D5" s="423"/>
      <c r="E5" s="423"/>
      <c r="F5" s="423"/>
    </row>
    <row r="7" spans="1:6">
      <c r="A7" s="422"/>
      <c r="B7" s="422"/>
      <c r="C7" s="185"/>
      <c r="D7" s="185" t="s">
        <v>588</v>
      </c>
      <c r="E7" s="185" t="s">
        <v>589</v>
      </c>
    </row>
    <row r="8" spans="1:6">
      <c r="B8" s="422"/>
      <c r="C8" s="185"/>
      <c r="D8" s="185" t="s">
        <v>590</v>
      </c>
      <c r="E8" s="185" t="s">
        <v>591</v>
      </c>
      <c r="F8" s="222"/>
    </row>
    <row r="9" spans="1:6">
      <c r="A9" s="423" t="s">
        <v>83</v>
      </c>
      <c r="B9" s="185" t="s">
        <v>556</v>
      </c>
      <c r="C9" s="185" t="s">
        <v>592</v>
      </c>
      <c r="D9" s="713"/>
      <c r="E9" s="713"/>
      <c r="F9" s="185" t="s">
        <v>593</v>
      </c>
    </row>
    <row r="10" spans="1:6" ht="13.5" thickBot="1">
      <c r="A10" s="425" t="s">
        <v>85</v>
      </c>
      <c r="B10" s="424" t="s">
        <v>490</v>
      </c>
      <c r="C10" s="424" t="s">
        <v>491</v>
      </c>
      <c r="D10" s="424" t="s">
        <v>492</v>
      </c>
      <c r="E10" s="424" t="s">
        <v>493</v>
      </c>
      <c r="F10" s="424" t="s">
        <v>537</v>
      </c>
    </row>
    <row r="11" spans="1:6">
      <c r="A11" s="205">
        <v>1</v>
      </c>
    </row>
    <row r="12" spans="1:6" ht="15" customHeight="1">
      <c r="A12" s="205">
        <f t="shared" ref="A12:A15" si="0">+A11+1</f>
        <v>2</v>
      </c>
      <c r="B12" s="420" t="s">
        <v>594</v>
      </c>
      <c r="C12" s="206" t="s">
        <v>595</v>
      </c>
      <c r="D12" s="421">
        <v>0</v>
      </c>
      <c r="E12" s="421">
        <v>0</v>
      </c>
      <c r="F12" s="207">
        <f>(D12+E12)/2</f>
        <v>0</v>
      </c>
    </row>
    <row r="13" spans="1:6" ht="15" customHeight="1">
      <c r="A13" s="205">
        <f t="shared" si="0"/>
        <v>3</v>
      </c>
      <c r="B13" s="420" t="s">
        <v>596</v>
      </c>
      <c r="C13" s="206" t="s">
        <v>597</v>
      </c>
      <c r="D13" s="913">
        <v>-84866187</v>
      </c>
      <c r="E13" s="913">
        <v>-86866444</v>
      </c>
      <c r="F13" s="914">
        <f>(D13+E13)/2</f>
        <v>-85866315.5</v>
      </c>
    </row>
    <row r="14" spans="1:6" ht="15" customHeight="1">
      <c r="A14" s="205">
        <f t="shared" si="0"/>
        <v>4</v>
      </c>
      <c r="B14" s="420" t="s">
        <v>598</v>
      </c>
      <c r="C14" s="206" t="s">
        <v>599</v>
      </c>
      <c r="D14" s="913">
        <v>-7033964</v>
      </c>
      <c r="E14" s="913">
        <v>-8545458</v>
      </c>
      <c r="F14" s="914">
        <f>(D14+E14)/2</f>
        <v>-7789711</v>
      </c>
    </row>
    <row r="15" spans="1:6" ht="15" customHeight="1">
      <c r="A15" s="205">
        <f t="shared" si="0"/>
        <v>5</v>
      </c>
      <c r="B15" s="420" t="s">
        <v>192</v>
      </c>
      <c r="C15" s="206" t="s">
        <v>600</v>
      </c>
      <c r="D15" s="913">
        <v>27635409</v>
      </c>
      <c r="E15" s="913">
        <v>27736908</v>
      </c>
      <c r="F15" s="914">
        <f>(D15+E15)/2</f>
        <v>27686158.5</v>
      </c>
    </row>
    <row r="16" spans="1:6">
      <c r="A16" s="205">
        <v>6</v>
      </c>
      <c r="D16" s="914"/>
      <c r="E16" s="914"/>
      <c r="F16" s="914"/>
    </row>
    <row r="17" spans="1:6">
      <c r="A17" s="205">
        <v>7</v>
      </c>
      <c r="B17" s="691" t="s">
        <v>601</v>
      </c>
      <c r="C17" s="207"/>
      <c r="D17" s="915"/>
      <c r="E17" s="915"/>
      <c r="F17" s="915"/>
    </row>
    <row r="18" spans="1:6">
      <c r="A18" s="205">
        <v>8</v>
      </c>
      <c r="B18" s="644" t="s">
        <v>602</v>
      </c>
      <c r="C18" s="207"/>
      <c r="D18" s="915"/>
      <c r="E18" s="915"/>
      <c r="F18" s="915"/>
    </row>
    <row r="19" spans="1:6">
      <c r="A19" s="205">
        <f>A18+1</f>
        <v>9</v>
      </c>
      <c r="B19" s="420" t="s">
        <v>603</v>
      </c>
      <c r="C19" s="206" t="s">
        <v>604</v>
      </c>
      <c r="D19" s="913">
        <v>2288392</v>
      </c>
      <c r="E19" s="913">
        <v>3744416</v>
      </c>
      <c r="F19" s="914">
        <f t="shared" ref="F19:F21" si="1">(D19+E19)/2</f>
        <v>3016404</v>
      </c>
    </row>
    <row r="20" spans="1:6">
      <c r="A20" s="205">
        <f t="shared" ref="A20:A24" si="2">A19+1</f>
        <v>10</v>
      </c>
      <c r="B20" s="420" t="s">
        <v>605</v>
      </c>
      <c r="C20" s="206" t="s">
        <v>606</v>
      </c>
      <c r="D20" s="913">
        <v>-542</v>
      </c>
      <c r="E20" s="913">
        <v>-539</v>
      </c>
      <c r="F20" s="914">
        <f t="shared" si="1"/>
        <v>-540.5</v>
      </c>
    </row>
    <row r="21" spans="1:6">
      <c r="A21" s="205">
        <f t="shared" si="2"/>
        <v>11</v>
      </c>
      <c r="B21" s="420" t="s">
        <v>607</v>
      </c>
      <c r="C21" s="206">
        <v>278</v>
      </c>
      <c r="D21" s="913">
        <v>-722286</v>
      </c>
      <c r="E21" s="913">
        <v>-617330</v>
      </c>
      <c r="F21" s="914">
        <f t="shared" si="1"/>
        <v>-669808</v>
      </c>
    </row>
    <row r="22" spans="1:6">
      <c r="A22" s="205">
        <f t="shared" si="2"/>
        <v>12</v>
      </c>
      <c r="B22" s="420" t="s">
        <v>409</v>
      </c>
      <c r="C22" s="207"/>
      <c r="D22" s="915"/>
      <c r="E22" s="915"/>
      <c r="F22" s="915">
        <f>SUM(F19:F21)</f>
        <v>2346055.5</v>
      </c>
    </row>
    <row r="23" spans="1:6">
      <c r="A23" s="205">
        <f t="shared" si="2"/>
        <v>13</v>
      </c>
      <c r="B23" s="420" t="s">
        <v>608</v>
      </c>
      <c r="C23" s="207"/>
      <c r="D23" s="58"/>
      <c r="E23" s="58"/>
      <c r="F23" s="645">
        <f>'Act Att-H'!D259</f>
        <v>0.21</v>
      </c>
    </row>
    <row r="24" spans="1:6">
      <c r="A24" s="205">
        <f t="shared" si="2"/>
        <v>14</v>
      </c>
      <c r="B24" s="420" t="s">
        <v>609</v>
      </c>
      <c r="C24" s="207"/>
      <c r="D24" s="58"/>
      <c r="E24" s="58"/>
      <c r="F24" s="916">
        <f>F22*F23</f>
        <v>492671.65499999997</v>
      </c>
    </row>
    <row r="25" spans="1:6">
      <c r="A25" s="864"/>
      <c r="B25" s="420"/>
      <c r="C25" s="207"/>
      <c r="D25" s="58"/>
      <c r="E25" s="58"/>
      <c r="F25" s="58"/>
    </row>
    <row r="26" spans="1:6" ht="15" customHeight="1">
      <c r="A26" s="864"/>
      <c r="C26" s="221"/>
      <c r="D26" s="221"/>
    </row>
    <row r="27" spans="1:6">
      <c r="A27" s="205"/>
      <c r="B27" s="420"/>
      <c r="C27" s="207"/>
      <c r="D27" s="58"/>
      <c r="E27" s="58"/>
      <c r="F27" s="58"/>
    </row>
    <row r="28" spans="1:6">
      <c r="A28" s="379" t="s">
        <v>610</v>
      </c>
    </row>
    <row r="29" spans="1:6" ht="16.350000000000001" customHeight="1">
      <c r="A29" s="426" t="s">
        <v>419</v>
      </c>
      <c r="B29" s="952" t="s">
        <v>611</v>
      </c>
      <c r="C29" s="952"/>
      <c r="D29" s="952"/>
      <c r="E29" s="952"/>
      <c r="F29" s="952"/>
    </row>
    <row r="30" spans="1:6" ht="16.350000000000001" customHeight="1">
      <c r="A30" s="426" t="s">
        <v>421</v>
      </c>
      <c r="B30" s="952" t="s">
        <v>612</v>
      </c>
      <c r="C30" s="952"/>
      <c r="D30" s="952"/>
      <c r="E30" s="952"/>
      <c r="F30" s="952"/>
    </row>
    <row r="31" spans="1:6">
      <c r="A31" s="418" t="s">
        <v>423</v>
      </c>
      <c r="B31" s="920" t="s">
        <v>613</v>
      </c>
      <c r="C31" s="920"/>
      <c r="D31" s="920"/>
      <c r="E31" s="920"/>
      <c r="F31" s="920"/>
    </row>
    <row r="32" spans="1:6">
      <c r="A32" s="418" t="s">
        <v>425</v>
      </c>
      <c r="B32" s="920" t="s">
        <v>613</v>
      </c>
      <c r="C32" s="920"/>
      <c r="D32" s="920"/>
      <c r="E32" s="920"/>
      <c r="F32" s="920"/>
    </row>
    <row r="33" spans="1:6">
      <c r="A33" s="418" t="s">
        <v>427</v>
      </c>
      <c r="B33" s="928" t="s">
        <v>614</v>
      </c>
      <c r="C33" s="928"/>
      <c r="D33" s="928"/>
      <c r="E33" s="928"/>
      <c r="F33" s="928"/>
    </row>
    <row r="34" spans="1:6">
      <c r="A34" s="418"/>
      <c r="B34" s="11"/>
      <c r="C34" s="11"/>
      <c r="D34" s="11"/>
      <c r="E34" s="11"/>
      <c r="F34" s="11"/>
    </row>
    <row r="35" spans="1:6">
      <c r="A35" s="418"/>
      <c r="B35" s="11"/>
      <c r="C35" s="11"/>
      <c r="D35" s="11"/>
      <c r="E35" s="11"/>
      <c r="F35" s="11"/>
    </row>
    <row r="36" spans="1:6">
      <c r="A36" s="205"/>
    </row>
    <row r="37" spans="1:6">
      <c r="A37" s="26"/>
      <c r="C37" s="221"/>
      <c r="D37" s="221"/>
    </row>
    <row r="38" spans="1:6">
      <c r="A38" s="205"/>
      <c r="C38" s="221"/>
      <c r="D38" s="221"/>
    </row>
    <row r="39" spans="1:6">
      <c r="A39" s="205"/>
      <c r="C39" s="221"/>
      <c r="D39" s="221"/>
    </row>
    <row r="40" spans="1:6">
      <c r="A40" s="205"/>
      <c r="C40" s="221"/>
      <c r="D40" s="221"/>
    </row>
    <row r="41" spans="1:6">
      <c r="A41" s="205"/>
      <c r="C41" s="221"/>
      <c r="D41" s="221"/>
    </row>
    <row r="42" spans="1:6">
      <c r="C42" s="221"/>
      <c r="D42" s="221"/>
    </row>
    <row r="46" spans="1:6" ht="15" customHeight="1"/>
    <row r="50" ht="15" customHeight="1"/>
    <row r="58" ht="15" customHeight="1"/>
    <row r="61" ht="15" customHeight="1"/>
    <row r="71" spans="2:6" ht="12.75" customHeight="1">
      <c r="B71" s="876"/>
      <c r="C71" s="876"/>
      <c r="D71" s="876"/>
      <c r="E71" s="876"/>
      <c r="F71" s="876"/>
    </row>
    <row r="72" spans="2:6">
      <c r="B72" s="876"/>
      <c r="C72" s="876"/>
      <c r="D72" s="876"/>
      <c r="E72" s="876"/>
      <c r="F72" s="876"/>
    </row>
    <row r="73" spans="2:6">
      <c r="B73" s="876"/>
      <c r="C73" s="876"/>
      <c r="D73" s="876"/>
      <c r="E73" s="876"/>
      <c r="F73" s="876"/>
    </row>
    <row r="74" spans="2:6">
      <c r="B74" s="876"/>
      <c r="C74" s="876"/>
      <c r="D74" s="876"/>
      <c r="E74" s="876"/>
      <c r="F74" s="876"/>
    </row>
    <row r="75" spans="2:6">
      <c r="B75" s="876"/>
      <c r="C75" s="876"/>
      <c r="D75" s="876"/>
      <c r="E75" s="876"/>
      <c r="F75" s="876"/>
    </row>
    <row r="76" spans="2:6" ht="12.75" customHeight="1">
      <c r="B76" s="876"/>
      <c r="C76" s="876"/>
      <c r="D76" s="876"/>
      <c r="E76" s="876"/>
      <c r="F76" s="876"/>
    </row>
    <row r="77" spans="2:6" ht="12.75" customHeight="1">
      <c r="B77" s="876"/>
      <c r="C77" s="876"/>
      <c r="D77" s="876"/>
      <c r="E77" s="876"/>
      <c r="F77" s="876"/>
    </row>
    <row r="78" spans="2:6" ht="12.75" customHeight="1">
      <c r="B78" s="920"/>
      <c r="C78" s="920"/>
      <c r="D78" s="920"/>
      <c r="E78" s="920"/>
      <c r="F78" s="920"/>
    </row>
    <row r="79" spans="2:6">
      <c r="B79" s="951"/>
      <c r="C79" s="951"/>
      <c r="D79" s="951"/>
      <c r="E79" s="951"/>
      <c r="F79" s="951"/>
    </row>
    <row r="80" spans="2:6">
      <c r="B80" s="951"/>
      <c r="C80" s="951"/>
      <c r="D80" s="951"/>
      <c r="E80" s="951"/>
      <c r="F80" s="951"/>
    </row>
    <row r="81" spans="2:6">
      <c r="B81" s="951"/>
      <c r="C81" s="951"/>
      <c r="D81" s="951"/>
      <c r="E81" s="951"/>
      <c r="F81" s="951"/>
    </row>
    <row r="82" spans="2:6">
      <c r="B82" s="951"/>
      <c r="C82" s="951"/>
      <c r="D82" s="951"/>
      <c r="E82" s="951"/>
      <c r="F82" s="951"/>
    </row>
    <row r="83" spans="2:6">
      <c r="B83" s="951"/>
      <c r="C83" s="951"/>
      <c r="D83" s="951"/>
      <c r="E83" s="951"/>
      <c r="F83" s="951"/>
    </row>
  </sheetData>
  <mergeCells count="14">
    <mergeCell ref="A1:F1"/>
    <mergeCell ref="A2:F2"/>
    <mergeCell ref="A3:F3"/>
    <mergeCell ref="B29:F29"/>
    <mergeCell ref="B30:F30"/>
    <mergeCell ref="B32:F32"/>
    <mergeCell ref="B31:F31"/>
    <mergeCell ref="B33:F33"/>
    <mergeCell ref="B82:F82"/>
    <mergeCell ref="B83:F83"/>
    <mergeCell ref="B79:F79"/>
    <mergeCell ref="B78:F78"/>
    <mergeCell ref="B80:F80"/>
    <mergeCell ref="B81:F81"/>
  </mergeCells>
  <printOptions horizontalCentered="1"/>
  <pageMargins left="0.25" right="0.25" top="0.25" bottom="0.25" header="0.5" footer="0.5"/>
  <pageSetup scale="7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05D2F-7D4E-4012-AF1D-9FD3208098D1}">
  <sheetPr>
    <tabColor theme="6" tint="0.59999389629810485"/>
    <pageSetUpPr fitToPage="1"/>
  </sheetPr>
  <dimension ref="A1:R63"/>
  <sheetViews>
    <sheetView topLeftCell="B1" zoomScale="96" zoomScaleNormal="96" workbookViewId="0">
      <selection sqref="A1:H1"/>
    </sheetView>
  </sheetViews>
  <sheetFormatPr defaultColWidth="8.88671875" defaultRowHeight="15"/>
  <cols>
    <col min="1" max="1" width="8.88671875" style="744" hidden="1" customWidth="1"/>
    <col min="2" max="2" width="8.88671875" style="744" customWidth="1"/>
    <col min="3" max="3" width="61.6640625" style="744" customWidth="1"/>
    <col min="4" max="4" width="12.77734375" style="744" bestFit="1" customWidth="1"/>
    <col min="5" max="5" width="9.6640625" style="744" customWidth="1"/>
    <col min="6" max="6" width="11.77734375" style="744" customWidth="1"/>
    <col min="7" max="7" width="15.109375" style="744" bestFit="1" customWidth="1"/>
    <col min="8" max="8" width="11.77734375" style="744" customWidth="1"/>
    <col min="9" max="9" width="10.77734375" style="744" bestFit="1" customWidth="1"/>
    <col min="10" max="10" width="15.109375" style="744" customWidth="1"/>
    <col min="11" max="12" width="8.88671875" style="744"/>
    <col min="13" max="13" width="11.5546875" style="744" bestFit="1" customWidth="1"/>
    <col min="14" max="14" width="13.21875" style="744" customWidth="1"/>
    <col min="15" max="15" width="12.109375" style="744" customWidth="1"/>
    <col min="16" max="16" width="11.5546875" style="744" bestFit="1" customWidth="1"/>
    <col min="17" max="17" width="8.88671875" style="744"/>
    <col min="18" max="18" width="17" style="744" customWidth="1"/>
    <col min="19" max="16384" width="8.88671875" style="744"/>
  </cols>
  <sheetData>
    <row r="1" spans="2:18">
      <c r="H1" s="745" t="s">
        <v>29</v>
      </c>
    </row>
    <row r="2" spans="2:18">
      <c r="B2" s="954" t="s">
        <v>615</v>
      </c>
      <c r="C2" s="954"/>
      <c r="D2" s="954"/>
      <c r="E2" s="954"/>
      <c r="F2" s="954"/>
      <c r="G2" s="954"/>
      <c r="H2" s="954"/>
      <c r="I2" s="954"/>
      <c r="J2" s="954"/>
      <c r="K2" s="954"/>
      <c r="L2" s="954"/>
      <c r="M2" s="954"/>
      <c r="N2" s="954"/>
      <c r="O2" s="954"/>
      <c r="P2" s="954"/>
      <c r="Q2" s="954"/>
      <c r="R2" s="954"/>
    </row>
    <row r="3" spans="2:18">
      <c r="B3" s="954" t="s">
        <v>82</v>
      </c>
      <c r="C3" s="954"/>
      <c r="D3" s="954"/>
      <c r="E3" s="954"/>
      <c r="F3" s="954"/>
      <c r="G3" s="954"/>
      <c r="H3" s="954"/>
      <c r="I3" s="954"/>
      <c r="J3" s="954"/>
      <c r="K3" s="954"/>
      <c r="L3" s="954"/>
      <c r="M3" s="954"/>
      <c r="N3" s="954"/>
      <c r="O3" s="954"/>
      <c r="P3" s="954"/>
      <c r="Q3" s="954"/>
      <c r="R3" s="954"/>
    </row>
    <row r="4" spans="2:18">
      <c r="B4" s="954" t="s">
        <v>616</v>
      </c>
      <c r="C4" s="954"/>
      <c r="D4" s="954"/>
      <c r="E4" s="954"/>
      <c r="F4" s="954"/>
      <c r="G4" s="954"/>
      <c r="H4" s="954"/>
      <c r="I4" s="954"/>
      <c r="J4" s="954"/>
      <c r="K4" s="954"/>
      <c r="L4" s="954"/>
      <c r="M4" s="954"/>
      <c r="N4" s="954"/>
      <c r="O4" s="954"/>
      <c r="P4" s="954"/>
      <c r="Q4" s="954"/>
      <c r="R4" s="954"/>
    </row>
    <row r="5" spans="2:18">
      <c r="B5" s="747"/>
      <c r="C5" s="747"/>
      <c r="D5" s="747"/>
      <c r="E5" s="747"/>
      <c r="F5" s="747"/>
      <c r="G5" s="747"/>
      <c r="H5" s="747"/>
      <c r="I5" s="747"/>
      <c r="J5" s="747"/>
      <c r="K5" s="747"/>
      <c r="L5" s="748"/>
      <c r="M5" s="746"/>
      <c r="N5" s="746"/>
      <c r="O5" s="746"/>
      <c r="P5" s="747"/>
      <c r="Q5" s="746"/>
      <c r="R5" s="746"/>
    </row>
    <row r="6" spans="2:18">
      <c r="B6" s="746"/>
      <c r="C6" s="746"/>
      <c r="D6" s="746"/>
      <c r="E6" s="746"/>
      <c r="F6" s="746"/>
      <c r="G6" s="749"/>
      <c r="H6" s="749"/>
      <c r="I6" s="749"/>
      <c r="J6" s="749"/>
      <c r="K6" s="746"/>
      <c r="L6" s="750"/>
      <c r="M6" s="749"/>
      <c r="N6" s="749"/>
      <c r="O6" s="749"/>
      <c r="P6" s="749"/>
      <c r="Q6" s="751"/>
      <c r="R6" s="751"/>
    </row>
    <row r="7" spans="2:18">
      <c r="B7" s="746"/>
      <c r="C7" s="752"/>
      <c r="D7" s="752"/>
      <c r="E7" s="752"/>
      <c r="F7" s="752"/>
      <c r="G7" s="753"/>
      <c r="H7" s="754"/>
      <c r="I7" s="754"/>
      <c r="J7" s="753"/>
      <c r="K7" s="755"/>
      <c r="L7" s="756"/>
      <c r="M7" s="757">
        <f>+G7</f>
        <v>0</v>
      </c>
      <c r="N7" s="757">
        <f>+H7</f>
        <v>0</v>
      </c>
      <c r="O7" s="758">
        <f>I7</f>
        <v>0</v>
      </c>
      <c r="P7" s="757">
        <f>J7</f>
        <v>0</v>
      </c>
      <c r="Q7" s="751"/>
      <c r="R7" s="751"/>
    </row>
    <row r="8" spans="2:18" ht="15.75" thickBot="1">
      <c r="B8" s="759" t="s">
        <v>85</v>
      </c>
      <c r="C8" s="760" t="s">
        <v>490</v>
      </c>
      <c r="D8" s="760" t="s">
        <v>617</v>
      </c>
      <c r="E8" s="760" t="s">
        <v>618</v>
      </c>
      <c r="F8" s="760" t="s">
        <v>619</v>
      </c>
      <c r="G8" s="760" t="s">
        <v>491</v>
      </c>
      <c r="H8" s="760" t="s">
        <v>492</v>
      </c>
      <c r="I8" s="760" t="s">
        <v>493</v>
      </c>
      <c r="J8" s="760" t="s">
        <v>537</v>
      </c>
      <c r="K8" s="955" t="s">
        <v>538</v>
      </c>
      <c r="L8" s="955"/>
      <c r="M8" s="760" t="s">
        <v>539</v>
      </c>
      <c r="N8" s="760" t="s">
        <v>540</v>
      </c>
      <c r="O8" s="760" t="s">
        <v>541</v>
      </c>
      <c r="P8" s="760" t="s">
        <v>542</v>
      </c>
      <c r="Q8" s="760" t="s">
        <v>620</v>
      </c>
      <c r="R8" s="760" t="s">
        <v>621</v>
      </c>
    </row>
    <row r="9" spans="2:18">
      <c r="B9" s="749"/>
      <c r="C9" s="749"/>
      <c r="D9" s="749"/>
      <c r="E9" s="749"/>
      <c r="F9" s="749"/>
      <c r="G9" s="752"/>
      <c r="H9" s="752"/>
      <c r="I9" s="752"/>
      <c r="J9" s="752"/>
      <c r="K9" s="761"/>
      <c r="L9" s="762"/>
      <c r="M9" s="761"/>
      <c r="N9" s="761"/>
      <c r="O9" s="752"/>
      <c r="P9" s="761"/>
      <c r="Q9" s="752"/>
      <c r="R9" s="752"/>
    </row>
    <row r="10" spans="2:18" ht="54" customHeight="1">
      <c r="B10" s="763" t="s">
        <v>622</v>
      </c>
      <c r="C10" s="763" t="s">
        <v>623</v>
      </c>
      <c r="D10" s="763" t="s">
        <v>624</v>
      </c>
      <c r="E10" s="764" t="s">
        <v>625</v>
      </c>
      <c r="F10" s="764" t="s">
        <v>626</v>
      </c>
      <c r="G10" s="764" t="s">
        <v>627</v>
      </c>
      <c r="H10" s="764" t="s">
        <v>628</v>
      </c>
      <c r="I10" s="764" t="s">
        <v>629</v>
      </c>
      <c r="J10" s="764" t="s">
        <v>630</v>
      </c>
      <c r="K10" s="956" t="s">
        <v>631</v>
      </c>
      <c r="L10" s="956"/>
      <c r="M10" s="764" t="s">
        <v>632</v>
      </c>
      <c r="N10" s="764" t="s">
        <v>633</v>
      </c>
      <c r="O10" s="764" t="s">
        <v>634</v>
      </c>
      <c r="P10" s="764" t="s">
        <v>635</v>
      </c>
      <c r="Q10" s="764" t="s">
        <v>636</v>
      </c>
      <c r="R10" s="764" t="s">
        <v>637</v>
      </c>
    </row>
    <row r="11" spans="2:18">
      <c r="B11" s="761"/>
      <c r="C11" s="761"/>
      <c r="D11" s="761"/>
      <c r="E11" s="761"/>
      <c r="F11" s="761"/>
      <c r="G11" s="765"/>
      <c r="H11" s="765"/>
      <c r="I11" s="765"/>
      <c r="J11" s="765"/>
      <c r="K11" s="752"/>
      <c r="L11" s="752"/>
      <c r="M11" s="765"/>
      <c r="N11" s="765"/>
      <c r="O11" s="765"/>
      <c r="P11" s="765"/>
      <c r="Q11" s="765"/>
      <c r="R11" s="765"/>
    </row>
    <row r="12" spans="2:18">
      <c r="B12" s="766">
        <v>1</v>
      </c>
      <c r="C12" s="957" t="s">
        <v>638</v>
      </c>
      <c r="D12" s="958"/>
      <c r="E12" s="958"/>
      <c r="F12" s="958"/>
      <c r="G12" s="958"/>
      <c r="H12" s="958"/>
      <c r="I12" s="958"/>
      <c r="J12" s="958"/>
      <c r="K12" s="958"/>
      <c r="L12" s="958"/>
      <c r="M12" s="958"/>
      <c r="N12" s="958"/>
      <c r="O12" s="958"/>
      <c r="P12" s="958"/>
      <c r="Q12" s="958"/>
      <c r="R12" s="958"/>
    </row>
    <row r="13" spans="2:18">
      <c r="B13" s="766">
        <f>B12+1</f>
        <v>2</v>
      </c>
      <c r="C13" s="767" t="s">
        <v>639</v>
      </c>
      <c r="D13" s="767" t="s">
        <v>640</v>
      </c>
      <c r="E13" s="875" t="s">
        <v>1425</v>
      </c>
      <c r="F13" s="875">
        <v>232</v>
      </c>
      <c r="G13" s="769">
        <v>3033713.72</v>
      </c>
      <c r="H13" s="769"/>
      <c r="I13" s="769">
        <v>-22546.39000000013</v>
      </c>
      <c r="J13" s="769">
        <f>SUM(G13:I13)</f>
        <v>3011167.33</v>
      </c>
      <c r="K13" s="770" t="s">
        <v>641</v>
      </c>
      <c r="L13" s="771">
        <v>7.9579999999999998E-2</v>
      </c>
      <c r="M13" s="772">
        <f t="shared" ref="M13:P14" si="0">G13*$L13</f>
        <v>241422.93783760001</v>
      </c>
      <c r="N13" s="772">
        <f t="shared" si="0"/>
        <v>0</v>
      </c>
      <c r="O13" s="772">
        <f t="shared" si="0"/>
        <v>-1794.2417162000104</v>
      </c>
      <c r="P13" s="772">
        <f t="shared" si="0"/>
        <v>239628.69612139999</v>
      </c>
      <c r="Q13" s="770" t="s">
        <v>642</v>
      </c>
      <c r="R13" s="773" t="s">
        <v>643</v>
      </c>
    </row>
    <row r="14" spans="2:18">
      <c r="B14" s="766">
        <f>B13+1</f>
        <v>3</v>
      </c>
      <c r="C14" s="774" t="s">
        <v>644</v>
      </c>
      <c r="D14" s="775"/>
      <c r="E14" s="774"/>
      <c r="F14" s="774"/>
      <c r="G14" s="769"/>
      <c r="H14" s="769"/>
      <c r="I14" s="769"/>
      <c r="J14" s="769"/>
      <c r="K14" s="776"/>
      <c r="L14" s="777"/>
      <c r="M14" s="772">
        <f t="shared" si="0"/>
        <v>0</v>
      </c>
      <c r="N14" s="772">
        <f t="shared" si="0"/>
        <v>0</v>
      </c>
      <c r="O14" s="772">
        <f t="shared" si="0"/>
        <v>0</v>
      </c>
      <c r="P14" s="772">
        <f t="shared" si="0"/>
        <v>0</v>
      </c>
      <c r="Q14" s="776"/>
      <c r="R14" s="776"/>
    </row>
    <row r="15" spans="2:18">
      <c r="B15" s="766">
        <v>50</v>
      </c>
      <c r="C15" s="778" t="s">
        <v>645</v>
      </c>
      <c r="D15" s="778"/>
      <c r="E15" s="778"/>
      <c r="F15" s="778"/>
      <c r="G15" s="779">
        <f>SUM(G13:G14)</f>
        <v>3033713.72</v>
      </c>
      <c r="H15" s="779">
        <f>SUM(H13:H14)</f>
        <v>0</v>
      </c>
      <c r="I15" s="779">
        <f>SUM(I13:I14)</f>
        <v>-22546.39000000013</v>
      </c>
      <c r="J15" s="779">
        <f>SUM(J13:J14)</f>
        <v>3011167.33</v>
      </c>
      <c r="K15" s="761"/>
      <c r="L15" s="762"/>
      <c r="M15" s="779">
        <f>SUM(M13:M14)</f>
        <v>241422.93783760001</v>
      </c>
      <c r="N15" s="779">
        <f>SUM(N13:N14)</f>
        <v>0</v>
      </c>
      <c r="O15" s="779">
        <f>SUM(O13:O14)</f>
        <v>-1794.2417162000104</v>
      </c>
      <c r="P15" s="779">
        <f>SUM(P13:P14)</f>
        <v>239628.69612139999</v>
      </c>
      <c r="Q15" s="780"/>
      <c r="R15" s="780"/>
    </row>
    <row r="16" spans="2:18">
      <c r="B16" s="766"/>
      <c r="C16" s="778"/>
      <c r="D16" s="778"/>
      <c r="E16" s="778"/>
      <c r="F16" s="778"/>
      <c r="G16" s="781"/>
      <c r="H16" s="781"/>
      <c r="I16" s="781"/>
      <c r="J16" s="781"/>
      <c r="K16" s="761"/>
      <c r="L16" s="762"/>
      <c r="M16" s="781"/>
      <c r="N16" s="781"/>
      <c r="O16" s="781"/>
      <c r="P16" s="781"/>
      <c r="Q16" s="780"/>
      <c r="R16" s="780"/>
    </row>
    <row r="17" spans="2:18">
      <c r="B17" s="766">
        <v>51</v>
      </c>
      <c r="C17" s="767" t="s">
        <v>646</v>
      </c>
      <c r="D17" s="767" t="s">
        <v>640</v>
      </c>
      <c r="E17" s="768"/>
      <c r="F17" s="768"/>
      <c r="G17" s="769">
        <f>-G13*0.21</f>
        <v>-637079.88120000006</v>
      </c>
      <c r="H17" s="769">
        <f>-I13*0.21</f>
        <v>4734.7419000000273</v>
      </c>
      <c r="I17" s="782">
        <v>0</v>
      </c>
      <c r="J17" s="769">
        <f>SUM(G17:I17)</f>
        <v>-632345.13930000004</v>
      </c>
      <c r="K17" s="770" t="s">
        <v>641</v>
      </c>
      <c r="L17" s="771">
        <v>7.9579999999999998E-2</v>
      </c>
      <c r="M17" s="772">
        <f t="shared" ref="M17:P18" si="1">G17*$L17</f>
        <v>-50698.816945896004</v>
      </c>
      <c r="N17" s="772">
        <f t="shared" si="1"/>
        <v>376.79076040200215</v>
      </c>
      <c r="O17" s="772">
        <f t="shared" si="1"/>
        <v>0</v>
      </c>
      <c r="P17" s="772">
        <f t="shared" si="1"/>
        <v>-50322.026185494004</v>
      </c>
      <c r="Q17" s="770"/>
      <c r="R17" s="783"/>
    </row>
    <row r="18" spans="2:18">
      <c r="B18" s="766">
        <v>52</v>
      </c>
      <c r="C18" s="774" t="s">
        <v>644</v>
      </c>
      <c r="D18" s="775"/>
      <c r="E18" s="774"/>
      <c r="F18" s="784"/>
      <c r="G18" s="785"/>
      <c r="H18" s="786"/>
      <c r="I18" s="786"/>
      <c r="J18" s="786"/>
      <c r="K18" s="786"/>
      <c r="L18" s="776"/>
      <c r="M18" s="787">
        <f t="shared" si="1"/>
        <v>0</v>
      </c>
      <c r="N18" s="787">
        <f t="shared" si="1"/>
        <v>0</v>
      </c>
      <c r="O18" s="787">
        <f t="shared" si="1"/>
        <v>0</v>
      </c>
      <c r="P18" s="787">
        <f t="shared" si="1"/>
        <v>0</v>
      </c>
      <c r="Q18" s="788"/>
      <c r="R18" s="788"/>
    </row>
    <row r="19" spans="2:18">
      <c r="B19" s="766">
        <v>150</v>
      </c>
      <c r="C19" s="778" t="s">
        <v>647</v>
      </c>
      <c r="D19" s="778"/>
      <c r="E19" s="778"/>
      <c r="F19" s="778"/>
      <c r="G19" s="781">
        <f>SUM(G17:G18)</f>
        <v>-637079.88120000006</v>
      </c>
      <c r="H19" s="781">
        <f>SUM(H17:H18)</f>
        <v>4734.7419000000273</v>
      </c>
      <c r="I19" s="781">
        <f>SUM(I17:I18)</f>
        <v>0</v>
      </c>
      <c r="J19" s="781">
        <f>SUM(J17:J18)</f>
        <v>-632345.13930000004</v>
      </c>
      <c r="K19" s="761"/>
      <c r="L19" s="762"/>
      <c r="M19" s="781">
        <f>SUM(M17:M18)</f>
        <v>-50698.816945896004</v>
      </c>
      <c r="N19" s="781">
        <f>SUM(N17:N18)</f>
        <v>376.79076040200215</v>
      </c>
      <c r="O19" s="781">
        <f>SUM(O17:O18)</f>
        <v>0</v>
      </c>
      <c r="P19" s="781">
        <f>SUM(P17:P18)</f>
        <v>-50322.026185494004</v>
      </c>
      <c r="Q19" s="780"/>
      <c r="R19" s="780"/>
    </row>
    <row r="20" spans="2:18">
      <c r="B20" s="766">
        <v>151</v>
      </c>
      <c r="C20" s="778"/>
      <c r="D20" s="778"/>
      <c r="E20" s="778"/>
      <c r="F20" s="778"/>
      <c r="G20" s="781"/>
      <c r="H20" s="781"/>
      <c r="I20" s="781"/>
      <c r="J20" s="781"/>
      <c r="K20" s="761"/>
      <c r="L20" s="762"/>
      <c r="M20" s="781"/>
      <c r="N20" s="781"/>
      <c r="O20" s="781"/>
      <c r="P20" s="781"/>
      <c r="Q20" s="780"/>
      <c r="R20" s="780"/>
    </row>
    <row r="21" spans="2:18">
      <c r="B21" s="766">
        <v>152</v>
      </c>
      <c r="C21" s="778" t="s">
        <v>648</v>
      </c>
      <c r="D21" s="778"/>
      <c r="E21" s="778"/>
      <c r="F21" s="778"/>
      <c r="G21" s="781">
        <f>G15+G19</f>
        <v>2396633.8388</v>
      </c>
      <c r="H21" s="781">
        <f>H15+H19</f>
        <v>4734.7419000000273</v>
      </c>
      <c r="I21" s="781">
        <f>I15+I19</f>
        <v>-22546.39000000013</v>
      </c>
      <c r="J21" s="781">
        <f>J15+J19</f>
        <v>2378822.1907000002</v>
      </c>
      <c r="K21" s="761"/>
      <c r="L21" s="762"/>
      <c r="M21" s="781">
        <f>M15+M19</f>
        <v>190724.12089170399</v>
      </c>
      <c r="N21" s="781">
        <f>N15+N19</f>
        <v>376.79076040200215</v>
      </c>
      <c r="O21" s="781">
        <f>O15+O19</f>
        <v>-1794.2417162000104</v>
      </c>
      <c r="P21" s="781">
        <f>P15+P19</f>
        <v>189306.66993590599</v>
      </c>
      <c r="Q21" s="780"/>
      <c r="R21" s="780"/>
    </row>
    <row r="22" spans="2:18">
      <c r="B22" s="766"/>
      <c r="C22" s="778"/>
      <c r="D22" s="778"/>
      <c r="E22" s="778"/>
      <c r="F22" s="778"/>
      <c r="G22" s="781"/>
      <c r="H22" s="781"/>
      <c r="I22" s="781"/>
      <c r="J22" s="781"/>
      <c r="K22" s="761"/>
      <c r="L22" s="762"/>
      <c r="M22" s="781"/>
      <c r="N22" s="781"/>
      <c r="O22" s="781"/>
      <c r="P22" s="781"/>
      <c r="Q22" s="780"/>
      <c r="R22" s="780"/>
    </row>
    <row r="23" spans="2:18">
      <c r="B23" s="766">
        <v>200</v>
      </c>
      <c r="C23" s="957" t="s">
        <v>649</v>
      </c>
      <c r="D23" s="958"/>
      <c r="E23" s="958"/>
      <c r="F23" s="958"/>
      <c r="G23" s="958"/>
      <c r="H23" s="958"/>
      <c r="I23" s="958"/>
      <c r="J23" s="958"/>
      <c r="K23" s="958"/>
      <c r="L23" s="958"/>
      <c r="M23" s="958"/>
      <c r="N23" s="958"/>
      <c r="O23" s="958"/>
      <c r="P23" s="958"/>
      <c r="Q23" s="958"/>
      <c r="R23" s="958"/>
    </row>
    <row r="24" spans="2:18">
      <c r="B24" s="766">
        <f t="shared" ref="B24:B28" si="2">B23+1</f>
        <v>201</v>
      </c>
      <c r="C24" s="767" t="s">
        <v>650</v>
      </c>
      <c r="D24" s="767" t="s">
        <v>640</v>
      </c>
      <c r="E24" s="768" t="s">
        <v>1426</v>
      </c>
      <c r="F24" s="768">
        <v>278</v>
      </c>
      <c r="G24" s="769">
        <v>-36422120.719999999</v>
      </c>
      <c r="H24" s="769">
        <v>1368343.25</v>
      </c>
      <c r="I24" s="769">
        <v>-630405.61</v>
      </c>
      <c r="J24" s="769">
        <f>SUM(G24:I24)</f>
        <v>-35684183.079999998</v>
      </c>
      <c r="K24" s="770" t="s">
        <v>641</v>
      </c>
      <c r="L24" s="771">
        <v>7.9579999999999998E-2</v>
      </c>
      <c r="M24" s="772">
        <f t="shared" ref="M24:P28" si="3">G24*$L24</f>
        <v>-2898472.3668975998</v>
      </c>
      <c r="N24" s="772">
        <f t="shared" si="3"/>
        <v>108892.755835</v>
      </c>
      <c r="O24" s="772">
        <f t="shared" si="3"/>
        <v>-50167.678443799996</v>
      </c>
      <c r="P24" s="772">
        <f t="shared" si="3"/>
        <v>-2839747.2895064</v>
      </c>
      <c r="Q24" s="770" t="s">
        <v>642</v>
      </c>
      <c r="R24" s="783" t="s">
        <v>651</v>
      </c>
    </row>
    <row r="25" spans="2:18">
      <c r="B25" s="766">
        <f t="shared" si="2"/>
        <v>202</v>
      </c>
      <c r="C25" s="767" t="s">
        <v>652</v>
      </c>
      <c r="D25" s="767" t="s">
        <v>640</v>
      </c>
      <c r="E25" s="768" t="s">
        <v>1426</v>
      </c>
      <c r="F25" s="768">
        <v>278</v>
      </c>
      <c r="G25" s="769"/>
      <c r="H25" s="769"/>
      <c r="I25" s="769"/>
      <c r="J25" s="769">
        <f t="shared" ref="J25:J26" si="4">SUM(G25:I25)</f>
        <v>0</v>
      </c>
      <c r="K25" s="783" t="s">
        <v>641</v>
      </c>
      <c r="L25" s="771">
        <v>7.9579999999999998E-2</v>
      </c>
      <c r="M25" s="772">
        <f t="shared" si="3"/>
        <v>0</v>
      </c>
      <c r="N25" s="772">
        <f t="shared" si="3"/>
        <v>0</v>
      </c>
      <c r="O25" s="772">
        <f t="shared" si="3"/>
        <v>0</v>
      </c>
      <c r="P25" s="772">
        <f t="shared" si="3"/>
        <v>0</v>
      </c>
      <c r="Q25" s="783" t="s">
        <v>642</v>
      </c>
      <c r="R25" s="773" t="s">
        <v>643</v>
      </c>
    </row>
    <row r="26" spans="2:18">
      <c r="B26" s="766">
        <f t="shared" si="2"/>
        <v>203</v>
      </c>
      <c r="C26" s="767" t="s">
        <v>653</v>
      </c>
      <c r="D26" s="767" t="s">
        <v>640</v>
      </c>
      <c r="E26" s="768">
        <v>182.3</v>
      </c>
      <c r="F26" s="768">
        <v>232</v>
      </c>
      <c r="G26" s="769">
        <v>868267.67</v>
      </c>
      <c r="H26" s="769">
        <v>103137.39</v>
      </c>
      <c r="I26" s="769">
        <v>-582844.37</v>
      </c>
      <c r="J26" s="769">
        <f t="shared" si="4"/>
        <v>388560.69000000006</v>
      </c>
      <c r="K26" s="783" t="s">
        <v>641</v>
      </c>
      <c r="L26" s="771">
        <v>7.9579999999999998E-2</v>
      </c>
      <c r="M26" s="772">
        <f t="shared" si="3"/>
        <v>69096.741178600001</v>
      </c>
      <c r="N26" s="772">
        <f t="shared" si="3"/>
        <v>8207.6734961999991</v>
      </c>
      <c r="O26" s="772">
        <f t="shared" si="3"/>
        <v>-46382.754964599997</v>
      </c>
      <c r="P26" s="772">
        <f t="shared" si="3"/>
        <v>30921.659710200005</v>
      </c>
      <c r="Q26" s="770" t="s">
        <v>642</v>
      </c>
      <c r="R26" s="783" t="s">
        <v>651</v>
      </c>
    </row>
    <row r="27" spans="2:18">
      <c r="B27" s="766">
        <f t="shared" si="2"/>
        <v>204</v>
      </c>
      <c r="C27" s="767" t="s">
        <v>654</v>
      </c>
      <c r="D27" s="767" t="s">
        <v>655</v>
      </c>
      <c r="E27" s="768" t="s">
        <v>1426</v>
      </c>
      <c r="F27" s="768">
        <v>278</v>
      </c>
      <c r="G27" s="769">
        <v>-6540.999999999779</v>
      </c>
      <c r="H27" s="769">
        <v>63</v>
      </c>
      <c r="I27" s="769"/>
      <c r="J27" s="769">
        <v>-6477.999999999779</v>
      </c>
      <c r="K27" s="770" t="s">
        <v>641</v>
      </c>
      <c r="L27" s="771">
        <v>7.9579999999999998E-2</v>
      </c>
      <c r="M27" s="772">
        <f t="shared" si="3"/>
        <v>-520.53277999998238</v>
      </c>
      <c r="N27" s="772">
        <f t="shared" si="3"/>
        <v>5.0135399999999999</v>
      </c>
      <c r="O27" s="772">
        <f t="shared" si="3"/>
        <v>0</v>
      </c>
      <c r="P27" s="772">
        <f t="shared" si="3"/>
        <v>-515.51923999998235</v>
      </c>
      <c r="Q27" s="770" t="s">
        <v>642</v>
      </c>
      <c r="R27" s="773" t="s">
        <v>656</v>
      </c>
    </row>
    <row r="28" spans="2:18">
      <c r="B28" s="766">
        <f t="shared" si="2"/>
        <v>205</v>
      </c>
      <c r="C28" s="774" t="s">
        <v>644</v>
      </c>
      <c r="D28" s="775"/>
      <c r="E28" s="774"/>
      <c r="F28" s="774"/>
      <c r="G28" s="769"/>
      <c r="H28" s="769"/>
      <c r="I28" s="769"/>
      <c r="J28" s="769"/>
      <c r="K28" s="776"/>
      <c r="L28" s="777"/>
      <c r="M28" s="772">
        <f t="shared" si="3"/>
        <v>0</v>
      </c>
      <c r="N28" s="772">
        <f t="shared" si="3"/>
        <v>0</v>
      </c>
      <c r="O28" s="772">
        <f t="shared" si="3"/>
        <v>0</v>
      </c>
      <c r="P28" s="772">
        <f t="shared" si="3"/>
        <v>0</v>
      </c>
      <c r="Q28" s="788"/>
      <c r="R28" s="788"/>
    </row>
    <row r="29" spans="2:18">
      <c r="B29" s="766">
        <v>299</v>
      </c>
      <c r="C29" s="778" t="s">
        <v>657</v>
      </c>
      <c r="D29" s="778"/>
      <c r="E29" s="778"/>
      <c r="F29" s="778"/>
      <c r="G29" s="779">
        <f>SUM(G24:G28)</f>
        <v>-35560394.049999997</v>
      </c>
      <c r="H29" s="779">
        <f>SUM(H24:H28)</f>
        <v>1471543.64</v>
      </c>
      <c r="I29" s="779">
        <f>SUM(I24:I28)</f>
        <v>-1213249.98</v>
      </c>
      <c r="J29" s="779">
        <f>SUM(J24:J28)</f>
        <v>-35302100.390000001</v>
      </c>
      <c r="K29" s="761"/>
      <c r="L29" s="762"/>
      <c r="M29" s="779">
        <f>SUM(M24:M28)</f>
        <v>-2829896.1584989997</v>
      </c>
      <c r="N29" s="779">
        <f>SUM(N24:N28)</f>
        <v>117105.44287120001</v>
      </c>
      <c r="O29" s="779">
        <f>SUM(O24:O28)</f>
        <v>-96550.433408399986</v>
      </c>
      <c r="P29" s="779">
        <f>SUM(P24:P28)</f>
        <v>-2809341.1490361998</v>
      </c>
      <c r="Q29" s="780"/>
      <c r="R29" s="780"/>
    </row>
    <row r="30" spans="2:18">
      <c r="B30" s="766"/>
      <c r="C30" s="778"/>
      <c r="D30" s="778"/>
      <c r="E30" s="778"/>
      <c r="F30" s="778"/>
      <c r="G30" s="781"/>
      <c r="H30" s="781"/>
      <c r="I30" s="781"/>
      <c r="J30" s="781"/>
      <c r="K30" s="761"/>
      <c r="L30" s="762"/>
      <c r="M30" s="781"/>
      <c r="N30" s="781"/>
      <c r="O30" s="781"/>
      <c r="P30" s="781"/>
      <c r="Q30" s="780"/>
      <c r="R30" s="780"/>
    </row>
    <row r="31" spans="2:18">
      <c r="B31" s="766">
        <v>300</v>
      </c>
      <c r="C31" s="767" t="s">
        <v>658</v>
      </c>
      <c r="D31" s="767" t="s">
        <v>640</v>
      </c>
      <c r="E31" s="768"/>
      <c r="F31" s="768"/>
      <c r="G31" s="769">
        <f>-SUM(G24,G25,G27)*0.21</f>
        <v>7650018.9611999998</v>
      </c>
      <c r="H31" s="769">
        <f>-SUM(H24,H25,H27)*0.21</f>
        <v>-287365.3125</v>
      </c>
      <c r="I31" s="769">
        <f>-SUM(I24,I25,I27)*0.21</f>
        <v>132385.17809999999</v>
      </c>
      <c r="J31" s="769">
        <f t="shared" ref="J31:J32" si="5">SUM(G31:I31)</f>
        <v>7495038.8267999999</v>
      </c>
      <c r="K31" s="770" t="s">
        <v>641</v>
      </c>
      <c r="L31" s="771">
        <v>7.9579999999999998E-2</v>
      </c>
      <c r="M31" s="772">
        <f t="shared" ref="M31:P33" si="6">G31*$L31</f>
        <v>608788.50893229595</v>
      </c>
      <c r="N31" s="772">
        <f t="shared" si="6"/>
        <v>-22868.531568750001</v>
      </c>
      <c r="O31" s="772">
        <f t="shared" si="6"/>
        <v>10535.212473197998</v>
      </c>
      <c r="P31" s="772">
        <f t="shared" si="6"/>
        <v>596455.18983674399</v>
      </c>
      <c r="Q31" s="780"/>
      <c r="R31" s="780"/>
    </row>
    <row r="32" spans="2:18">
      <c r="B32" s="766">
        <f>B31+1</f>
        <v>301</v>
      </c>
      <c r="C32" s="767" t="s">
        <v>659</v>
      </c>
      <c r="D32" s="767" t="s">
        <v>640</v>
      </c>
      <c r="E32" s="768"/>
      <c r="F32" s="768"/>
      <c r="G32" s="769">
        <f>-G26*0.21</f>
        <v>-182336.2107</v>
      </c>
      <c r="H32" s="769">
        <f>-H26*0.21</f>
        <v>-21658.851899999998</v>
      </c>
      <c r="I32" s="769">
        <f>-I26*0.21</f>
        <v>122397.3177</v>
      </c>
      <c r="J32" s="769">
        <f t="shared" si="5"/>
        <v>-81597.744900000005</v>
      </c>
      <c r="K32" s="770" t="s">
        <v>641</v>
      </c>
      <c r="L32" s="771">
        <v>7.9579999999999998E-2</v>
      </c>
      <c r="M32" s="772">
        <f t="shared" si="6"/>
        <v>-14510.315647505999</v>
      </c>
      <c r="N32" s="772">
        <f t="shared" si="6"/>
        <v>-1723.6114342019998</v>
      </c>
      <c r="O32" s="772">
        <f t="shared" si="6"/>
        <v>9740.3785425659989</v>
      </c>
      <c r="P32" s="772">
        <f t="shared" si="6"/>
        <v>-6493.5485391420007</v>
      </c>
      <c r="Q32" s="780"/>
      <c r="R32" s="780"/>
    </row>
    <row r="33" spans="2:18">
      <c r="B33" s="766">
        <f>B32+1</f>
        <v>302</v>
      </c>
      <c r="C33" s="774" t="s">
        <v>644</v>
      </c>
      <c r="D33" s="774"/>
      <c r="E33" s="774"/>
      <c r="F33" s="784"/>
      <c r="G33" s="785"/>
      <c r="H33" s="786"/>
      <c r="I33" s="786"/>
      <c r="J33" s="786"/>
      <c r="K33" s="786"/>
      <c r="L33" s="776"/>
      <c r="M33" s="787">
        <f t="shared" si="6"/>
        <v>0</v>
      </c>
      <c r="N33" s="787">
        <f t="shared" si="6"/>
        <v>0</v>
      </c>
      <c r="O33" s="787">
        <f t="shared" si="6"/>
        <v>0</v>
      </c>
      <c r="P33" s="787">
        <f t="shared" si="6"/>
        <v>0</v>
      </c>
      <c r="Q33" s="788"/>
      <c r="R33" s="788"/>
    </row>
    <row r="34" spans="2:18">
      <c r="B34" s="766">
        <v>350</v>
      </c>
      <c r="C34" s="778" t="s">
        <v>660</v>
      </c>
      <c r="D34" s="778"/>
      <c r="G34" s="781">
        <f>SUM(G31:G33)</f>
        <v>7467682.7505000001</v>
      </c>
      <c r="H34" s="781">
        <f>SUM(H31:H33)</f>
        <v>-309024.16440000001</v>
      </c>
      <c r="I34" s="781">
        <f>SUM(I31:I33)</f>
        <v>254782.49579999998</v>
      </c>
      <c r="J34" s="781">
        <f>SUM(J31:J33)</f>
        <v>7413441.0818999996</v>
      </c>
      <c r="K34" s="761"/>
      <c r="L34" s="762"/>
      <c r="M34" s="781">
        <f>SUM(M31:M33)</f>
        <v>594278.19328478992</v>
      </c>
      <c r="N34" s="781">
        <f>SUM(N31:N33)</f>
        <v>-24592.143002952002</v>
      </c>
      <c r="O34" s="781">
        <f>SUM(O31:O33)</f>
        <v>20275.591015763996</v>
      </c>
      <c r="P34" s="781">
        <f>SUM(P31:P33)</f>
        <v>589961.64129760198</v>
      </c>
      <c r="Q34" s="780"/>
      <c r="R34" s="780"/>
    </row>
    <row r="35" spans="2:18">
      <c r="B35" s="766">
        <f>B34+1</f>
        <v>351</v>
      </c>
      <c r="C35" s="778"/>
      <c r="D35" s="778"/>
      <c r="G35" s="781"/>
      <c r="H35" s="781"/>
      <c r="I35" s="781"/>
      <c r="J35" s="781"/>
      <c r="K35" s="761"/>
      <c r="L35" s="762"/>
      <c r="M35" s="781"/>
      <c r="N35" s="781"/>
      <c r="O35" s="781"/>
      <c r="P35" s="781"/>
      <c r="Q35" s="780"/>
      <c r="R35" s="780"/>
    </row>
    <row r="36" spans="2:18">
      <c r="B36" s="766">
        <f>B35+1</f>
        <v>352</v>
      </c>
      <c r="C36" s="778" t="s">
        <v>661</v>
      </c>
      <c r="D36" s="778"/>
      <c r="E36" s="778"/>
      <c r="F36" s="778"/>
      <c r="G36" s="781">
        <f>G29+G34</f>
        <v>-28092711.299499996</v>
      </c>
      <c r="H36" s="781">
        <f>H29+H34</f>
        <v>1162519.4756</v>
      </c>
      <c r="I36" s="781">
        <f>I29+I34</f>
        <v>-958467.48420000006</v>
      </c>
      <c r="J36" s="781">
        <f>J29+J34</f>
        <v>-27888659.3081</v>
      </c>
      <c r="K36" s="761"/>
      <c r="L36" s="762"/>
      <c r="M36" s="781">
        <f>M29+M34</f>
        <v>-2235617.9652142096</v>
      </c>
      <c r="N36" s="781">
        <f>N29+N34</f>
        <v>92513.29986824801</v>
      </c>
      <c r="O36" s="781">
        <f>O29+O34</f>
        <v>-76274.842392635997</v>
      </c>
      <c r="P36" s="781">
        <f>P29+P34</f>
        <v>-2219379.5077385977</v>
      </c>
      <c r="Q36" s="780"/>
      <c r="R36" s="780"/>
    </row>
    <row r="37" spans="2:18">
      <c r="B37" s="766"/>
      <c r="C37" s="778"/>
      <c r="D37" s="778"/>
      <c r="E37" s="778"/>
      <c r="F37" s="778"/>
      <c r="G37" s="781"/>
      <c r="H37" s="781"/>
      <c r="I37" s="781"/>
      <c r="J37" s="781"/>
      <c r="K37" s="761"/>
      <c r="L37" s="762"/>
      <c r="M37" s="781"/>
      <c r="N37" s="781"/>
      <c r="O37" s="781"/>
      <c r="P37" s="781"/>
      <c r="Q37" s="780"/>
      <c r="R37" s="780"/>
    </row>
    <row r="38" spans="2:18">
      <c r="B38" s="766">
        <v>353</v>
      </c>
      <c r="C38" s="957" t="s">
        <v>662</v>
      </c>
      <c r="D38" s="958"/>
      <c r="E38" s="958"/>
      <c r="F38" s="958"/>
      <c r="G38" s="958"/>
      <c r="H38" s="958"/>
      <c r="I38" s="958"/>
      <c r="J38" s="958"/>
      <c r="K38" s="958"/>
      <c r="L38" s="958"/>
      <c r="M38" s="958"/>
      <c r="N38" s="958"/>
      <c r="O38" s="958"/>
      <c r="P38" s="958"/>
      <c r="Q38" s="958"/>
      <c r="R38" s="958"/>
    </row>
    <row r="39" spans="2:18">
      <c r="B39" s="766">
        <f t="shared" ref="B39:B44" si="7">B38+1</f>
        <v>354</v>
      </c>
      <c r="C39" s="778"/>
      <c r="D39" s="778"/>
      <c r="E39" s="767"/>
      <c r="F39" s="778"/>
      <c r="G39" s="781"/>
      <c r="H39" s="781"/>
      <c r="I39" s="781"/>
      <c r="J39" s="781"/>
      <c r="K39" s="761"/>
      <c r="L39" s="762"/>
      <c r="M39" s="781"/>
      <c r="N39" s="781"/>
      <c r="O39" s="781"/>
      <c r="P39" s="781"/>
      <c r="Q39" s="780"/>
      <c r="R39" s="780"/>
    </row>
    <row r="40" spans="2:18">
      <c r="B40" s="766">
        <f t="shared" si="7"/>
        <v>355</v>
      </c>
      <c r="C40" s="789" t="s">
        <v>663</v>
      </c>
      <c r="D40" s="778"/>
      <c r="E40" s="778"/>
      <c r="F40" s="778"/>
      <c r="G40" s="781">
        <f>+G15+G29</f>
        <v>-32526680.329999998</v>
      </c>
      <c r="H40" s="781">
        <f>+H15+H29</f>
        <v>1471543.64</v>
      </c>
      <c r="I40" s="781">
        <f>+I15+I29</f>
        <v>-1235796.3700000001</v>
      </c>
      <c r="J40" s="781">
        <f>+J15+J29</f>
        <v>-32290933.060000002</v>
      </c>
      <c r="K40" s="790"/>
      <c r="L40" s="781"/>
      <c r="M40" s="781">
        <f>+M15+M29</f>
        <v>-2588473.2206613999</v>
      </c>
      <c r="N40" s="781">
        <f>+N15+N29</f>
        <v>117105.44287120001</v>
      </c>
      <c r="O40" s="781">
        <f>+O15+O29</f>
        <v>-98344.675124599991</v>
      </c>
      <c r="P40" s="781">
        <f>+P15+P29</f>
        <v>-2569712.4529147996</v>
      </c>
      <c r="Q40" s="780"/>
      <c r="R40" s="780"/>
    </row>
    <row r="41" spans="2:18">
      <c r="B41" s="766">
        <f t="shared" si="7"/>
        <v>356</v>
      </c>
      <c r="C41" s="778" t="s">
        <v>664</v>
      </c>
      <c r="D41" s="778"/>
      <c r="E41" s="778"/>
      <c r="F41" s="778"/>
      <c r="G41" s="791">
        <f>G19+G34</f>
        <v>6830602.8693000004</v>
      </c>
      <c r="H41" s="791">
        <f>H19+H34</f>
        <v>-304289.42249999999</v>
      </c>
      <c r="I41" s="791">
        <f>I19+I34</f>
        <v>254782.49579999998</v>
      </c>
      <c r="J41" s="791">
        <f>J19+J34</f>
        <v>6781095.9425999997</v>
      </c>
      <c r="K41" s="792"/>
      <c r="L41" s="791"/>
      <c r="M41" s="791">
        <f>M19+M34</f>
        <v>543579.3763388939</v>
      </c>
      <c r="N41" s="791">
        <f>N19+N34</f>
        <v>-24215.352242549998</v>
      </c>
      <c r="O41" s="791">
        <f>O19+O34</f>
        <v>20275.591015763996</v>
      </c>
      <c r="P41" s="791">
        <f>P19+P34</f>
        <v>539639.61511210795</v>
      </c>
      <c r="Q41" s="780"/>
      <c r="R41" s="780"/>
    </row>
    <row r="42" spans="2:18">
      <c r="B42" s="766">
        <f t="shared" si="7"/>
        <v>357</v>
      </c>
      <c r="C42" s="778" t="s">
        <v>665</v>
      </c>
      <c r="D42" s="778"/>
      <c r="E42" s="778"/>
      <c r="F42" s="778"/>
      <c r="G42" s="781">
        <f>SUM(G40:G41)</f>
        <v>-25696077.460699998</v>
      </c>
      <c r="H42" s="781">
        <f>SUM(H40:H41)</f>
        <v>1167254.2174999998</v>
      </c>
      <c r="I42" s="781">
        <f>SUM(I40:I41)</f>
        <v>-981013.87420000019</v>
      </c>
      <c r="J42" s="781">
        <f>SUM(J40:J41)</f>
        <v>-25509837.117400002</v>
      </c>
      <c r="K42" s="790"/>
      <c r="L42" s="781"/>
      <c r="M42" s="781">
        <f>SUM(M40:M41)</f>
        <v>-2044893.8443225059</v>
      </c>
      <c r="N42" s="781">
        <f>SUM(N40:N41)</f>
        <v>92890.09062865001</v>
      </c>
      <c r="O42" s="781">
        <f>SUM(O40:O41)</f>
        <v>-78069.084108835988</v>
      </c>
      <c r="P42" s="781">
        <f>SUM(P40:P41)</f>
        <v>-2030072.8378026916</v>
      </c>
      <c r="Q42" s="780"/>
      <c r="R42" s="780"/>
    </row>
    <row r="43" spans="2:18">
      <c r="B43" s="766">
        <f t="shared" si="7"/>
        <v>358</v>
      </c>
      <c r="C43" s="778" t="s">
        <v>666</v>
      </c>
      <c r="D43" s="778"/>
      <c r="E43" s="778"/>
      <c r="F43" s="778"/>
      <c r="G43" s="781"/>
      <c r="H43" s="781"/>
      <c r="I43" s="781"/>
      <c r="J43" s="781">
        <f>(J40+G40)/2</f>
        <v>-32408806.695</v>
      </c>
      <c r="K43" s="790"/>
      <c r="L43" s="781"/>
      <c r="M43" s="781"/>
      <c r="N43" s="781"/>
      <c r="O43" s="781"/>
      <c r="P43" s="781">
        <f>(P40+M40)/2</f>
        <v>-2579092.8367880997</v>
      </c>
      <c r="R43" s="780"/>
    </row>
    <row r="44" spans="2:18" ht="15.75">
      <c r="B44" s="766">
        <f t="shared" si="7"/>
        <v>359</v>
      </c>
      <c r="C44" s="778" t="s">
        <v>667</v>
      </c>
      <c r="D44" s="778"/>
      <c r="E44" s="778"/>
      <c r="F44" s="778"/>
      <c r="G44" s="781"/>
      <c r="H44" s="781"/>
      <c r="I44" s="781"/>
      <c r="J44" s="793"/>
      <c r="K44" s="790"/>
      <c r="L44" s="781"/>
      <c r="M44" s="781"/>
      <c r="N44" s="781"/>
      <c r="O44" s="781"/>
      <c r="P44" s="794">
        <f>IF(J42&lt;0,P42/J42,0)</f>
        <v>7.9579999999999984E-2</v>
      </c>
      <c r="R44" s="780"/>
    </row>
    <row r="45" spans="2:18">
      <c r="B45" s="766"/>
      <c r="C45" s="778"/>
      <c r="D45" s="778"/>
      <c r="E45" s="778"/>
      <c r="F45" s="778"/>
      <c r="G45" s="781"/>
      <c r="H45" s="781"/>
      <c r="I45" s="781"/>
      <c r="J45" s="781"/>
      <c r="K45" s="790"/>
      <c r="L45" s="781"/>
      <c r="M45" s="781"/>
      <c r="N45" s="781"/>
      <c r="O45" s="781"/>
      <c r="Q45" s="780"/>
      <c r="R45" s="780"/>
    </row>
    <row r="46" spans="2:18">
      <c r="B46" s="795" t="s">
        <v>610</v>
      </c>
    </row>
    <row r="47" spans="2:18" ht="91.5" customHeight="1">
      <c r="B47" s="796" t="s">
        <v>419</v>
      </c>
      <c r="C47" s="953" t="s">
        <v>668</v>
      </c>
      <c r="D47" s="953"/>
      <c r="E47" s="953"/>
      <c r="F47" s="953"/>
      <c r="G47" s="953"/>
      <c r="H47" s="953"/>
      <c r="I47" s="953"/>
      <c r="J47" s="953"/>
      <c r="K47" s="953"/>
      <c r="L47" s="953"/>
      <c r="M47" s="953"/>
      <c r="N47" s="953"/>
      <c r="O47" s="953"/>
      <c r="P47" s="953"/>
      <c r="Q47" s="797"/>
      <c r="R47" s="797"/>
    </row>
    <row r="48" spans="2:18" ht="21" customHeight="1">
      <c r="B48" s="796" t="s">
        <v>669</v>
      </c>
      <c r="C48" s="953" t="s">
        <v>670</v>
      </c>
      <c r="D48" s="953"/>
      <c r="E48" s="953"/>
      <c r="F48" s="953"/>
      <c r="G48" s="953"/>
      <c r="H48" s="953"/>
      <c r="I48" s="953"/>
      <c r="J48" s="953"/>
      <c r="K48" s="953"/>
      <c r="L48" s="953"/>
      <c r="M48" s="953"/>
      <c r="N48" s="953"/>
      <c r="O48" s="953"/>
      <c r="P48" s="953"/>
      <c r="Q48" s="797"/>
      <c r="R48" s="797"/>
    </row>
    <row r="49" spans="2:18" ht="22.35" customHeight="1">
      <c r="B49" s="796" t="s">
        <v>421</v>
      </c>
      <c r="C49" s="953" t="s">
        <v>671</v>
      </c>
      <c r="D49" s="953"/>
      <c r="E49" s="953"/>
      <c r="F49" s="953"/>
      <c r="G49" s="953"/>
      <c r="H49" s="953"/>
      <c r="I49" s="953"/>
      <c r="J49" s="953"/>
      <c r="K49" s="953"/>
      <c r="L49" s="953"/>
      <c r="M49" s="953"/>
      <c r="N49" s="953"/>
      <c r="O49" s="953"/>
      <c r="P49" s="953"/>
      <c r="Q49" s="798"/>
      <c r="R49" s="798"/>
    </row>
    <row r="50" spans="2:18" ht="36.6" customHeight="1">
      <c r="B50" s="796" t="s">
        <v>423</v>
      </c>
      <c r="C50" s="953" t="s">
        <v>672</v>
      </c>
      <c r="D50" s="953"/>
      <c r="E50" s="953"/>
      <c r="F50" s="953"/>
      <c r="G50" s="953"/>
      <c r="H50" s="953"/>
      <c r="I50" s="953"/>
      <c r="J50" s="953"/>
      <c r="K50" s="953"/>
      <c r="L50" s="953"/>
      <c r="M50" s="953"/>
      <c r="N50" s="953"/>
      <c r="O50" s="953"/>
      <c r="P50" s="953"/>
      <c r="Q50" s="798"/>
      <c r="R50" s="798"/>
    </row>
    <row r="51" spans="2:18" ht="21" customHeight="1">
      <c r="B51" s="796" t="s">
        <v>425</v>
      </c>
      <c r="C51" s="953" t="s">
        <v>673</v>
      </c>
      <c r="D51" s="953"/>
      <c r="E51" s="953"/>
      <c r="F51" s="953"/>
      <c r="G51" s="953"/>
      <c r="H51" s="953"/>
      <c r="I51" s="953"/>
      <c r="J51" s="953"/>
      <c r="K51" s="953"/>
      <c r="L51" s="953"/>
      <c r="M51" s="953"/>
      <c r="N51" s="953"/>
      <c r="O51" s="953"/>
      <c r="P51" s="953"/>
    </row>
    <row r="52" spans="2:18" ht="17.45" customHeight="1">
      <c r="B52" s="796" t="s">
        <v>427</v>
      </c>
      <c r="C52" s="959" t="s">
        <v>674</v>
      </c>
      <c r="D52" s="959"/>
      <c r="E52" s="959"/>
      <c r="F52" s="959"/>
      <c r="G52" s="959"/>
      <c r="H52" s="959"/>
      <c r="I52" s="959"/>
      <c r="J52" s="959"/>
      <c r="K52" s="959"/>
      <c r="L52" s="959"/>
      <c r="M52" s="959"/>
      <c r="N52" s="959"/>
      <c r="O52" s="959"/>
      <c r="P52" s="959"/>
    </row>
    <row r="53" spans="2:18" ht="54.95" customHeight="1">
      <c r="B53" s="796" t="s">
        <v>429</v>
      </c>
      <c r="C53" s="953" t="s">
        <v>675</v>
      </c>
      <c r="D53" s="953"/>
      <c r="E53" s="953"/>
      <c r="F53" s="953"/>
      <c r="G53" s="953"/>
      <c r="H53" s="953"/>
      <c r="I53" s="953"/>
      <c r="J53" s="953"/>
      <c r="K53" s="953"/>
      <c r="L53" s="953"/>
      <c r="M53" s="953"/>
      <c r="N53" s="953"/>
      <c r="O53" s="953"/>
      <c r="P53" s="953"/>
    </row>
    <row r="54" spans="2:18" ht="32.450000000000003" customHeight="1">
      <c r="B54" s="796" t="s">
        <v>431</v>
      </c>
      <c r="C54" s="953" t="s">
        <v>676</v>
      </c>
      <c r="D54" s="953"/>
      <c r="E54" s="953"/>
      <c r="F54" s="953"/>
      <c r="G54" s="953"/>
      <c r="H54" s="953"/>
      <c r="I54" s="953"/>
      <c r="J54" s="953"/>
      <c r="K54" s="953"/>
      <c r="L54" s="953"/>
      <c r="M54" s="953"/>
      <c r="N54" s="953"/>
      <c r="O54" s="953"/>
      <c r="P54" s="953"/>
    </row>
    <row r="55" spans="2:18" ht="32.450000000000003" customHeight="1">
      <c r="B55" s="796" t="s">
        <v>433</v>
      </c>
      <c r="C55" s="953" t="s">
        <v>677</v>
      </c>
      <c r="D55" s="953"/>
      <c r="E55" s="953"/>
      <c r="F55" s="953"/>
      <c r="G55" s="953"/>
      <c r="H55" s="953"/>
      <c r="I55" s="953"/>
      <c r="J55" s="953"/>
      <c r="K55" s="953"/>
      <c r="L55" s="953"/>
      <c r="M55" s="953"/>
      <c r="N55" s="953"/>
      <c r="O55" s="953"/>
      <c r="P55" s="953"/>
    </row>
    <row r="56" spans="2:18" ht="46.15" customHeight="1">
      <c r="B56" s="796" t="s">
        <v>435</v>
      </c>
      <c r="C56" s="959" t="s">
        <v>678</v>
      </c>
      <c r="D56" s="959"/>
      <c r="E56" s="959"/>
      <c r="F56" s="959"/>
      <c r="G56" s="959"/>
      <c r="H56" s="959"/>
      <c r="I56" s="959"/>
      <c r="J56" s="959"/>
      <c r="K56" s="959"/>
      <c r="L56" s="959"/>
      <c r="M56" s="959"/>
      <c r="N56" s="959"/>
      <c r="O56" s="959"/>
      <c r="P56" s="959"/>
    </row>
    <row r="57" spans="2:18" ht="44.25" customHeight="1">
      <c r="B57" s="796" t="s">
        <v>437</v>
      </c>
      <c r="C57" s="953" t="s">
        <v>679</v>
      </c>
      <c r="D57" s="953"/>
      <c r="E57" s="953"/>
      <c r="F57" s="953"/>
      <c r="G57" s="953"/>
      <c r="H57" s="953"/>
      <c r="I57" s="953"/>
      <c r="J57" s="953"/>
      <c r="K57" s="953"/>
      <c r="L57" s="953"/>
      <c r="M57" s="953"/>
      <c r="N57" s="953"/>
      <c r="O57" s="953"/>
      <c r="P57" s="953"/>
    </row>
    <row r="58" spans="2:18" ht="15.75">
      <c r="B58" s="793"/>
      <c r="C58" s="799"/>
    </row>
    <row r="59" spans="2:18">
      <c r="C59" s="799"/>
    </row>
    <row r="60" spans="2:18">
      <c r="C60" s="799"/>
    </row>
    <row r="61" spans="2:18">
      <c r="C61" s="799"/>
    </row>
    <row r="62" spans="2:18">
      <c r="C62" s="799"/>
    </row>
    <row r="63" spans="2:18">
      <c r="C63" s="799"/>
    </row>
  </sheetData>
  <mergeCells count="19">
    <mergeCell ref="C57:P57"/>
    <mergeCell ref="C51:P51"/>
    <mergeCell ref="C52:P52"/>
    <mergeCell ref="C53:P53"/>
    <mergeCell ref="C54:P54"/>
    <mergeCell ref="C55:P55"/>
    <mergeCell ref="C56:P56"/>
    <mergeCell ref="C50:P50"/>
    <mergeCell ref="B2:R2"/>
    <mergeCell ref="B3:R3"/>
    <mergeCell ref="B4:R4"/>
    <mergeCell ref="K8:L8"/>
    <mergeCell ref="K10:L10"/>
    <mergeCell ref="C12:R12"/>
    <mergeCell ref="C23:R23"/>
    <mergeCell ref="C38:R38"/>
    <mergeCell ref="C47:P47"/>
    <mergeCell ref="C48:P48"/>
    <mergeCell ref="C49:P49"/>
  </mergeCells>
  <pageMargins left="0.25" right="0.25" top="0.5" bottom="0.25" header="0.3" footer="0.3"/>
  <pageSetup scale="45"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59423-FC8D-436D-ACCA-B83681FEB4DF}">
  <sheetPr>
    <tabColor theme="6" tint="0.59999389629810485"/>
    <pageSetUpPr fitToPage="1"/>
  </sheetPr>
  <dimension ref="A1:K61"/>
  <sheetViews>
    <sheetView workbookViewId="0">
      <selection sqref="A1:I1"/>
    </sheetView>
  </sheetViews>
  <sheetFormatPr defaultColWidth="7.109375" defaultRowHeight="12.75"/>
  <cols>
    <col min="1" max="1" width="4.77734375" style="801" customWidth="1"/>
    <col min="2" max="2" width="26.44140625" style="800" customWidth="1"/>
    <col min="3" max="3" width="6.88671875" style="800" bestFit="1" customWidth="1"/>
    <col min="4" max="4" width="8.88671875" style="800" customWidth="1"/>
    <col min="5" max="5" width="9.77734375" style="800" bestFit="1" customWidth="1"/>
    <col min="6" max="7" width="8.6640625" style="800" customWidth="1"/>
    <col min="8" max="8" width="10.21875" style="858" customWidth="1"/>
    <col min="9" max="9" width="11.77734375" style="800" customWidth="1"/>
    <col min="10" max="10" width="11" style="800" bestFit="1" customWidth="1"/>
    <col min="11" max="11" width="11.6640625" style="800" bestFit="1" customWidth="1"/>
    <col min="12" max="16384" width="7.109375" style="800"/>
  </cols>
  <sheetData>
    <row r="1" spans="1:11" ht="15" customHeight="1">
      <c r="A1" s="962" t="s">
        <v>32</v>
      </c>
      <c r="B1" s="962"/>
      <c r="C1" s="962"/>
      <c r="D1" s="962"/>
      <c r="E1" s="962"/>
      <c r="F1" s="962"/>
      <c r="G1" s="962"/>
      <c r="H1" s="962"/>
      <c r="I1" s="962"/>
    </row>
    <row r="2" spans="1:11" ht="15" customHeight="1">
      <c r="A2" s="963" t="s">
        <v>680</v>
      </c>
      <c r="B2" s="963"/>
      <c r="C2" s="963"/>
      <c r="D2" s="963"/>
      <c r="E2" s="963"/>
      <c r="F2" s="963"/>
      <c r="G2" s="963"/>
      <c r="H2" s="963"/>
      <c r="I2" s="963"/>
    </row>
    <row r="3" spans="1:11" ht="15" customHeight="1">
      <c r="A3" s="964" t="s">
        <v>82</v>
      </c>
      <c r="B3" s="964"/>
      <c r="C3" s="964"/>
      <c r="D3" s="964"/>
      <c r="E3" s="964"/>
      <c r="F3" s="964"/>
      <c r="G3" s="964"/>
      <c r="H3" s="964"/>
      <c r="I3" s="964"/>
    </row>
    <row r="4" spans="1:11" ht="15" customHeight="1">
      <c r="A4" s="954" t="s">
        <v>681</v>
      </c>
      <c r="B4" s="954"/>
      <c r="C4" s="954"/>
      <c r="D4" s="954"/>
      <c r="E4" s="954"/>
      <c r="F4" s="954"/>
      <c r="G4" s="954"/>
      <c r="H4" s="954"/>
      <c r="I4" s="954"/>
    </row>
    <row r="5" spans="1:11" ht="12.75" customHeight="1">
      <c r="B5" s="802"/>
      <c r="C5" s="802"/>
      <c r="D5" s="802"/>
      <c r="E5" s="802"/>
      <c r="F5" s="802"/>
      <c r="G5" s="802"/>
      <c r="H5" s="803" t="s">
        <v>682</v>
      </c>
      <c r="I5" s="804" t="s">
        <v>1424</v>
      </c>
    </row>
    <row r="6" spans="1:11" ht="12.75" customHeight="1">
      <c r="B6" s="802"/>
      <c r="C6" s="802"/>
      <c r="D6" s="802"/>
      <c r="E6" s="802"/>
      <c r="F6" s="802"/>
      <c r="G6" s="802"/>
      <c r="H6" s="803" t="s">
        <v>683</v>
      </c>
      <c r="I6" s="805" t="s">
        <v>642</v>
      </c>
    </row>
    <row r="7" spans="1:11" ht="12.75" customHeight="1">
      <c r="A7" s="806"/>
      <c r="B7" s="807"/>
      <c r="C7" s="808"/>
      <c r="D7" s="808"/>
      <c r="E7" s="808"/>
      <c r="F7" s="808"/>
      <c r="G7" s="808"/>
      <c r="H7" s="803" t="s">
        <v>684</v>
      </c>
      <c r="I7" s="809">
        <v>0.21</v>
      </c>
    </row>
    <row r="8" spans="1:11" ht="12.75" customHeight="1">
      <c r="A8" s="806"/>
      <c r="B8" s="807"/>
      <c r="C8" s="808"/>
      <c r="D8" s="808"/>
      <c r="E8" s="808"/>
      <c r="F8" s="808"/>
      <c r="G8" s="808"/>
      <c r="H8" s="803" t="s">
        <v>685</v>
      </c>
      <c r="I8" s="810">
        <v>1.2658227799999999</v>
      </c>
    </row>
    <row r="9" spans="1:11" ht="12.75" customHeight="1">
      <c r="A9" s="806"/>
      <c r="B9" s="807"/>
      <c r="C9" s="808"/>
      <c r="D9" s="808"/>
      <c r="E9" s="808"/>
      <c r="F9" s="808"/>
      <c r="G9" s="808"/>
      <c r="H9" s="803" t="s">
        <v>624</v>
      </c>
      <c r="I9" s="810" t="s">
        <v>640</v>
      </c>
    </row>
    <row r="10" spans="1:11" ht="18.600000000000001" customHeight="1" thickBot="1">
      <c r="B10" s="811" t="s">
        <v>686</v>
      </c>
      <c r="C10" s="811" t="s">
        <v>687</v>
      </c>
      <c r="D10" s="811" t="s">
        <v>688</v>
      </c>
      <c r="E10" s="811" t="s">
        <v>689</v>
      </c>
      <c r="F10" s="811" t="s">
        <v>690</v>
      </c>
      <c r="G10" s="811" t="s">
        <v>691</v>
      </c>
      <c r="H10" s="811" t="s">
        <v>692</v>
      </c>
      <c r="I10" s="811" t="s">
        <v>693</v>
      </c>
    </row>
    <row r="11" spans="1:11" ht="15.6" customHeight="1" thickBot="1">
      <c r="A11" s="806"/>
      <c r="B11" s="807"/>
      <c r="C11" s="812"/>
      <c r="D11" s="965" t="s">
        <v>694</v>
      </c>
      <c r="E11" s="966"/>
      <c r="F11" s="966"/>
      <c r="G11" s="966"/>
      <c r="H11" s="966"/>
      <c r="I11" s="967"/>
    </row>
    <row r="12" spans="1:11" ht="39" customHeight="1" thickBot="1">
      <c r="A12" s="806"/>
      <c r="B12" s="807"/>
      <c r="C12" s="814"/>
      <c r="D12" s="813" t="s">
        <v>567</v>
      </c>
      <c r="E12" s="813" t="s">
        <v>567</v>
      </c>
      <c r="F12" s="813" t="s">
        <v>695</v>
      </c>
      <c r="G12" s="813" t="s">
        <v>696</v>
      </c>
      <c r="H12" s="815" t="s">
        <v>697</v>
      </c>
      <c r="I12" s="816" t="s">
        <v>698</v>
      </c>
      <c r="J12" s="817"/>
    </row>
    <row r="13" spans="1:11" s="820" customFormat="1" ht="77.25" thickBot="1">
      <c r="A13" s="811" t="s">
        <v>699</v>
      </c>
      <c r="B13" s="812"/>
      <c r="C13" s="813" t="s">
        <v>487</v>
      </c>
      <c r="D13" s="813" t="s">
        <v>700</v>
      </c>
      <c r="E13" s="818" t="s">
        <v>701</v>
      </c>
      <c r="F13" s="818" t="s">
        <v>702</v>
      </c>
      <c r="G13" s="818" t="s">
        <v>703</v>
      </c>
      <c r="H13" s="819" t="s">
        <v>704</v>
      </c>
      <c r="I13" s="819" t="s">
        <v>705</v>
      </c>
    </row>
    <row r="14" spans="1:11" ht="12.95" customHeight="1">
      <c r="A14" s="821">
        <v>1</v>
      </c>
      <c r="B14" s="822" t="s">
        <v>706</v>
      </c>
      <c r="C14" s="823"/>
      <c r="D14" s="807"/>
      <c r="E14" s="807"/>
      <c r="F14" s="807"/>
      <c r="G14" s="807"/>
      <c r="H14" s="800"/>
    </row>
    <row r="15" spans="1:11">
      <c r="A15" s="821">
        <v>2</v>
      </c>
      <c r="B15" s="802" t="s">
        <v>707</v>
      </c>
      <c r="C15" s="769">
        <v>282</v>
      </c>
      <c r="D15" s="824">
        <v>-222347338.27000001</v>
      </c>
      <c r="E15" s="824">
        <v>-77821568.394500002</v>
      </c>
      <c r="F15" s="825">
        <f>+D15*$I$7</f>
        <v>-46692941.036700003</v>
      </c>
      <c r="G15" s="825">
        <f>+E15-F15</f>
        <v>-31128627.357799999</v>
      </c>
      <c r="H15" s="826">
        <f>+G15*$I$8</f>
        <v>-39403325.619634449</v>
      </c>
      <c r="I15" s="827">
        <f>+G15-H15</f>
        <v>8274698.2618344501</v>
      </c>
      <c r="K15" s="828"/>
    </row>
    <row r="16" spans="1:11" ht="12.95" customHeight="1">
      <c r="A16" s="821">
        <v>3</v>
      </c>
      <c r="B16" s="802" t="s">
        <v>708</v>
      </c>
      <c r="C16" s="769">
        <v>282</v>
      </c>
      <c r="D16" s="829">
        <v>20051759.219999999</v>
      </c>
      <c r="E16" s="824">
        <v>7018115.726999999</v>
      </c>
      <c r="F16" s="825">
        <f>+D16*$I$7</f>
        <v>4210869.4361999994</v>
      </c>
      <c r="G16" s="830">
        <f>+E16-F16</f>
        <v>2807246.2907999996</v>
      </c>
      <c r="H16" s="826">
        <f>+G16*$I$8</f>
        <v>3553476.3039651439</v>
      </c>
      <c r="I16" s="827">
        <f>+G16-H16</f>
        <v>-746230.01316514425</v>
      </c>
      <c r="K16" s="831"/>
    </row>
    <row r="17" spans="1:11">
      <c r="A17" s="821">
        <v>4</v>
      </c>
      <c r="B17" s="802" t="s">
        <v>709</v>
      </c>
      <c r="C17" s="769">
        <v>190</v>
      </c>
      <c r="D17" s="824">
        <v>26165964.516428571</v>
      </c>
      <c r="E17" s="824">
        <v>9158087.5807499997</v>
      </c>
      <c r="F17" s="825">
        <f>+D17*$I$7</f>
        <v>5494852.5484499997</v>
      </c>
      <c r="G17" s="825">
        <f>+E17-F17</f>
        <v>3663235.0323000001</v>
      </c>
      <c r="H17" s="826">
        <f>+G17*$I$8</f>
        <v>4637006.3523793761</v>
      </c>
      <c r="I17" s="827">
        <f>+G17-H17</f>
        <v>-973771.32007937599</v>
      </c>
      <c r="K17" s="832"/>
    </row>
    <row r="18" spans="1:11">
      <c r="A18" s="821">
        <v>5</v>
      </c>
      <c r="B18" s="769" t="s">
        <v>644</v>
      </c>
      <c r="C18" s="769"/>
      <c r="D18" s="833"/>
      <c r="E18" s="833"/>
      <c r="F18" s="834">
        <f>+D18*$I$7</f>
        <v>0</v>
      </c>
      <c r="G18" s="834">
        <f>+E18-F18</f>
        <v>0</v>
      </c>
      <c r="H18" s="835">
        <f>+G18*$I$8</f>
        <v>0</v>
      </c>
      <c r="I18" s="836">
        <f>+G18-H18</f>
        <v>0</v>
      </c>
      <c r="K18" s="832"/>
    </row>
    <row r="19" spans="1:11">
      <c r="A19" s="821">
        <v>99</v>
      </c>
      <c r="B19" s="812"/>
      <c r="C19" s="812"/>
      <c r="D19" s="825">
        <f t="shared" ref="D19:I19" si="0">SUM(D15:D18)</f>
        <v>-176129614.53357145</v>
      </c>
      <c r="E19" s="825">
        <f t="shared" si="0"/>
        <v>-61645365.086750001</v>
      </c>
      <c r="F19" s="825">
        <f t="shared" si="0"/>
        <v>-36987219.052050002</v>
      </c>
      <c r="G19" s="825">
        <f t="shared" si="0"/>
        <v>-24658146.034700003</v>
      </c>
      <c r="H19" s="825">
        <f t="shared" si="0"/>
        <v>-31212842.963289931</v>
      </c>
      <c r="I19" s="825">
        <f t="shared" si="0"/>
        <v>6554696.9285899298</v>
      </c>
    </row>
    <row r="20" spans="1:11">
      <c r="A20" s="821"/>
      <c r="B20" s="837"/>
      <c r="C20" s="812"/>
      <c r="D20" s="825"/>
      <c r="E20" s="825"/>
      <c r="F20" s="825"/>
      <c r="G20" s="825"/>
      <c r="H20" s="825"/>
      <c r="I20" s="825"/>
    </row>
    <row r="21" spans="1:11" ht="12.95" customHeight="1">
      <c r="A21" s="821">
        <v>100</v>
      </c>
      <c r="B21" s="822" t="s">
        <v>710</v>
      </c>
      <c r="C21" s="812"/>
      <c r="D21" s="838"/>
      <c r="E21" s="838"/>
      <c r="F21" s="838"/>
      <c r="G21" s="838"/>
      <c r="H21" s="826"/>
    </row>
    <row r="22" spans="1:11" ht="12.95" customHeight="1">
      <c r="A22" s="821">
        <v>101</v>
      </c>
      <c r="B22" s="802" t="s">
        <v>711</v>
      </c>
      <c r="C22" s="769">
        <v>282</v>
      </c>
      <c r="D22" s="824">
        <v>-23142595.25</v>
      </c>
      <c r="E22" s="824">
        <v>-8099908.3374999994</v>
      </c>
      <c r="F22" s="825">
        <f t="shared" ref="F22:F29" si="1">+D22*$I$7</f>
        <v>-4859945.0024999995</v>
      </c>
      <c r="G22" s="825">
        <f t="shared" ref="G22:G29" si="2">+E22-F22</f>
        <v>-3239963.335</v>
      </c>
      <c r="H22" s="826">
        <f t="shared" ref="H22:H29" si="3">+G22*$I$8</f>
        <v>-4101219.395807771</v>
      </c>
      <c r="I22" s="827">
        <f t="shared" ref="I22:I29" si="4">+G22-H22</f>
        <v>861256.06080777105</v>
      </c>
    </row>
    <row r="23" spans="1:11">
      <c r="A23" s="821">
        <v>102</v>
      </c>
      <c r="B23" s="802" t="s">
        <v>712</v>
      </c>
      <c r="C23" s="769">
        <v>282</v>
      </c>
      <c r="D23" s="824">
        <v>2007885.21</v>
      </c>
      <c r="E23" s="824">
        <v>702759.82349999994</v>
      </c>
      <c r="F23" s="825">
        <f t="shared" si="1"/>
        <v>421655.89409999998</v>
      </c>
      <c r="G23" s="825">
        <f t="shared" si="2"/>
        <v>281103.92939999996</v>
      </c>
      <c r="H23" s="826">
        <f t="shared" si="3"/>
        <v>355827.75738203165</v>
      </c>
      <c r="I23" s="827">
        <f t="shared" si="4"/>
        <v>-74723.827982031682</v>
      </c>
    </row>
    <row r="24" spans="1:11" ht="12.95" customHeight="1">
      <c r="A24" s="821">
        <v>103</v>
      </c>
      <c r="B24" s="802" t="s">
        <v>713</v>
      </c>
      <c r="C24" s="769">
        <v>282</v>
      </c>
      <c r="D24" s="824">
        <v>-14366280.329999998</v>
      </c>
      <c r="E24" s="824">
        <v>-5028198.1154999994</v>
      </c>
      <c r="F24" s="825">
        <f t="shared" si="1"/>
        <v>-3016918.8692999994</v>
      </c>
      <c r="G24" s="825">
        <f t="shared" si="2"/>
        <v>-2011279.2461999999</v>
      </c>
      <c r="H24" s="826">
        <f t="shared" si="3"/>
        <v>-2545923.0867811884</v>
      </c>
      <c r="I24" s="827">
        <f t="shared" si="4"/>
        <v>534643.84058118844</v>
      </c>
    </row>
    <row r="25" spans="1:11" ht="12.95" customHeight="1">
      <c r="A25" s="821">
        <v>106</v>
      </c>
      <c r="B25" s="839" t="s">
        <v>714</v>
      </c>
      <c r="C25" s="769">
        <v>282</v>
      </c>
      <c r="D25" s="829">
        <v>-849925.18</v>
      </c>
      <c r="E25" s="824">
        <v>-297473.81300000002</v>
      </c>
      <c r="F25" s="825">
        <f t="shared" si="1"/>
        <v>-178484.28779999999</v>
      </c>
      <c r="G25" s="830">
        <f t="shared" si="2"/>
        <v>-118989.52520000003</v>
      </c>
      <c r="H25" s="826">
        <f t="shared" si="3"/>
        <v>-150619.65157954409</v>
      </c>
      <c r="I25" s="827">
        <f t="shared" si="4"/>
        <v>31630.126379544061</v>
      </c>
      <c r="K25" s="744"/>
    </row>
    <row r="26" spans="1:11" ht="12.95" customHeight="1">
      <c r="A26" s="821">
        <f>A25+1</f>
        <v>107</v>
      </c>
      <c r="B26" s="802" t="s">
        <v>715</v>
      </c>
      <c r="C26" s="769">
        <v>282</v>
      </c>
      <c r="D26" s="829">
        <v>-25261128.960000001</v>
      </c>
      <c r="E26" s="824">
        <v>-8841395.1359999999</v>
      </c>
      <c r="F26" s="825">
        <f t="shared" si="1"/>
        <v>-5304837.0816000002</v>
      </c>
      <c r="G26" s="830">
        <f t="shared" si="2"/>
        <v>-3536558.0543999998</v>
      </c>
      <c r="H26" s="826">
        <f t="shared" si="3"/>
        <v>-4476655.7480519991</v>
      </c>
      <c r="I26" s="827">
        <f t="shared" si="4"/>
        <v>940097.69365199935</v>
      </c>
      <c r="K26" s="744"/>
    </row>
    <row r="27" spans="1:11" ht="12.95" customHeight="1">
      <c r="A27" s="821">
        <f>A26+1</f>
        <v>108</v>
      </c>
      <c r="B27" s="802" t="s">
        <v>716</v>
      </c>
      <c r="C27" s="769">
        <v>282</v>
      </c>
      <c r="D27" s="829">
        <v>-1988704.7599999998</v>
      </c>
      <c r="E27" s="824">
        <v>-696046.66599999985</v>
      </c>
      <c r="F27" s="825">
        <f t="shared" si="1"/>
        <v>-417627.99959999992</v>
      </c>
      <c r="G27" s="830">
        <f t="shared" si="2"/>
        <v>-278418.66639999993</v>
      </c>
      <c r="H27" s="826">
        <f t="shared" si="3"/>
        <v>-352428.69030634046</v>
      </c>
      <c r="I27" s="827">
        <f t="shared" si="4"/>
        <v>74010.023906340532</v>
      </c>
      <c r="K27" s="744"/>
    </row>
    <row r="28" spans="1:11" ht="12.95" customHeight="1">
      <c r="A28" s="821">
        <f>A27+1</f>
        <v>109</v>
      </c>
      <c r="B28" s="802" t="s">
        <v>717</v>
      </c>
      <c r="C28" s="769">
        <v>282</v>
      </c>
      <c r="D28" s="829">
        <v>2164641.12</v>
      </c>
      <c r="E28" s="824">
        <v>757624.39199999999</v>
      </c>
      <c r="F28" s="825">
        <f t="shared" si="1"/>
        <v>454574.63520000002</v>
      </c>
      <c r="G28" s="830">
        <f t="shared" si="2"/>
        <v>303049.75679999997</v>
      </c>
      <c r="H28" s="826">
        <f t="shared" si="3"/>
        <v>383607.28563089983</v>
      </c>
      <c r="I28" s="827">
        <f t="shared" si="4"/>
        <v>-80557.528830899857</v>
      </c>
      <c r="K28" s="744"/>
    </row>
    <row r="29" spans="1:11" ht="12.95" customHeight="1">
      <c r="A29" s="821">
        <f>A28+1</f>
        <v>110</v>
      </c>
      <c r="B29" s="769" t="s">
        <v>644</v>
      </c>
      <c r="C29" s="769"/>
      <c r="D29" s="840"/>
      <c r="E29" s="840"/>
      <c r="F29" s="834">
        <f t="shared" si="1"/>
        <v>0</v>
      </c>
      <c r="G29" s="834">
        <f t="shared" si="2"/>
        <v>0</v>
      </c>
      <c r="H29" s="835">
        <f t="shared" si="3"/>
        <v>0</v>
      </c>
      <c r="I29" s="836">
        <f t="shared" si="4"/>
        <v>0</v>
      </c>
      <c r="K29" s="744"/>
    </row>
    <row r="30" spans="1:11" ht="15">
      <c r="A30" s="821">
        <v>199</v>
      </c>
      <c r="B30" s="807"/>
      <c r="C30" s="807"/>
      <c r="D30" s="830">
        <f t="shared" ref="D30:I30" si="5">SUM(D22:D29)</f>
        <v>-61436108.149999999</v>
      </c>
      <c r="E30" s="830">
        <f t="shared" si="5"/>
        <v>-21502637.852499995</v>
      </c>
      <c r="F30" s="830">
        <f t="shared" si="5"/>
        <v>-12901582.7115</v>
      </c>
      <c r="G30" s="830">
        <f t="shared" si="5"/>
        <v>-8601055.1410000008</v>
      </c>
      <c r="H30" s="830">
        <f t="shared" si="5"/>
        <v>-10887411.529513912</v>
      </c>
      <c r="I30" s="830">
        <f t="shared" si="5"/>
        <v>2286356.388513912</v>
      </c>
      <c r="K30" s="744"/>
    </row>
    <row r="31" spans="1:11" ht="15">
      <c r="D31" s="841"/>
      <c r="E31" s="841"/>
      <c r="F31" s="841"/>
      <c r="G31" s="841"/>
      <c r="H31" s="841"/>
      <c r="K31" s="744"/>
    </row>
    <row r="32" spans="1:11" ht="13.5" customHeight="1" thickBot="1">
      <c r="A32" s="821">
        <v>200</v>
      </c>
      <c r="B32" s="803" t="s">
        <v>718</v>
      </c>
      <c r="C32" s="803"/>
      <c r="D32" s="842">
        <f t="shared" ref="D32:I32" si="6">+D19+D30</f>
        <v>-237565722.68357146</v>
      </c>
      <c r="E32" s="842">
        <f t="shared" si="6"/>
        <v>-83148002.939249992</v>
      </c>
      <c r="F32" s="842">
        <f t="shared" si="6"/>
        <v>-49888801.763549998</v>
      </c>
      <c r="G32" s="842">
        <f t="shared" si="6"/>
        <v>-33259201.175700001</v>
      </c>
      <c r="H32" s="842">
        <f t="shared" si="6"/>
        <v>-42100254.492803842</v>
      </c>
      <c r="I32" s="842">
        <f t="shared" si="6"/>
        <v>8841053.3171038423</v>
      </c>
      <c r="K32" s="744"/>
    </row>
    <row r="33" spans="1:11" ht="13.5" thickTop="1">
      <c r="A33" s="821"/>
      <c r="B33" s="843"/>
      <c r="C33" s="843"/>
      <c r="D33" s="830"/>
      <c r="E33" s="830"/>
      <c r="F33" s="830"/>
      <c r="G33" s="830"/>
      <c r="H33" s="830"/>
      <c r="I33" s="830"/>
    </row>
    <row r="34" spans="1:11" ht="12.95" customHeight="1">
      <c r="A34" s="844">
        <v>300</v>
      </c>
      <c r="B34" s="845" t="s">
        <v>719</v>
      </c>
      <c r="C34" s="846"/>
      <c r="D34" s="847"/>
      <c r="E34" s="847"/>
      <c r="F34" s="847"/>
      <c r="G34" s="847"/>
      <c r="H34" s="826"/>
    </row>
    <row r="35" spans="1:11" ht="12.95" customHeight="1">
      <c r="A35" s="821">
        <v>301</v>
      </c>
      <c r="B35" s="802" t="s">
        <v>720</v>
      </c>
      <c r="C35" s="769">
        <v>190</v>
      </c>
      <c r="D35" s="824">
        <v>658553.18999999994</v>
      </c>
      <c r="E35" s="824">
        <v>230493.61649999997</v>
      </c>
      <c r="F35" s="825">
        <f t="shared" ref="F35:F49" si="7">+D35*$I$7</f>
        <v>138296.16989999998</v>
      </c>
      <c r="G35" s="825">
        <f t="shared" ref="G35:G49" si="8">+E35-F35</f>
        <v>92197.446599999996</v>
      </c>
      <c r="H35" s="826">
        <f t="shared" ref="H35:H49" si="9">+G35*$I$8</f>
        <v>116705.62816411354</v>
      </c>
      <c r="I35" s="827">
        <f t="shared" ref="I35:I49" si="10">+G35-H35</f>
        <v>-24508.181564113547</v>
      </c>
      <c r="J35" s="744"/>
      <c r="K35" s="744"/>
    </row>
    <row r="36" spans="1:11" ht="12.95" customHeight="1">
      <c r="A36" s="821">
        <v>302</v>
      </c>
      <c r="B36" s="802" t="s">
        <v>721</v>
      </c>
      <c r="C36" s="769">
        <v>190</v>
      </c>
      <c r="D36" s="824">
        <v>2269561.42</v>
      </c>
      <c r="E36" s="824">
        <v>794346.49699999997</v>
      </c>
      <c r="F36" s="825">
        <f t="shared" si="7"/>
        <v>476607.89819999994</v>
      </c>
      <c r="G36" s="825">
        <f t="shared" si="8"/>
        <v>317738.59880000004</v>
      </c>
      <c r="H36" s="826">
        <f t="shared" si="9"/>
        <v>402200.75644632068</v>
      </c>
      <c r="I36" s="827">
        <f t="shared" si="10"/>
        <v>-84462.157646320644</v>
      </c>
      <c r="J36" s="744"/>
      <c r="K36" s="744"/>
    </row>
    <row r="37" spans="1:11" ht="15">
      <c r="A37" s="821">
        <v>303</v>
      </c>
      <c r="B37" s="802" t="s">
        <v>722</v>
      </c>
      <c r="C37" s="769">
        <v>190</v>
      </c>
      <c r="D37" s="824">
        <v>568446.98</v>
      </c>
      <c r="E37" s="824">
        <v>198956.44299999997</v>
      </c>
      <c r="F37" s="825">
        <f t="shared" si="7"/>
        <v>119373.86579999999</v>
      </c>
      <c r="G37" s="825">
        <f t="shared" si="8"/>
        <v>79582.577199999985</v>
      </c>
      <c r="H37" s="826">
        <f t="shared" si="9"/>
        <v>100737.4391108686</v>
      </c>
      <c r="I37" s="827">
        <f t="shared" si="10"/>
        <v>-21154.861910868611</v>
      </c>
      <c r="J37" s="744"/>
      <c r="K37" s="744"/>
    </row>
    <row r="38" spans="1:11" ht="12.95" customHeight="1">
      <c r="A38" s="821">
        <v>304</v>
      </c>
      <c r="B38" s="802" t="s">
        <v>723</v>
      </c>
      <c r="C38" s="769">
        <v>190</v>
      </c>
      <c r="D38" s="824">
        <v>0</v>
      </c>
      <c r="E38" s="824">
        <v>0</v>
      </c>
      <c r="F38" s="825">
        <f t="shared" si="7"/>
        <v>0</v>
      </c>
      <c r="G38" s="825">
        <f t="shared" si="8"/>
        <v>0</v>
      </c>
      <c r="H38" s="826">
        <f t="shared" si="9"/>
        <v>0</v>
      </c>
      <c r="I38" s="827">
        <f t="shared" si="10"/>
        <v>0</v>
      </c>
      <c r="J38" s="744"/>
      <c r="K38" s="744"/>
    </row>
    <row r="39" spans="1:11" ht="12.95" customHeight="1">
      <c r="A39" s="821">
        <v>305</v>
      </c>
      <c r="B39" s="802" t="s">
        <v>724</v>
      </c>
      <c r="C39" s="769">
        <v>190</v>
      </c>
      <c r="D39" s="824">
        <v>0</v>
      </c>
      <c r="E39" s="824">
        <v>0</v>
      </c>
      <c r="F39" s="825">
        <f t="shared" si="7"/>
        <v>0</v>
      </c>
      <c r="G39" s="825">
        <f t="shared" si="8"/>
        <v>0</v>
      </c>
      <c r="H39" s="848">
        <f t="shared" si="9"/>
        <v>0</v>
      </c>
      <c r="I39" s="827">
        <f t="shared" si="10"/>
        <v>0</v>
      </c>
      <c r="J39" s="744"/>
      <c r="K39" s="744"/>
    </row>
    <row r="40" spans="1:11" ht="12.95" customHeight="1">
      <c r="A40" s="821">
        <v>306</v>
      </c>
      <c r="B40" s="802" t="s">
        <v>725</v>
      </c>
      <c r="C40" s="769">
        <v>190</v>
      </c>
      <c r="D40" s="824">
        <v>248936.05</v>
      </c>
      <c r="E40" s="824">
        <v>87127.617499999993</v>
      </c>
      <c r="F40" s="825">
        <f t="shared" si="7"/>
        <v>52276.570499999994</v>
      </c>
      <c r="G40" s="825">
        <f t="shared" si="8"/>
        <v>34851.046999999999</v>
      </c>
      <c r="H40" s="848">
        <f t="shared" si="9"/>
        <v>44115.249199450656</v>
      </c>
      <c r="I40" s="827">
        <f t="shared" si="10"/>
        <v>-9264.2021994506576</v>
      </c>
      <c r="J40" s="744"/>
      <c r="K40" s="744"/>
    </row>
    <row r="41" spans="1:11" ht="12.95" customHeight="1">
      <c r="A41" s="821">
        <v>307</v>
      </c>
      <c r="B41" s="802" t="s">
        <v>726</v>
      </c>
      <c r="C41" s="769">
        <v>190</v>
      </c>
      <c r="D41" s="824">
        <v>0</v>
      </c>
      <c r="E41" s="824">
        <v>0</v>
      </c>
      <c r="F41" s="825">
        <f t="shared" si="7"/>
        <v>0</v>
      </c>
      <c r="G41" s="825">
        <f t="shared" si="8"/>
        <v>0</v>
      </c>
      <c r="H41" s="848">
        <f t="shared" si="9"/>
        <v>0</v>
      </c>
      <c r="I41" s="827">
        <f t="shared" si="10"/>
        <v>0</v>
      </c>
      <c r="J41" s="744"/>
      <c r="K41" s="744"/>
    </row>
    <row r="42" spans="1:11" ht="12.95" customHeight="1">
      <c r="A42" s="821">
        <v>308</v>
      </c>
      <c r="B42" s="802" t="s">
        <v>727</v>
      </c>
      <c r="C42" s="769">
        <v>190</v>
      </c>
      <c r="D42" s="824">
        <v>56426.13</v>
      </c>
      <c r="E42" s="824">
        <v>19749.145499999999</v>
      </c>
      <c r="F42" s="825">
        <f t="shared" si="7"/>
        <v>11849.487299999999</v>
      </c>
      <c r="G42" s="825">
        <f t="shared" si="8"/>
        <v>7899.6581999999999</v>
      </c>
      <c r="H42" s="848">
        <f t="shared" si="9"/>
        <v>9999.5673037737961</v>
      </c>
      <c r="I42" s="827">
        <f t="shared" si="10"/>
        <v>-2099.9091037737962</v>
      </c>
      <c r="J42" s="744"/>
      <c r="K42" s="744"/>
    </row>
    <row r="43" spans="1:11" ht="12.95" customHeight="1">
      <c r="A43" s="821">
        <v>309</v>
      </c>
      <c r="B43" s="802" t="s">
        <v>728</v>
      </c>
      <c r="C43" s="769">
        <v>190</v>
      </c>
      <c r="D43" s="824">
        <v>4085404.73</v>
      </c>
      <c r="E43" s="824">
        <v>1429891.6554999999</v>
      </c>
      <c r="F43" s="825">
        <f t="shared" si="7"/>
        <v>857934.99329999997</v>
      </c>
      <c r="G43" s="825">
        <f t="shared" si="8"/>
        <v>571956.6621999999</v>
      </c>
      <c r="H43" s="848">
        <f t="shared" si="9"/>
        <v>723995.77218552481</v>
      </c>
      <c r="I43" s="827">
        <f t="shared" si="10"/>
        <v>-152039.1099855249</v>
      </c>
      <c r="J43" s="849"/>
      <c r="K43" s="849"/>
    </row>
    <row r="44" spans="1:11" ht="12.95" customHeight="1">
      <c r="A44" s="821">
        <v>310</v>
      </c>
      <c r="B44" s="802" t="s">
        <v>729</v>
      </c>
      <c r="C44" s="769">
        <v>190</v>
      </c>
      <c r="D44" s="824">
        <v>-1485991.55</v>
      </c>
      <c r="E44" s="824">
        <v>-520097.04249999998</v>
      </c>
      <c r="F44" s="825">
        <f t="shared" si="7"/>
        <v>-312058.2255</v>
      </c>
      <c r="G44" s="825">
        <f t="shared" si="8"/>
        <v>-208038.81699999998</v>
      </c>
      <c r="H44" s="848">
        <f t="shared" si="9"/>
        <v>-263340.27368285123</v>
      </c>
      <c r="I44" s="827">
        <f t="shared" si="10"/>
        <v>55301.456682851247</v>
      </c>
      <c r="J44" s="744"/>
      <c r="K44" s="744"/>
    </row>
    <row r="45" spans="1:11" ht="12.95" customHeight="1">
      <c r="A45" s="821">
        <v>311</v>
      </c>
      <c r="B45" s="802" t="s">
        <v>730</v>
      </c>
      <c r="C45" s="769">
        <v>190</v>
      </c>
      <c r="D45" s="824">
        <v>398567.01</v>
      </c>
      <c r="E45" s="824">
        <v>139498.4535</v>
      </c>
      <c r="F45" s="825">
        <f t="shared" si="7"/>
        <v>83699.072100000005</v>
      </c>
      <c r="G45" s="825">
        <f t="shared" si="8"/>
        <v>55799.381399999998</v>
      </c>
      <c r="H45" s="848">
        <f t="shared" si="9"/>
        <v>70632.128086028286</v>
      </c>
      <c r="I45" s="827">
        <f t="shared" si="10"/>
        <v>-14832.746686028288</v>
      </c>
      <c r="J45" s="744"/>
      <c r="K45" s="744"/>
    </row>
    <row r="46" spans="1:11" ht="12.95" customHeight="1">
      <c r="A46" s="821">
        <v>312</v>
      </c>
      <c r="B46" s="802" t="s">
        <v>731</v>
      </c>
      <c r="C46" s="769">
        <v>283</v>
      </c>
      <c r="D46" s="824">
        <v>-111468.71</v>
      </c>
      <c r="E46" s="824">
        <v>-39014.048499999997</v>
      </c>
      <c r="F46" s="825">
        <f t="shared" si="7"/>
        <v>-23408.429100000001</v>
      </c>
      <c r="G46" s="825">
        <f t="shared" si="8"/>
        <v>-15605.619399999996</v>
      </c>
      <c r="H46" s="848">
        <f t="shared" si="9"/>
        <v>-19753.948532529925</v>
      </c>
      <c r="I46" s="827">
        <f t="shared" si="10"/>
        <v>4148.3291325299288</v>
      </c>
      <c r="J46" s="744"/>
      <c r="K46" s="744"/>
    </row>
    <row r="47" spans="1:11" ht="12.95" customHeight="1">
      <c r="A47" s="821">
        <v>313</v>
      </c>
      <c r="B47" s="802" t="s">
        <v>732</v>
      </c>
      <c r="C47" s="769">
        <v>283</v>
      </c>
      <c r="D47" s="824">
        <v>-190585.59999999998</v>
      </c>
      <c r="E47" s="824">
        <v>-66704.959999999992</v>
      </c>
      <c r="F47" s="825">
        <f t="shared" si="7"/>
        <v>-40022.975999999995</v>
      </c>
      <c r="G47" s="825">
        <f t="shared" si="8"/>
        <v>-26681.983999999997</v>
      </c>
      <c r="H47" s="848">
        <f t="shared" si="9"/>
        <v>-33774.663162795514</v>
      </c>
      <c r="I47" s="827">
        <f t="shared" si="10"/>
        <v>7092.6791627955172</v>
      </c>
      <c r="J47" s="744"/>
      <c r="K47" s="744"/>
    </row>
    <row r="48" spans="1:11" ht="15">
      <c r="A48" s="821">
        <v>314</v>
      </c>
      <c r="B48" s="802" t="s">
        <v>733</v>
      </c>
      <c r="C48" s="769">
        <v>283</v>
      </c>
      <c r="D48" s="824">
        <v>-550693.09000000008</v>
      </c>
      <c r="E48" s="824">
        <v>-192742.58150000003</v>
      </c>
      <c r="F48" s="825">
        <f t="shared" si="7"/>
        <v>-115645.54890000001</v>
      </c>
      <c r="G48" s="825">
        <f t="shared" si="8"/>
        <v>-77097.03260000002</v>
      </c>
      <c r="H48" s="848">
        <f t="shared" si="9"/>
        <v>-97591.180135482646</v>
      </c>
      <c r="I48" s="827">
        <f t="shared" si="10"/>
        <v>20494.147535482625</v>
      </c>
      <c r="J48" s="744"/>
      <c r="K48" s="744"/>
    </row>
    <row r="49" spans="1:11" ht="15">
      <c r="A49" s="821">
        <v>315</v>
      </c>
      <c r="B49" s="769" t="s">
        <v>644</v>
      </c>
      <c r="C49" s="769"/>
      <c r="D49" s="769"/>
      <c r="E49" s="769"/>
      <c r="F49" s="825">
        <f t="shared" si="7"/>
        <v>0</v>
      </c>
      <c r="G49" s="834">
        <f t="shared" si="8"/>
        <v>0</v>
      </c>
      <c r="H49" s="826">
        <f t="shared" si="9"/>
        <v>0</v>
      </c>
      <c r="I49" s="827">
        <f t="shared" si="10"/>
        <v>0</v>
      </c>
      <c r="J49" s="744"/>
      <c r="K49" s="744"/>
    </row>
    <row r="50" spans="1:11" ht="12.95" customHeight="1">
      <c r="A50" s="821">
        <v>400</v>
      </c>
      <c r="B50" s="803" t="s">
        <v>734</v>
      </c>
      <c r="C50" s="803"/>
      <c r="D50" s="850">
        <f t="shared" ref="D50:I50" si="11">SUM(D35:D49)</f>
        <v>5947156.5600000005</v>
      </c>
      <c r="E50" s="850">
        <f t="shared" si="11"/>
        <v>2081504.7959999994</v>
      </c>
      <c r="F50" s="850">
        <f t="shared" si="11"/>
        <v>1248902.8775999998</v>
      </c>
      <c r="G50" s="851">
        <f t="shared" si="11"/>
        <v>832601.91839999962</v>
      </c>
      <c r="H50" s="852">
        <f t="shared" si="11"/>
        <v>1053926.4749824209</v>
      </c>
      <c r="I50" s="850">
        <f t="shared" si="11"/>
        <v>-221324.55658242112</v>
      </c>
      <c r="K50" s="744"/>
    </row>
    <row r="51" spans="1:11">
      <c r="A51" s="806"/>
      <c r="B51" s="807"/>
      <c r="C51" s="807"/>
      <c r="D51" s="853"/>
      <c r="E51" s="850">
        <f>+E31+E49</f>
        <v>0</v>
      </c>
      <c r="F51" s="853"/>
      <c r="G51" s="853"/>
      <c r="H51" s="826"/>
    </row>
    <row r="52" spans="1:11" ht="12.95" customHeight="1">
      <c r="A52" s="821">
        <v>400</v>
      </c>
      <c r="B52" s="803" t="s">
        <v>735</v>
      </c>
      <c r="C52" s="803"/>
      <c r="D52" s="850">
        <f>+D32+D50</f>
        <v>-231618566.12357146</v>
      </c>
      <c r="E52" s="850">
        <f>+E32+E50</f>
        <v>-81066498.143249989</v>
      </c>
      <c r="F52" s="850">
        <f>+F32+F50</f>
        <v>-48639898.885949999</v>
      </c>
      <c r="G52" s="850">
        <f>+G32+G50</f>
        <v>-32426599.257300001</v>
      </c>
      <c r="H52" s="850">
        <f>+H32+H50</f>
        <v>-41046328.017821424</v>
      </c>
      <c r="I52" s="850">
        <f>+I32+I50</f>
        <v>8619728.7605214212</v>
      </c>
    </row>
    <row r="53" spans="1:11">
      <c r="D53" s="826"/>
      <c r="H53" s="827"/>
    </row>
    <row r="54" spans="1:11">
      <c r="D54" s="827"/>
      <c r="H54" s="827"/>
    </row>
    <row r="55" spans="1:11" ht="15">
      <c r="A55" s="795" t="s">
        <v>610</v>
      </c>
      <c r="B55" s="854"/>
      <c r="C55" s="854"/>
      <c r="D55" s="854"/>
      <c r="E55" s="854"/>
      <c r="F55" s="854"/>
      <c r="G55" s="854"/>
      <c r="H55" s="855"/>
      <c r="I55" s="854"/>
      <c r="J55" s="744"/>
      <c r="K55" s="744"/>
    </row>
    <row r="56" spans="1:11" ht="38.1" customHeight="1">
      <c r="A56" s="856" t="s">
        <v>419</v>
      </c>
      <c r="B56" s="961" t="s">
        <v>736</v>
      </c>
      <c r="C56" s="961"/>
      <c r="D56" s="961"/>
      <c r="E56" s="961"/>
      <c r="F56" s="961"/>
      <c r="G56" s="961"/>
      <c r="H56" s="961"/>
      <c r="I56" s="961"/>
      <c r="J56" s="960"/>
      <c r="K56" s="960"/>
    </row>
    <row r="57" spans="1:11" ht="44.45" customHeight="1">
      <c r="A57" s="856" t="s">
        <v>421</v>
      </c>
      <c r="B57" s="961" t="s">
        <v>737</v>
      </c>
      <c r="C57" s="961"/>
      <c r="D57" s="961"/>
      <c r="E57" s="961"/>
      <c r="F57" s="961"/>
      <c r="G57" s="961"/>
      <c r="H57" s="961"/>
      <c r="I57" s="961"/>
      <c r="J57" s="960"/>
      <c r="K57" s="960"/>
    </row>
    <row r="59" spans="1:11">
      <c r="H59" s="857"/>
    </row>
    <row r="60" spans="1:11">
      <c r="H60" s="849"/>
    </row>
    <row r="61" spans="1:11">
      <c r="H61" s="849"/>
    </row>
  </sheetData>
  <mergeCells count="9">
    <mergeCell ref="J56:K56"/>
    <mergeCell ref="B57:I57"/>
    <mergeCell ref="J57:K57"/>
    <mergeCell ref="A1:I1"/>
    <mergeCell ref="A2:I2"/>
    <mergeCell ref="A3:I3"/>
    <mergeCell ref="A4:I4"/>
    <mergeCell ref="D11:I11"/>
    <mergeCell ref="B56:I56"/>
  </mergeCells>
  <printOptions horizontalCentered="1"/>
  <pageMargins left="0.25" right="0.25" top="0.5" bottom="0.5" header="0.3" footer="0.3"/>
  <pageSetup scale="79"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59999389629810485"/>
  </sheetPr>
  <dimension ref="A1:S121"/>
  <sheetViews>
    <sheetView workbookViewId="0">
      <selection activeCell="K27" sqref="K27"/>
    </sheetView>
  </sheetViews>
  <sheetFormatPr defaultColWidth="8.77734375" defaultRowHeight="12.75"/>
  <cols>
    <col min="1" max="1" width="5.77734375" style="1" customWidth="1"/>
    <col min="2" max="2" width="26.5546875" style="2" customWidth="1"/>
    <col min="3" max="5" width="15.109375" style="2" customWidth="1"/>
    <col min="6" max="6" width="15.6640625" style="2" customWidth="1"/>
    <col min="7" max="7" width="18.77734375" style="2" customWidth="1"/>
    <col min="8" max="8" width="18.44140625" style="2" customWidth="1"/>
    <col min="9" max="9" width="16.109375" style="2" customWidth="1"/>
    <col min="10" max="10" width="10.6640625" style="2" customWidth="1"/>
    <col min="11" max="11" width="10.21875" style="2" bestFit="1" customWidth="1"/>
    <col min="12" max="12" width="8.77734375" style="2" customWidth="1"/>
    <col min="13" max="13" width="12.21875" style="2" customWidth="1"/>
    <col min="14" max="14" width="11.77734375" style="2" customWidth="1"/>
    <col min="15" max="15" width="12.21875" style="2" bestFit="1" customWidth="1"/>
    <col min="16" max="16" width="9" style="2" customWidth="1"/>
    <col min="17" max="17" width="8" style="2" bestFit="1" customWidth="1"/>
    <col min="18" max="18" width="8.109375" style="2" customWidth="1"/>
    <col min="19" max="16384" width="8.77734375" style="2"/>
  </cols>
  <sheetData>
    <row r="1" spans="1:19">
      <c r="C1" s="3"/>
      <c r="E1" s="442" t="s">
        <v>36</v>
      </c>
      <c r="F1" s="3"/>
      <c r="H1" s="3"/>
      <c r="I1" s="3"/>
      <c r="J1" s="3"/>
      <c r="K1" s="3"/>
      <c r="L1" s="3"/>
      <c r="M1" s="3"/>
      <c r="N1" s="3"/>
      <c r="O1" s="3"/>
      <c r="P1" s="3"/>
      <c r="Q1" s="3"/>
      <c r="R1" s="3"/>
    </row>
    <row r="2" spans="1:19">
      <c r="A2" s="5"/>
      <c r="C2" s="3"/>
      <c r="D2" s="3"/>
      <c r="E2" s="12" t="s">
        <v>738</v>
      </c>
      <c r="F2" s="3"/>
      <c r="H2" s="3"/>
      <c r="I2" s="3"/>
      <c r="J2" s="3"/>
      <c r="K2" s="3"/>
      <c r="L2" s="3"/>
      <c r="M2" s="3"/>
      <c r="N2" s="3"/>
      <c r="O2" s="3"/>
      <c r="P2" s="3"/>
      <c r="Q2" s="3"/>
    </row>
    <row r="3" spans="1:19">
      <c r="A3" s="5"/>
      <c r="C3" s="3"/>
      <c r="D3" s="3"/>
      <c r="E3" s="443" t="str">
        <f>'Act Att-H'!C7</f>
        <v>Cheyenne Light, Fuel &amp; Power</v>
      </c>
      <c r="F3" s="3"/>
      <c r="H3" s="3"/>
      <c r="I3" s="187" t="s">
        <v>739</v>
      </c>
      <c r="J3" s="3"/>
      <c r="K3" s="3"/>
      <c r="L3" s="3"/>
      <c r="M3" s="3"/>
      <c r="N3" s="3"/>
      <c r="O3" s="3"/>
      <c r="P3" s="3"/>
      <c r="Q3" s="3"/>
    </row>
    <row r="4" spans="1:19">
      <c r="A4" s="5"/>
      <c r="C4" s="3"/>
      <c r="D4" s="3"/>
      <c r="E4" s="3"/>
      <c r="F4" s="3"/>
      <c r="G4" s="3"/>
      <c r="H4" s="3"/>
      <c r="I4" s="3"/>
    </row>
    <row r="5" spans="1:19" ht="15" customHeight="1">
      <c r="A5" s="5"/>
      <c r="B5" s="7"/>
      <c r="C5" s="867" t="s">
        <v>740</v>
      </c>
      <c r="D5" s="859"/>
      <c r="E5" s="866"/>
      <c r="F5" s="859"/>
      <c r="G5" s="859"/>
      <c r="H5" s="886"/>
      <c r="I5" s="887" t="s">
        <v>741</v>
      </c>
      <c r="J5" s="887" t="s">
        <v>742</v>
      </c>
    </row>
    <row r="6" spans="1:19">
      <c r="A6" s="5"/>
      <c r="B6" s="7"/>
    </row>
    <row r="7" spans="1:19" s="11" customFormat="1" ht="42" customHeight="1">
      <c r="A7" s="8" t="s">
        <v>743</v>
      </c>
      <c r="B7" s="9" t="s">
        <v>744</v>
      </c>
      <c r="C7" s="9" t="s">
        <v>745</v>
      </c>
      <c r="D7" s="9" t="s">
        <v>133</v>
      </c>
      <c r="E7" s="9" t="s">
        <v>746</v>
      </c>
      <c r="F7" s="9" t="s">
        <v>747</v>
      </c>
      <c r="G7" s="9" t="s">
        <v>748</v>
      </c>
      <c r="H7" s="10" t="s">
        <v>749</v>
      </c>
      <c r="I7" s="9" t="s">
        <v>750</v>
      </c>
      <c r="J7" s="9" t="s">
        <v>751</v>
      </c>
    </row>
    <row r="8" spans="1:19" s="15" customFormat="1">
      <c r="A8" s="5"/>
      <c r="B8" s="12" t="s">
        <v>490</v>
      </c>
      <c r="C8" s="12" t="s">
        <v>491</v>
      </c>
      <c r="D8" s="12" t="s">
        <v>492</v>
      </c>
      <c r="E8" s="9" t="s">
        <v>493</v>
      </c>
      <c r="F8" s="9" t="s">
        <v>537</v>
      </c>
      <c r="G8" s="9" t="s">
        <v>538</v>
      </c>
      <c r="H8" s="9" t="s">
        <v>539</v>
      </c>
      <c r="I8" s="9" t="s">
        <v>540</v>
      </c>
      <c r="J8" s="13" t="s">
        <v>541</v>
      </c>
    </row>
    <row r="9" spans="1:19" s="15" customFormat="1" ht="29.25" customHeight="1">
      <c r="A9" s="5"/>
      <c r="B9" s="16" t="s">
        <v>752</v>
      </c>
      <c r="C9" s="12" t="s">
        <v>753</v>
      </c>
      <c r="D9" s="12" t="s">
        <v>754</v>
      </c>
      <c r="E9" s="12" t="s">
        <v>755</v>
      </c>
      <c r="F9" s="12" t="s">
        <v>756</v>
      </c>
      <c r="G9" s="9" t="s">
        <v>757</v>
      </c>
      <c r="H9" s="12" t="s">
        <v>758</v>
      </c>
      <c r="I9" s="12" t="s">
        <v>759</v>
      </c>
      <c r="J9" s="12" t="s">
        <v>760</v>
      </c>
      <c r="L9" s="721"/>
      <c r="M9" s="721"/>
      <c r="N9" s="721"/>
      <c r="O9" s="722"/>
      <c r="P9" s="721"/>
      <c r="Q9" s="721"/>
      <c r="R9" s="721"/>
    </row>
    <row r="10" spans="1:19">
      <c r="A10" s="5">
        <v>1</v>
      </c>
      <c r="B10" s="17" t="s">
        <v>761</v>
      </c>
      <c r="C10" s="18">
        <v>351826813.21000004</v>
      </c>
      <c r="D10" s="18">
        <v>178886824.50000003</v>
      </c>
      <c r="E10" s="18">
        <v>296167246.50915438</v>
      </c>
      <c r="F10" s="18"/>
      <c r="G10" s="18">
        <v>46658483.189999998</v>
      </c>
      <c r="H10" s="18">
        <v>7907234.5699999994</v>
      </c>
      <c r="I10" s="717"/>
      <c r="J10" s="18">
        <v>318000</v>
      </c>
      <c r="K10" s="15"/>
      <c r="L10" s="416"/>
      <c r="M10" s="416"/>
      <c r="N10" s="416"/>
      <c r="O10" s="416"/>
      <c r="P10" s="416"/>
      <c r="Q10" s="416"/>
      <c r="R10" s="416"/>
      <c r="S10" s="15"/>
    </row>
    <row r="11" spans="1:19">
      <c r="A11" s="5">
        <v>2</v>
      </c>
      <c r="B11" s="17" t="s">
        <v>762</v>
      </c>
      <c r="C11" s="18">
        <v>353559519.58000004</v>
      </c>
      <c r="D11" s="18">
        <v>179684402.43000001</v>
      </c>
      <c r="E11" s="18">
        <v>297619392.31000006</v>
      </c>
      <c r="F11" s="18"/>
      <c r="G11" s="18">
        <v>45768382.859999999</v>
      </c>
      <c r="H11" s="18">
        <v>7914865.0499999998</v>
      </c>
      <c r="I11" s="717"/>
      <c r="J11" s="18">
        <v>318000</v>
      </c>
      <c r="K11" s="15"/>
      <c r="L11" s="416"/>
      <c r="M11" s="416"/>
      <c r="N11" s="416"/>
      <c r="O11" s="416"/>
      <c r="P11" s="416"/>
      <c r="Q11" s="416"/>
      <c r="R11" s="416"/>
      <c r="S11" s="15"/>
    </row>
    <row r="12" spans="1:19">
      <c r="A12" s="5">
        <v>3</v>
      </c>
      <c r="B12" s="3" t="s">
        <v>763</v>
      </c>
      <c r="C12" s="18">
        <v>353554812.77000004</v>
      </c>
      <c r="D12" s="18">
        <v>179135055.37</v>
      </c>
      <c r="E12" s="18">
        <v>298992888.47000003</v>
      </c>
      <c r="F12" s="18"/>
      <c r="G12" s="18">
        <v>45738786.359999999</v>
      </c>
      <c r="H12" s="18">
        <v>7914833.4099999992</v>
      </c>
      <c r="I12" s="717"/>
      <c r="J12" s="18">
        <v>318000</v>
      </c>
      <c r="K12" s="15"/>
      <c r="L12" s="416"/>
      <c r="M12" s="416"/>
      <c r="N12" s="416"/>
      <c r="O12" s="416"/>
      <c r="P12" s="416"/>
      <c r="Q12" s="416"/>
      <c r="R12" s="416"/>
      <c r="S12" s="15"/>
    </row>
    <row r="13" spans="1:19">
      <c r="A13" s="5">
        <v>4</v>
      </c>
      <c r="B13" s="3" t="s">
        <v>764</v>
      </c>
      <c r="C13" s="18">
        <v>352402172.56000006</v>
      </c>
      <c r="D13" s="18">
        <v>179052477.63000003</v>
      </c>
      <c r="E13" s="18">
        <v>300332402.79999983</v>
      </c>
      <c r="F13" s="18"/>
      <c r="G13" s="18">
        <v>46019944.299999997</v>
      </c>
      <c r="H13" s="18">
        <v>7907268.9099999992</v>
      </c>
      <c r="I13" s="717"/>
      <c r="J13" s="18">
        <v>318000</v>
      </c>
      <c r="K13" s="15"/>
      <c r="L13" s="416"/>
      <c r="M13" s="416"/>
      <c r="N13" s="416"/>
      <c r="O13" s="416"/>
      <c r="P13" s="416"/>
      <c r="Q13" s="416"/>
      <c r="R13" s="416"/>
      <c r="S13" s="15"/>
    </row>
    <row r="14" spans="1:19">
      <c r="A14" s="5">
        <v>5</v>
      </c>
      <c r="B14" s="3" t="s">
        <v>765</v>
      </c>
      <c r="C14" s="18">
        <v>353932532.69</v>
      </c>
      <c r="D14" s="18">
        <v>180366649.95999998</v>
      </c>
      <c r="E14" s="18">
        <v>300822259.76999998</v>
      </c>
      <c r="F14" s="18"/>
      <c r="G14" s="18">
        <v>46041687.240000002</v>
      </c>
      <c r="H14" s="18">
        <v>7918546.1799999997</v>
      </c>
      <c r="I14" s="717"/>
      <c r="J14" s="18">
        <v>318000</v>
      </c>
      <c r="K14" s="15"/>
      <c r="L14" s="416"/>
      <c r="M14" s="416"/>
      <c r="N14" s="416"/>
      <c r="O14" s="416"/>
      <c r="P14" s="416"/>
      <c r="Q14" s="416"/>
      <c r="R14" s="416"/>
      <c r="S14" s="15"/>
    </row>
    <row r="15" spans="1:19">
      <c r="A15" s="5">
        <v>6</v>
      </c>
      <c r="B15" s="3" t="s">
        <v>766</v>
      </c>
      <c r="C15" s="18">
        <v>353947619.14999998</v>
      </c>
      <c r="D15" s="18">
        <v>190480953.28000003</v>
      </c>
      <c r="E15" s="18">
        <v>301308833.67999989</v>
      </c>
      <c r="F15" s="18"/>
      <c r="G15" s="18">
        <v>45748021.870000005</v>
      </c>
      <c r="H15" s="18">
        <v>7946683.0399999991</v>
      </c>
      <c r="I15" s="717"/>
      <c r="J15" s="18">
        <v>318000</v>
      </c>
      <c r="K15" s="15"/>
      <c r="L15" s="416"/>
      <c r="M15" s="416"/>
      <c r="N15" s="416"/>
      <c r="O15" s="416"/>
      <c r="P15" s="416"/>
      <c r="Q15" s="416"/>
      <c r="R15" s="416"/>
      <c r="S15" s="15"/>
    </row>
    <row r="16" spans="1:19">
      <c r="A16" s="5">
        <v>7</v>
      </c>
      <c r="B16" s="3" t="s">
        <v>18</v>
      </c>
      <c r="C16" s="18">
        <v>352506635.62</v>
      </c>
      <c r="D16" s="18">
        <v>205026613.42000002</v>
      </c>
      <c r="E16" s="18">
        <v>302814516.7299999</v>
      </c>
      <c r="F16" s="18"/>
      <c r="G16" s="18">
        <v>46414469.219999999</v>
      </c>
      <c r="H16" s="18">
        <v>7939118.5399999991</v>
      </c>
      <c r="I16" s="717"/>
      <c r="J16" s="18">
        <v>318000</v>
      </c>
      <c r="K16" s="15"/>
      <c r="L16" s="416"/>
      <c r="M16" s="416"/>
      <c r="N16" s="416"/>
      <c r="O16" s="416"/>
      <c r="P16" s="416"/>
      <c r="Q16" s="416"/>
      <c r="R16" s="416"/>
      <c r="S16" s="15"/>
    </row>
    <row r="17" spans="1:19">
      <c r="A17" s="5">
        <v>8</v>
      </c>
      <c r="B17" s="3" t="s">
        <v>767</v>
      </c>
      <c r="C17" s="18">
        <v>353956543.22999996</v>
      </c>
      <c r="D17" s="18">
        <v>205928548.08999997</v>
      </c>
      <c r="E17" s="18">
        <v>304267869.18000001</v>
      </c>
      <c r="F17" s="18"/>
      <c r="G17" s="18">
        <v>46131396.210000008</v>
      </c>
      <c r="H17" s="18">
        <v>7946683.0399999991</v>
      </c>
      <c r="I17" s="717"/>
      <c r="J17" s="18">
        <v>318000</v>
      </c>
      <c r="K17" s="15"/>
      <c r="L17" s="416"/>
      <c r="M17" s="416"/>
      <c r="N17" s="416"/>
      <c r="O17" s="416"/>
      <c r="P17" s="416"/>
      <c r="Q17" s="416"/>
      <c r="R17" s="416"/>
      <c r="S17" s="15"/>
    </row>
    <row r="18" spans="1:19">
      <c r="A18" s="5">
        <v>9</v>
      </c>
      <c r="B18" s="3" t="s">
        <v>768</v>
      </c>
      <c r="C18" s="18">
        <v>353956569.39999998</v>
      </c>
      <c r="D18" s="18">
        <v>206003815.25000003</v>
      </c>
      <c r="E18" s="18">
        <v>305293618.38999987</v>
      </c>
      <c r="F18" s="18"/>
      <c r="G18" s="18">
        <v>46329866.869999997</v>
      </c>
      <c r="H18" s="18">
        <v>7946683.0399999991</v>
      </c>
      <c r="I18" s="717"/>
      <c r="J18" s="18">
        <v>318000</v>
      </c>
      <c r="K18" s="15"/>
      <c r="L18" s="416"/>
      <c r="M18" s="416"/>
      <c r="N18" s="416"/>
      <c r="O18" s="416"/>
      <c r="P18" s="416"/>
      <c r="Q18" s="416"/>
      <c r="R18" s="416"/>
      <c r="S18" s="15"/>
    </row>
    <row r="19" spans="1:19">
      <c r="A19" s="5">
        <v>10</v>
      </c>
      <c r="B19" s="3" t="s">
        <v>769</v>
      </c>
      <c r="C19" s="18">
        <v>352797315.94999993</v>
      </c>
      <c r="D19" s="18">
        <v>205369493.59</v>
      </c>
      <c r="E19" s="18">
        <v>305920643.79999983</v>
      </c>
      <c r="F19" s="18"/>
      <c r="G19" s="18">
        <v>46395084.210000001</v>
      </c>
      <c r="H19" s="18">
        <v>8136598.0099999988</v>
      </c>
      <c r="I19" s="717"/>
      <c r="J19" s="18">
        <v>318000</v>
      </c>
      <c r="K19" s="15"/>
      <c r="L19" s="416"/>
      <c r="M19" s="416"/>
      <c r="N19" s="416"/>
      <c r="O19" s="416"/>
      <c r="P19" s="416"/>
      <c r="Q19" s="416"/>
      <c r="R19" s="416"/>
      <c r="S19" s="15"/>
    </row>
    <row r="20" spans="1:19">
      <c r="A20" s="5">
        <v>11</v>
      </c>
      <c r="B20" s="3" t="s">
        <v>770</v>
      </c>
      <c r="C20" s="18">
        <v>356009335.16999996</v>
      </c>
      <c r="D20" s="18">
        <v>206363747.65000001</v>
      </c>
      <c r="E20" s="18">
        <v>307034840.90000021</v>
      </c>
      <c r="F20" s="18"/>
      <c r="G20" s="18">
        <v>46353271.359999999</v>
      </c>
      <c r="H20" s="18">
        <v>8160577.1399999997</v>
      </c>
      <c r="I20" s="717"/>
      <c r="J20" s="18">
        <v>318000</v>
      </c>
      <c r="K20" s="15"/>
      <c r="L20" s="416"/>
      <c r="M20" s="416"/>
      <c r="N20" s="416"/>
      <c r="O20" s="416"/>
      <c r="P20" s="416"/>
      <c r="Q20" s="416"/>
      <c r="R20" s="416"/>
      <c r="S20" s="15"/>
    </row>
    <row r="21" spans="1:19">
      <c r="A21" s="5">
        <v>12</v>
      </c>
      <c r="B21" s="3" t="s">
        <v>771</v>
      </c>
      <c r="C21" s="18">
        <v>356291907.72000003</v>
      </c>
      <c r="D21" s="18">
        <v>287517790.75</v>
      </c>
      <c r="E21" s="18">
        <v>307671243.09999996</v>
      </c>
      <c r="F21" s="18"/>
      <c r="G21" s="18">
        <v>46392079.620000005</v>
      </c>
      <c r="H21" s="18">
        <v>8209106.379999999</v>
      </c>
      <c r="I21" s="717"/>
      <c r="J21" s="18">
        <v>318000</v>
      </c>
      <c r="K21" s="15"/>
      <c r="L21" s="416"/>
      <c r="M21" s="416"/>
      <c r="N21" s="416"/>
      <c r="O21" s="416"/>
      <c r="P21" s="416"/>
      <c r="Q21" s="416"/>
      <c r="R21" s="416"/>
      <c r="S21" s="15"/>
    </row>
    <row r="22" spans="1:19">
      <c r="A22" s="5">
        <v>13</v>
      </c>
      <c r="B22" s="3" t="s">
        <v>772</v>
      </c>
      <c r="C22" s="18">
        <v>353343691.14999986</v>
      </c>
      <c r="D22" s="18">
        <v>430684311.11999995</v>
      </c>
      <c r="E22" s="18">
        <v>346526825.44005865</v>
      </c>
      <c r="F22" s="18"/>
      <c r="G22" s="18">
        <v>47564825.310000002</v>
      </c>
      <c r="H22" s="18">
        <v>8230977.0999999996</v>
      </c>
      <c r="I22" s="717"/>
      <c r="J22" s="18">
        <v>4625973</v>
      </c>
      <c r="K22" s="15"/>
      <c r="L22" s="416"/>
      <c r="M22" s="416"/>
      <c r="N22" s="416"/>
      <c r="O22" s="416"/>
      <c r="P22" s="416"/>
      <c r="Q22" s="416"/>
      <c r="R22" s="416"/>
      <c r="S22" s="15"/>
    </row>
    <row r="23" spans="1:19" ht="13.5" thickBot="1">
      <c r="A23" s="5">
        <v>14</v>
      </c>
      <c r="B23" s="19" t="s">
        <v>773</v>
      </c>
      <c r="C23" s="20">
        <f>SUM(C10:C22)/13</f>
        <v>353698882.16923076</v>
      </c>
      <c r="D23" s="20">
        <f>SUM(D10:D22)/13</f>
        <v>218038514.07999998</v>
      </c>
      <c r="E23" s="20">
        <f t="shared" ref="E23:I23" si="0">SUM(E10:E22)/13</f>
        <v>305751737.00609326</v>
      </c>
      <c r="F23" s="20">
        <f t="shared" si="0"/>
        <v>0</v>
      </c>
      <c r="G23" s="20">
        <f t="shared" si="0"/>
        <v>46273561.432307683</v>
      </c>
      <c r="H23" s="20">
        <f t="shared" si="0"/>
        <v>8006090.3392307693</v>
      </c>
      <c r="I23" s="20">
        <f t="shared" si="0"/>
        <v>0</v>
      </c>
      <c r="J23" s="20">
        <f>SUM(J10:J22)/13</f>
        <v>649382.5384615385</v>
      </c>
      <c r="K23" s="15"/>
      <c r="L23" s="721"/>
      <c r="M23" s="721"/>
      <c r="N23" s="721"/>
      <c r="O23" s="722"/>
      <c r="P23" s="721"/>
      <c r="Q23" s="721"/>
      <c r="R23" s="721"/>
      <c r="S23" s="15"/>
    </row>
    <row r="24" spans="1:19" ht="13.5" thickTop="1">
      <c r="A24" s="5"/>
      <c r="B24" s="3"/>
      <c r="C24" s="21"/>
      <c r="D24" s="22"/>
      <c r="E24" s="22"/>
      <c r="F24" s="22"/>
      <c r="G24" s="21"/>
      <c r="H24" s="21"/>
      <c r="I24" s="21"/>
    </row>
    <row r="25" spans="1:19">
      <c r="A25" s="5"/>
      <c r="B25" s="3"/>
      <c r="C25" s="21"/>
      <c r="D25" s="22"/>
      <c r="E25" s="22"/>
      <c r="F25" s="22"/>
      <c r="G25" s="21"/>
      <c r="H25" s="21"/>
      <c r="I25" s="21"/>
    </row>
    <row r="26" spans="1:19">
      <c r="A26" s="5"/>
      <c r="B26" s="3"/>
      <c r="C26" s="21"/>
      <c r="D26" s="22"/>
      <c r="E26" s="22"/>
      <c r="F26" s="22"/>
      <c r="G26" s="21"/>
      <c r="H26" s="21"/>
      <c r="I26" s="21"/>
    </row>
    <row r="27" spans="1:19">
      <c r="A27" s="5"/>
      <c r="B27" s="3"/>
      <c r="C27" s="3"/>
    </row>
    <row r="28" spans="1:19">
      <c r="A28" s="5"/>
      <c r="B28" s="3"/>
      <c r="C28" s="739" t="s">
        <v>774</v>
      </c>
      <c r="D28" s="738"/>
      <c r="E28" s="740"/>
      <c r="F28" s="740"/>
      <c r="G28" s="740"/>
      <c r="H28" s="740"/>
      <c r="I28" s="741"/>
    </row>
    <row r="29" spans="1:19">
      <c r="A29" s="5"/>
      <c r="B29" s="3"/>
    </row>
    <row r="30" spans="1:19">
      <c r="A30" s="8" t="s">
        <v>743</v>
      </c>
      <c r="B30" s="9" t="s">
        <v>744</v>
      </c>
      <c r="C30" s="597" t="s">
        <v>775</v>
      </c>
      <c r="D30" s="9" t="s">
        <v>747</v>
      </c>
      <c r="E30" s="9" t="s">
        <v>745</v>
      </c>
      <c r="F30" s="9" t="s">
        <v>133</v>
      </c>
      <c r="G30" s="9" t="s">
        <v>746</v>
      </c>
      <c r="H30" s="9" t="s">
        <v>748</v>
      </c>
      <c r="I30" s="9" t="s">
        <v>749</v>
      </c>
    </row>
    <row r="31" spans="1:19">
      <c r="A31" s="5"/>
      <c r="B31" s="12" t="s">
        <v>490</v>
      </c>
      <c r="C31" s="339" t="s">
        <v>491</v>
      </c>
      <c r="D31" s="12" t="s">
        <v>492</v>
      </c>
      <c r="E31" s="9" t="s">
        <v>493</v>
      </c>
      <c r="F31" s="9" t="s">
        <v>537</v>
      </c>
      <c r="G31" s="9" t="s">
        <v>538</v>
      </c>
      <c r="H31" s="9" t="s">
        <v>539</v>
      </c>
      <c r="I31" s="13" t="s">
        <v>540</v>
      </c>
      <c r="N31" s="11"/>
      <c r="O31" s="102"/>
    </row>
    <row r="32" spans="1:19" ht="25.5">
      <c r="A32" s="5"/>
      <c r="B32" s="16" t="s">
        <v>752</v>
      </c>
      <c r="C32" s="731"/>
      <c r="D32" s="12" t="s">
        <v>776</v>
      </c>
      <c r="E32" s="9" t="s">
        <v>777</v>
      </c>
      <c r="F32" s="12" t="s">
        <v>778</v>
      </c>
      <c r="G32" s="12" t="s">
        <v>779</v>
      </c>
      <c r="H32" s="9" t="s">
        <v>780</v>
      </c>
      <c r="I32" s="12" t="s">
        <v>781</v>
      </c>
      <c r="M32" s="722"/>
      <c r="N32" s="722"/>
      <c r="O32" s="721"/>
      <c r="P32" s="722"/>
      <c r="Q32" s="722"/>
    </row>
    <row r="33" spans="1:17">
      <c r="A33" s="5">
        <v>15</v>
      </c>
      <c r="B33" s="17" t="s">
        <v>761</v>
      </c>
      <c r="D33" s="18"/>
      <c r="E33" s="18">
        <v>89048511.450000018</v>
      </c>
      <c r="F33" s="18">
        <v>11830841.514701752</v>
      </c>
      <c r="G33" s="18">
        <v>79185342.409999996</v>
      </c>
      <c r="H33" s="18">
        <v>11715535.691740289</v>
      </c>
      <c r="I33" s="18">
        <v>2580389.12</v>
      </c>
      <c r="M33" s="416"/>
      <c r="N33" s="416"/>
      <c r="O33" s="416"/>
      <c r="P33" s="416"/>
      <c r="Q33" s="416"/>
    </row>
    <row r="34" spans="1:17">
      <c r="A34" s="5">
        <v>16</v>
      </c>
      <c r="B34" s="17" t="s">
        <v>762</v>
      </c>
      <c r="D34" s="18"/>
      <c r="E34" s="18">
        <v>91182628.569999993</v>
      </c>
      <c r="F34" s="18">
        <v>12736001.249099415</v>
      </c>
      <c r="G34" s="18">
        <v>80159666.049999982</v>
      </c>
      <c r="H34" s="18">
        <v>11002468.845717121</v>
      </c>
      <c r="I34" s="18">
        <v>2602974.6700000004</v>
      </c>
      <c r="M34" s="416"/>
      <c r="N34" s="416"/>
      <c r="O34" s="416"/>
      <c r="P34" s="416"/>
      <c r="Q34" s="416"/>
    </row>
    <row r="35" spans="1:17">
      <c r="A35" s="5">
        <v>17</v>
      </c>
      <c r="B35" s="3" t="s">
        <v>763</v>
      </c>
      <c r="D35" s="18"/>
      <c r="E35" s="18">
        <v>92110640.980000004</v>
      </c>
      <c r="F35" s="18">
        <v>12563461.905306172</v>
      </c>
      <c r="G35" s="18">
        <v>80597237.460000008</v>
      </c>
      <c r="H35" s="18">
        <v>11148199.651323957</v>
      </c>
      <c r="I35" s="18">
        <v>2617995.7799999993</v>
      </c>
      <c r="M35" s="416"/>
      <c r="N35" s="416"/>
      <c r="O35" s="416"/>
      <c r="P35" s="416"/>
      <c r="Q35" s="416"/>
    </row>
    <row r="36" spans="1:17">
      <c r="A36" s="5">
        <v>18</v>
      </c>
      <c r="B36" s="3" t="s">
        <v>764</v>
      </c>
      <c r="D36" s="18"/>
      <c r="E36" s="18">
        <v>91929488.580000013</v>
      </c>
      <c r="F36" s="18">
        <v>12764791.758929875</v>
      </c>
      <c r="G36" s="18">
        <v>81176499.39000003</v>
      </c>
      <c r="H36" s="18">
        <v>11416234.985041499</v>
      </c>
      <c r="I36" s="18">
        <v>2625452.33</v>
      </c>
      <c r="M36" s="416"/>
      <c r="N36" s="416"/>
      <c r="O36" s="416"/>
      <c r="P36" s="416"/>
      <c r="Q36" s="416"/>
    </row>
    <row r="37" spans="1:17">
      <c r="A37" s="5">
        <v>19</v>
      </c>
      <c r="B37" s="3" t="s">
        <v>765</v>
      </c>
      <c r="D37" s="18"/>
      <c r="E37" s="18">
        <v>93969616.61999999</v>
      </c>
      <c r="F37" s="18">
        <v>13127155.349218376</v>
      </c>
      <c r="G37" s="18">
        <v>81931088.739999995</v>
      </c>
      <c r="H37" s="18">
        <v>11014581.52987675</v>
      </c>
      <c r="I37" s="18">
        <v>2632875.1800000006</v>
      </c>
      <c r="M37" s="416"/>
      <c r="N37" s="416"/>
      <c r="O37" s="416"/>
      <c r="P37" s="416"/>
      <c r="Q37" s="416"/>
    </row>
    <row r="38" spans="1:17">
      <c r="A38" s="5">
        <v>20</v>
      </c>
      <c r="B38" s="3" t="s">
        <v>766</v>
      </c>
      <c r="D38" s="18"/>
      <c r="E38" s="18">
        <v>94900375.590000018</v>
      </c>
      <c r="F38" s="18">
        <v>13451199.283862794</v>
      </c>
      <c r="G38" s="18">
        <v>82527383.679999977</v>
      </c>
      <c r="H38" s="18">
        <v>11116897.216693621</v>
      </c>
      <c r="I38" s="18">
        <v>2647957.5300000003</v>
      </c>
      <c r="M38" s="416"/>
      <c r="N38" s="416"/>
      <c r="O38" s="416"/>
      <c r="P38" s="416"/>
      <c r="Q38" s="416"/>
    </row>
    <row r="39" spans="1:17">
      <c r="A39" s="5">
        <v>21</v>
      </c>
      <c r="B39" s="3" t="s">
        <v>18</v>
      </c>
      <c r="D39" s="18"/>
      <c r="E39" s="18">
        <v>94346070.63000001</v>
      </c>
      <c r="F39" s="18">
        <v>13067894.954114128</v>
      </c>
      <c r="G39" s="18">
        <v>82998843.330000013</v>
      </c>
      <c r="H39" s="18">
        <v>11754009.40683379</v>
      </c>
      <c r="I39" s="18">
        <v>2655498.2199999997</v>
      </c>
      <c r="M39" s="416"/>
      <c r="N39" s="416"/>
      <c r="O39" s="416"/>
      <c r="P39" s="416"/>
      <c r="Q39" s="416"/>
    </row>
    <row r="40" spans="1:17">
      <c r="A40" s="5">
        <v>22</v>
      </c>
      <c r="B40" s="3" t="s">
        <v>767</v>
      </c>
      <c r="D40" s="18"/>
      <c r="E40" s="18">
        <v>96723002.469999999</v>
      </c>
      <c r="F40" s="18">
        <v>14085901.495724</v>
      </c>
      <c r="G40" s="18">
        <v>83835677.36999999</v>
      </c>
      <c r="H40" s="18">
        <v>11892186.987096623</v>
      </c>
      <c r="I40" s="18">
        <v>2678167.8999999994</v>
      </c>
      <c r="M40" s="416"/>
      <c r="N40" s="416"/>
      <c r="O40" s="416"/>
      <c r="P40" s="416"/>
      <c r="Q40" s="416"/>
    </row>
    <row r="41" spans="1:17">
      <c r="A41" s="5">
        <v>23</v>
      </c>
      <c r="B41" s="3" t="s">
        <v>768</v>
      </c>
      <c r="D41" s="18"/>
      <c r="E41" s="18">
        <v>97653216.090000004</v>
      </c>
      <c r="F41" s="18">
        <v>14650486.763428252</v>
      </c>
      <c r="G41" s="18">
        <v>84469878.230000004</v>
      </c>
      <c r="H41" s="18">
        <v>11850332.08016225</v>
      </c>
      <c r="I41" s="18">
        <v>2693395.7299999995</v>
      </c>
      <c r="M41" s="416"/>
      <c r="N41" s="416"/>
      <c r="O41" s="416"/>
      <c r="P41" s="416"/>
      <c r="Q41" s="416"/>
    </row>
    <row r="42" spans="1:17">
      <c r="A42" s="5">
        <v>24</v>
      </c>
      <c r="B42" s="3" t="s">
        <v>769</v>
      </c>
      <c r="D42" s="18"/>
      <c r="E42" s="18">
        <v>97077718.310000002</v>
      </c>
      <c r="F42" s="18">
        <v>14350136.003244458</v>
      </c>
      <c r="G42" s="18">
        <v>84910869.959999993</v>
      </c>
      <c r="H42" s="18">
        <v>12145724.728495665</v>
      </c>
      <c r="I42" s="18">
        <v>2701207.3500000006</v>
      </c>
      <c r="M42" s="416"/>
      <c r="N42" s="416"/>
      <c r="O42" s="416"/>
      <c r="P42" s="416"/>
      <c r="Q42" s="416"/>
    </row>
    <row r="43" spans="1:17">
      <c r="A43" s="5">
        <v>25</v>
      </c>
      <c r="B43" s="3" t="s">
        <v>770</v>
      </c>
      <c r="D43" s="18"/>
      <c r="E43" s="18">
        <v>99442816.750000015</v>
      </c>
      <c r="F43" s="18">
        <v>15369210.754802879</v>
      </c>
      <c r="G43" s="18">
        <v>85597762.459999979</v>
      </c>
      <c r="H43" s="18">
        <v>12030899.017473582</v>
      </c>
      <c r="I43" s="18">
        <v>2728289.7100000009</v>
      </c>
      <c r="M43" s="416"/>
      <c r="N43" s="416"/>
      <c r="O43" s="416"/>
      <c r="P43" s="416"/>
      <c r="Q43" s="416"/>
    </row>
    <row r="44" spans="1:17">
      <c r="A44" s="5">
        <v>26</v>
      </c>
      <c r="B44" s="3" t="s">
        <v>771</v>
      </c>
      <c r="D44" s="18"/>
      <c r="E44" s="18">
        <v>100378487.85000001</v>
      </c>
      <c r="F44" s="18">
        <v>15809973.582345299</v>
      </c>
      <c r="G44" s="18">
        <v>86015928.929999992</v>
      </c>
      <c r="H44" s="18">
        <v>12261121.34445104</v>
      </c>
      <c r="I44" s="18">
        <v>2743806.1399999997</v>
      </c>
      <c r="M44" s="416"/>
      <c r="N44" s="416"/>
      <c r="O44" s="416"/>
      <c r="P44" s="416"/>
      <c r="Q44" s="416"/>
    </row>
    <row r="45" spans="1:17">
      <c r="A45" s="5">
        <v>27</v>
      </c>
      <c r="B45" s="3" t="s">
        <v>772</v>
      </c>
      <c r="D45" s="18"/>
      <c r="E45" s="18">
        <v>97675097.980000004</v>
      </c>
      <c r="F45" s="18">
        <v>15690504.46266271</v>
      </c>
      <c r="G45" s="18">
        <v>85057716.269999996</v>
      </c>
      <c r="H45" s="18">
        <v>12152622.185683582</v>
      </c>
      <c r="I45" s="18">
        <v>2716797.4000000004</v>
      </c>
      <c r="M45" s="416"/>
      <c r="N45" s="416"/>
      <c r="O45" s="416"/>
      <c r="P45" s="416"/>
      <c r="Q45" s="416"/>
    </row>
    <row r="46" spans="1:17" ht="13.5" thickBot="1">
      <c r="A46" s="5">
        <v>28</v>
      </c>
      <c r="B46" s="19" t="s">
        <v>773</v>
      </c>
      <c r="C46" s="20">
        <f t="shared" ref="C46:D46" si="1">SUM(C33:C45)/13</f>
        <v>0</v>
      </c>
      <c r="D46" s="20">
        <f t="shared" si="1"/>
        <v>0</v>
      </c>
      <c r="E46" s="20">
        <f>SUM(E33:E45)/13</f>
        <v>95110590.143846169</v>
      </c>
      <c r="F46" s="20">
        <f>SUM(F33:F45)/13</f>
        <v>13807504.544418467</v>
      </c>
      <c r="G46" s="20">
        <f t="shared" ref="G46:I46" si="2">SUM(G33:G45)/13</f>
        <v>82958761.098461553</v>
      </c>
      <c r="H46" s="20">
        <f t="shared" si="2"/>
        <v>11653908.743891519</v>
      </c>
      <c r="I46" s="20">
        <f t="shared" si="2"/>
        <v>2663446.6969230771</v>
      </c>
      <c r="M46" s="722"/>
      <c r="N46" s="722"/>
      <c r="O46" s="721"/>
      <c r="P46" s="722"/>
      <c r="Q46" s="722"/>
    </row>
    <row r="47" spans="1:17" ht="13.5" thickTop="1">
      <c r="A47" s="5"/>
      <c r="B47" s="3"/>
    </row>
    <row r="48" spans="1:17">
      <c r="B48" s="3"/>
      <c r="C48" s="21"/>
      <c r="D48" s="22"/>
      <c r="E48" s="22"/>
      <c r="F48" s="22"/>
      <c r="G48" s="21"/>
      <c r="H48" s="21"/>
      <c r="I48" s="21"/>
    </row>
    <row r="49" spans="1:17">
      <c r="A49" s="5"/>
      <c r="C49" s="3"/>
      <c r="E49" s="442" t="str">
        <f>E1</f>
        <v>Worksheet A4</v>
      </c>
      <c r="F49" s="3"/>
      <c r="H49" s="3"/>
      <c r="I49" s="3"/>
      <c r="J49" s="3"/>
      <c r="K49" s="3"/>
      <c r="L49" s="3"/>
      <c r="M49" s="693"/>
      <c r="N49" s="3"/>
      <c r="O49" s="3"/>
      <c r="P49" s="3"/>
      <c r="Q49" s="3"/>
    </row>
    <row r="50" spans="1:17">
      <c r="A50" s="5"/>
      <c r="C50" s="3"/>
      <c r="D50" s="3"/>
      <c r="E50" s="12" t="str">
        <f>E2</f>
        <v>Rate Base Worksheet</v>
      </c>
      <c r="F50" s="3"/>
      <c r="H50" s="3"/>
      <c r="I50" s="3"/>
      <c r="J50" s="3"/>
      <c r="K50" s="3"/>
      <c r="L50" s="3"/>
      <c r="M50" s="723"/>
      <c r="N50" s="3"/>
      <c r="O50" s="3"/>
      <c r="P50" s="3"/>
      <c r="Q50" s="3"/>
    </row>
    <row r="51" spans="1:17">
      <c r="A51" s="5"/>
      <c r="C51" s="3"/>
      <c r="E51" s="223" t="str">
        <f>E3</f>
        <v>Cheyenne Light, Fuel &amp; Power</v>
      </c>
      <c r="F51" s="3"/>
      <c r="H51" s="3"/>
      <c r="I51" s="187" t="s">
        <v>782</v>
      </c>
      <c r="J51" s="3"/>
      <c r="K51" s="3"/>
      <c r="L51" s="3"/>
      <c r="M51" s="3"/>
      <c r="N51" s="3"/>
      <c r="O51" s="3"/>
      <c r="P51" s="3"/>
      <c r="Q51" s="3"/>
    </row>
    <row r="52" spans="1:17">
      <c r="A52" s="5"/>
      <c r="B52" s="3"/>
      <c r="C52" s="21"/>
      <c r="D52" s="22"/>
      <c r="E52" s="22"/>
      <c r="F52" s="22"/>
      <c r="G52" s="21"/>
      <c r="H52" s="21"/>
      <c r="I52" s="21"/>
    </row>
    <row r="53" spans="1:17">
      <c r="A53" s="5"/>
      <c r="B53" s="23"/>
      <c r="C53" s="969" t="s">
        <v>783</v>
      </c>
      <c r="D53" s="970"/>
      <c r="E53" s="970"/>
      <c r="F53" s="970"/>
      <c r="G53" s="970"/>
      <c r="H53" s="970"/>
      <c r="I53" s="971"/>
    </row>
    <row r="54" spans="1:17" ht="102" customHeight="1">
      <c r="A54" s="5" t="s">
        <v>743</v>
      </c>
      <c r="B54" s="12" t="s">
        <v>744</v>
      </c>
      <c r="C54" s="13" t="s">
        <v>784</v>
      </c>
      <c r="D54" s="13" t="s">
        <v>785</v>
      </c>
      <c r="E54" s="13" t="s">
        <v>786</v>
      </c>
      <c r="F54" s="13" t="s">
        <v>787</v>
      </c>
      <c r="G54" s="13" t="s">
        <v>788</v>
      </c>
      <c r="H54" s="13" t="s">
        <v>789</v>
      </c>
      <c r="I54" s="13" t="s">
        <v>790</v>
      </c>
    </row>
    <row r="55" spans="1:17" s="15" customFormat="1">
      <c r="A55" s="5"/>
      <c r="B55" s="12" t="s">
        <v>490</v>
      </c>
      <c r="C55" s="13" t="s">
        <v>491</v>
      </c>
      <c r="D55" s="13" t="s">
        <v>492</v>
      </c>
      <c r="E55" s="13" t="s">
        <v>493</v>
      </c>
      <c r="F55" s="13" t="s">
        <v>537</v>
      </c>
      <c r="G55" s="13" t="s">
        <v>538</v>
      </c>
      <c r="H55" s="13" t="s">
        <v>539</v>
      </c>
      <c r="I55" s="13" t="s">
        <v>540</v>
      </c>
    </row>
    <row r="56" spans="1:17" s="15" customFormat="1">
      <c r="A56" s="5"/>
      <c r="B56" s="16" t="s">
        <v>752</v>
      </c>
      <c r="C56" s="9" t="s">
        <v>791</v>
      </c>
      <c r="D56" s="13" t="s">
        <v>792</v>
      </c>
      <c r="E56" s="13" t="s">
        <v>793</v>
      </c>
      <c r="F56" s="13" t="s">
        <v>793</v>
      </c>
      <c r="G56" s="13" t="s">
        <v>793</v>
      </c>
      <c r="H56" s="13" t="s">
        <v>793</v>
      </c>
      <c r="I56" s="13">
        <v>111.57</v>
      </c>
      <c r="Q56" s="721"/>
    </row>
    <row r="57" spans="1:17">
      <c r="A57" s="5">
        <v>1</v>
      </c>
      <c r="B57" s="17" t="s">
        <v>761</v>
      </c>
      <c r="C57" s="18">
        <v>0</v>
      </c>
      <c r="D57" s="18">
        <v>0</v>
      </c>
      <c r="E57" s="173">
        <f>'A3-ADIT'!D12</f>
        <v>0</v>
      </c>
      <c r="F57" s="173">
        <f>'A3-ADIT'!D13</f>
        <v>-84866187</v>
      </c>
      <c r="G57" s="173">
        <f>'A3-ADIT'!D14</f>
        <v>-7033964</v>
      </c>
      <c r="H57" s="173">
        <f>'A3-ADIT'!D15</f>
        <v>27635409</v>
      </c>
      <c r="I57" s="18">
        <v>2148025</v>
      </c>
      <c r="K57" s="416"/>
      <c r="L57" s="416"/>
      <c r="Q57" s="416"/>
    </row>
    <row r="58" spans="1:17">
      <c r="A58" s="5">
        <v>2</v>
      </c>
      <c r="B58" s="17" t="s">
        <v>762</v>
      </c>
      <c r="C58" s="18">
        <v>0</v>
      </c>
      <c r="D58" s="18">
        <v>0</v>
      </c>
      <c r="E58" s="24"/>
      <c r="F58" s="24"/>
      <c r="G58" s="24"/>
      <c r="H58" s="24"/>
      <c r="I58" s="18">
        <v>2533461</v>
      </c>
      <c r="K58" s="416"/>
      <c r="L58" s="416"/>
      <c r="Q58" s="416"/>
    </row>
    <row r="59" spans="1:17">
      <c r="A59" s="5">
        <v>3</v>
      </c>
      <c r="B59" s="3" t="s">
        <v>763</v>
      </c>
      <c r="C59" s="18">
        <v>0</v>
      </c>
      <c r="D59" s="18">
        <v>0</v>
      </c>
      <c r="E59" s="24"/>
      <c r="F59" s="24"/>
      <c r="G59" s="24"/>
      <c r="H59" s="24"/>
      <c r="I59" s="18">
        <v>2196720</v>
      </c>
      <c r="K59" s="416"/>
      <c r="L59" s="416"/>
      <c r="Q59" s="416"/>
    </row>
    <row r="60" spans="1:17">
      <c r="A60" s="5">
        <v>4</v>
      </c>
      <c r="B60" s="3" t="s">
        <v>764</v>
      </c>
      <c r="C60" s="18">
        <v>0</v>
      </c>
      <c r="D60" s="18">
        <v>0</v>
      </c>
      <c r="E60" s="24"/>
      <c r="F60" s="24"/>
      <c r="G60" s="24"/>
      <c r="H60" s="24"/>
      <c r="I60" s="18">
        <v>3414137</v>
      </c>
      <c r="K60" s="416"/>
      <c r="L60" s="416"/>
      <c r="Q60" s="416"/>
    </row>
    <row r="61" spans="1:17">
      <c r="A61" s="5">
        <v>5</v>
      </c>
      <c r="B61" s="3" t="s">
        <v>765</v>
      </c>
      <c r="C61" s="18">
        <v>0</v>
      </c>
      <c r="D61" s="18">
        <v>0</v>
      </c>
      <c r="E61" s="24"/>
      <c r="F61" s="24"/>
      <c r="G61" s="24"/>
      <c r="H61" s="24"/>
      <c r="I61" s="18">
        <v>3036417</v>
      </c>
      <c r="K61" s="416"/>
      <c r="L61" s="416"/>
      <c r="Q61" s="416"/>
    </row>
    <row r="62" spans="1:17">
      <c r="A62" s="5">
        <v>6</v>
      </c>
      <c r="B62" s="3" t="s">
        <v>766</v>
      </c>
      <c r="C62" s="18">
        <v>0</v>
      </c>
      <c r="D62" s="18">
        <v>0</v>
      </c>
      <c r="E62" s="24"/>
      <c r="F62" s="24"/>
      <c r="G62" s="24"/>
      <c r="H62" s="24"/>
      <c r="I62" s="18">
        <v>3133213</v>
      </c>
      <c r="K62" s="416"/>
      <c r="L62" s="416"/>
      <c r="Q62" s="416"/>
    </row>
    <row r="63" spans="1:17">
      <c r="A63" s="5">
        <v>7</v>
      </c>
      <c r="B63" s="3" t="s">
        <v>18</v>
      </c>
      <c r="C63" s="18">
        <v>0</v>
      </c>
      <c r="D63" s="18">
        <v>0</v>
      </c>
      <c r="E63" s="24"/>
      <c r="F63" s="24"/>
      <c r="G63" s="24"/>
      <c r="H63" s="24"/>
      <c r="I63" s="18">
        <v>1870453</v>
      </c>
      <c r="K63" s="416"/>
      <c r="L63" s="416"/>
      <c r="Q63" s="416"/>
    </row>
    <row r="64" spans="1:17">
      <c r="A64" s="5">
        <v>8</v>
      </c>
      <c r="B64" s="3" t="s">
        <v>767</v>
      </c>
      <c r="C64" s="18">
        <v>0</v>
      </c>
      <c r="D64" s="18">
        <v>0</v>
      </c>
      <c r="E64" s="24"/>
      <c r="F64" s="24"/>
      <c r="G64" s="24"/>
      <c r="H64" s="24"/>
      <c r="I64" s="18">
        <v>1198705</v>
      </c>
      <c r="K64" s="416"/>
      <c r="L64" s="416"/>
      <c r="Q64" s="416"/>
    </row>
    <row r="65" spans="1:18">
      <c r="A65" s="5">
        <v>9</v>
      </c>
      <c r="B65" s="3" t="s">
        <v>768</v>
      </c>
      <c r="C65" s="18">
        <v>0</v>
      </c>
      <c r="D65" s="18">
        <v>0</v>
      </c>
      <c r="E65" s="24"/>
      <c r="F65" s="24"/>
      <c r="G65" s="24"/>
      <c r="H65" s="24"/>
      <c r="I65" s="18">
        <v>1293806</v>
      </c>
      <c r="K65" s="416"/>
      <c r="L65" s="416"/>
      <c r="Q65" s="416"/>
    </row>
    <row r="66" spans="1:18">
      <c r="A66" s="5">
        <v>10</v>
      </c>
      <c r="B66" s="3" t="s">
        <v>769</v>
      </c>
      <c r="C66" s="18">
        <v>0</v>
      </c>
      <c r="D66" s="18">
        <v>0</v>
      </c>
      <c r="E66" s="24"/>
      <c r="F66" s="24"/>
      <c r="G66" s="24"/>
      <c r="H66" s="24"/>
      <c r="I66" s="18">
        <v>694998</v>
      </c>
      <c r="K66" s="416"/>
      <c r="L66" s="416"/>
      <c r="Q66" s="416"/>
    </row>
    <row r="67" spans="1:18">
      <c r="A67" s="5">
        <v>11</v>
      </c>
      <c r="B67" s="3" t="s">
        <v>770</v>
      </c>
      <c r="C67" s="18">
        <v>0</v>
      </c>
      <c r="D67" s="18">
        <v>0</v>
      </c>
      <c r="E67" s="24"/>
      <c r="F67" s="24"/>
      <c r="G67" s="24"/>
      <c r="H67" s="24"/>
      <c r="I67" s="18">
        <v>902337</v>
      </c>
      <c r="K67" s="416"/>
      <c r="L67" s="416"/>
      <c r="Q67" s="416"/>
    </row>
    <row r="68" spans="1:18">
      <c r="A68" s="5">
        <v>12</v>
      </c>
      <c r="B68" s="3" t="s">
        <v>771</v>
      </c>
      <c r="C68" s="18">
        <v>0</v>
      </c>
      <c r="D68" s="18">
        <v>0</v>
      </c>
      <c r="E68" s="24"/>
      <c r="F68" s="24"/>
      <c r="G68" s="24"/>
      <c r="H68" s="24"/>
      <c r="I68" s="18">
        <v>1685712</v>
      </c>
      <c r="K68" s="416"/>
      <c r="L68" s="416"/>
      <c r="Q68" s="416"/>
    </row>
    <row r="69" spans="1:18">
      <c r="A69" s="5">
        <v>13</v>
      </c>
      <c r="B69" s="3" t="s">
        <v>772</v>
      </c>
      <c r="C69" s="18">
        <v>0</v>
      </c>
      <c r="D69" s="18">
        <v>0</v>
      </c>
      <c r="E69" s="173">
        <v>0</v>
      </c>
      <c r="F69" s="173">
        <f>'A3-ADIT'!E13</f>
        <v>-86866444</v>
      </c>
      <c r="G69" s="173">
        <f>'A3-ADIT'!E14</f>
        <v>-8545458</v>
      </c>
      <c r="H69" s="173">
        <f>'A3-ADIT'!E15</f>
        <v>27736908</v>
      </c>
      <c r="I69" s="18">
        <v>1806106</v>
      </c>
      <c r="K69" s="416"/>
      <c r="L69" s="416"/>
      <c r="Q69" s="416"/>
    </row>
    <row r="70" spans="1:18" ht="13.5" thickBot="1">
      <c r="A70" s="5">
        <v>14</v>
      </c>
      <c r="B70" s="16" t="s">
        <v>794</v>
      </c>
      <c r="C70" s="20">
        <f>SUM(C57:C69)/13</f>
        <v>0</v>
      </c>
      <c r="D70" s="25">
        <f>SUM(D57:D69)/13</f>
        <v>0</v>
      </c>
      <c r="E70" s="427">
        <f>'A3-ADIT'!F12</f>
        <v>0</v>
      </c>
      <c r="F70" s="427">
        <f>'A3-ADIT'!F13</f>
        <v>-85866315.5</v>
      </c>
      <c r="G70" s="427">
        <f>'A3-ADIT'!F14</f>
        <v>-7789711</v>
      </c>
      <c r="H70" s="427">
        <f>'A3-ADIT'!F15</f>
        <v>27686158.5</v>
      </c>
      <c r="I70" s="917">
        <f t="shared" ref="I70" si="3">SUM(I57:I69)/13</f>
        <v>1993391.5384615385</v>
      </c>
      <c r="Q70" s="721"/>
    </row>
    <row r="71" spans="1:18" ht="13.5" thickTop="1">
      <c r="A71" s="5">
        <v>15</v>
      </c>
      <c r="B71" s="3" t="s">
        <v>795</v>
      </c>
      <c r="I71" s="22"/>
    </row>
    <row r="72" spans="1:18" s="15" customFormat="1">
      <c r="A72" s="5"/>
      <c r="B72" s="26"/>
      <c r="C72" s="27"/>
      <c r="D72" s="27"/>
      <c r="E72" s="27"/>
      <c r="F72" s="27"/>
      <c r="G72" s="27"/>
      <c r="H72" s="2"/>
      <c r="I72" s="2"/>
      <c r="J72" s="2"/>
      <c r="K72" s="2"/>
      <c r="L72" s="2"/>
      <c r="M72" s="2"/>
      <c r="N72" s="2"/>
      <c r="O72" s="2"/>
      <c r="P72" s="2"/>
      <c r="Q72" s="2"/>
    </row>
    <row r="73" spans="1:18" s="15" customFormat="1">
      <c r="A73" s="5"/>
      <c r="B73" s="26"/>
      <c r="C73" s="27"/>
      <c r="D73" s="27"/>
      <c r="E73" s="27"/>
      <c r="F73" s="27"/>
      <c r="G73" s="27"/>
      <c r="H73" s="2"/>
      <c r="I73" s="2"/>
      <c r="J73" s="2"/>
      <c r="K73" s="2"/>
      <c r="L73" s="2"/>
      <c r="M73" s="2"/>
      <c r="N73" s="2"/>
      <c r="O73" s="2"/>
      <c r="P73" s="2"/>
      <c r="Q73" s="2"/>
      <c r="R73" s="2"/>
    </row>
    <row r="74" spans="1:18" s="15" customFormat="1">
      <c r="A74" s="5"/>
      <c r="B74" s="185" t="s">
        <v>796</v>
      </c>
      <c r="C74" s="27"/>
      <c r="D74" s="27"/>
      <c r="E74" s="27"/>
      <c r="F74" s="27"/>
      <c r="G74" s="27"/>
      <c r="H74" s="2"/>
      <c r="I74" s="2"/>
      <c r="J74" s="2"/>
      <c r="K74" s="2"/>
      <c r="L74" s="2"/>
      <c r="M74" s="2"/>
      <c r="N74" s="2"/>
      <c r="O74" s="2"/>
      <c r="P74" s="2"/>
      <c r="Q74" s="2"/>
    </row>
    <row r="75" spans="1:18" s="15" customFormat="1" ht="92.25" customHeight="1">
      <c r="A75" s="5">
        <f>+A70+1</f>
        <v>15</v>
      </c>
      <c r="B75" s="28" t="s">
        <v>797</v>
      </c>
      <c r="C75" s="29"/>
      <c r="D75" s="30" t="s">
        <v>798</v>
      </c>
      <c r="E75" s="30" t="s">
        <v>799</v>
      </c>
      <c r="F75" s="30" t="s">
        <v>800</v>
      </c>
      <c r="G75" s="30" t="s">
        <v>801</v>
      </c>
      <c r="H75" s="31" t="s">
        <v>802</v>
      </c>
      <c r="I75" s="31" t="s">
        <v>803</v>
      </c>
      <c r="J75" s="28"/>
      <c r="K75" s="28"/>
      <c r="L75" s="28"/>
      <c r="M75" s="28"/>
      <c r="N75" s="28"/>
      <c r="O75" s="28"/>
      <c r="P75" s="28"/>
      <c r="Q75" s="28"/>
      <c r="R75" s="28"/>
    </row>
    <row r="76" spans="1:18" s="15" customFormat="1">
      <c r="A76" s="5">
        <v>16</v>
      </c>
      <c r="B76" s="2"/>
      <c r="C76" s="32" t="s">
        <v>804</v>
      </c>
      <c r="D76" s="33"/>
      <c r="E76" s="33"/>
      <c r="F76" s="33"/>
      <c r="G76" s="33"/>
      <c r="H76" s="33"/>
      <c r="I76" s="34">
        <f t="shared" ref="I76:I81" si="4">+H76*E76*D76*F76*G76</f>
        <v>0</v>
      </c>
      <c r="J76" s="2"/>
      <c r="K76" s="416"/>
      <c r="L76" s="416"/>
      <c r="M76" s="416"/>
      <c r="N76" s="416"/>
      <c r="O76" s="416"/>
      <c r="P76" s="416"/>
      <c r="Q76" s="2"/>
      <c r="R76" s="2"/>
    </row>
    <row r="77" spans="1:18" s="15" customFormat="1">
      <c r="A77" s="5">
        <v>17</v>
      </c>
      <c r="B77" s="2"/>
      <c r="C77" s="32" t="s">
        <v>805</v>
      </c>
      <c r="D77" s="35"/>
      <c r="E77" s="33"/>
      <c r="F77" s="33"/>
      <c r="G77" s="33"/>
      <c r="H77" s="33"/>
      <c r="I77" s="34">
        <f t="shared" si="4"/>
        <v>0</v>
      </c>
      <c r="J77" s="2"/>
      <c r="K77" s="416"/>
      <c r="L77" s="416"/>
      <c r="M77" s="416"/>
      <c r="N77" s="416"/>
      <c r="O77" s="416"/>
      <c r="P77" s="416"/>
      <c r="Q77" s="2"/>
      <c r="R77" s="2"/>
    </row>
    <row r="78" spans="1:18" s="15" customFormat="1">
      <c r="A78" s="5">
        <v>18</v>
      </c>
      <c r="B78" s="2"/>
      <c r="C78" s="32" t="s">
        <v>806</v>
      </c>
      <c r="D78" s="35"/>
      <c r="E78" s="33"/>
      <c r="F78" s="36"/>
      <c r="G78" s="36"/>
      <c r="H78" s="33"/>
      <c r="I78" s="34">
        <f t="shared" si="4"/>
        <v>0</v>
      </c>
      <c r="J78" s="2"/>
      <c r="K78" s="416"/>
      <c r="L78" s="416"/>
      <c r="M78" s="416"/>
      <c r="N78" s="416"/>
      <c r="O78" s="416"/>
      <c r="P78" s="416"/>
      <c r="Q78" s="2"/>
      <c r="R78" s="2"/>
    </row>
    <row r="79" spans="1:18" s="15" customFormat="1">
      <c r="A79" s="5">
        <v>19</v>
      </c>
      <c r="B79" s="2"/>
      <c r="C79" s="32" t="s">
        <v>807</v>
      </c>
      <c r="D79" s="35"/>
      <c r="E79" s="33"/>
      <c r="F79" s="36"/>
      <c r="G79" s="36"/>
      <c r="H79" s="33"/>
      <c r="I79" s="34">
        <f t="shared" si="4"/>
        <v>0</v>
      </c>
      <c r="J79" s="2"/>
      <c r="K79" s="416"/>
      <c r="L79" s="416"/>
      <c r="M79" s="416"/>
      <c r="N79" s="416"/>
      <c r="O79" s="416"/>
      <c r="P79" s="416"/>
      <c r="Q79" s="2"/>
      <c r="R79" s="2"/>
    </row>
    <row r="80" spans="1:18" s="15" customFormat="1">
      <c r="A80" s="5">
        <v>20</v>
      </c>
      <c r="B80" s="2"/>
      <c r="C80" s="32" t="s">
        <v>644</v>
      </c>
      <c r="D80" s="35"/>
      <c r="E80" s="33"/>
      <c r="F80" s="36"/>
      <c r="G80" s="36"/>
      <c r="H80" s="33"/>
      <c r="I80" s="34">
        <f t="shared" si="4"/>
        <v>0</v>
      </c>
      <c r="J80" s="2"/>
      <c r="K80" s="416"/>
      <c r="L80" s="416"/>
      <c r="M80" s="416"/>
      <c r="N80" s="416"/>
      <c r="O80" s="416"/>
      <c r="P80" s="416"/>
      <c r="Q80" s="2"/>
      <c r="R80" s="2"/>
    </row>
    <row r="81" spans="1:18" s="15" customFormat="1">
      <c r="A81" s="5">
        <v>21</v>
      </c>
      <c r="B81" s="2"/>
      <c r="C81" s="37" t="s">
        <v>644</v>
      </c>
      <c r="D81" s="38"/>
      <c r="E81" s="39"/>
      <c r="F81" s="40"/>
      <c r="G81" s="40"/>
      <c r="H81" s="39"/>
      <c r="I81" s="41">
        <f t="shared" si="4"/>
        <v>0</v>
      </c>
      <c r="J81" s="2"/>
      <c r="K81" s="416"/>
      <c r="L81" s="416"/>
      <c r="M81" s="416"/>
      <c r="N81" s="416"/>
      <c r="O81" s="416"/>
      <c r="P81" s="416"/>
      <c r="Q81" s="2"/>
      <c r="R81" s="2"/>
    </row>
    <row r="82" spans="1:18" s="15" customFormat="1">
      <c r="A82" s="5">
        <v>22</v>
      </c>
      <c r="B82" s="2"/>
      <c r="C82" s="28" t="s">
        <v>91</v>
      </c>
      <c r="D82" s="42">
        <f t="shared" ref="D82:I82" si="5">SUM(D76:D81)</f>
        <v>0</v>
      </c>
      <c r="E82" s="42">
        <f t="shared" si="5"/>
        <v>0</v>
      </c>
      <c r="F82" s="42">
        <f t="shared" si="5"/>
        <v>0</v>
      </c>
      <c r="G82" s="42">
        <f t="shared" si="5"/>
        <v>0</v>
      </c>
      <c r="H82" s="42">
        <f t="shared" si="5"/>
        <v>0</v>
      </c>
      <c r="I82" s="34">
        <f t="shared" si="5"/>
        <v>0</v>
      </c>
      <c r="J82" s="2"/>
      <c r="K82" s="2"/>
      <c r="L82" s="2"/>
      <c r="M82" s="2"/>
      <c r="N82" s="2"/>
      <c r="O82" s="2"/>
      <c r="P82" s="2"/>
      <c r="Q82" s="2"/>
      <c r="R82" s="2"/>
    </row>
    <row r="83" spans="1:18">
      <c r="C83" s="3"/>
      <c r="E83" s="442" t="str">
        <f>E1</f>
        <v>Worksheet A4</v>
      </c>
      <c r="F83" s="3"/>
      <c r="H83" s="3"/>
      <c r="I83" s="3"/>
      <c r="J83" s="3"/>
      <c r="K83" s="3"/>
      <c r="L83" s="3"/>
      <c r="M83" s="3"/>
      <c r="N83" s="3"/>
      <c r="O83" s="3"/>
      <c r="P83" s="3"/>
      <c r="Q83" s="3"/>
    </row>
    <row r="84" spans="1:18">
      <c r="A84" s="5"/>
      <c r="C84" s="3"/>
      <c r="D84" s="3"/>
      <c r="E84" s="442" t="str">
        <f>E2</f>
        <v>Rate Base Worksheet</v>
      </c>
      <c r="F84" s="3"/>
      <c r="H84" s="3"/>
      <c r="I84" s="3"/>
      <c r="J84" s="3"/>
      <c r="K84" s="3"/>
      <c r="L84" s="3"/>
      <c r="M84" s="3"/>
      <c r="N84" s="3"/>
      <c r="O84" s="3"/>
      <c r="P84" s="3"/>
      <c r="Q84" s="3"/>
    </row>
    <row r="85" spans="1:18" ht="15">
      <c r="A85" s="5"/>
      <c r="C85" s="3"/>
      <c r="E85" s="442" t="str">
        <f>E3</f>
        <v>Cheyenne Light, Fuel &amp; Power</v>
      </c>
      <c r="F85" s="3"/>
      <c r="H85"/>
      <c r="I85" s="187" t="s">
        <v>808</v>
      </c>
      <c r="J85" s="3"/>
      <c r="K85" s="3"/>
      <c r="L85" s="3"/>
      <c r="M85" s="3"/>
      <c r="N85" s="3"/>
      <c r="O85" s="3"/>
      <c r="P85" s="3"/>
      <c r="Q85" s="3"/>
    </row>
    <row r="86" spans="1:18" ht="15">
      <c r="A86" s="5"/>
      <c r="B86" s="3"/>
      <c r="C86" s="21"/>
      <c r="D86" s="22"/>
      <c r="E86" s="22"/>
      <c r="F86" s="22"/>
      <c r="G86" s="21"/>
      <c r="H86"/>
      <c r="I86" s="21"/>
    </row>
    <row r="87" spans="1:18" ht="15">
      <c r="A87" s="5"/>
      <c r="B87" s="23"/>
      <c r="C87" s="969" t="s">
        <v>809</v>
      </c>
      <c r="D87" s="970"/>
      <c r="E87" s="970"/>
      <c r="F87" s="970"/>
      <c r="G87" s="660" t="s">
        <v>810</v>
      </c>
      <c r="H87"/>
      <c r="I87" s="21"/>
    </row>
    <row r="88" spans="1:18" ht="58.5" customHeight="1">
      <c r="A88" s="5" t="s">
        <v>743</v>
      </c>
      <c r="B88" s="12" t="s">
        <v>744</v>
      </c>
      <c r="C88" s="13" t="s">
        <v>811</v>
      </c>
      <c r="D88" s="13" t="s">
        <v>812</v>
      </c>
      <c r="E88" s="13" t="s">
        <v>813</v>
      </c>
      <c r="F88" s="13" t="s">
        <v>814</v>
      </c>
      <c r="G88" s="13"/>
      <c r="H88"/>
      <c r="I88" s="597"/>
    </row>
    <row r="89" spans="1:18" s="15" customFormat="1" ht="15">
      <c r="A89" s="5"/>
      <c r="B89" s="12" t="s">
        <v>490</v>
      </c>
      <c r="C89" s="13" t="s">
        <v>491</v>
      </c>
      <c r="D89" s="13" t="s">
        <v>492</v>
      </c>
      <c r="E89" s="13" t="s">
        <v>493</v>
      </c>
      <c r="F89" s="13" t="s">
        <v>537</v>
      </c>
      <c r="G89" s="185" t="s">
        <v>538</v>
      </c>
      <c r="H89"/>
      <c r="I89" s="339"/>
    </row>
    <row r="90" spans="1:18" s="15" customFormat="1" ht="30.75" customHeight="1">
      <c r="A90" s="5"/>
      <c r="B90" s="16" t="s">
        <v>752</v>
      </c>
      <c r="C90" s="12" t="s">
        <v>815</v>
      </c>
      <c r="D90" s="12" t="s">
        <v>816</v>
      </c>
      <c r="E90" s="12" t="s">
        <v>817</v>
      </c>
      <c r="F90" s="12" t="s">
        <v>818</v>
      </c>
      <c r="G90" s="13"/>
      <c r="H90"/>
      <c r="I90" s="9"/>
      <c r="K90" s="721"/>
      <c r="L90" s="721"/>
      <c r="M90" s="721"/>
    </row>
    <row r="91" spans="1:18" ht="15">
      <c r="A91" s="5">
        <v>1</v>
      </c>
      <c r="B91" s="17" t="s">
        <v>761</v>
      </c>
      <c r="C91" s="18">
        <v>2180</v>
      </c>
      <c r="D91" s="18">
        <v>536163</v>
      </c>
      <c r="E91" s="18">
        <v>5129884</v>
      </c>
      <c r="F91" s="596">
        <f>SUM(C91:E91)</f>
        <v>5668227</v>
      </c>
      <c r="G91" s="13"/>
      <c r="H91"/>
      <c r="I91" s="9"/>
      <c r="K91" s="416"/>
      <c r="L91" s="416"/>
      <c r="M91" s="416"/>
    </row>
    <row r="92" spans="1:18" ht="15">
      <c r="A92" s="5">
        <v>2</v>
      </c>
      <c r="B92" s="17" t="s">
        <v>762</v>
      </c>
      <c r="C92" s="18">
        <v>1108.295331837206</v>
      </c>
      <c r="D92" s="18">
        <v>531819</v>
      </c>
      <c r="E92" s="18">
        <v>4256300.3916404368</v>
      </c>
      <c r="F92" s="596">
        <f t="shared" ref="F92:F103" si="6">SUM(C92:E92)</f>
        <v>4789227.6869722744</v>
      </c>
      <c r="G92" s="13"/>
      <c r="H92"/>
      <c r="I92" s="9"/>
      <c r="K92" s="416"/>
      <c r="L92" s="416"/>
      <c r="M92" s="416"/>
    </row>
    <row r="93" spans="1:18" ht="15">
      <c r="A93" s="5">
        <v>3</v>
      </c>
      <c r="B93" s="3" t="s">
        <v>763</v>
      </c>
      <c r="C93" s="18">
        <v>1110.2764595620401</v>
      </c>
      <c r="D93" s="18">
        <v>538271</v>
      </c>
      <c r="E93" s="18">
        <v>4263908.7199161891</v>
      </c>
      <c r="F93" s="596">
        <f t="shared" si="6"/>
        <v>4803289.9963757508</v>
      </c>
      <c r="G93" s="13"/>
      <c r="H93"/>
      <c r="I93" s="9"/>
      <c r="K93" s="416"/>
      <c r="L93" s="416"/>
      <c r="M93" s="416"/>
    </row>
    <row r="94" spans="1:18" ht="15">
      <c r="A94" s="5">
        <v>4</v>
      </c>
      <c r="B94" s="3" t="s">
        <v>764</v>
      </c>
      <c r="C94" s="18">
        <v>1114.2851607451796</v>
      </c>
      <c r="D94" s="18">
        <v>568052</v>
      </c>
      <c r="E94" s="18">
        <v>4279303.7467882074</v>
      </c>
      <c r="F94" s="596">
        <f t="shared" si="6"/>
        <v>4848470.0319489529</v>
      </c>
      <c r="G94" s="13"/>
      <c r="H94"/>
      <c r="I94" s="9"/>
      <c r="K94" s="416"/>
      <c r="L94" s="416"/>
      <c r="M94" s="416"/>
    </row>
    <row r="95" spans="1:18" ht="15">
      <c r="A95" s="5">
        <v>5</v>
      </c>
      <c r="B95" s="3" t="s">
        <v>765</v>
      </c>
      <c r="C95" s="18">
        <v>1105.7884874169642</v>
      </c>
      <c r="D95" s="18">
        <v>577693</v>
      </c>
      <c r="E95" s="18">
        <v>4246673.0995449536</v>
      </c>
      <c r="F95" s="596">
        <f t="shared" si="6"/>
        <v>4825471.8880323702</v>
      </c>
      <c r="G95" s="13"/>
      <c r="H95"/>
      <c r="I95" s="9"/>
      <c r="K95" s="416"/>
      <c r="L95" s="416"/>
      <c r="M95" s="416"/>
    </row>
    <row r="96" spans="1:18" ht="15">
      <c r="A96" s="5">
        <v>6</v>
      </c>
      <c r="B96" s="3" t="s">
        <v>766</v>
      </c>
      <c r="C96" s="18">
        <v>1089.8779834962861</v>
      </c>
      <c r="D96" s="18">
        <v>579438</v>
      </c>
      <c r="E96" s="18">
        <v>4185570.3572312063</v>
      </c>
      <c r="F96" s="596">
        <f t="shared" si="6"/>
        <v>4766098.2352147028</v>
      </c>
      <c r="G96" s="13"/>
      <c r="H96"/>
      <c r="I96" s="9"/>
      <c r="K96" s="416"/>
      <c r="L96" s="416"/>
      <c r="M96" s="416"/>
    </row>
    <row r="97" spans="1:18" ht="15">
      <c r="A97" s="5">
        <v>7</v>
      </c>
      <c r="B97" s="3" t="s">
        <v>18</v>
      </c>
      <c r="C97" s="18">
        <v>1158.771040197006</v>
      </c>
      <c r="D97" s="18">
        <v>605862</v>
      </c>
      <c r="E97" s="18">
        <v>4450147.4386220463</v>
      </c>
      <c r="F97" s="596">
        <f t="shared" si="6"/>
        <v>5057168.2096622437</v>
      </c>
      <c r="G97" s="13"/>
      <c r="H97"/>
      <c r="I97" s="9"/>
      <c r="K97" s="416"/>
      <c r="L97" s="416"/>
      <c r="M97" s="416"/>
    </row>
    <row r="98" spans="1:18" ht="15">
      <c r="A98" s="5">
        <v>8</v>
      </c>
      <c r="B98" s="3" t="s">
        <v>767</v>
      </c>
      <c r="C98" s="18">
        <v>1454.8412059912746</v>
      </c>
      <c r="D98" s="18">
        <v>645610</v>
      </c>
      <c r="E98" s="18">
        <v>5587176.1045591645</v>
      </c>
      <c r="F98" s="596">
        <f t="shared" si="6"/>
        <v>6234240.9457651554</v>
      </c>
      <c r="G98" s="13"/>
      <c r="H98"/>
      <c r="I98" s="9"/>
      <c r="K98" s="416"/>
      <c r="L98" s="416"/>
      <c r="M98" s="416"/>
    </row>
    <row r="99" spans="1:18" ht="15">
      <c r="A99" s="5">
        <v>9</v>
      </c>
      <c r="B99" s="3" t="s">
        <v>768</v>
      </c>
      <c r="C99" s="18">
        <v>1330.9594081381224</v>
      </c>
      <c r="D99" s="18">
        <v>681234</v>
      </c>
      <c r="E99" s="18">
        <v>5111420.1128367856</v>
      </c>
      <c r="F99" s="596">
        <f t="shared" si="6"/>
        <v>5793985.0722449236</v>
      </c>
      <c r="G99" s="13"/>
      <c r="H99"/>
      <c r="I99" s="9"/>
      <c r="K99" s="416"/>
      <c r="L99" s="416"/>
      <c r="M99" s="416"/>
    </row>
    <row r="100" spans="1:18" ht="15">
      <c r="A100" s="5">
        <v>10</v>
      </c>
      <c r="B100" s="3" t="s">
        <v>769</v>
      </c>
      <c r="C100" s="18">
        <v>1199.3479041526398</v>
      </c>
      <c r="D100" s="18">
        <v>697198</v>
      </c>
      <c r="E100" s="18">
        <v>4605978.9367657853</v>
      </c>
      <c r="F100" s="596">
        <f t="shared" si="6"/>
        <v>5304376.2846699376</v>
      </c>
      <c r="G100" s="13"/>
      <c r="H100"/>
      <c r="I100" s="9"/>
      <c r="K100" s="416"/>
      <c r="L100" s="416"/>
      <c r="M100" s="416"/>
    </row>
    <row r="101" spans="1:18" ht="15">
      <c r="A101" s="5">
        <v>11</v>
      </c>
      <c r="B101" s="3" t="s">
        <v>770</v>
      </c>
      <c r="C101" s="18">
        <v>1212.6092191749549</v>
      </c>
      <c r="D101" s="18">
        <v>657702</v>
      </c>
      <c r="E101" s="18">
        <v>4656907.7268650644</v>
      </c>
      <c r="F101" s="596">
        <f t="shared" si="6"/>
        <v>5315822.3360842392</v>
      </c>
      <c r="G101" s="13"/>
      <c r="H101"/>
      <c r="I101" s="9"/>
      <c r="K101" s="416"/>
      <c r="L101" s="416"/>
      <c r="M101" s="416"/>
    </row>
    <row r="102" spans="1:18" ht="15">
      <c r="A102" s="5">
        <v>12</v>
      </c>
      <c r="B102" s="3" t="s">
        <v>771</v>
      </c>
      <c r="C102" s="18">
        <v>1467.4738885922168</v>
      </c>
      <c r="D102" s="18">
        <v>696157</v>
      </c>
      <c r="E102" s="700">
        <v>5635690.6930062063</v>
      </c>
      <c r="F102" s="596">
        <f t="shared" si="6"/>
        <v>6333315.1668947982</v>
      </c>
      <c r="G102" s="13"/>
      <c r="H102"/>
      <c r="I102" s="9"/>
      <c r="K102" s="416"/>
      <c r="L102" s="416"/>
      <c r="M102" s="416"/>
    </row>
    <row r="103" spans="1:18" ht="15">
      <c r="A103" s="5">
        <v>13</v>
      </c>
      <c r="B103" s="3" t="s">
        <v>772</v>
      </c>
      <c r="C103" s="18">
        <v>1552</v>
      </c>
      <c r="D103" s="18">
        <v>751182</v>
      </c>
      <c r="E103" s="18">
        <v>5960305</v>
      </c>
      <c r="F103" s="596">
        <f t="shared" si="6"/>
        <v>6713039</v>
      </c>
      <c r="G103" s="13"/>
      <c r="H103"/>
      <c r="I103" s="9"/>
      <c r="K103" s="416"/>
      <c r="L103" s="416"/>
      <c r="M103" s="416"/>
    </row>
    <row r="104" spans="1:18" ht="15">
      <c r="A104" s="5">
        <v>14</v>
      </c>
      <c r="B104" s="16" t="s">
        <v>794</v>
      </c>
      <c r="C104" s="595">
        <f>SUM(C91:C103)/13</f>
        <v>1314.1943145618377</v>
      </c>
      <c r="D104" s="595">
        <f t="shared" ref="D104:E104" si="7">SUM(D91:D103)/13</f>
        <v>620490.84615384613</v>
      </c>
      <c r="E104" s="595">
        <f t="shared" si="7"/>
        <v>4797635.8713673884</v>
      </c>
      <c r="F104" s="595">
        <f>SUM(F91:F103)/13</f>
        <v>5419440.9118357962</v>
      </c>
      <c r="G104" s="13"/>
      <c r="H104"/>
      <c r="I104"/>
      <c r="K104" s="721"/>
      <c r="L104" s="721"/>
      <c r="M104" s="721"/>
    </row>
    <row r="105" spans="1:18" ht="15">
      <c r="A105" s="5">
        <v>15</v>
      </c>
      <c r="B105" s="16" t="s">
        <v>92</v>
      </c>
      <c r="C105" s="593" t="s">
        <v>95</v>
      </c>
      <c r="D105" s="593" t="s">
        <v>369</v>
      </c>
      <c r="E105" s="593" t="s">
        <v>142</v>
      </c>
      <c r="F105" s="592"/>
      <c r="G105" s="13"/>
      <c r="H105"/>
      <c r="I105" s="9"/>
    </row>
    <row r="106" spans="1:18" ht="15">
      <c r="A106" s="5">
        <v>16</v>
      </c>
      <c r="B106" s="16" t="s">
        <v>819</v>
      </c>
      <c r="C106" s="594">
        <f>'Act Att-H'!I179</f>
        <v>0.61863245862384375</v>
      </c>
      <c r="D106" s="594">
        <f>'Act Att-H'!I207</f>
        <v>6.6848958689547669E-2</v>
      </c>
      <c r="E106" s="594">
        <v>0</v>
      </c>
      <c r="F106" s="592"/>
      <c r="G106" s="13"/>
      <c r="H106"/>
      <c r="I106" s="9"/>
    </row>
    <row r="107" spans="1:18" ht="15.75" thickBot="1">
      <c r="A107" s="5">
        <v>17</v>
      </c>
      <c r="B107" s="16" t="s">
        <v>820</v>
      </c>
      <c r="C107" s="20">
        <f>C106*C104</f>
        <v>813.0032599268668</v>
      </c>
      <c r="D107" s="20">
        <f t="shared" ref="D107:E107" si="8">D106*D104</f>
        <v>41479.166941780939</v>
      </c>
      <c r="E107" s="20">
        <f t="shared" si="8"/>
        <v>0</v>
      </c>
      <c r="F107" s="20">
        <f>C107+D107+E107</f>
        <v>42292.170201707806</v>
      </c>
      <c r="G107" s="13"/>
      <c r="H107"/>
      <c r="I107" s="9"/>
    </row>
    <row r="108" spans="1:18" s="15" customFormat="1" ht="15.75" thickTop="1">
      <c r="A108" s="5">
        <v>18</v>
      </c>
      <c r="B108" s="26"/>
      <c r="C108" s="27"/>
      <c r="D108" s="27"/>
      <c r="E108" s="27"/>
      <c r="F108" s="27"/>
      <c r="G108" s="45"/>
      <c r="H108"/>
      <c r="I108" s="2"/>
      <c r="J108" s="2"/>
      <c r="K108" s="2"/>
      <c r="L108" s="2"/>
      <c r="M108" s="2"/>
      <c r="N108" s="2"/>
      <c r="O108" s="2"/>
      <c r="P108" s="2"/>
      <c r="Q108" s="2"/>
      <c r="R108" s="2"/>
    </row>
    <row r="109" spans="1:18" s="15" customFormat="1" ht="15">
      <c r="A109" s="5"/>
      <c r="B109" s="26"/>
      <c r="C109" s="27"/>
      <c r="D109" s="27"/>
      <c r="E109" s="27"/>
      <c r="F109" s="27"/>
      <c r="H109"/>
      <c r="I109" s="2"/>
      <c r="J109" s="2"/>
      <c r="K109" s="2"/>
      <c r="L109" s="2"/>
      <c r="M109" s="2"/>
      <c r="N109" s="2"/>
      <c r="O109" s="2"/>
      <c r="P109" s="2"/>
      <c r="Q109" s="2"/>
      <c r="R109" s="2"/>
    </row>
    <row r="110" spans="1:18">
      <c r="A110" s="186" t="s">
        <v>610</v>
      </c>
    </row>
    <row r="111" spans="1:18" ht="15" customHeight="1">
      <c r="A111" s="48" t="s">
        <v>419</v>
      </c>
      <c r="B111" s="920" t="s">
        <v>821</v>
      </c>
      <c r="C111" s="920"/>
      <c r="D111" s="920"/>
      <c r="E111" s="920"/>
      <c r="F111" s="920"/>
      <c r="G111" s="920"/>
      <c r="H111" s="920"/>
      <c r="I111" s="920"/>
      <c r="J111" s="303"/>
      <c r="K111" s="303"/>
      <c r="L111" s="303"/>
      <c r="M111" s="303"/>
      <c r="N111" s="303"/>
      <c r="O111" s="303"/>
      <c r="P111" s="303"/>
      <c r="Q111" s="303"/>
      <c r="R111" s="303"/>
    </row>
    <row r="112" spans="1:18" ht="15" customHeight="1">
      <c r="A112" s="48" t="s">
        <v>421</v>
      </c>
      <c r="B112" s="920" t="s">
        <v>822</v>
      </c>
      <c r="C112" s="920"/>
      <c r="D112" s="920"/>
      <c r="E112" s="920"/>
      <c r="F112" s="920"/>
      <c r="G112" s="920"/>
      <c r="H112" s="920"/>
      <c r="I112" s="920"/>
      <c r="J112" s="303"/>
      <c r="K112" s="303"/>
      <c r="L112" s="303"/>
      <c r="M112" s="303"/>
      <c r="N112" s="303"/>
      <c r="O112" s="303"/>
      <c r="P112" s="303"/>
      <c r="Q112" s="303"/>
      <c r="R112" s="303"/>
    </row>
    <row r="113" spans="1:18" ht="58.5" customHeight="1">
      <c r="A113" s="48" t="s">
        <v>423</v>
      </c>
      <c r="B113" s="920" t="s">
        <v>823</v>
      </c>
      <c r="C113" s="920"/>
      <c r="D113" s="920"/>
      <c r="E113" s="920"/>
      <c r="F113" s="920"/>
      <c r="G113" s="920"/>
      <c r="H113" s="920"/>
      <c r="I113" s="920"/>
      <c r="J113" s="46"/>
      <c r="K113" s="46"/>
      <c r="L113" s="46"/>
      <c r="M113" s="46"/>
      <c r="N113" s="46"/>
      <c r="O113" s="46"/>
      <c r="P113" s="46"/>
      <c r="Q113" s="46"/>
      <c r="R113" s="46"/>
    </row>
    <row r="114" spans="1:18">
      <c r="A114" s="48" t="s">
        <v>425</v>
      </c>
      <c r="B114" s="920" t="s">
        <v>824</v>
      </c>
      <c r="C114" s="920"/>
      <c r="D114" s="920"/>
      <c r="E114" s="920"/>
      <c r="F114" s="920"/>
      <c r="G114" s="920"/>
      <c r="H114" s="920"/>
      <c r="I114" s="920"/>
    </row>
    <row r="115" spans="1:18" ht="18.75" customHeight="1">
      <c r="A115" s="48" t="s">
        <v>427</v>
      </c>
      <c r="B115" s="968" t="s">
        <v>825</v>
      </c>
      <c r="C115" s="968"/>
      <c r="D115" s="968"/>
      <c r="E115" s="968"/>
      <c r="F115" s="968"/>
      <c r="G115" s="968"/>
      <c r="H115" s="968"/>
      <c r="I115" s="968"/>
      <c r="J115" s="304"/>
      <c r="K115" s="304"/>
      <c r="L115" s="304"/>
      <c r="M115" s="304"/>
      <c r="N115" s="304"/>
      <c r="O115" s="304"/>
      <c r="P115" s="304"/>
      <c r="Q115" s="304"/>
      <c r="R115" s="304"/>
    </row>
    <row r="116" spans="1:18" ht="15" customHeight="1">
      <c r="A116" s="48" t="s">
        <v>429</v>
      </c>
      <c r="B116" s="972" t="s">
        <v>826</v>
      </c>
      <c r="C116" s="972"/>
      <c r="D116" s="972"/>
      <c r="E116" s="972"/>
      <c r="F116" s="972"/>
      <c r="G116" s="972"/>
      <c r="H116" s="972"/>
      <c r="I116" s="972"/>
      <c r="J116" s="304"/>
      <c r="K116" s="304"/>
      <c r="L116" s="304"/>
      <c r="M116" s="304"/>
      <c r="N116" s="304"/>
      <c r="O116" s="304"/>
      <c r="P116" s="304"/>
      <c r="Q116" s="304"/>
      <c r="R116" s="304"/>
    </row>
    <row r="117" spans="1:18">
      <c r="A117" s="48" t="s">
        <v>431</v>
      </c>
      <c r="B117" s="968" t="s">
        <v>827</v>
      </c>
      <c r="C117" s="968"/>
      <c r="D117" s="968"/>
      <c r="E117" s="968"/>
      <c r="F117" s="968"/>
      <c r="G117" s="968"/>
      <c r="H117" s="968"/>
      <c r="I117" s="968"/>
      <c r="J117" s="304"/>
      <c r="K117" s="304"/>
      <c r="L117" s="304"/>
      <c r="M117" s="304"/>
      <c r="N117" s="304"/>
      <c r="O117" s="304"/>
      <c r="P117" s="304"/>
      <c r="Q117" s="304"/>
      <c r="R117" s="304"/>
    </row>
    <row r="118" spans="1:18" ht="27" customHeight="1">
      <c r="A118" s="48" t="s">
        <v>433</v>
      </c>
      <c r="B118" s="920" t="s">
        <v>828</v>
      </c>
      <c r="C118" s="920"/>
      <c r="D118" s="920"/>
      <c r="E118" s="920"/>
      <c r="F118" s="920"/>
      <c r="G118" s="920"/>
      <c r="H118" s="920"/>
      <c r="I118" s="920"/>
      <c r="J118" s="49"/>
      <c r="K118" s="49"/>
      <c r="L118" s="49"/>
      <c r="M118" s="49"/>
      <c r="N118" s="49"/>
      <c r="O118" s="49"/>
      <c r="P118" s="49"/>
      <c r="Q118" s="49"/>
      <c r="R118" s="49"/>
    </row>
    <row r="119" spans="1:18">
      <c r="A119" s="48" t="s">
        <v>435</v>
      </c>
      <c r="B119" s="920" t="s">
        <v>829</v>
      </c>
      <c r="C119" s="920"/>
      <c r="D119" s="920"/>
      <c r="E119" s="920"/>
      <c r="F119" s="920"/>
      <c r="G119" s="920"/>
      <c r="H119" s="920"/>
      <c r="I119" s="920"/>
    </row>
    <row r="120" spans="1:18">
      <c r="A120" s="907" t="s">
        <v>437</v>
      </c>
      <c r="B120" s="908" t="s">
        <v>830</v>
      </c>
    </row>
    <row r="121" spans="1:18">
      <c r="A121" s="907" t="s">
        <v>439</v>
      </c>
      <c r="B121" s="908" t="s">
        <v>831</v>
      </c>
    </row>
  </sheetData>
  <mergeCells count="11">
    <mergeCell ref="B117:I117"/>
    <mergeCell ref="B119:I119"/>
    <mergeCell ref="C53:I53"/>
    <mergeCell ref="B111:I111"/>
    <mergeCell ref="B112:I112"/>
    <mergeCell ref="B116:I116"/>
    <mergeCell ref="B113:I113"/>
    <mergeCell ref="B114:I114"/>
    <mergeCell ref="B115:I115"/>
    <mergeCell ref="C87:F87"/>
    <mergeCell ref="B118:I118"/>
  </mergeCells>
  <printOptions horizontalCentered="1"/>
  <pageMargins left="0.25" right="0.25" top="0.25" bottom="0.25" header="0.5" footer="0.5"/>
  <pageSetup paperSize="5" scale="80" orientation="landscape" r:id="rId1"/>
  <headerFooter alignWithMargins="0"/>
  <rowBreaks count="2" manualBreakCount="2">
    <brk id="48" max="16383" man="1"/>
    <brk id="8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9959E-C6DA-453B-B750-3C33FBBAF654}">
  <sheetPr>
    <tabColor theme="6" tint="0.59999389629810485"/>
    <pageSetUpPr fitToPage="1"/>
  </sheetPr>
  <dimension ref="A1:H87"/>
  <sheetViews>
    <sheetView workbookViewId="0">
      <selection sqref="A1:H1"/>
    </sheetView>
  </sheetViews>
  <sheetFormatPr defaultColWidth="7.109375" defaultRowHeight="12.75"/>
  <cols>
    <col min="1" max="1" width="2.109375" style="203" customWidth="1"/>
    <col min="2" max="2" width="3.5546875" style="203" customWidth="1"/>
    <col min="3" max="4" width="1.77734375" style="203" customWidth="1"/>
    <col min="5" max="5" width="6.44140625" style="203" customWidth="1"/>
    <col min="6" max="6" width="57.44140625" style="203" bestFit="1" customWidth="1"/>
    <col min="7" max="7" width="1.77734375" style="203" customWidth="1"/>
    <col min="8" max="8" width="11" style="305" bestFit="1" customWidth="1"/>
    <col min="9" max="9" width="8.21875" style="203" customWidth="1"/>
    <col min="10" max="256" width="7.109375" style="203"/>
    <col min="257" max="257" width="10.21875" style="203" customWidth="1"/>
    <col min="258" max="258" width="3.5546875" style="203" customWidth="1"/>
    <col min="259" max="260" width="1.77734375" style="203" customWidth="1"/>
    <col min="261" max="261" width="4" style="203" customWidth="1"/>
    <col min="262" max="262" width="24.21875" style="203" customWidth="1"/>
    <col min="263" max="263" width="1.77734375" style="203" customWidth="1"/>
    <col min="264" max="265" width="8.21875" style="203" customWidth="1"/>
    <col min="266" max="512" width="7.109375" style="203"/>
    <col min="513" max="513" width="10.21875" style="203" customWidth="1"/>
    <col min="514" max="514" width="3.5546875" style="203" customWidth="1"/>
    <col min="515" max="516" width="1.77734375" style="203" customWidth="1"/>
    <col min="517" max="517" width="4" style="203" customWidth="1"/>
    <col min="518" max="518" width="24.21875" style="203" customWidth="1"/>
    <col min="519" max="519" width="1.77734375" style="203" customWidth="1"/>
    <col min="520" max="521" width="8.21875" style="203" customWidth="1"/>
    <col min="522" max="768" width="7.109375" style="203"/>
    <col min="769" max="769" width="10.21875" style="203" customWidth="1"/>
    <col min="770" max="770" width="3.5546875" style="203" customWidth="1"/>
    <col min="771" max="772" width="1.77734375" style="203" customWidth="1"/>
    <col min="773" max="773" width="4" style="203" customWidth="1"/>
    <col min="774" max="774" width="24.21875" style="203" customWidth="1"/>
    <col min="775" max="775" width="1.77734375" style="203" customWidth="1"/>
    <col min="776" max="777" width="8.21875" style="203" customWidth="1"/>
    <col min="778" max="1024" width="7.109375" style="203"/>
    <col min="1025" max="1025" width="10.21875" style="203" customWidth="1"/>
    <col min="1026" max="1026" width="3.5546875" style="203" customWidth="1"/>
    <col min="1027" max="1028" width="1.77734375" style="203" customWidth="1"/>
    <col min="1029" max="1029" width="4" style="203" customWidth="1"/>
    <col min="1030" max="1030" width="24.21875" style="203" customWidth="1"/>
    <col min="1031" max="1031" width="1.77734375" style="203" customWidth="1"/>
    <col min="1032" max="1033" width="8.21875" style="203" customWidth="1"/>
    <col min="1034" max="1280" width="7.109375" style="203"/>
    <col min="1281" max="1281" width="10.21875" style="203" customWidth="1"/>
    <col min="1282" max="1282" width="3.5546875" style="203" customWidth="1"/>
    <col min="1283" max="1284" width="1.77734375" style="203" customWidth="1"/>
    <col min="1285" max="1285" width="4" style="203" customWidth="1"/>
    <col min="1286" max="1286" width="24.21875" style="203" customWidth="1"/>
    <col min="1287" max="1287" width="1.77734375" style="203" customWidth="1"/>
    <col min="1288" max="1289" width="8.21875" style="203" customWidth="1"/>
    <col min="1290" max="1536" width="7.109375" style="203"/>
    <col min="1537" max="1537" width="10.21875" style="203" customWidth="1"/>
    <col min="1538" max="1538" width="3.5546875" style="203" customWidth="1"/>
    <col min="1539" max="1540" width="1.77734375" style="203" customWidth="1"/>
    <col min="1541" max="1541" width="4" style="203" customWidth="1"/>
    <col min="1542" max="1542" width="24.21875" style="203" customWidth="1"/>
    <col min="1543" max="1543" width="1.77734375" style="203" customWidth="1"/>
    <col min="1544" max="1545" width="8.21875" style="203" customWidth="1"/>
    <col min="1546" max="1792" width="7.109375" style="203"/>
    <col min="1793" max="1793" width="10.21875" style="203" customWidth="1"/>
    <col min="1794" max="1794" width="3.5546875" style="203" customWidth="1"/>
    <col min="1795" max="1796" width="1.77734375" style="203" customWidth="1"/>
    <col min="1797" max="1797" width="4" style="203" customWidth="1"/>
    <col min="1798" max="1798" width="24.21875" style="203" customWidth="1"/>
    <col min="1799" max="1799" width="1.77734375" style="203" customWidth="1"/>
    <col min="1800" max="1801" width="8.21875" style="203" customWidth="1"/>
    <col min="1802" max="2048" width="7.109375" style="203"/>
    <col min="2049" max="2049" width="10.21875" style="203" customWidth="1"/>
    <col min="2050" max="2050" width="3.5546875" style="203" customWidth="1"/>
    <col min="2051" max="2052" width="1.77734375" style="203" customWidth="1"/>
    <col min="2053" max="2053" width="4" style="203" customWidth="1"/>
    <col min="2054" max="2054" width="24.21875" style="203" customWidth="1"/>
    <col min="2055" max="2055" width="1.77734375" style="203" customWidth="1"/>
    <col min="2056" max="2057" width="8.21875" style="203" customWidth="1"/>
    <col min="2058" max="2304" width="7.109375" style="203"/>
    <col min="2305" max="2305" width="10.21875" style="203" customWidth="1"/>
    <col min="2306" max="2306" width="3.5546875" style="203" customWidth="1"/>
    <col min="2307" max="2308" width="1.77734375" style="203" customWidth="1"/>
    <col min="2309" max="2309" width="4" style="203" customWidth="1"/>
    <col min="2310" max="2310" width="24.21875" style="203" customWidth="1"/>
    <col min="2311" max="2311" width="1.77734375" style="203" customWidth="1"/>
    <col min="2312" max="2313" width="8.21875" style="203" customWidth="1"/>
    <col min="2314" max="2560" width="7.109375" style="203"/>
    <col min="2561" max="2561" width="10.21875" style="203" customWidth="1"/>
    <col min="2562" max="2562" width="3.5546875" style="203" customWidth="1"/>
    <col min="2563" max="2564" width="1.77734375" style="203" customWidth="1"/>
    <col min="2565" max="2565" width="4" style="203" customWidth="1"/>
    <col min="2566" max="2566" width="24.21875" style="203" customWidth="1"/>
    <col min="2567" max="2567" width="1.77734375" style="203" customWidth="1"/>
    <col min="2568" max="2569" width="8.21875" style="203" customWidth="1"/>
    <col min="2570" max="2816" width="7.109375" style="203"/>
    <col min="2817" max="2817" width="10.21875" style="203" customWidth="1"/>
    <col min="2818" max="2818" width="3.5546875" style="203" customWidth="1"/>
    <col min="2819" max="2820" width="1.77734375" style="203" customWidth="1"/>
    <col min="2821" max="2821" width="4" style="203" customWidth="1"/>
    <col min="2822" max="2822" width="24.21875" style="203" customWidth="1"/>
    <col min="2823" max="2823" width="1.77734375" style="203" customWidth="1"/>
    <col min="2824" max="2825" width="8.21875" style="203" customWidth="1"/>
    <col min="2826" max="3072" width="7.109375" style="203"/>
    <col min="3073" max="3073" width="10.21875" style="203" customWidth="1"/>
    <col min="3074" max="3074" width="3.5546875" style="203" customWidth="1"/>
    <col min="3075" max="3076" width="1.77734375" style="203" customWidth="1"/>
    <col min="3077" max="3077" width="4" style="203" customWidth="1"/>
    <col min="3078" max="3078" width="24.21875" style="203" customWidth="1"/>
    <col min="3079" max="3079" width="1.77734375" style="203" customWidth="1"/>
    <col min="3080" max="3081" width="8.21875" style="203" customWidth="1"/>
    <col min="3082" max="3328" width="7.109375" style="203"/>
    <col min="3329" max="3329" width="10.21875" style="203" customWidth="1"/>
    <col min="3330" max="3330" width="3.5546875" style="203" customWidth="1"/>
    <col min="3331" max="3332" width="1.77734375" style="203" customWidth="1"/>
    <col min="3333" max="3333" width="4" style="203" customWidth="1"/>
    <col min="3334" max="3334" width="24.21875" style="203" customWidth="1"/>
    <col min="3335" max="3335" width="1.77734375" style="203" customWidth="1"/>
    <col min="3336" max="3337" width="8.21875" style="203" customWidth="1"/>
    <col min="3338" max="3584" width="7.109375" style="203"/>
    <col min="3585" max="3585" width="10.21875" style="203" customWidth="1"/>
    <col min="3586" max="3586" width="3.5546875" style="203" customWidth="1"/>
    <col min="3587" max="3588" width="1.77734375" style="203" customWidth="1"/>
    <col min="3589" max="3589" width="4" style="203" customWidth="1"/>
    <col min="3590" max="3590" width="24.21875" style="203" customWidth="1"/>
    <col min="3591" max="3591" width="1.77734375" style="203" customWidth="1"/>
    <col min="3592" max="3593" width="8.21875" style="203" customWidth="1"/>
    <col min="3594" max="3840" width="7.109375" style="203"/>
    <col min="3841" max="3841" width="10.21875" style="203" customWidth="1"/>
    <col min="3842" max="3842" width="3.5546875" style="203" customWidth="1"/>
    <col min="3843" max="3844" width="1.77734375" style="203" customWidth="1"/>
    <col min="3845" max="3845" width="4" style="203" customWidth="1"/>
    <col min="3846" max="3846" width="24.21875" style="203" customWidth="1"/>
    <col min="3847" max="3847" width="1.77734375" style="203" customWidth="1"/>
    <col min="3848" max="3849" width="8.21875" style="203" customWidth="1"/>
    <col min="3850" max="4096" width="7.109375" style="203"/>
    <col min="4097" max="4097" width="10.21875" style="203" customWidth="1"/>
    <col min="4098" max="4098" width="3.5546875" style="203" customWidth="1"/>
    <col min="4099" max="4100" width="1.77734375" style="203" customWidth="1"/>
    <col min="4101" max="4101" width="4" style="203" customWidth="1"/>
    <col min="4102" max="4102" width="24.21875" style="203" customWidth="1"/>
    <col min="4103" max="4103" width="1.77734375" style="203" customWidth="1"/>
    <col min="4104" max="4105" width="8.21875" style="203" customWidth="1"/>
    <col min="4106" max="4352" width="7.109375" style="203"/>
    <col min="4353" max="4353" width="10.21875" style="203" customWidth="1"/>
    <col min="4354" max="4354" width="3.5546875" style="203" customWidth="1"/>
    <col min="4355" max="4356" width="1.77734375" style="203" customWidth="1"/>
    <col min="4357" max="4357" width="4" style="203" customWidth="1"/>
    <col min="4358" max="4358" width="24.21875" style="203" customWidth="1"/>
    <col min="4359" max="4359" width="1.77734375" style="203" customWidth="1"/>
    <col min="4360" max="4361" width="8.21875" style="203" customWidth="1"/>
    <col min="4362" max="4608" width="7.109375" style="203"/>
    <col min="4609" max="4609" width="10.21875" style="203" customWidth="1"/>
    <col min="4610" max="4610" width="3.5546875" style="203" customWidth="1"/>
    <col min="4611" max="4612" width="1.77734375" style="203" customWidth="1"/>
    <col min="4613" max="4613" width="4" style="203" customWidth="1"/>
    <col min="4614" max="4614" width="24.21875" style="203" customWidth="1"/>
    <col min="4615" max="4615" width="1.77734375" style="203" customWidth="1"/>
    <col min="4616" max="4617" width="8.21875" style="203" customWidth="1"/>
    <col min="4618" max="4864" width="7.109375" style="203"/>
    <col min="4865" max="4865" width="10.21875" style="203" customWidth="1"/>
    <col min="4866" max="4866" width="3.5546875" style="203" customWidth="1"/>
    <col min="4867" max="4868" width="1.77734375" style="203" customWidth="1"/>
    <col min="4869" max="4869" width="4" style="203" customWidth="1"/>
    <col min="4870" max="4870" width="24.21875" style="203" customWidth="1"/>
    <col min="4871" max="4871" width="1.77734375" style="203" customWidth="1"/>
    <col min="4872" max="4873" width="8.21875" style="203" customWidth="1"/>
    <col min="4874" max="5120" width="7.109375" style="203"/>
    <col min="5121" max="5121" width="10.21875" style="203" customWidth="1"/>
    <col min="5122" max="5122" width="3.5546875" style="203" customWidth="1"/>
    <col min="5123" max="5124" width="1.77734375" style="203" customWidth="1"/>
    <col min="5125" max="5125" width="4" style="203" customWidth="1"/>
    <col min="5126" max="5126" width="24.21875" style="203" customWidth="1"/>
    <col min="5127" max="5127" width="1.77734375" style="203" customWidth="1"/>
    <col min="5128" max="5129" width="8.21875" style="203" customWidth="1"/>
    <col min="5130" max="5376" width="7.109375" style="203"/>
    <col min="5377" max="5377" width="10.21875" style="203" customWidth="1"/>
    <col min="5378" max="5378" width="3.5546875" style="203" customWidth="1"/>
    <col min="5379" max="5380" width="1.77734375" style="203" customWidth="1"/>
    <col min="5381" max="5381" width="4" style="203" customWidth="1"/>
    <col min="5382" max="5382" width="24.21875" style="203" customWidth="1"/>
    <col min="5383" max="5383" width="1.77734375" style="203" customWidth="1"/>
    <col min="5384" max="5385" width="8.21875" style="203" customWidth="1"/>
    <col min="5386" max="5632" width="7.109375" style="203"/>
    <col min="5633" max="5633" width="10.21875" style="203" customWidth="1"/>
    <col min="5634" max="5634" width="3.5546875" style="203" customWidth="1"/>
    <col min="5635" max="5636" width="1.77734375" style="203" customWidth="1"/>
    <col min="5637" max="5637" width="4" style="203" customWidth="1"/>
    <col min="5638" max="5638" width="24.21875" style="203" customWidth="1"/>
    <col min="5639" max="5639" width="1.77734375" style="203" customWidth="1"/>
    <col min="5640" max="5641" width="8.21875" style="203" customWidth="1"/>
    <col min="5642" max="5888" width="7.109375" style="203"/>
    <col min="5889" max="5889" width="10.21875" style="203" customWidth="1"/>
    <col min="5890" max="5890" width="3.5546875" style="203" customWidth="1"/>
    <col min="5891" max="5892" width="1.77734375" style="203" customWidth="1"/>
    <col min="5893" max="5893" width="4" style="203" customWidth="1"/>
    <col min="5894" max="5894" width="24.21875" style="203" customWidth="1"/>
    <col min="5895" max="5895" width="1.77734375" style="203" customWidth="1"/>
    <col min="5896" max="5897" width="8.21875" style="203" customWidth="1"/>
    <col min="5898" max="6144" width="7.109375" style="203"/>
    <col min="6145" max="6145" width="10.21875" style="203" customWidth="1"/>
    <col min="6146" max="6146" width="3.5546875" style="203" customWidth="1"/>
    <col min="6147" max="6148" width="1.77734375" style="203" customWidth="1"/>
    <col min="6149" max="6149" width="4" style="203" customWidth="1"/>
    <col min="6150" max="6150" width="24.21875" style="203" customWidth="1"/>
    <col min="6151" max="6151" width="1.77734375" style="203" customWidth="1"/>
    <col min="6152" max="6153" width="8.21875" style="203" customWidth="1"/>
    <col min="6154" max="6400" width="7.109375" style="203"/>
    <col min="6401" max="6401" width="10.21875" style="203" customWidth="1"/>
    <col min="6402" max="6402" width="3.5546875" style="203" customWidth="1"/>
    <col min="6403" max="6404" width="1.77734375" style="203" customWidth="1"/>
    <col min="6405" max="6405" width="4" style="203" customWidth="1"/>
    <col min="6406" max="6406" width="24.21875" style="203" customWidth="1"/>
    <col min="6407" max="6407" width="1.77734375" style="203" customWidth="1"/>
    <col min="6408" max="6409" width="8.21875" style="203" customWidth="1"/>
    <col min="6410" max="6656" width="7.109375" style="203"/>
    <col min="6657" max="6657" width="10.21875" style="203" customWidth="1"/>
    <col min="6658" max="6658" width="3.5546875" style="203" customWidth="1"/>
    <col min="6659" max="6660" width="1.77734375" style="203" customWidth="1"/>
    <col min="6661" max="6661" width="4" style="203" customWidth="1"/>
    <col min="6662" max="6662" width="24.21875" style="203" customWidth="1"/>
    <col min="6663" max="6663" width="1.77734375" style="203" customWidth="1"/>
    <col min="6664" max="6665" width="8.21875" style="203" customWidth="1"/>
    <col min="6666" max="6912" width="7.109375" style="203"/>
    <col min="6913" max="6913" width="10.21875" style="203" customWidth="1"/>
    <col min="6914" max="6914" width="3.5546875" style="203" customWidth="1"/>
    <col min="6915" max="6916" width="1.77734375" style="203" customWidth="1"/>
    <col min="6917" max="6917" width="4" style="203" customWidth="1"/>
    <col min="6918" max="6918" width="24.21875" style="203" customWidth="1"/>
    <col min="6919" max="6919" width="1.77734375" style="203" customWidth="1"/>
    <col min="6920" max="6921" width="8.21875" style="203" customWidth="1"/>
    <col min="6922" max="7168" width="7.109375" style="203"/>
    <col min="7169" max="7169" width="10.21875" style="203" customWidth="1"/>
    <col min="7170" max="7170" width="3.5546875" style="203" customWidth="1"/>
    <col min="7171" max="7172" width="1.77734375" style="203" customWidth="1"/>
    <col min="7173" max="7173" width="4" style="203" customWidth="1"/>
    <col min="7174" max="7174" width="24.21875" style="203" customWidth="1"/>
    <col min="7175" max="7175" width="1.77734375" style="203" customWidth="1"/>
    <col min="7176" max="7177" width="8.21875" style="203" customWidth="1"/>
    <col min="7178" max="7424" width="7.109375" style="203"/>
    <col min="7425" max="7425" width="10.21875" style="203" customWidth="1"/>
    <col min="7426" max="7426" width="3.5546875" style="203" customWidth="1"/>
    <col min="7427" max="7428" width="1.77734375" style="203" customWidth="1"/>
    <col min="7429" max="7429" width="4" style="203" customWidth="1"/>
    <col min="7430" max="7430" width="24.21875" style="203" customWidth="1"/>
    <col min="7431" max="7431" width="1.77734375" style="203" customWidth="1"/>
    <col min="7432" max="7433" width="8.21875" style="203" customWidth="1"/>
    <col min="7434" max="7680" width="7.109375" style="203"/>
    <col min="7681" max="7681" width="10.21875" style="203" customWidth="1"/>
    <col min="7682" max="7682" width="3.5546875" style="203" customWidth="1"/>
    <col min="7683" max="7684" width="1.77734375" style="203" customWidth="1"/>
    <col min="7685" max="7685" width="4" style="203" customWidth="1"/>
    <col min="7686" max="7686" width="24.21875" style="203" customWidth="1"/>
    <col min="7687" max="7687" width="1.77734375" style="203" customWidth="1"/>
    <col min="7688" max="7689" width="8.21875" style="203" customWidth="1"/>
    <col min="7690" max="7936" width="7.109375" style="203"/>
    <col min="7937" max="7937" width="10.21875" style="203" customWidth="1"/>
    <col min="7938" max="7938" width="3.5546875" style="203" customWidth="1"/>
    <col min="7939" max="7940" width="1.77734375" style="203" customWidth="1"/>
    <col min="7941" max="7941" width="4" style="203" customWidth="1"/>
    <col min="7942" max="7942" width="24.21875" style="203" customWidth="1"/>
    <col min="7943" max="7943" width="1.77734375" style="203" customWidth="1"/>
    <col min="7944" max="7945" width="8.21875" style="203" customWidth="1"/>
    <col min="7946" max="8192" width="7.109375" style="203"/>
    <col min="8193" max="8193" width="10.21875" style="203" customWidth="1"/>
    <col min="8194" max="8194" width="3.5546875" style="203" customWidth="1"/>
    <col min="8195" max="8196" width="1.77734375" style="203" customWidth="1"/>
    <col min="8197" max="8197" width="4" style="203" customWidth="1"/>
    <col min="8198" max="8198" width="24.21875" style="203" customWidth="1"/>
    <col min="8199" max="8199" width="1.77734375" style="203" customWidth="1"/>
    <col min="8200" max="8201" width="8.21875" style="203" customWidth="1"/>
    <col min="8202" max="8448" width="7.109375" style="203"/>
    <col min="8449" max="8449" width="10.21875" style="203" customWidth="1"/>
    <col min="8450" max="8450" width="3.5546875" style="203" customWidth="1"/>
    <col min="8451" max="8452" width="1.77734375" style="203" customWidth="1"/>
    <col min="8453" max="8453" width="4" style="203" customWidth="1"/>
    <col min="8454" max="8454" width="24.21875" style="203" customWidth="1"/>
    <col min="8455" max="8455" width="1.77734375" style="203" customWidth="1"/>
    <col min="8456" max="8457" width="8.21875" style="203" customWidth="1"/>
    <col min="8458" max="8704" width="7.109375" style="203"/>
    <col min="8705" max="8705" width="10.21875" style="203" customWidth="1"/>
    <col min="8706" max="8706" width="3.5546875" style="203" customWidth="1"/>
    <col min="8707" max="8708" width="1.77734375" style="203" customWidth="1"/>
    <col min="8709" max="8709" width="4" style="203" customWidth="1"/>
    <col min="8710" max="8710" width="24.21875" style="203" customWidth="1"/>
    <col min="8711" max="8711" width="1.77734375" style="203" customWidth="1"/>
    <col min="8712" max="8713" width="8.21875" style="203" customWidth="1"/>
    <col min="8714" max="8960" width="7.109375" style="203"/>
    <col min="8961" max="8961" width="10.21875" style="203" customWidth="1"/>
    <col min="8962" max="8962" width="3.5546875" style="203" customWidth="1"/>
    <col min="8963" max="8964" width="1.77734375" style="203" customWidth="1"/>
    <col min="8965" max="8965" width="4" style="203" customWidth="1"/>
    <col min="8966" max="8966" width="24.21875" style="203" customWidth="1"/>
    <col min="8967" max="8967" width="1.77734375" style="203" customWidth="1"/>
    <col min="8968" max="8969" width="8.21875" style="203" customWidth="1"/>
    <col min="8970" max="9216" width="7.109375" style="203"/>
    <col min="9217" max="9217" width="10.21875" style="203" customWidth="1"/>
    <col min="9218" max="9218" width="3.5546875" style="203" customWidth="1"/>
    <col min="9219" max="9220" width="1.77734375" style="203" customWidth="1"/>
    <col min="9221" max="9221" width="4" style="203" customWidth="1"/>
    <col min="9222" max="9222" width="24.21875" style="203" customWidth="1"/>
    <col min="9223" max="9223" width="1.77734375" style="203" customWidth="1"/>
    <col min="9224" max="9225" width="8.21875" style="203" customWidth="1"/>
    <col min="9226" max="9472" width="7.109375" style="203"/>
    <col min="9473" max="9473" width="10.21875" style="203" customWidth="1"/>
    <col min="9474" max="9474" width="3.5546875" style="203" customWidth="1"/>
    <col min="9475" max="9476" width="1.77734375" style="203" customWidth="1"/>
    <col min="9477" max="9477" width="4" style="203" customWidth="1"/>
    <col min="9478" max="9478" width="24.21875" style="203" customWidth="1"/>
    <col min="9479" max="9479" width="1.77734375" style="203" customWidth="1"/>
    <col min="9480" max="9481" width="8.21875" style="203" customWidth="1"/>
    <col min="9482" max="9728" width="7.109375" style="203"/>
    <col min="9729" max="9729" width="10.21875" style="203" customWidth="1"/>
    <col min="9730" max="9730" width="3.5546875" style="203" customWidth="1"/>
    <col min="9731" max="9732" width="1.77734375" style="203" customWidth="1"/>
    <col min="9733" max="9733" width="4" style="203" customWidth="1"/>
    <col min="9734" max="9734" width="24.21875" style="203" customWidth="1"/>
    <col min="9735" max="9735" width="1.77734375" style="203" customWidth="1"/>
    <col min="9736" max="9737" width="8.21875" style="203" customWidth="1"/>
    <col min="9738" max="9984" width="7.109375" style="203"/>
    <col min="9985" max="9985" width="10.21875" style="203" customWidth="1"/>
    <col min="9986" max="9986" width="3.5546875" style="203" customWidth="1"/>
    <col min="9987" max="9988" width="1.77734375" style="203" customWidth="1"/>
    <col min="9989" max="9989" width="4" style="203" customWidth="1"/>
    <col min="9990" max="9990" width="24.21875" style="203" customWidth="1"/>
    <col min="9991" max="9991" width="1.77734375" style="203" customWidth="1"/>
    <col min="9992" max="9993" width="8.21875" style="203" customWidth="1"/>
    <col min="9994" max="10240" width="7.109375" style="203"/>
    <col min="10241" max="10241" width="10.21875" style="203" customWidth="1"/>
    <col min="10242" max="10242" width="3.5546875" style="203" customWidth="1"/>
    <col min="10243" max="10244" width="1.77734375" style="203" customWidth="1"/>
    <col min="10245" max="10245" width="4" style="203" customWidth="1"/>
    <col min="10246" max="10246" width="24.21875" style="203" customWidth="1"/>
    <col min="10247" max="10247" width="1.77734375" style="203" customWidth="1"/>
    <col min="10248" max="10249" width="8.21875" style="203" customWidth="1"/>
    <col min="10250" max="10496" width="7.109375" style="203"/>
    <col min="10497" max="10497" width="10.21875" style="203" customWidth="1"/>
    <col min="10498" max="10498" width="3.5546875" style="203" customWidth="1"/>
    <col min="10499" max="10500" width="1.77734375" style="203" customWidth="1"/>
    <col min="10501" max="10501" width="4" style="203" customWidth="1"/>
    <col min="10502" max="10502" width="24.21875" style="203" customWidth="1"/>
    <col min="10503" max="10503" width="1.77734375" style="203" customWidth="1"/>
    <col min="10504" max="10505" width="8.21875" style="203" customWidth="1"/>
    <col min="10506" max="10752" width="7.109375" style="203"/>
    <col min="10753" max="10753" width="10.21875" style="203" customWidth="1"/>
    <col min="10754" max="10754" width="3.5546875" style="203" customWidth="1"/>
    <col min="10755" max="10756" width="1.77734375" style="203" customWidth="1"/>
    <col min="10757" max="10757" width="4" style="203" customWidth="1"/>
    <col min="10758" max="10758" width="24.21875" style="203" customWidth="1"/>
    <col min="10759" max="10759" width="1.77734375" style="203" customWidth="1"/>
    <col min="10760" max="10761" width="8.21875" style="203" customWidth="1"/>
    <col min="10762" max="11008" width="7.109375" style="203"/>
    <col min="11009" max="11009" width="10.21875" style="203" customWidth="1"/>
    <col min="11010" max="11010" width="3.5546875" style="203" customWidth="1"/>
    <col min="11011" max="11012" width="1.77734375" style="203" customWidth="1"/>
    <col min="11013" max="11013" width="4" style="203" customWidth="1"/>
    <col min="11014" max="11014" width="24.21875" style="203" customWidth="1"/>
    <col min="11015" max="11015" width="1.77734375" style="203" customWidth="1"/>
    <col min="11016" max="11017" width="8.21875" style="203" customWidth="1"/>
    <col min="11018" max="11264" width="7.109375" style="203"/>
    <col min="11265" max="11265" width="10.21875" style="203" customWidth="1"/>
    <col min="11266" max="11266" width="3.5546875" style="203" customWidth="1"/>
    <col min="11267" max="11268" width="1.77734375" style="203" customWidth="1"/>
    <col min="11269" max="11269" width="4" style="203" customWidth="1"/>
    <col min="11270" max="11270" width="24.21875" style="203" customWidth="1"/>
    <col min="11271" max="11271" width="1.77734375" style="203" customWidth="1"/>
    <col min="11272" max="11273" width="8.21875" style="203" customWidth="1"/>
    <col min="11274" max="11520" width="7.109375" style="203"/>
    <col min="11521" max="11521" width="10.21875" style="203" customWidth="1"/>
    <col min="11522" max="11522" width="3.5546875" style="203" customWidth="1"/>
    <col min="11523" max="11524" width="1.77734375" style="203" customWidth="1"/>
    <col min="11525" max="11525" width="4" style="203" customWidth="1"/>
    <col min="11526" max="11526" width="24.21875" style="203" customWidth="1"/>
    <col min="11527" max="11527" width="1.77734375" style="203" customWidth="1"/>
    <col min="11528" max="11529" width="8.21875" style="203" customWidth="1"/>
    <col min="11530" max="11776" width="7.109375" style="203"/>
    <col min="11777" max="11777" width="10.21875" style="203" customWidth="1"/>
    <col min="11778" max="11778" width="3.5546875" style="203" customWidth="1"/>
    <col min="11779" max="11780" width="1.77734375" style="203" customWidth="1"/>
    <col min="11781" max="11781" width="4" style="203" customWidth="1"/>
    <col min="11782" max="11782" width="24.21875" style="203" customWidth="1"/>
    <col min="11783" max="11783" width="1.77734375" style="203" customWidth="1"/>
    <col min="11784" max="11785" width="8.21875" style="203" customWidth="1"/>
    <col min="11786" max="12032" width="7.109375" style="203"/>
    <col min="12033" max="12033" width="10.21875" style="203" customWidth="1"/>
    <col min="12034" max="12034" width="3.5546875" style="203" customWidth="1"/>
    <col min="12035" max="12036" width="1.77734375" style="203" customWidth="1"/>
    <col min="12037" max="12037" width="4" style="203" customWidth="1"/>
    <col min="12038" max="12038" width="24.21875" style="203" customWidth="1"/>
    <col min="12039" max="12039" width="1.77734375" style="203" customWidth="1"/>
    <col min="12040" max="12041" width="8.21875" style="203" customWidth="1"/>
    <col min="12042" max="12288" width="7.109375" style="203"/>
    <col min="12289" max="12289" width="10.21875" style="203" customWidth="1"/>
    <col min="12290" max="12290" width="3.5546875" style="203" customWidth="1"/>
    <col min="12291" max="12292" width="1.77734375" style="203" customWidth="1"/>
    <col min="12293" max="12293" width="4" style="203" customWidth="1"/>
    <col min="12294" max="12294" width="24.21875" style="203" customWidth="1"/>
    <col min="12295" max="12295" width="1.77734375" style="203" customWidth="1"/>
    <col min="12296" max="12297" width="8.21875" style="203" customWidth="1"/>
    <col min="12298" max="12544" width="7.109375" style="203"/>
    <col min="12545" max="12545" width="10.21875" style="203" customWidth="1"/>
    <col min="12546" max="12546" width="3.5546875" style="203" customWidth="1"/>
    <col min="12547" max="12548" width="1.77734375" style="203" customWidth="1"/>
    <col min="12549" max="12549" width="4" style="203" customWidth="1"/>
    <col min="12550" max="12550" width="24.21875" style="203" customWidth="1"/>
    <col min="12551" max="12551" width="1.77734375" style="203" customWidth="1"/>
    <col min="12552" max="12553" width="8.21875" style="203" customWidth="1"/>
    <col min="12554" max="12800" width="7.109375" style="203"/>
    <col min="12801" max="12801" width="10.21875" style="203" customWidth="1"/>
    <col min="12802" max="12802" width="3.5546875" style="203" customWidth="1"/>
    <col min="12803" max="12804" width="1.77734375" style="203" customWidth="1"/>
    <col min="12805" max="12805" width="4" style="203" customWidth="1"/>
    <col min="12806" max="12806" width="24.21875" style="203" customWidth="1"/>
    <col min="12807" max="12807" width="1.77734375" style="203" customWidth="1"/>
    <col min="12808" max="12809" width="8.21875" style="203" customWidth="1"/>
    <col min="12810" max="13056" width="7.109375" style="203"/>
    <col min="13057" max="13057" width="10.21875" style="203" customWidth="1"/>
    <col min="13058" max="13058" width="3.5546875" style="203" customWidth="1"/>
    <col min="13059" max="13060" width="1.77734375" style="203" customWidth="1"/>
    <col min="13061" max="13061" width="4" style="203" customWidth="1"/>
    <col min="13062" max="13062" width="24.21875" style="203" customWidth="1"/>
    <col min="13063" max="13063" width="1.77734375" style="203" customWidth="1"/>
    <col min="13064" max="13065" width="8.21875" style="203" customWidth="1"/>
    <col min="13066" max="13312" width="7.109375" style="203"/>
    <col min="13313" max="13313" width="10.21875" style="203" customWidth="1"/>
    <col min="13314" max="13314" width="3.5546875" style="203" customWidth="1"/>
    <col min="13315" max="13316" width="1.77734375" style="203" customWidth="1"/>
    <col min="13317" max="13317" width="4" style="203" customWidth="1"/>
    <col min="13318" max="13318" width="24.21875" style="203" customWidth="1"/>
    <col min="13319" max="13319" width="1.77734375" style="203" customWidth="1"/>
    <col min="13320" max="13321" width="8.21875" style="203" customWidth="1"/>
    <col min="13322" max="13568" width="7.109375" style="203"/>
    <col min="13569" max="13569" width="10.21875" style="203" customWidth="1"/>
    <col min="13570" max="13570" width="3.5546875" style="203" customWidth="1"/>
    <col min="13571" max="13572" width="1.77734375" style="203" customWidth="1"/>
    <col min="13573" max="13573" width="4" style="203" customWidth="1"/>
    <col min="13574" max="13574" width="24.21875" style="203" customWidth="1"/>
    <col min="13575" max="13575" width="1.77734375" style="203" customWidth="1"/>
    <col min="13576" max="13577" width="8.21875" style="203" customWidth="1"/>
    <col min="13578" max="13824" width="7.109375" style="203"/>
    <col min="13825" max="13825" width="10.21875" style="203" customWidth="1"/>
    <col min="13826" max="13826" width="3.5546875" style="203" customWidth="1"/>
    <col min="13827" max="13828" width="1.77734375" style="203" customWidth="1"/>
    <col min="13829" max="13829" width="4" style="203" customWidth="1"/>
    <col min="13830" max="13830" width="24.21875" style="203" customWidth="1"/>
    <col min="13831" max="13831" width="1.77734375" style="203" customWidth="1"/>
    <col min="13832" max="13833" width="8.21875" style="203" customWidth="1"/>
    <col min="13834" max="14080" width="7.109375" style="203"/>
    <col min="14081" max="14081" width="10.21875" style="203" customWidth="1"/>
    <col min="14082" max="14082" width="3.5546875" style="203" customWidth="1"/>
    <col min="14083" max="14084" width="1.77734375" style="203" customWidth="1"/>
    <col min="14085" max="14085" width="4" style="203" customWidth="1"/>
    <col min="14086" max="14086" width="24.21875" style="203" customWidth="1"/>
    <col min="14087" max="14087" width="1.77734375" style="203" customWidth="1"/>
    <col min="14088" max="14089" width="8.21875" style="203" customWidth="1"/>
    <col min="14090" max="14336" width="7.109375" style="203"/>
    <col min="14337" max="14337" width="10.21875" style="203" customWidth="1"/>
    <col min="14338" max="14338" width="3.5546875" style="203" customWidth="1"/>
    <col min="14339" max="14340" width="1.77734375" style="203" customWidth="1"/>
    <col min="14341" max="14341" width="4" style="203" customWidth="1"/>
    <col min="14342" max="14342" width="24.21875" style="203" customWidth="1"/>
    <col min="14343" max="14343" width="1.77734375" style="203" customWidth="1"/>
    <col min="14344" max="14345" width="8.21875" style="203" customWidth="1"/>
    <col min="14346" max="14592" width="7.109375" style="203"/>
    <col min="14593" max="14593" width="10.21875" style="203" customWidth="1"/>
    <col min="14594" max="14594" width="3.5546875" style="203" customWidth="1"/>
    <col min="14595" max="14596" width="1.77734375" style="203" customWidth="1"/>
    <col min="14597" max="14597" width="4" style="203" customWidth="1"/>
    <col min="14598" max="14598" width="24.21875" style="203" customWidth="1"/>
    <col min="14599" max="14599" width="1.77734375" style="203" customWidth="1"/>
    <col min="14600" max="14601" width="8.21875" style="203" customWidth="1"/>
    <col min="14602" max="14848" width="7.109375" style="203"/>
    <col min="14849" max="14849" width="10.21875" style="203" customWidth="1"/>
    <col min="14850" max="14850" width="3.5546875" style="203" customWidth="1"/>
    <col min="14851" max="14852" width="1.77734375" style="203" customWidth="1"/>
    <col min="14853" max="14853" width="4" style="203" customWidth="1"/>
    <col min="14854" max="14854" width="24.21875" style="203" customWidth="1"/>
    <col min="14855" max="14855" width="1.77734375" style="203" customWidth="1"/>
    <col min="14856" max="14857" width="8.21875" style="203" customWidth="1"/>
    <col min="14858" max="15104" width="7.109375" style="203"/>
    <col min="15105" max="15105" width="10.21875" style="203" customWidth="1"/>
    <col min="15106" max="15106" width="3.5546875" style="203" customWidth="1"/>
    <col min="15107" max="15108" width="1.77734375" style="203" customWidth="1"/>
    <col min="15109" max="15109" width="4" style="203" customWidth="1"/>
    <col min="15110" max="15110" width="24.21875" style="203" customWidth="1"/>
    <col min="15111" max="15111" width="1.77734375" style="203" customWidth="1"/>
    <col min="15112" max="15113" width="8.21875" style="203" customWidth="1"/>
    <col min="15114" max="15360" width="7.109375" style="203"/>
    <col min="15361" max="15361" width="10.21875" style="203" customWidth="1"/>
    <col min="15362" max="15362" width="3.5546875" style="203" customWidth="1"/>
    <col min="15363" max="15364" width="1.77734375" style="203" customWidth="1"/>
    <col min="15365" max="15365" width="4" style="203" customWidth="1"/>
    <col min="15366" max="15366" width="24.21875" style="203" customWidth="1"/>
    <col min="15367" max="15367" width="1.77734375" style="203" customWidth="1"/>
    <col min="15368" max="15369" width="8.21875" style="203" customWidth="1"/>
    <col min="15370" max="15616" width="7.109375" style="203"/>
    <col min="15617" max="15617" width="10.21875" style="203" customWidth="1"/>
    <col min="15618" max="15618" width="3.5546875" style="203" customWidth="1"/>
    <col min="15619" max="15620" width="1.77734375" style="203" customWidth="1"/>
    <col min="15621" max="15621" width="4" style="203" customWidth="1"/>
    <col min="15622" max="15622" width="24.21875" style="203" customWidth="1"/>
    <col min="15623" max="15623" width="1.77734375" style="203" customWidth="1"/>
    <col min="15624" max="15625" width="8.21875" style="203" customWidth="1"/>
    <col min="15626" max="15872" width="7.109375" style="203"/>
    <col min="15873" max="15873" width="10.21875" style="203" customWidth="1"/>
    <col min="15874" max="15874" width="3.5546875" style="203" customWidth="1"/>
    <col min="15875" max="15876" width="1.77734375" style="203" customWidth="1"/>
    <col min="15877" max="15877" width="4" style="203" customWidth="1"/>
    <col min="15878" max="15878" width="24.21875" style="203" customWidth="1"/>
    <col min="15879" max="15879" width="1.77734375" style="203" customWidth="1"/>
    <col min="15880" max="15881" width="8.21875" style="203" customWidth="1"/>
    <col min="15882" max="16128" width="7.109375" style="203"/>
    <col min="16129" max="16129" width="10.21875" style="203" customWidth="1"/>
    <col min="16130" max="16130" width="3.5546875" style="203" customWidth="1"/>
    <col min="16131" max="16132" width="1.77734375" style="203" customWidth="1"/>
    <col min="16133" max="16133" width="4" style="203" customWidth="1"/>
    <col min="16134" max="16134" width="24.21875" style="203" customWidth="1"/>
    <col min="16135" max="16135" width="1.77734375" style="203" customWidth="1"/>
    <col min="16136" max="16137" width="8.21875" style="203" customWidth="1"/>
    <col min="16138" max="16384" width="7.109375" style="203"/>
  </cols>
  <sheetData>
    <row r="1" spans="1:8" ht="14.25" customHeight="1">
      <c r="A1" s="949" t="s">
        <v>39</v>
      </c>
      <c r="B1" s="949"/>
      <c r="C1" s="949"/>
      <c r="D1" s="949"/>
      <c r="E1" s="949"/>
      <c r="F1" s="949"/>
      <c r="G1" s="949"/>
      <c r="H1" s="949"/>
    </row>
    <row r="2" spans="1:8">
      <c r="A2" s="949" t="s">
        <v>832</v>
      </c>
      <c r="B2" s="949"/>
      <c r="C2" s="949"/>
      <c r="D2" s="949"/>
      <c r="E2" s="949"/>
      <c r="F2" s="949"/>
      <c r="G2" s="949"/>
      <c r="H2" s="949"/>
    </row>
    <row r="3" spans="1:8">
      <c r="A3" s="950" t="s">
        <v>82</v>
      </c>
      <c r="B3" s="950"/>
      <c r="C3" s="950"/>
      <c r="D3" s="950"/>
      <c r="E3" s="950"/>
      <c r="F3" s="950"/>
      <c r="G3" s="950"/>
      <c r="H3" s="950"/>
    </row>
    <row r="4" spans="1:8">
      <c r="F4" s="2"/>
      <c r="H4" s="305" t="s">
        <v>3</v>
      </c>
    </row>
    <row r="5" spans="1:8">
      <c r="A5" s="949"/>
      <c r="B5" s="949"/>
      <c r="C5" s="949"/>
      <c r="D5" s="949"/>
      <c r="E5" s="949"/>
      <c r="F5" s="949"/>
      <c r="G5" s="949"/>
      <c r="H5" s="949"/>
    </row>
    <row r="6" spans="1:8">
      <c r="B6" s="205" t="s">
        <v>83</v>
      </c>
      <c r="H6" s="203"/>
    </row>
    <row r="7" spans="1:8">
      <c r="B7" s="208" t="s">
        <v>85</v>
      </c>
      <c r="D7" s="224" t="s">
        <v>833</v>
      </c>
      <c r="E7" s="224"/>
      <c r="F7" s="224"/>
      <c r="H7" s="692" t="s">
        <v>834</v>
      </c>
    </row>
    <row r="8" spans="1:8">
      <c r="B8" s="205">
        <v>1</v>
      </c>
    </row>
    <row r="9" spans="1:8">
      <c r="B9" s="205">
        <v>2</v>
      </c>
      <c r="D9" s="215" t="s">
        <v>835</v>
      </c>
      <c r="E9" s="215"/>
    </row>
    <row r="10" spans="1:8">
      <c r="B10" s="205">
        <v>3</v>
      </c>
      <c r="D10" s="215"/>
      <c r="E10" s="693">
        <v>350</v>
      </c>
      <c r="F10" s="203" t="s">
        <v>836</v>
      </c>
      <c r="H10" s="306">
        <v>0</v>
      </c>
    </row>
    <row r="11" spans="1:8">
      <c r="B11" s="205">
        <v>4</v>
      </c>
      <c r="E11" s="693">
        <v>350.03</v>
      </c>
      <c r="F11" s="226" t="s">
        <v>837</v>
      </c>
      <c r="H11" s="306">
        <v>1.0800000000000001E-2</v>
      </c>
    </row>
    <row r="12" spans="1:8">
      <c r="B12" s="205">
        <v>5</v>
      </c>
      <c r="E12" s="693">
        <v>352</v>
      </c>
      <c r="F12" s="203" t="s">
        <v>838</v>
      </c>
      <c r="H12" s="306">
        <v>1.04E-2</v>
      </c>
    </row>
    <row r="13" spans="1:8">
      <c r="B13" s="205">
        <v>6</v>
      </c>
      <c r="E13" s="693">
        <v>352.05</v>
      </c>
      <c r="F13" s="203" t="s">
        <v>839</v>
      </c>
      <c r="H13" s="306">
        <v>1.83E-2</v>
      </c>
    </row>
    <row r="14" spans="1:8">
      <c r="B14" s="205">
        <v>7</v>
      </c>
      <c r="E14" s="693">
        <v>353</v>
      </c>
      <c r="F14" s="203" t="s">
        <v>840</v>
      </c>
      <c r="H14" s="306">
        <v>2.1100000000000001E-2</v>
      </c>
    </row>
    <row r="15" spans="1:8">
      <c r="B15" s="205">
        <v>8</v>
      </c>
      <c r="E15" s="888">
        <v>353.01</v>
      </c>
      <c r="F15" s="203" t="s">
        <v>841</v>
      </c>
      <c r="H15" s="306">
        <v>3.0499999999999999E-2</v>
      </c>
    </row>
    <row r="16" spans="1:8">
      <c r="B16" s="205">
        <v>9</v>
      </c>
      <c r="E16" s="693">
        <v>353.01</v>
      </c>
      <c r="F16" s="203" t="s">
        <v>842</v>
      </c>
      <c r="H16" s="306">
        <v>3.2899999999999999E-2</v>
      </c>
    </row>
    <row r="17" spans="2:8">
      <c r="B17" s="205">
        <v>10</v>
      </c>
      <c r="E17" s="693">
        <v>353.01</v>
      </c>
      <c r="F17" s="203" t="s">
        <v>843</v>
      </c>
      <c r="H17" s="306">
        <v>3.2899999999999999E-2</v>
      </c>
    </row>
    <row r="18" spans="2:8">
      <c r="B18" s="205">
        <v>11</v>
      </c>
      <c r="E18" s="693">
        <v>354</v>
      </c>
      <c r="F18" s="203" t="s">
        <v>844</v>
      </c>
      <c r="H18" s="306">
        <v>1.2200000000000001E-2</v>
      </c>
    </row>
    <row r="19" spans="2:8">
      <c r="B19" s="205">
        <v>12</v>
      </c>
      <c r="E19" s="693">
        <v>355</v>
      </c>
      <c r="F19" s="226" t="s">
        <v>845</v>
      </c>
      <c r="H19" s="306">
        <v>2.7699999999999999E-2</v>
      </c>
    </row>
    <row r="20" spans="2:8">
      <c r="B20" s="205">
        <v>13</v>
      </c>
      <c r="E20" s="693">
        <v>356</v>
      </c>
      <c r="F20" s="203" t="s">
        <v>846</v>
      </c>
      <c r="H20" s="306">
        <v>1.95E-2</v>
      </c>
    </row>
    <row r="21" spans="2:8">
      <c r="B21" s="205">
        <v>14</v>
      </c>
      <c r="F21" s="308" t="s">
        <v>847</v>
      </c>
      <c r="H21" s="889">
        <v>3.1699999999999999E-2</v>
      </c>
    </row>
    <row r="22" spans="2:8">
      <c r="B22" s="205">
        <v>15</v>
      </c>
      <c r="H22" s="663"/>
    </row>
    <row r="23" spans="2:8">
      <c r="B23" s="205">
        <v>16</v>
      </c>
      <c r="D23" s="215" t="s">
        <v>848</v>
      </c>
      <c r="H23" s="307"/>
    </row>
    <row r="24" spans="2:8">
      <c r="B24" s="205">
        <v>17</v>
      </c>
      <c r="D24" s="215"/>
      <c r="E24" s="693">
        <v>389</v>
      </c>
      <c r="F24" s="203" t="s">
        <v>849</v>
      </c>
      <c r="H24" s="306">
        <v>0</v>
      </c>
    </row>
    <row r="25" spans="2:8">
      <c r="B25" s="205">
        <v>18</v>
      </c>
      <c r="E25" s="693">
        <v>390.01</v>
      </c>
      <c r="F25" s="226" t="s">
        <v>850</v>
      </c>
      <c r="H25" s="892">
        <v>2.2100000000000002E-2</v>
      </c>
    </row>
    <row r="26" spans="2:8">
      <c r="B26" s="205">
        <v>19</v>
      </c>
      <c r="E26" s="693">
        <v>390.01</v>
      </c>
      <c r="F26" s="226" t="s">
        <v>851</v>
      </c>
      <c r="H26" s="306">
        <v>1.55E-2</v>
      </c>
    </row>
    <row r="27" spans="2:8">
      <c r="B27" s="205">
        <v>20</v>
      </c>
      <c r="E27" s="890">
        <v>390.05</v>
      </c>
      <c r="F27" s="226" t="s">
        <v>852</v>
      </c>
      <c r="H27" s="306">
        <v>1.32E-2</v>
      </c>
    </row>
    <row r="28" spans="2:8">
      <c r="B28" s="205">
        <v>21</v>
      </c>
      <c r="E28" s="890">
        <v>390.05</v>
      </c>
      <c r="F28" s="226" t="s">
        <v>853</v>
      </c>
      <c r="H28" s="306">
        <v>1.3100000000000001E-2</v>
      </c>
    </row>
    <row r="29" spans="2:8">
      <c r="B29" s="205">
        <v>22</v>
      </c>
      <c r="E29" s="693">
        <v>391.01</v>
      </c>
      <c r="F29" s="203" t="s">
        <v>854</v>
      </c>
      <c r="H29" s="892">
        <v>4.99E-2</v>
      </c>
    </row>
    <row r="30" spans="2:8">
      <c r="B30" s="205">
        <v>23</v>
      </c>
      <c r="E30" s="693">
        <v>391.03</v>
      </c>
      <c r="F30" s="203" t="s">
        <v>855</v>
      </c>
      <c r="H30" s="892">
        <v>0.2021</v>
      </c>
    </row>
    <row r="31" spans="2:8">
      <c r="B31" s="205">
        <v>24</v>
      </c>
      <c r="E31" s="693">
        <v>391.04</v>
      </c>
      <c r="F31" s="203" t="s">
        <v>856</v>
      </c>
      <c r="H31" s="892">
        <v>0.1424</v>
      </c>
    </row>
    <row r="32" spans="2:8">
      <c r="B32" s="205">
        <v>25</v>
      </c>
      <c r="E32" s="693">
        <v>391.04</v>
      </c>
      <c r="F32" s="203" t="s">
        <v>857</v>
      </c>
      <c r="H32" s="306">
        <v>0</v>
      </c>
    </row>
    <row r="33" spans="2:8">
      <c r="B33" s="205">
        <v>26</v>
      </c>
      <c r="E33" s="891">
        <v>392.01</v>
      </c>
      <c r="F33" s="203" t="s">
        <v>858</v>
      </c>
      <c r="G33" s="743"/>
      <c r="H33" s="892">
        <v>0.1019</v>
      </c>
    </row>
    <row r="34" spans="2:8">
      <c r="B34" s="205">
        <v>27</v>
      </c>
      <c r="E34" s="891">
        <v>392.03</v>
      </c>
      <c r="F34" s="203" t="s">
        <v>859</v>
      </c>
      <c r="G34" s="743"/>
      <c r="H34" s="892">
        <v>7.8200000000000006E-2</v>
      </c>
    </row>
    <row r="35" spans="2:8">
      <c r="B35" s="205">
        <v>28</v>
      </c>
      <c r="E35" s="891">
        <v>392.03</v>
      </c>
      <c r="F35" s="203" t="s">
        <v>860</v>
      </c>
      <c r="G35" s="743"/>
      <c r="H35" s="892">
        <v>8.1900000000000001E-2</v>
      </c>
    </row>
    <row r="36" spans="2:8">
      <c r="B36" s="205">
        <v>29</v>
      </c>
      <c r="E36" s="891">
        <v>392.04</v>
      </c>
      <c r="F36" s="203" t="s">
        <v>861</v>
      </c>
      <c r="G36" s="743"/>
      <c r="H36" s="892">
        <v>0.12590000000000001</v>
      </c>
    </row>
    <row r="37" spans="2:8">
      <c r="B37" s="205">
        <v>30</v>
      </c>
      <c r="E37" s="891">
        <v>392.05</v>
      </c>
      <c r="F37" s="203" t="s">
        <v>862</v>
      </c>
      <c r="G37" s="743"/>
      <c r="H37" s="892">
        <v>8.7999999999999995E-2</v>
      </c>
    </row>
    <row r="38" spans="2:8">
      <c r="B38" s="205">
        <v>31</v>
      </c>
      <c r="E38" s="891">
        <v>392.06</v>
      </c>
      <c r="F38" s="203" t="s">
        <v>863</v>
      </c>
      <c r="G38" s="743"/>
      <c r="H38" s="892">
        <v>6.9800000000000001E-2</v>
      </c>
    </row>
    <row r="39" spans="2:8">
      <c r="B39" s="205">
        <v>32</v>
      </c>
      <c r="E39" s="693">
        <v>393</v>
      </c>
      <c r="F39" s="203" t="s">
        <v>864</v>
      </c>
      <c r="H39" s="306">
        <v>5.0200000000000002E-2</v>
      </c>
    </row>
    <row r="40" spans="2:8">
      <c r="B40" s="205">
        <v>33</v>
      </c>
      <c r="E40" s="693">
        <v>394</v>
      </c>
      <c r="F40" s="203" t="s">
        <v>865</v>
      </c>
      <c r="H40" s="892">
        <v>3.9899999999999998E-2</v>
      </c>
    </row>
    <row r="41" spans="2:8">
      <c r="B41" s="205">
        <v>34</v>
      </c>
      <c r="E41" s="693">
        <v>395</v>
      </c>
      <c r="F41" s="203" t="s">
        <v>866</v>
      </c>
      <c r="H41" s="892">
        <v>4.0099999999999997E-2</v>
      </c>
    </row>
    <row r="42" spans="2:8">
      <c r="B42" s="205">
        <v>35</v>
      </c>
      <c r="E42" s="693">
        <v>396</v>
      </c>
      <c r="F42" s="203" t="s">
        <v>867</v>
      </c>
      <c r="H42" s="892">
        <v>5.0799999999999998E-2</v>
      </c>
    </row>
    <row r="43" spans="2:8">
      <c r="B43" s="205">
        <v>36</v>
      </c>
      <c r="E43" s="693">
        <v>397</v>
      </c>
      <c r="F43" s="203" t="s">
        <v>868</v>
      </c>
      <c r="H43" s="892">
        <v>6.6500000000000004E-2</v>
      </c>
    </row>
    <row r="44" spans="2:8">
      <c r="B44" s="205">
        <v>37</v>
      </c>
      <c r="E44" s="693">
        <v>397.1</v>
      </c>
      <c r="F44" s="203" t="s">
        <v>869</v>
      </c>
      <c r="H44" s="306">
        <v>2.7699999999999999E-2</v>
      </c>
    </row>
    <row r="45" spans="2:8">
      <c r="B45" s="205">
        <v>38</v>
      </c>
      <c r="E45" s="693">
        <v>398</v>
      </c>
      <c r="F45" s="203" t="s">
        <v>870</v>
      </c>
      <c r="H45" s="306">
        <v>4.99E-2</v>
      </c>
    </row>
    <row r="46" spans="2:8">
      <c r="B46" s="205">
        <v>39</v>
      </c>
      <c r="F46" s="308" t="s">
        <v>871</v>
      </c>
      <c r="H46" s="893">
        <v>6.54E-2</v>
      </c>
    </row>
    <row r="47" spans="2:8">
      <c r="B47" s="205">
        <v>40</v>
      </c>
      <c r="D47" s="742"/>
      <c r="E47" s="742"/>
      <c r="F47" s="742"/>
      <c r="G47" s="742"/>
      <c r="H47" s="871"/>
    </row>
    <row r="48" spans="2:8">
      <c r="B48" s="205">
        <v>41</v>
      </c>
      <c r="D48" s="215" t="s">
        <v>872</v>
      </c>
      <c r="H48" s="663"/>
    </row>
    <row r="49" spans="2:8">
      <c r="B49" s="205">
        <v>42</v>
      </c>
      <c r="E49" s="693">
        <v>301</v>
      </c>
      <c r="F49" s="226" t="s">
        <v>873</v>
      </c>
      <c r="H49" s="663">
        <v>0</v>
      </c>
    </row>
    <row r="50" spans="2:8">
      <c r="B50" s="205">
        <v>43</v>
      </c>
      <c r="E50" s="693">
        <v>303</v>
      </c>
      <c r="F50" s="226" t="s">
        <v>874</v>
      </c>
      <c r="H50" s="894">
        <v>0</v>
      </c>
    </row>
    <row r="51" spans="2:8">
      <c r="B51" s="205">
        <v>44</v>
      </c>
      <c r="F51" s="308" t="s">
        <v>875</v>
      </c>
      <c r="H51" s="663">
        <v>0</v>
      </c>
    </row>
    <row r="52" spans="2:8">
      <c r="B52" s="205">
        <v>45</v>
      </c>
      <c r="H52" s="663"/>
    </row>
    <row r="53" spans="2:8">
      <c r="B53" s="205">
        <v>46</v>
      </c>
      <c r="D53" s="215" t="s">
        <v>876</v>
      </c>
      <c r="H53" s="663"/>
    </row>
    <row r="54" spans="2:8">
      <c r="B54" s="205">
        <v>47</v>
      </c>
      <c r="E54" s="215" t="s">
        <v>877</v>
      </c>
      <c r="H54" s="663"/>
    </row>
    <row r="55" spans="2:8">
      <c r="B55" s="205">
        <v>48</v>
      </c>
      <c r="E55" s="693">
        <v>390.01</v>
      </c>
      <c r="F55" s="226" t="s">
        <v>878</v>
      </c>
      <c r="H55" s="663">
        <v>1.9900000000000001E-2</v>
      </c>
    </row>
    <row r="56" spans="2:8">
      <c r="B56" s="205">
        <v>49</v>
      </c>
      <c r="E56" s="693">
        <v>391</v>
      </c>
      <c r="F56" s="203" t="s">
        <v>854</v>
      </c>
      <c r="H56" s="663">
        <v>0.1245</v>
      </c>
    </row>
    <row r="57" spans="2:8">
      <c r="B57" s="205">
        <v>50</v>
      </c>
      <c r="E57" s="877">
        <v>392</v>
      </c>
      <c r="F57" s="203" t="s">
        <v>879</v>
      </c>
      <c r="H57" s="663">
        <v>8.6400000000000005E-2</v>
      </c>
    </row>
    <row r="58" spans="2:8">
      <c r="B58" s="205">
        <v>51</v>
      </c>
      <c r="E58" s="693">
        <v>395</v>
      </c>
      <c r="F58" s="203" t="s">
        <v>866</v>
      </c>
      <c r="H58" s="663">
        <v>0.05</v>
      </c>
    </row>
    <row r="59" spans="2:8">
      <c r="B59" s="205">
        <v>52</v>
      </c>
      <c r="E59" s="693">
        <v>397</v>
      </c>
      <c r="F59" s="203" t="s">
        <v>880</v>
      </c>
      <c r="H59" s="663">
        <v>6.6699999999999995E-2</v>
      </c>
    </row>
    <row r="60" spans="2:8">
      <c r="B60" s="205">
        <v>53</v>
      </c>
      <c r="E60" s="693">
        <v>397.1</v>
      </c>
      <c r="F60" s="203" t="s">
        <v>881</v>
      </c>
      <c r="H60" s="663">
        <v>0.04</v>
      </c>
    </row>
    <row r="61" spans="2:8">
      <c r="B61" s="205">
        <v>54</v>
      </c>
      <c r="F61" s="308" t="s">
        <v>871</v>
      </c>
      <c r="H61" s="878">
        <v>0.1206</v>
      </c>
    </row>
    <row r="62" spans="2:8">
      <c r="B62" s="205">
        <v>55</v>
      </c>
      <c r="H62" s="879"/>
    </row>
    <row r="63" spans="2:8">
      <c r="B63" s="205">
        <v>56</v>
      </c>
      <c r="E63" s="215" t="s">
        <v>882</v>
      </c>
      <c r="H63" s="879"/>
    </row>
    <row r="64" spans="2:8">
      <c r="B64" s="205">
        <v>57</v>
      </c>
      <c r="E64" s="693">
        <v>390.01</v>
      </c>
      <c r="F64" s="226" t="s">
        <v>883</v>
      </c>
      <c r="H64" s="879">
        <v>2.2499999999999999E-2</v>
      </c>
    </row>
    <row r="65" spans="2:8">
      <c r="B65" s="205">
        <v>58</v>
      </c>
      <c r="E65" s="693">
        <v>391</v>
      </c>
      <c r="F65" s="203" t="s">
        <v>854</v>
      </c>
      <c r="H65" s="879">
        <v>8.1100000000000005E-2</v>
      </c>
    </row>
    <row r="66" spans="2:8">
      <c r="B66" s="205">
        <v>59</v>
      </c>
      <c r="E66" s="693">
        <v>392</v>
      </c>
      <c r="F66" s="203" t="s">
        <v>884</v>
      </c>
      <c r="H66" s="879">
        <v>9.8299999999999998E-2</v>
      </c>
    </row>
    <row r="67" spans="2:8">
      <c r="B67" s="205">
        <v>60</v>
      </c>
      <c r="E67" s="693">
        <v>394</v>
      </c>
      <c r="F67" s="203" t="s">
        <v>865</v>
      </c>
      <c r="H67" s="879">
        <v>0.04</v>
      </c>
    </row>
    <row r="68" spans="2:8">
      <c r="B68" s="205">
        <v>61</v>
      </c>
      <c r="E68" s="693">
        <v>397</v>
      </c>
      <c r="F68" s="203" t="s">
        <v>885</v>
      </c>
      <c r="H68" s="879">
        <v>6.6699999999999995E-2</v>
      </c>
    </row>
    <row r="69" spans="2:8">
      <c r="B69" s="205">
        <v>62</v>
      </c>
      <c r="E69" s="693">
        <v>398</v>
      </c>
      <c r="F69" s="203" t="s">
        <v>870</v>
      </c>
      <c r="H69" s="879">
        <v>0.05</v>
      </c>
    </row>
    <row r="70" spans="2:8">
      <c r="B70" s="205">
        <v>63</v>
      </c>
      <c r="F70" s="308" t="s">
        <v>871</v>
      </c>
      <c r="H70" s="878">
        <v>7.9399999999999998E-2</v>
      </c>
    </row>
    <row r="71" spans="2:8">
      <c r="B71" s="205"/>
      <c r="H71" s="663"/>
    </row>
    <row r="72" spans="2:8" ht="16.350000000000001" customHeight="1">
      <c r="B72" s="379" t="s">
        <v>552</v>
      </c>
      <c r="D72" s="215"/>
      <c r="H72" s="307"/>
    </row>
    <row r="73" spans="2:8" ht="27.75" customHeight="1">
      <c r="B73" s="418" t="s">
        <v>419</v>
      </c>
      <c r="C73" s="973" t="s">
        <v>886</v>
      </c>
      <c r="D73" s="973"/>
      <c r="E73" s="973"/>
      <c r="F73" s="973"/>
      <c r="G73" s="973"/>
      <c r="H73" s="973"/>
    </row>
    <row r="74" spans="2:8" ht="16.350000000000001" customHeight="1">
      <c r="B74" s="205"/>
      <c r="D74" s="215"/>
      <c r="H74" s="307"/>
    </row>
    <row r="75" spans="2:8" ht="16.350000000000001" customHeight="1">
      <c r="B75" s="205"/>
      <c r="D75" s="215"/>
      <c r="H75" s="307"/>
    </row>
    <row r="76" spans="2:8" ht="16.350000000000001" customHeight="1">
      <c r="B76" s="205"/>
      <c r="D76" s="215"/>
      <c r="H76" s="307"/>
    </row>
    <row r="77" spans="2:8" ht="16.350000000000001" customHeight="1">
      <c r="B77" s="205"/>
      <c r="D77" s="215"/>
      <c r="H77" s="307"/>
    </row>
    <row r="78" spans="2:8" ht="16.350000000000001" customHeight="1">
      <c r="B78" s="205"/>
      <c r="D78" s="215"/>
      <c r="H78" s="307"/>
    </row>
    <row r="79" spans="2:8" ht="16.350000000000001" customHeight="1">
      <c r="B79" s="205"/>
      <c r="D79" s="215"/>
      <c r="H79" s="307"/>
    </row>
    <row r="80" spans="2:8" ht="16.350000000000001" customHeight="1">
      <c r="B80" s="205"/>
      <c r="D80" s="215"/>
      <c r="H80" s="307"/>
    </row>
    <row r="81" spans="2:8" ht="16.350000000000001" customHeight="1">
      <c r="B81" s="205"/>
      <c r="D81" s="215"/>
      <c r="H81" s="307"/>
    </row>
    <row r="82" spans="2:8" ht="16.350000000000001" customHeight="1">
      <c r="B82" s="205"/>
      <c r="D82" s="215"/>
      <c r="H82" s="307"/>
    </row>
    <row r="83" spans="2:8" ht="16.350000000000001" customHeight="1">
      <c r="B83" s="205"/>
      <c r="D83" s="215"/>
      <c r="H83" s="307"/>
    </row>
    <row r="84" spans="2:8" ht="16.350000000000001" customHeight="1"/>
    <row r="85" spans="2:8" ht="16.350000000000001" customHeight="1"/>
    <row r="86" spans="2:8" ht="16.350000000000001" customHeight="1"/>
    <row r="87" spans="2:8" ht="16.350000000000001" customHeight="1"/>
  </sheetData>
  <mergeCells count="5">
    <mergeCell ref="A1:H1"/>
    <mergeCell ref="A2:H2"/>
    <mergeCell ref="A3:H3"/>
    <mergeCell ref="A5:H5"/>
    <mergeCell ref="C73:H73"/>
  </mergeCells>
  <printOptions horizontalCentered="1"/>
  <pageMargins left="0.25" right="0.25" top="0.25" bottom="0.25" header="0.5" footer="0.5"/>
  <pageSetup paperSize="1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81F42FCC1FD242AB1A801CB2B1E034" ma:contentTypeVersion="3" ma:contentTypeDescription="Create a new document." ma:contentTypeScope="" ma:versionID="a6e0d90d1a3a9fe07281c3ed7ecee958">
  <xsd:schema xmlns:xsd="http://www.w3.org/2001/XMLSchema" xmlns:xs="http://www.w3.org/2001/XMLSchema" xmlns:p="http://schemas.microsoft.com/office/2006/metadata/properties" xmlns:ns2="0bfb4723-770b-4023-959e-98651371590b" targetNamespace="http://schemas.microsoft.com/office/2006/metadata/properties" ma:root="true" ma:fieldsID="507960dfeccbd3f8fb635a403fd52ef4" ns2:_="">
    <xsd:import namespace="0bfb4723-770b-4023-959e-98651371590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fb4723-770b-4023-959e-986513715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3ACF9C-713B-4704-A8BD-2F577F92E5CB}">
  <ds:schemaRef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0bfb4723-770b-4023-959e-98651371590b"/>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AD9888B8-9694-4735-8C97-FF97415809F0}">
  <ds:schemaRefs>
    <ds:schemaRef ds:uri="http://schemas.microsoft.com/sharepoint/v3/contenttype/forms"/>
  </ds:schemaRefs>
</ds:datastoreItem>
</file>

<file path=customXml/itemProps3.xml><?xml version="1.0" encoding="utf-8"?>
<ds:datastoreItem xmlns:ds="http://schemas.openxmlformats.org/officeDocument/2006/customXml" ds:itemID="{E4B08433-27DF-4F7C-AC9E-F19192E40E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fb4723-770b-4023-959e-9865137159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8f8783f-150e-4cdb-8b98-b7d9a3065dc2}" enabled="0" method="" siteId="{68f8783f-150e-4cdb-8b98-b7d9a3065dc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23</vt:i4>
      </vt:variant>
    </vt:vector>
  </HeadingPairs>
  <TitlesOfParts>
    <vt:vector size="44" baseType="lpstr">
      <vt:lpstr>Table of Contents</vt:lpstr>
      <vt:lpstr>Act Att-H</vt:lpstr>
      <vt:lpstr>A1-RevCred</vt:lpstr>
      <vt:lpstr>A2-A&amp;G</vt:lpstr>
      <vt:lpstr>A3-ADIT</vt:lpstr>
      <vt:lpstr>A3.1-EDIT-DDIT</vt:lpstr>
      <vt:lpstr>A3.2 EDIT-DDIT.dtl</vt:lpstr>
      <vt:lpstr>A4-Rate Base</vt:lpstr>
      <vt:lpstr>A5-Depr</vt:lpstr>
      <vt:lpstr>A6-Divisor</vt:lpstr>
      <vt:lpstr>A7-IncentPlant</vt:lpstr>
      <vt:lpstr>A8-Prepmts</vt:lpstr>
      <vt:lpstr>A9-PermDiffs</vt:lpstr>
      <vt:lpstr>TU-TrueUp</vt:lpstr>
      <vt:lpstr>Proj Att-H</vt:lpstr>
      <vt:lpstr>P1-Trans Plant</vt:lpstr>
      <vt:lpstr>P2-Exp. &amp; Rev. Credits</vt:lpstr>
      <vt:lpstr>P3-Divisor</vt:lpstr>
      <vt:lpstr>P4-IncentPlant</vt:lpstr>
      <vt:lpstr>P5-ADIT</vt:lpstr>
      <vt:lpstr>Schedule 1</vt:lpstr>
      <vt:lpstr>CE</vt:lpstr>
      <vt:lpstr>GP</vt:lpstr>
      <vt:lpstr>NP</vt:lpstr>
      <vt:lpstr>'A2-A&amp;G'!Print_Area</vt:lpstr>
      <vt:lpstr>'A3.1-EDIT-DDIT'!Print_Area</vt:lpstr>
      <vt:lpstr>'A3.2 EDIT-DDIT.dtl'!Print_Area</vt:lpstr>
      <vt:lpstr>'A3-ADIT'!Print_Area</vt:lpstr>
      <vt:lpstr>'A4-Rate Base'!Print_Area</vt:lpstr>
      <vt:lpstr>'A5-Depr'!Print_Area</vt:lpstr>
      <vt:lpstr>'A7-IncentPlant'!Print_Area</vt:lpstr>
      <vt:lpstr>'A8-Prepmts'!Print_Area</vt:lpstr>
      <vt:lpstr>'Act Att-H'!Print_Area</vt:lpstr>
      <vt:lpstr>'P1-Trans Plant'!Print_Area</vt:lpstr>
      <vt:lpstr>'P2-Exp. &amp; Rev. Credits'!Print_Area</vt:lpstr>
      <vt:lpstr>'P5-ADIT'!Print_Area</vt:lpstr>
      <vt:lpstr>'Proj Att-H'!Print_Area</vt:lpstr>
      <vt:lpstr>'Schedule 1'!Print_Area</vt:lpstr>
      <vt:lpstr>'TU-TrueUp'!Print_Area</vt:lpstr>
      <vt:lpstr>'P1-Trans Plant'!Print_Titles</vt:lpstr>
      <vt:lpstr>TE</vt:lpstr>
      <vt:lpstr>TP</vt:lpstr>
      <vt:lpstr>WCLTD</vt:lpstr>
      <vt:lpstr>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Okouchi, Marie</dc:creator>
  <dc:description/>
  <cp:lastModifiedBy>Mack, Lori</cp:lastModifiedBy>
  <cp:lastPrinted>1900-01-01T05:00:00Z</cp:lastPrinted>
  <dcterms:created xsi:type="dcterms:W3CDTF">1900-01-01T05:00:00Z</dcterms:created>
  <dcterms:modified xsi:type="dcterms:W3CDTF">2026-05-29T13:26:36Z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0x0101002381F42FCC1FD242AB1A801CB2B1E034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