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5\"/>
    </mc:Choice>
  </mc:AlternateContent>
  <xr:revisionPtr revIDLastSave="0" documentId="13_ncr:1_{A13D47C8-7F9D-4C36-8A81-43946ABE5830}" xr6:coauthVersionLast="47" xr6:coauthVersionMax="47" xr10:uidLastSave="{00000000-0000-0000-0000-000000000000}"/>
  <bookViews>
    <workbookView xWindow="-108" yWindow="-108" windowWidth="23256" windowHeight="13896" tabRatio="890" firstSheet="8" activeTab="13"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definedNames>
    <definedName name="__123Graph_A" localSheetId="11" hidden="1">#REF!</definedName>
    <definedName name="__123Graph_A" localSheetId="18" hidden="1">#REF!</definedName>
    <definedName name="__123Graph_A" hidden="1">#REF!</definedName>
    <definedName name="__123Graph_A1991" localSheetId="11" hidden="1">#REF!</definedName>
    <definedName name="__123Graph_A1991" localSheetId="18" hidden="1">#REF!</definedName>
    <definedName name="__123Graph_A1991" hidden="1">#REF!</definedName>
    <definedName name="__123Graph_A1992" localSheetId="11" hidden="1">#REF!</definedName>
    <definedName name="__123Graph_A1992" localSheetId="18" hidden="1">#REF!</definedName>
    <definedName name="__123Graph_A1992" hidden="1">#REF!</definedName>
    <definedName name="__123Graph_A1993" localSheetId="11" hidden="1">#REF!</definedName>
    <definedName name="__123Graph_A1993" localSheetId="18" hidden="1">#REF!</definedName>
    <definedName name="__123Graph_A1993" hidden="1">#REF!</definedName>
    <definedName name="__123Graph_A1994" localSheetId="11" hidden="1">#REF!</definedName>
    <definedName name="__123Graph_A1994" localSheetId="18" hidden="1">#REF!</definedName>
    <definedName name="__123Graph_A1994" hidden="1">#REF!</definedName>
    <definedName name="__123Graph_A1995" localSheetId="11" hidden="1">#REF!</definedName>
    <definedName name="__123Graph_A1995" localSheetId="18" hidden="1">#REF!</definedName>
    <definedName name="__123Graph_A1995" hidden="1">#REF!</definedName>
    <definedName name="__123Graph_A1996" localSheetId="11" hidden="1">#REF!</definedName>
    <definedName name="__123Graph_A1996" localSheetId="18" hidden="1">#REF!</definedName>
    <definedName name="__123Graph_A1996" hidden="1">#REF!</definedName>
    <definedName name="__123Graph_ABAR" localSheetId="11" hidden="1">#REF!</definedName>
    <definedName name="__123Graph_ABAR" localSheetId="18" hidden="1">#REF!</definedName>
    <definedName name="__123Graph_ABAR" hidden="1">#REF!</definedName>
    <definedName name="__123Graph_B" localSheetId="11" hidden="1">#REF!</definedName>
    <definedName name="__123Graph_B" localSheetId="18" hidden="1">#REF!</definedName>
    <definedName name="__123Graph_B" hidden="1">#REF!</definedName>
    <definedName name="__123Graph_B1991" localSheetId="11" hidden="1">#REF!</definedName>
    <definedName name="__123Graph_B1991" localSheetId="18" hidden="1">#REF!</definedName>
    <definedName name="__123Graph_B1991" hidden="1">#REF!</definedName>
    <definedName name="__123Graph_B1992" localSheetId="11" hidden="1">#REF!</definedName>
    <definedName name="__123Graph_B1992" localSheetId="18" hidden="1">#REF!</definedName>
    <definedName name="__123Graph_B1992" hidden="1">#REF!</definedName>
    <definedName name="__123Graph_B1993" localSheetId="11" hidden="1">#REF!</definedName>
    <definedName name="__123Graph_B1993" localSheetId="18" hidden="1">#REF!</definedName>
    <definedName name="__123Graph_B1993" hidden="1">#REF!</definedName>
    <definedName name="__123Graph_B1994" localSheetId="11" hidden="1">#REF!</definedName>
    <definedName name="__123Graph_B1994" localSheetId="18" hidden="1">#REF!</definedName>
    <definedName name="__123Graph_B1994" hidden="1">#REF!</definedName>
    <definedName name="__123Graph_B1995" localSheetId="11" hidden="1">#REF!</definedName>
    <definedName name="__123Graph_B1995" localSheetId="18" hidden="1">#REF!</definedName>
    <definedName name="__123Graph_B1995" hidden="1">#REF!</definedName>
    <definedName name="__123Graph_B1996" localSheetId="11" hidden="1">#REF!</definedName>
    <definedName name="__123Graph_B1996" localSheetId="18" hidden="1">#REF!</definedName>
    <definedName name="__123Graph_B1996" hidden="1">#REF!</definedName>
    <definedName name="__123Graph_BBAR" localSheetId="11" hidden="1">#REF!</definedName>
    <definedName name="__123Graph_BBAR" localSheetId="18" hidden="1">#REF!</definedName>
    <definedName name="__123Graph_BBAR" hidden="1">#REF!</definedName>
    <definedName name="__123Graph_CBAR" localSheetId="11" hidden="1">#REF!</definedName>
    <definedName name="__123Graph_CBAR" localSheetId="18" hidden="1">#REF!</definedName>
    <definedName name="__123Graph_CBAR" hidden="1">#REF!</definedName>
    <definedName name="__123Graph_DBAR" localSheetId="11" hidden="1">#REF!</definedName>
    <definedName name="__123Graph_DBAR" localSheetId="18" hidden="1">#REF!</definedName>
    <definedName name="__123Graph_DBAR" hidden="1">#REF!</definedName>
    <definedName name="__123Graph_EBAR" localSheetId="11" hidden="1">#REF!</definedName>
    <definedName name="__123Graph_EBAR" localSheetId="18" hidden="1">#REF!</definedName>
    <definedName name="__123Graph_EBAR" hidden="1">#REF!</definedName>
    <definedName name="__123Graph_FBAR" localSheetId="11" hidden="1">#REF!</definedName>
    <definedName name="__123Graph_FBAR" localSheetId="18" hidden="1">#REF!</definedName>
    <definedName name="__123Graph_FBAR" hidden="1">#REF!</definedName>
    <definedName name="__123Graph_X" localSheetId="11" hidden="1">#REF!</definedName>
    <definedName name="__123Graph_X" localSheetId="18" hidden="1">#REF!</definedName>
    <definedName name="__123Graph_X" hidden="1">#REF!</definedName>
    <definedName name="__123Graph_X1991" localSheetId="11" hidden="1">#REF!</definedName>
    <definedName name="__123Graph_X1991" localSheetId="18" hidden="1">#REF!</definedName>
    <definedName name="__123Graph_X1991" hidden="1">#REF!</definedName>
    <definedName name="__123Graph_X1992" localSheetId="11" hidden="1">#REF!</definedName>
    <definedName name="__123Graph_X1992" localSheetId="18" hidden="1">#REF!</definedName>
    <definedName name="__123Graph_X1992" hidden="1">#REF!</definedName>
    <definedName name="__123Graph_X1993" localSheetId="11" hidden="1">#REF!</definedName>
    <definedName name="__123Graph_X1993" localSheetId="18" hidden="1">#REF!</definedName>
    <definedName name="__123Graph_X1993" hidden="1">#REF!</definedName>
    <definedName name="__123Graph_X1994" localSheetId="11" hidden="1">#REF!</definedName>
    <definedName name="__123Graph_X1994" localSheetId="18" hidden="1">#REF!</definedName>
    <definedName name="__123Graph_X1994" hidden="1">#REF!</definedName>
    <definedName name="__123Graph_X1995" localSheetId="11" hidden="1">#REF!</definedName>
    <definedName name="__123Graph_X1995" localSheetId="18" hidden="1">#REF!</definedName>
    <definedName name="__123Graph_X1995" hidden="1">#REF!</definedName>
    <definedName name="__123Graph_X1996" localSheetId="11" hidden="1">#REF!</definedName>
    <definedName name="__123Graph_X1996" localSheetId="18" hidden="1">#REF!</definedName>
    <definedName name="__123Graph_X1996" hidden="1">#REF!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#REF!</definedName>
    <definedName name="_Fill" hidden="1">#REF!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#REF!</definedName>
    <definedName name="_Key1" hidden="1">#REF!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8" l="1"/>
  <c r="F16" i="28"/>
  <c r="F18" i="28"/>
  <c r="F17" i="28"/>
  <c r="F15" i="28"/>
  <c r="F14" i="28"/>
  <c r="E19" i="20" l="1"/>
  <c r="E18" i="20"/>
  <c r="E17" i="20"/>
  <c r="E16" i="20"/>
  <c r="E15" i="20"/>
  <c r="E14" i="20"/>
  <c r="E13" i="20"/>
  <c r="E12" i="20"/>
  <c r="E11" i="20"/>
  <c r="E10" i="20"/>
  <c r="E9" i="20"/>
  <c r="E8" i="20"/>
  <c r="F12" i="28"/>
  <c r="F11" i="28"/>
  <c r="D9" i="31" l="1"/>
  <c r="F20" i="15" l="1"/>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A36" i="15"/>
  <c r="A37" i="15" s="1"/>
  <c r="A38" i="15" s="1"/>
  <c r="D191" i="9" l="1"/>
  <c r="D128" i="9"/>
  <c r="D121" i="9"/>
  <c r="D107" i="9"/>
  <c r="A21" i="31" l="1"/>
  <c r="A22" i="31" s="1"/>
  <c r="A23" i="31" s="1"/>
  <c r="A24" i="31" s="1"/>
  <c r="A25" i="31" s="1"/>
  <c r="A26" i="31" s="1"/>
  <c r="A27" i="31" s="1"/>
  <c r="A28" i="31" s="1"/>
  <c r="A29" i="31" s="1"/>
  <c r="A30" i="31" s="1"/>
  <c r="A31" i="31" s="1"/>
  <c r="A32" i="31" s="1"/>
  <c r="G197" i="25" l="1"/>
  <c r="F47" i="15"/>
  <c r="F19" i="15" l="1"/>
  <c r="A19" i="15"/>
  <c r="A20" i="15" s="1"/>
  <c r="A21" i="15" s="1"/>
  <c r="A22" i="15" s="1"/>
  <c r="A23" i="15" s="1"/>
  <c r="A24" i="15" s="1"/>
  <c r="A25" i="15" s="1"/>
  <c r="A26" i="15" s="1"/>
  <c r="A27" i="15" s="1"/>
  <c r="A28" i="15" s="1"/>
  <c r="A29" i="15" s="1"/>
  <c r="A30" i="15" s="1"/>
  <c r="A31" i="15" s="1"/>
  <c r="A32" i="15" s="1"/>
  <c r="A33" i="15" s="1"/>
  <c r="A34" i="15" s="1"/>
  <c r="A35" i="15" s="1"/>
  <c r="A39" i="15" s="1"/>
  <c r="A40" i="15" s="1"/>
  <c r="A41" i="15" s="1"/>
  <c r="A42" i="15" s="1"/>
  <c r="A43" i="15" s="1"/>
  <c r="A44" i="15" s="1"/>
  <c r="A45" i="15" s="1"/>
  <c r="A46" i="15" s="1"/>
  <c r="A47" i="15" s="1"/>
  <c r="F48" i="15" l="1"/>
  <c r="D80" i="9" s="1"/>
  <c r="D73" i="25"/>
  <c r="D71" i="25"/>
  <c r="D72" i="25"/>
  <c r="I72" i="25" s="1"/>
  <c r="D104" i="23"/>
  <c r="A94" i="23"/>
  <c r="I66" i="23"/>
  <c r="D77" i="9" s="1"/>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H21" i="37" s="1"/>
  <c r="I21" i="41"/>
  <c r="H21" i="41"/>
  <c r="F39" i="41"/>
  <c r="F21" i="41"/>
  <c r="H152" i="37"/>
  <c r="H12" i="37" s="1"/>
  <c r="H39" i="41"/>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H47" i="42"/>
  <c r="I47" i="42" s="1"/>
  <c r="H43" i="42"/>
  <c r="I43" i="42" s="1"/>
  <c r="H39" i="42"/>
  <c r="I39" i="42" s="1"/>
  <c r="I29" i="42"/>
  <c r="O28" i="41"/>
  <c r="G52" i="42"/>
  <c r="G31" i="42"/>
  <c r="F40" i="41"/>
  <c r="I22" i="42"/>
  <c r="G41" i="41" l="1"/>
  <c r="H159" i="37"/>
  <c r="H19" i="37" s="1"/>
  <c r="H162" i="37"/>
  <c r="H22" i="37" s="1"/>
  <c r="J167" i="37"/>
  <c r="J168" i="37" s="1"/>
  <c r="H155" i="37"/>
  <c r="H15" i="37" s="1"/>
  <c r="H156" i="37"/>
  <c r="H16" i="37" s="1"/>
  <c r="H160" i="37"/>
  <c r="H20" i="37" s="1"/>
  <c r="H157" i="37"/>
  <c r="H17" i="37" s="1"/>
  <c r="H163" i="37"/>
  <c r="H23" i="37" s="1"/>
  <c r="H158" i="37"/>
  <c r="H18" i="37" s="1"/>
  <c r="F41" i="41"/>
  <c r="H153" i="37"/>
  <c r="H13" i="37" s="1"/>
  <c r="H154" i="37"/>
  <c r="H14" i="37" s="1"/>
  <c r="M35" i="41"/>
  <c r="N39" i="41"/>
  <c r="L40" i="41"/>
  <c r="M40" i="41"/>
  <c r="H41" i="41"/>
  <c r="H35" i="41"/>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l="1"/>
  <c r="G16" i="20" s="1"/>
  <c r="C19" i="28" s="1"/>
  <c r="D39" i="27"/>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A3" i="28"/>
  <c r="G24" i="28" l="1"/>
  <c r="I22" i="25"/>
  <c r="D23" i="3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I18" i="26" s="1"/>
  <c r="D62" i="25"/>
  <c r="D68" i="9"/>
  <c r="I68" i="9" s="1"/>
  <c r="H44" i="26" l="1"/>
  <c r="E18" i="26"/>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s="1"/>
  <c r="I71" i="9"/>
  <c r="D12" i="27"/>
  <c r="I121" i="9"/>
  <c r="I124" i="9" s="1"/>
  <c r="I111" i="9"/>
  <c r="I117" i="9" s="1"/>
  <c r="D84" i="25" l="1"/>
  <c r="I84" i="25" s="1"/>
  <c r="E99" i="23"/>
  <c r="F98" i="23"/>
  <c r="I89" i="9"/>
  <c r="D90" i="9"/>
  <c r="I87" i="9"/>
  <c r="I80" i="9"/>
  <c r="I148" i="9"/>
  <c r="E24" i="27"/>
  <c r="E19" i="27"/>
  <c r="E25" i="27"/>
  <c r="E26" i="27"/>
  <c r="E21" i="27"/>
  <c r="E17" i="27"/>
  <c r="E18" i="27"/>
  <c r="E33" i="27"/>
  <c r="E16" i="27"/>
  <c r="E37" i="27"/>
  <c r="E35" i="27"/>
  <c r="E32" i="27"/>
  <c r="E36" i="27"/>
  <c r="I129" i="9"/>
  <c r="I128" i="9"/>
  <c r="F99" i="23" l="1"/>
  <c r="E100" i="23"/>
  <c r="I90" i="9"/>
  <c r="D140" i="25"/>
  <c r="D146" i="9"/>
  <c r="I72" i="9"/>
  <c r="I75" i="9"/>
  <c r="I74" i="9"/>
  <c r="I73" i="9"/>
  <c r="I135" i="9"/>
  <c r="F100" i="23" l="1"/>
  <c r="E101" i="23"/>
  <c r="D141" i="25"/>
  <c r="D145" i="25" s="1"/>
  <c r="I145" i="25" s="1"/>
  <c r="D150" i="9"/>
  <c r="E102" i="23" l="1"/>
  <c r="F101"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G226" i="25"/>
  <c r="I226" i="25" s="1"/>
  <c r="G220" i="25"/>
  <c r="I220" i="25" s="1"/>
  <c r="G109" i="25"/>
  <c r="G104" i="25"/>
  <c r="G108" i="25"/>
  <c r="G52" i="25"/>
  <c r="G106" i="25"/>
  <c r="G46" i="25"/>
  <c r="I51" i="25"/>
  <c r="I45" i="25"/>
  <c r="I191" i="25"/>
  <c r="K191" i="25" s="1"/>
  <c r="I115" i="25"/>
  <c r="I79" i="25"/>
  <c r="I10" i="9" l="1"/>
  <c r="I19" i="9" s="1"/>
  <c r="D25" i="9" s="1"/>
  <c r="D27" i="9" s="1"/>
  <c r="D28" i="9" s="1"/>
  <c r="D30" i="9" s="1"/>
  <c r="G47" i="25"/>
  <c r="I47" i="25" s="1"/>
  <c r="G53" i="25"/>
  <c r="I53" i="25" s="1"/>
  <c r="G228" i="25"/>
  <c r="I228" i="25" s="1"/>
  <c r="G110" i="25"/>
  <c r="G221" i="25"/>
  <c r="I57" i="25"/>
  <c r="I46" i="25"/>
  <c r="D26" i="9" l="1"/>
  <c r="D29" i="9"/>
  <c r="D31" i="9" s="1"/>
  <c r="I48" i="25"/>
  <c r="I59" i="25"/>
  <c r="G229" i="25"/>
  <c r="I221" i="25"/>
  <c r="I222" i="25" s="1"/>
  <c r="G222" i="25" s="1"/>
  <c r="Q13" i="26" s="1"/>
  <c r="Q14" i="26" s="1"/>
  <c r="Q30" i="26" s="1"/>
  <c r="W30" i="26" s="1"/>
  <c r="I52" i="25"/>
  <c r="I58" i="25" l="1"/>
  <c r="I60" i="25" s="1"/>
  <c r="I54" i="25"/>
  <c r="G143" i="25"/>
  <c r="G75" i="25"/>
  <c r="G68" i="25"/>
  <c r="G67" i="25"/>
  <c r="G65" i="25"/>
  <c r="I65" i="25" s="1"/>
  <c r="J99" i="37"/>
  <c r="J100" i="37" s="1"/>
  <c r="I229" i="25"/>
  <c r="I230" i="25" s="1"/>
  <c r="G230" i="25" s="1"/>
  <c r="G60" i="25" s="1"/>
  <c r="G126" i="25"/>
  <c r="G48"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G102" i="25" s="1"/>
  <c r="D112" i="25"/>
  <c r="D82" i="25" s="1"/>
  <c r="D85" i="25" s="1"/>
  <c r="J101" i="37"/>
  <c r="J102" i="37" s="1"/>
  <c r="AA30" i="26"/>
  <c r="H84" i="37" s="1"/>
  <c r="Y42" i="26"/>
  <c r="I130" i="25"/>
  <c r="G103" i="25" l="1"/>
  <c r="G107" i="25"/>
  <c r="G101" i="25"/>
  <c r="I101" i="25" s="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l="1"/>
  <c r="D27" i="25"/>
  <c r="D29" i="25" l="1"/>
  <c r="D28" i="25"/>
  <c r="D30" i="25" l="1"/>
  <c r="D31" i="25"/>
</calcChain>
</file>

<file path=xl/sharedStrings.xml><?xml version="1.0" encoding="utf-8"?>
<sst xmlns="http://schemas.openxmlformats.org/spreadsheetml/2006/main" count="2584" uniqueCount="1268">
  <si>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</si>
  <si>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</si>
  <si>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</si>
  <si>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</si>
  <si>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</si>
  <si>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</si>
  <si>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</si>
  <si>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</si>
  <si>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</si>
  <si>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</si>
  <si>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</si>
  <si>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</si>
  <si>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</si>
  <si>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</si>
  <si>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</si>
  <si>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</si>
  <si>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</si>
  <si>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</si>
  <si>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</si>
  <si>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</si>
  <si>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</si>
  <si>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</si>
  <si>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</si>
  <si>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</si>
  <si>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</si>
  <si>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</si>
  <si>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</si>
  <si>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</si>
  <si>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</si>
  <si>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</si>
  <si>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</si>
  <si>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</si>
  <si>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</si>
  <si>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</si>
  <si>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</si>
  <si>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</si>
  <si>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</si>
  <si>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</si>
  <si>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</si>
  <si>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</si>
  <si>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</si>
  <si>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</si>
  <si>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</si>
  <si>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</si>
  <si>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</si>
  <si>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</si>
  <si>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</si>
  <si>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</si>
  <si>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</si>
  <si>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</si>
  <si>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</si>
  <si>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</si>
  <si>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</si>
  <si>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</si>
  <si>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</si>
  <si>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</si>
  <si>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</si>
  <si>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</si>
  <si>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</si>
  <si>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</si>
  <si>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</si>
  <si>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</si>
  <si>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</si>
  <si>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</si>
  <si>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</si>
  <si>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</si>
  <si>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</si>
  <si>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</si>
  <si>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</si>
  <si>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</si>
  <si>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</si>
  <si>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</si>
  <si>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</si>
  <si>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</si>
  <si>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</si>
  <si>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</si>
  <si>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</si>
  <si>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</si>
  <si>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</si>
  <si>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</si>
  <si>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</si>
  <si>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</si>
  <si>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</si>
  <si>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</si>
  <si>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</si>
  <si>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</si>
  <si>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</si>
  <si>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</si>
  <si>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</si>
  <si>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</si>
  <si>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</si>
  <si>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</si>
  <si>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</si>
  <si>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</si>
  <si>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</si>
  <si>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</si>
  <si>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</si>
  <si>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</si>
  <si>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</si>
  <si>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</si>
  <si>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</si>
  <si>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</si>
  <si>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</si>
  <si>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</si>
  <si>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</si>
  <si>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</si>
  <si>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</si>
  <si>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</si>
  <si>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</si>
  <si>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</si>
  <si>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</si>
  <si>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</si>
  <si>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</si>
  <si>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</si>
  <si>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</si>
  <si>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</si>
  <si>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</si>
  <si>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</si>
  <si>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</si>
  <si>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</si>
  <si>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</si>
  <si>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</si>
  <si>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</si>
  <si>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</si>
  <si>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</si>
  <si>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</si>
  <si>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</si>
  <si>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</si>
  <si>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</si>
  <si>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</si>
  <si>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</si>
  <si>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</si>
  <si>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</si>
  <si>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</si>
  <si>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</si>
  <si>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</si>
  <si>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</si>
  <si>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</si>
  <si>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</si>
  <si>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</si>
  <si>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</si>
  <si>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</si>
  <si>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</si>
  <si>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</si>
  <si>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</si>
  <si>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</si>
  <si>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</si>
  <si>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</si>
  <si>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</si>
  <si>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</si>
  <si>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</si>
  <si>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</si>
  <si>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</si>
  <si>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</si>
  <si>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</si>
  <si>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</si>
  <si>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</si>
  <si>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</si>
  <si>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</si>
  <si>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</si>
  <si>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</si>
  <si>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</si>
  <si>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</si>
  <si>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</si>
  <si>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</si>
  <si>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</si>
  <si>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</si>
  <si>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</si>
  <si>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</si>
  <si>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</si>
  <si>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</si>
  <si>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</si>
  <si>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</si>
  <si>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</si>
  <si>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</si>
  <si>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</si>
  <si>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</si>
  <si>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</si>
  <si>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</si>
  <si>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</si>
  <si>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</si>
  <si>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</si>
  <si>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</si>
  <si>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</si>
  <si>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</si>
  <si>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</si>
  <si>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</si>
  <si>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</si>
  <si>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</si>
  <si>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</si>
  <si>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</si>
  <si>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</si>
  <si>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</si>
  <si>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</si>
  <si>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</si>
  <si>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</si>
  <si>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</si>
  <si>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</si>
  <si>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</si>
  <si>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</si>
  <si>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</si>
  <si>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</si>
  <si>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</si>
  <si>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</si>
  <si>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</si>
  <si>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</si>
  <si>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</si>
  <si>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</si>
  <si>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</si>
  <si>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</si>
  <si>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</si>
  <si>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</si>
  <si>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</si>
  <si>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</si>
  <si>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</si>
  <si>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</si>
  <si>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</si>
  <si>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</si>
  <si>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</si>
  <si>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</si>
  <si>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</si>
  <si>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</si>
  <si>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</si>
  <si>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</si>
  <si>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</si>
  <si>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</si>
  <si>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</si>
  <si>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</si>
  <si>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</si>
  <si>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</si>
  <si>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</si>
  <si>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</si>
  <si>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</si>
  <si>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</si>
  <si>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</si>
  <si>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</si>
  <si>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</si>
  <si>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</si>
  <si>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</si>
  <si>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</si>
  <si>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</si>
  <si>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</si>
  <si>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</si>
  <si>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</si>
  <si>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</si>
  <si>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</si>
  <si>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</si>
  <si>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</si>
  <si>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</si>
  <si>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</si>
  <si>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</si>
  <si>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</si>
  <si>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</si>
  <si>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</si>
  <si>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</si>
  <si>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</si>
  <si>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</si>
  <si>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</si>
  <si>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</si>
  <si>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</si>
  <si>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</si>
  <si>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</si>
  <si>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</si>
  <si>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</si>
  <si>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</si>
  <si>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</si>
  <si>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</si>
  <si>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</si>
  <si>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</si>
  <si>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</si>
  <si>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</si>
  <si>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</si>
  <si>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</si>
  <si>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</si>
  <si>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</si>
  <si>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</si>
  <si>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</si>
  <si>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</si>
  <si>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</si>
  <si>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</si>
  <si>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</si>
  <si>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</si>
  <si>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</si>
  <si>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</si>
  <si>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</si>
  <si>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</si>
  <si>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</si>
  <si>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</si>
  <si>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</si>
  <si>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</si>
  <si>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</si>
  <si>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</si>
  <si>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</si>
  <si>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</si>
  <si>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</si>
  <si>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</si>
  <si>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</si>
  <si>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</si>
  <si>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</si>
  <si>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</si>
  <si>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</si>
  <si>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</si>
  <si>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</si>
  <si>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</si>
  <si>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</si>
  <si>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</si>
  <si>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</si>
  <si>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</si>
  <si>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</si>
  <si>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</si>
  <si>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</si>
  <si>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</si>
  <si>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</si>
  <si>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</si>
  <si>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</si>
  <si>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</si>
  <si>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</si>
  <si>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</si>
  <si>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</si>
  <si>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</si>
  <si>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</si>
  <si>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</si>
  <si>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</si>
  <si>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</si>
  <si>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</si>
  <si>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</si>
  <si>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</si>
  <si>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</si>
  <si>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</si>
  <si>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</si>
  <si>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</si>
  <si>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</si>
  <si>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</si>
  <si>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</si>
  <si>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</si>
  <si>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</si>
  <si>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</si>
  <si>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</si>
  <si>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</si>
  <si>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</si>
  <si>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</si>
  <si>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</si>
  <si>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</si>
  <si>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</si>
  <si>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</si>
  <si>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</si>
  <si>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</si>
  <si>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</si>
  <si>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</si>
  <si>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</si>
  <si>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</si>
  <si>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</si>
  <si>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</si>
  <si>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</si>
  <si>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</si>
  <si>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</si>
  <si>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</si>
  <si>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</si>
  <si>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</si>
  <si>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</si>
  <si>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</si>
  <si>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</si>
  <si>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</si>
  <si>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</si>
  <si>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</si>
  <si>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</si>
  <si>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</si>
  <si>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</si>
  <si>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</si>
  <si>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</si>
  <si>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</si>
  <si>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</si>
  <si>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</si>
  <si>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</si>
  <si>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</si>
  <si>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</si>
  <si>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</si>
  <si>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</si>
  <si>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</si>
  <si>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</si>
  <si>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</si>
  <si>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</si>
  <si>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</si>
  <si>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</si>
  <si>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</si>
  <si>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</si>
  <si>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</si>
  <si>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</si>
  <si>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</si>
  <si>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</si>
  <si>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</si>
  <si>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</si>
  <si>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</si>
  <si>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</si>
  <si>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</si>
  <si>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</si>
  <si>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</si>
  <si>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</si>
  <si>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</si>
  <si>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</si>
  <si>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</si>
  <si>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</si>
  <si>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</si>
  <si>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</si>
  <si>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</si>
  <si>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</si>
  <si>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</si>
  <si>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</si>
  <si>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</si>
  <si>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</si>
  <si>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</si>
  <si>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</si>
  <si>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</si>
  <si>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</si>
  <si>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</si>
  <si>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</si>
  <si>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</si>
  <si>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</si>
  <si>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</si>
  <si>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</si>
  <si>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</si>
  <si>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</si>
  <si>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</si>
  <si>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</si>
  <si>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</si>
  <si>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</si>
  <si>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</si>
  <si>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</si>
  <si>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</si>
  <si>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</si>
  <si>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</si>
  <si>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</si>
  <si>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</si>
  <si>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</si>
  <si>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</si>
  <si>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</si>
  <si>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</si>
  <si>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</si>
  <si>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</si>
  <si>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</si>
  <si>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</si>
  <si>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</si>
  <si>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</si>
  <si>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</si>
  <si>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</si>
  <si>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</si>
  <si>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</si>
  <si>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</si>
  <si>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</si>
  <si>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</si>
  <si>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</si>
  <si>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</si>
  <si>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</si>
  <si>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</si>
  <si>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</si>
  <si>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</si>
  <si>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</si>
  <si>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</si>
  <si>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</si>
  <si>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</si>
  <si>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</si>
  <si>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</si>
  <si>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</si>
  <si>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</si>
  <si>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</si>
  <si>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</si>
  <si>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</si>
  <si>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</si>
  <si>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</si>
  <si>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</si>
  <si>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</si>
  <si>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</si>
  <si>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</si>
  <si>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</si>
  <si>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</si>
  <si>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</si>
  <si>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</si>
  <si>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</si>
  <si>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</si>
  <si>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</si>
  <si>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</si>
  <si>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</si>
  <si>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</si>
  <si>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</si>
  <si>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</si>
  <si>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</si>
  <si>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</si>
  <si>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</si>
  <si>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</si>
  <si>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</si>
  <si>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</si>
  <si>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</si>
  <si>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</si>
  <si>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</si>
  <si>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</si>
  <si>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</si>
  <si>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</si>
  <si>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</si>
  <si>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</si>
  <si>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</si>
  <si>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</si>
  <si>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</si>
  <si>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</si>
  <si>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</si>
  <si>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</si>
  <si>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</si>
  <si>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</si>
  <si>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</si>
  <si>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</si>
  <si>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</si>
  <si>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</si>
  <si>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</si>
  <si>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</si>
  <si>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</si>
  <si>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</si>
  <si>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</si>
  <si>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</si>
  <si>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</si>
  <si>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</si>
  <si>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</si>
  <si>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</si>
  <si>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</si>
  <si>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</si>
  <si>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</si>
  <si>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</si>
  <si>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</si>
  <si>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</si>
  <si>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</si>
  <si>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</si>
  <si>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</si>
  <si>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</si>
  <si>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</si>
  <si>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</si>
  <si>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</si>
  <si>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</si>
  <si>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</si>
  <si>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</si>
  <si>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</si>
  <si>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</si>
  <si>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</si>
  <si>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</si>
  <si>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</si>
  <si>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</si>
  <si>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</si>
  <si>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</si>
  <si>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</si>
  <si>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</si>
  <si>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</si>
  <si>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</si>
  <si>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</si>
  <si>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</si>
  <si>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</si>
  <si>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</si>
  <si>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</si>
  <si>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</si>
  <si>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</si>
  <si>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</si>
  <si>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</si>
  <si>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</si>
  <si>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</si>
  <si>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</si>
  <si>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</si>
  <si>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</si>
  <si>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</si>
  <si>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</si>
  <si>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</si>
  <si>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</si>
  <si>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</si>
  <si>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</si>
  <si>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</si>
  <si>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</si>
  <si>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</si>
  <si>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</si>
  <si>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</si>
  <si>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</si>
  <si>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</si>
  <si>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</si>
  <si>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</si>
  <si>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</si>
  <si>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</si>
  <si>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</si>
  <si>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</si>
  <si>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</si>
  <si>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</si>
  <si>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</si>
  <si>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</si>
  <si>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</si>
  <si>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</si>
  <si>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</si>
  <si>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</si>
  <si>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</si>
  <si>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</si>
  <si>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</si>
  <si>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</si>
  <si>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</si>
  <si>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</si>
  <si>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</si>
  <si>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</si>
  <si>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</si>
  <si>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</si>
  <si>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</si>
  <si>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</si>
  <si>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</si>
  <si>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</si>
  <si>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</si>
  <si>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</si>
  <si>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</si>
  <si>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</si>
  <si>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</si>
  <si>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</si>
  <si>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</si>
  <si>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</si>
  <si>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</si>
  <si>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</si>
  <si>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</si>
  <si>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</si>
  <si>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</si>
  <si>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</si>
  <si>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</si>
  <si>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</si>
  <si>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</si>
  <si>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</si>
  <si>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</si>
  <si>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</si>
  <si>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</si>
  <si>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</si>
  <si>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</si>
  <si>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</si>
  <si>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</si>
  <si>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</si>
  <si>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</si>
  <si>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</si>
  <si>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</si>
  <si>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</si>
  <si>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</si>
  <si>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</si>
  <si>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</si>
  <si>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</si>
  <si>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</si>
  <si>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</si>
  <si>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</si>
  <si>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</si>
  <si>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</si>
  <si>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</si>
  <si>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</si>
  <si>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</si>
  <si>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</si>
  <si>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</si>
  <si>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</si>
  <si>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</si>
  <si>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</si>
  <si>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</si>
  <si>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</si>
  <si>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</si>
  <si>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</si>
  <si>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</si>
  <si>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</si>
  <si>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</si>
  <si>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</si>
  <si>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</si>
  <si>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</si>
  <si>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</si>
  <si>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</si>
  <si>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</si>
  <si>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</si>
  <si>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</si>
  <si>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</si>
  <si>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</si>
  <si>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</si>
  <si>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</si>
  <si>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</si>
  <si>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</si>
  <si>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</si>
  <si>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</si>
  <si>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</si>
  <si>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</si>
  <si>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</si>
  <si>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</si>
  <si>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</si>
  <si>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</si>
  <si>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</si>
  <si>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</si>
  <si>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</si>
  <si>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</si>
  <si>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</si>
  <si>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</si>
  <si>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</si>
  <si>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</si>
  <si>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</si>
  <si>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</si>
  <si>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</si>
  <si>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</si>
  <si>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</si>
  <si>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</si>
  <si>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</si>
  <si>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</si>
  <si>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</si>
  <si>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</si>
  <si>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</si>
  <si>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</si>
  <si>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</si>
  <si>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</si>
  <si>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</si>
  <si>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</si>
  <si>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</si>
  <si>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</si>
  <si>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</si>
  <si>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</si>
  <si>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</si>
  <si>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</si>
  <si>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</si>
  <si>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</si>
  <si>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</si>
  <si>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</si>
  <si>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</si>
  <si>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</si>
  <si>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</si>
  <si>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</si>
  <si>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</si>
  <si>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</si>
  <si>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</si>
  <si>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</si>
  <si>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</si>
  <si>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</si>
  <si>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</si>
  <si>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</si>
  <si>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</si>
  <si>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</si>
  <si>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</si>
  <si>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</si>
  <si>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</si>
  <si>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</si>
  <si>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</si>
  <si>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</si>
  <si>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</si>
  <si>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</si>
  <si>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</si>
  <si>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</si>
  <si>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</si>
  <si>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</si>
  <si>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</si>
  <si>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</si>
  <si>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</si>
  <si>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</si>
  <si>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</si>
  <si>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</si>
  <si>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</si>
  <si>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</si>
  <si>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</si>
  <si>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</si>
  <si>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</si>
  <si>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</si>
  <si>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</si>
  <si>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</si>
  <si>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</si>
  <si>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</si>
  <si>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</si>
  <si>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</si>
  <si>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</si>
  <si>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</si>
  <si>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</si>
  <si>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</si>
  <si>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</si>
  <si>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</si>
  <si>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</si>
  <si>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</si>
  <si>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</si>
  <si>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</si>
  <si>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</si>
  <si>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</si>
  <si>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</si>
  <si>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</si>
  <si>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</si>
  <si>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</si>
  <si>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</si>
  <si>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</si>
  <si>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</si>
  <si>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</si>
  <si>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</si>
  <si>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</si>
  <si>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</si>
  <si>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</si>
  <si>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</si>
  <si>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</si>
  <si>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</si>
  <si>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</si>
  <si>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</si>
  <si>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</si>
  <si>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</si>
  <si>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</si>
  <si>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</si>
  <si>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</si>
  <si>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</si>
  <si>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</si>
  <si>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</si>
  <si>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</si>
  <si>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</si>
  <si>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</si>
  <si>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</si>
  <si>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</si>
  <si>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</si>
  <si>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</si>
  <si>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</si>
  <si>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</si>
  <si>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</si>
  <si>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</si>
  <si>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</si>
  <si>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</si>
  <si>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</si>
  <si>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</si>
  <si>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</si>
  <si>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</si>
  <si>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</si>
  <si>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</si>
  <si>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</si>
  <si>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</si>
  <si>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</si>
  <si>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</si>
  <si>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</si>
  <si>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</si>
  <si>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</si>
  <si>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</si>
  <si>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</si>
  <si>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</si>
  <si>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</si>
  <si>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</si>
  <si>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</si>
  <si>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</si>
  <si>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</si>
  <si>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</si>
  <si>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</si>
  <si>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</si>
  <si>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</si>
  <si>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</si>
  <si>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</si>
  <si>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</si>
  <si>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</si>
  <si>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</si>
  <si>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</si>
  <si>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</si>
  <si>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</si>
  <si>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</si>
  <si>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</si>
  <si>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</si>
  <si>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</si>
  <si>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</si>
  <si>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</si>
  <si>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</si>
  <si>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</si>
  <si>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</si>
  <si>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</si>
  <si>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</si>
  <si>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</si>
  <si>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</si>
  <si>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</si>
  <si>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</si>
  <si>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</si>
  <si>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</si>
  <si>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</si>
  <si>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</si>
  <si>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</si>
  <si>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</si>
  <si>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</si>
  <si>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</si>
  <si>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</si>
  <si>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</si>
  <si>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</si>
  <si>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</si>
  <si>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</si>
  <si>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</si>
  <si>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</si>
  <si>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</si>
  <si>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</si>
  <si>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</si>
  <si>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</si>
  <si>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</si>
  <si>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</si>
  <si>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</si>
  <si>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</si>
  <si>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</si>
  <si>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</si>
  <si>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</si>
  <si>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</si>
  <si>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</si>
  <si>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</si>
  <si>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</si>
  <si>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</si>
  <si>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</si>
  <si>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</si>
  <si>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</si>
  <si>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</si>
  <si>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</si>
  <si>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</si>
  <si>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</si>
  <si>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</si>
  <si>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</si>
  <si>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</si>
  <si>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</si>
  <si>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</si>
  <si>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</si>
  <si>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</si>
  <si>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</si>
  <si>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</si>
  <si>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</si>
  <si>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</si>
  <si>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</si>
  <si>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</si>
  <si>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</si>
  <si>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</si>
  <si>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</si>
  <si>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</si>
  <si>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</si>
  <si>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</si>
  <si>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</si>
  <si>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</si>
  <si>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</si>
  <si>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</si>
  <si>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</si>
  <si>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</si>
  <si>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</si>
  <si>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</si>
  <si>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</si>
  <si>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</si>
  <si>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</si>
  <si>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</si>
  <si>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</si>
  <si>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</si>
  <si>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</si>
  <si>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</si>
  <si>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</si>
  <si>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</si>
  <si>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</si>
  <si>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</si>
  <si>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</si>
  <si>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</si>
  <si>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</si>
  <si>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</si>
  <si>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</si>
  <si>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</si>
  <si>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</si>
  <si>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</si>
  <si>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</si>
  <si>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</si>
  <si>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</si>
  <si>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</si>
  <si>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</si>
  <si>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</si>
  <si>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</si>
  <si>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</si>
  <si>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</si>
  <si>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</si>
  <si>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</si>
  <si>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</si>
  <si>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</si>
  <si>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</si>
  <si>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</si>
  <si>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</si>
  <si>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</si>
  <si>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</si>
  <si>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</si>
  <si>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</si>
  <si>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</si>
  <si>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</si>
  <si>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</si>
  <si>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</si>
  <si>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</si>
  <si>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</si>
  <si>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</si>
  <si>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</si>
  <si>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</si>
  <si>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</si>
  <si>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</si>
  <si>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</si>
  <si>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</si>
  <si>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</si>
  <si>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</si>
  <si>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</si>
  <si>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</si>
  <si>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</si>
  <si>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</si>
  <si>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</si>
  <si>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</si>
  <si>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</si>
  <si>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</si>
  <si>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</si>
  <si>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</si>
  <si>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</si>
  <si>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</si>
  <si>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</si>
  <si>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</si>
  <si>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</si>
  <si>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</si>
  <si>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</si>
  <si>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</si>
  <si>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</si>
  <si>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</si>
  <si>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</si>
  <si>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</si>
  <si>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</si>
  <si>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</si>
  <si>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</si>
  <si>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</si>
  <si>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</si>
  <si>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</si>
  <si>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</si>
  <si>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</si>
  <si>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</si>
  <si>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</si>
  <si>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</si>
  <si>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</si>
  <si>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</si>
  <si>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</si>
  <si>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</si>
  <si>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</si>
  <si>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</si>
  <si>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</si>
  <si>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</si>
  <si>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</si>
  <si>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</si>
  <si>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</si>
  <si>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</si>
  <si>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</si>
  <si>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</si>
  <si>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</si>
  <si>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</si>
  <si>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</si>
  <si>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</si>
  <si>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</si>
  <si>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</si>
  <si>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</si>
  <si>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</si>
  <si>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</si>
  <si>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</si>
  <si>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</si>
  <si>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</si>
  <si>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</si>
  <si>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</si>
  <si>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</si>
  <si>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</si>
  <si>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</si>
  <si>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</si>
  <si>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</si>
  <si>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</si>
  <si>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</si>
  <si>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</si>
  <si>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</si>
  <si>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</si>
  <si>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</si>
  <si>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</si>
  <si>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</si>
  <si>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</si>
  <si>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</si>
  <si>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</si>
  <si>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</si>
  <si>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</si>
  <si>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</si>
  <si>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</si>
  <si>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</si>
  <si>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</si>
  <si>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</si>
  <si>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</si>
  <si>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</si>
  <si>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</si>
  <si>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</si>
  <si>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</si>
  <si>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</si>
  <si>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</si>
  <si>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</si>
  <si>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</si>
  <si>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</si>
  <si>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</si>
  <si>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</si>
  <si>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</si>
  <si>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</si>
  <si>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</si>
  <si>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</si>
  <si>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</si>
  <si>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</si>
  <si>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</si>
  <si>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</si>
  <si>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</si>
  <si>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</si>
  <si>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</si>
  <si>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</si>
  <si>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</si>
  <si>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</si>
  <si>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</si>
  <si>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</si>
  <si>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</si>
  <si>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</si>
  <si>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</si>
  <si>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</si>
  <si>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</si>
  <si>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</si>
  <si>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</si>
  <si>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</si>
  <si>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</si>
  <si>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</si>
  <si>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</si>
  <si>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</si>
  <si>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</si>
  <si>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</si>
  <si>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</si>
  <si>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</si>
  <si>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</si>
  <si>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</si>
  <si>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</si>
  <si>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</si>
  <si>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</si>
  <si>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</si>
  <si>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</si>
  <si>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</si>
  <si>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</si>
  <si>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</si>
  <si>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</si>
  <si>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</si>
  <si>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</si>
  <si>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</si>
  <si>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</si>
  <si>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</si>
  <si>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</si>
  <si>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</si>
  <si>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</si>
  <si>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</si>
  <si>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</si>
  <si>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</si>
  <si>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</si>
  <si>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</si>
  <si>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</si>
  <si>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</si>
  <si>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</si>
  <si>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</si>
  <si>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</si>
  <si>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</si>
  <si>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</si>
  <si>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</si>
  <si>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</si>
  <si>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</si>
  <si>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</si>
  <si>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</si>
  <si>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</si>
  <si>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</si>
  <si>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</si>
  <si>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</si>
  <si>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</si>
  <si>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</si>
  <si>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</si>
  <si>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</si>
  <si>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</si>
  <si>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</si>
  <si>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</si>
  <si>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</si>
  <si>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</si>
  <si>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</si>
  <si>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</si>
  <si>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</si>
  <si>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</si>
  <si>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</si>
  <si>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</si>
  <si>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</si>
  <si>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</si>
  <si>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</si>
  <si>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</si>
  <si>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</si>
  <si>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</si>
  <si>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</si>
  <si>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</si>
  <si>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</si>
  <si>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</si>
  <si>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</si>
  <si>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</si>
  <si>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</si>
  <si>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</si>
  <si>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</si>
  <si>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</si>
  <si>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</si>
  <si>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</si>
  <si>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</si>
  <si>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</si>
  <si>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</si>
  <si>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</si>
  <si>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</si>
  <si>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</si>
  <si>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</si>
  <si>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</si>
  <si>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</si>
  <si>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</si>
  <si>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</si>
  <si>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</si>
  <si>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</si>
  <si>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</si>
  <si>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</si>
  <si>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</si>
  <si>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</si>
  <si>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</si>
  <si>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</si>
  <si>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</si>
  <si>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</si>
  <si>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</si>
  <si>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</si>
  <si>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</si>
  <si>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</si>
  <si>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</si>
  <si>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</si>
  <si>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</si>
  <si>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</si>
  <si>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</si>
  <si>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</si>
  <si>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</si>
  <si>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</si>
  <si>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</si>
  <si>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</si>
  <si>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</si>
  <si>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</si>
  <si>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</si>
  <si>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</si>
  <si>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</si>
  <si>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</si>
  <si>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</si>
  <si>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</si>
  <si>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</si>
  <si>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</si>
  <si>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</si>
  <si>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</si>
  <si>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</si>
  <si>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</si>
  <si>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</si>
  <si>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</si>
  <si>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</si>
  <si>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</si>
  <si>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</si>
  <si>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</si>
  <si>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</si>
  <si>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</si>
  <si>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</si>
  <si>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</si>
  <si>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</si>
  <si>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</si>
  <si>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</si>
  <si>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</si>
  <si>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</si>
  <si>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</si>
  <si>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</si>
  <si>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Following the termination of the 3-year Moratorium set out in the Commission approved Settlement Agreement in Docket No. ER22-2185-000, the ROE input and the capital structure cannot be changed without an order by FERC pursuant to a FPA Section 205 or 206 filing.  The oost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hedl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</si>
  <si>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216.x.b</t>
  </si>
  <si>
    <t>216.x.d</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</si>
  <si>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</si>
  <si>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</si>
  <si>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</si>
  <si>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254</t>
  </si>
  <si>
    <t xml:space="preserve">2017
</t>
  </si>
  <si>
    <t>OE</t>
  </si>
  <si>
    <t xml:space="preserve">OTHER PLANT ALLOCATOR  (OE) </t>
  </si>
  <si>
    <t>Rental Income - Other</t>
  </si>
  <si>
    <t>201.8.e,f,g,h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</si>
  <si>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</si>
  <si>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</si>
  <si>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</si>
  <si>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</si>
  <si>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</si>
  <si>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General Plant - Other</t>
  </si>
  <si>
    <t>Applies only to projects authorized by the Commission.  The source of the information is the Company Records. To the extent applicable, Black Hills Colorado will include initial input values and workpapers tied to Company Records in any Commission filing.</t>
  </si>
  <si>
    <t>Actuals - For the 12 months ended 12/31/2023</t>
  </si>
  <si>
    <t>2023</t>
  </si>
  <si>
    <t>Severance</t>
  </si>
  <si>
    <t>201.14.e, 219.28.c &amp; 200.21.c Excluding ARO</t>
  </si>
  <si>
    <t>Estimated - For the 12 months ended 12/31/2025</t>
  </si>
  <si>
    <t>Plant Balances as of Dec 31, 2023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</si>
</sst>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182">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998">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173" fontId="115" fillId="3" borderId="37" xfId="1" applyNumberFormat="1" applyFont="1" applyFill="1" applyBorder="1" applyAlignment="1" applyProtection="1">
      <alignment vertical="center"/>
      <protection locked="0"/>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7"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2" fontId="30" fillId="0" borderId="0" xfId="4667" applyNumberFormat="1" applyFont="1" applyAlignment="1">
      <alignment vertical="center"/>
    </xf>
    <xf numFmtId="172" fontId="30" fillId="0" borderId="37" xfId="4667" applyNumberFormat="1" applyFont="1" applyBorder="1" applyAlignment="1">
      <alignment vertical="center"/>
    </xf>
    <xf numFmtId="164" fontId="30" fillId="0" borderId="0" xfId="4667" applyNumberFormat="1" applyFont="1" applyBorder="1" applyAlignment="1">
      <alignment horizontal="center" vertical="center" wrapText="1"/>
    </xf>
    <xf numFmtId="193" fontId="30" fillId="0" borderId="0" xfId="4352" applyNumberFormat="1" applyFont="1" applyFill="1" applyBorder="1" applyAlignment="1">
      <alignment vertical="center"/>
    </xf>
    <xf numFmtId="10" fontId="30" fillId="0" borderId="38" xfId="4352" quotePrefix="1" applyNumberFormat="1" applyFont="1" applyBorder="1" applyAlignment="1">
      <alignment horizontal="center" vertical="center" wrapText="1"/>
    </xf>
    <xf numFmtId="172" fontId="30" fillId="0" borderId="0" xfId="4667" applyNumberFormat="1" applyFont="1" applyBorder="1" applyAlignment="1">
      <alignment vertical="center"/>
    </xf>
    <xf numFmtId="172" fontId="30" fillId="0" borderId="0" xfId="4667" applyNumberFormat="1" applyFont="1" applyBorder="1" applyAlignment="1">
      <alignment horizontal="center" vertical="center"/>
    </xf>
    <xf numFmtId="173" fontId="200" fillId="3" borderId="0" xfId="1" applyNumberFormat="1" applyFont="1" applyFill="1" applyBorder="1" applyAlignment="1" applyProtection="1">
      <alignment vertical="center"/>
      <protection locked="0"/>
    </xf>
    <xf numFmtId="173" fontId="200" fillId="3" borderId="38" xfId="1" applyNumberFormat="1" applyFont="1" applyFill="1" applyBorder="1" applyAlignment="1" applyProtection="1">
      <alignment vertical="center"/>
      <protection locked="0"/>
    </xf>
    <xf numFmtId="172" fontId="30" fillId="0" borderId="51" xfId="4667" applyNumberFormat="1" applyFont="1" applyBorder="1" applyAlignment="1">
      <alignment horizontal="center" vertical="center" wrapText="1"/>
    </xf>
    <xf numFmtId="172" fontId="30" fillId="0" borderId="0" xfId="4667" applyNumberFormat="1" applyFont="1" applyBorder="1" applyAlignment="1">
      <alignment horizontal="center" vertical="center" wrapText="1"/>
    </xf>
    <xf numFmtId="172" fontId="30" fillId="0" borderId="38" xfId="4667" applyNumberFormat="1" applyFont="1" applyBorder="1" applyAlignment="1">
      <alignment horizontal="center" vertical="center"/>
    </xf>
    <xf numFmtId="172" fontId="30" fillId="0" borderId="37" xfId="4667" applyNumberFormat="1" applyFont="1" applyBorder="1" applyAlignment="1">
      <alignment horizontal="center" vertical="center" wrapText="1"/>
    </xf>
    <xf numFmtId="172" fontId="30" fillId="0" borderId="47" xfId="4667" applyNumberFormat="1" applyFont="1" applyBorder="1" applyAlignment="1">
      <alignment horizontal="center" vertical="center"/>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3" fontId="165" fillId="2" borderId="0" xfId="121" applyNumberFormat="1" applyFont="1" applyFill="1" applyProtection="1">
      <protection locked="0"/>
    </xf>
    <xf numFmtId="3" fontId="165" fillId="2" borderId="1" xfId="121" applyNumberFormat="1" applyFont="1" applyFill="1" applyBorder="1" applyProtection="1">
      <protection locked="0"/>
    </xf>
    <xf numFmtId="174" fontId="165" fillId="2" borderId="27" xfId="4665" applyNumberFormat="1" applyFont="1" applyFill="1" applyBorder="1"/>
    <xf numFmtId="44" fontId="30" fillId="0" borderId="4" xfId="1" applyFont="1" applyFill="1" applyBorder="1"/>
    <xf numFmtId="14" fontId="30" fillId="0" borderId="0" xfId="122" applyNumberFormat="1" applyFont="1"/>
    <xf numFmtId="0" fontId="122" fillId="0" borderId="0" xfId="4476" applyFont="1"/>
    <xf numFmtId="41" fontId="115" fillId="3" borderId="49" xfId="4352" applyNumberFormat="1" applyFont="1" applyFill="1" applyBorder="1"/>
    <xf numFmtId="174" fontId="30" fillId="0" borderId="0" xfId="4665" applyNumberFormat="1" applyFont="1" applyAlignment="1"/>
    <xf numFmtId="43" fontId="30" fillId="0" borderId="0" xfId="4665" applyFont="1" applyProtection="1">
      <protection locked="0"/>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30" fillId="0" borderId="0" xfId="0" applyFont="1" applyAlignment="1" applyProtection="1">
      <alignment horizontal="left" vertical="top" wrapText="1"/>
      <protection locked="0"/>
    </xf>
    <xf numFmtId="172" fontId="30" fillId="0" borderId="0" xfId="0" applyFont="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0" xfId="0" applyNumberFormat="1" applyFont="1" applyAlignment="1" applyProtection="1">
      <alignment vertical="top" wrapText="1"/>
      <protection locked="0"/>
    </xf>
    <xf numFmtId="0" fontId="30" fillId="0" borderId="0" xfId="4597" applyNumberFormat="1" applyFont="1" applyAlignment="1" applyProtection="1">
      <alignment horizontal="left" vertical="top" wrapText="1"/>
      <protection locked="0"/>
    </xf>
    <xf numFmtId="0" fontId="30" fillId="0" borderId="0" xfId="0" applyNumberFormat="1" applyFont="1" applyAlignment="1" applyProtection="1">
      <alignment horizontal="left" vertical="top" wrapText="1"/>
      <protection locked="0"/>
    </xf>
    <xf numFmtId="0" fontId="30" fillId="0" borderId="0" xfId="4664" applyNumberFormat="1" applyFont="1" applyAlignment="1">
      <alignment horizontal="left" vertical="top" wrapText="1"/>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172" fontId="166" fillId="0" borderId="0" xfId="4597"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2138" applyFont="1" applyFill="1" applyAlignment="1">
      <alignment horizontal="left" vertical="top" wrapText="1"/>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top"/>
    </xf>
    <xf numFmtId="172" fontId="30" fillId="0" borderId="0" xfId="0" applyFont="1" applyAlignment="1">
      <alignment horizontal="left" vertical="center"/>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38" fillId="0" borderId="0" xfId="4695" applyFont="1" applyAlignment="1">
      <alignment horizontal="left" vertical="top" wrapText="1"/>
    </xf>
    <xf numFmtId="0" fontId="197" fillId="0" borderId="0" xfId="4695" applyFont="1" applyAlignment="1">
      <alignment horizontal="left" vertical="top" wrapText="1"/>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30" fillId="0" borderId="0" xfId="0" applyNumberFormat="1" applyFont="1" applyAlignment="1" applyProtection="1">
      <alignment horizontal="right"/>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172" fontId="30" fillId="0" borderId="0" xfId="4667" applyNumberFormat="1" applyFont="1" applyBorder="1" applyAlignment="1">
      <alignment horizontal="center"/>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8" xfId="4352" quotePrefix="1" applyNumberFormat="1" applyFont="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22" fillId="0" borderId="0" xfId="4667" applyNumberFormat="1" applyFont="1" applyFill="1" applyAlignment="1">
      <alignment horizontal="center"/>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cellXfs>
  <cellStyles count="5182">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F9088253-A330-4A16-83BB-9E7629D86F03}"/>
    <cellStyle name="20% - Accent1 19 2 3" xfId="4702" xr:uid="{4584683A-CC8E-431D-9834-E72D4E388AA4}"/>
    <cellStyle name="20% - Accent1 19 3" xfId="217" xr:uid="{00000000-0005-0000-0000-00002F000000}"/>
    <cellStyle name="20% - Accent1 19 3 2" xfId="4704" xr:uid="{A96E1A5F-9CE9-47B5-B67C-2B9A05240AC2}"/>
    <cellStyle name="20% - Accent1 19 4" xfId="4701" xr:uid="{67FED3FF-9AB0-40CF-BD51-840A98A0DEF9}"/>
    <cellStyle name="20% - Accent1 2" xfId="16" xr:uid="{00000000-0005-0000-0000-000030000000}"/>
    <cellStyle name="20% - Accent1 2 10" xfId="218" xr:uid="{00000000-0005-0000-0000-000031000000}"/>
    <cellStyle name="20% - Accent1 2 10 2" xfId="4705" xr:uid="{37DF6210-4E6C-403E-BB78-0AE2AD39FF46}"/>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347C05CF-6120-48B0-B597-898641A6059C}"/>
    <cellStyle name="20% - Accent1 2 2 2 3" xfId="4707" xr:uid="{B5391CD3-93BC-4BDA-9065-86D5304F1353}"/>
    <cellStyle name="20% - Accent1 2 2 3" xfId="222" xr:uid="{00000000-0005-0000-0000-000035000000}"/>
    <cellStyle name="20% - Accent1 2 2 3 2" xfId="4709" xr:uid="{1E248033-056D-4D69-B8EA-E1C11CFA7969}"/>
    <cellStyle name="20% - Accent1 2 2 4" xfId="4706" xr:uid="{77D425FD-FCD1-425F-80AA-D0334B76B7F4}"/>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20B3A8F6-3B52-4A80-BC93-B314BB5B7B37}"/>
    <cellStyle name="20% - Accent1 2 3 2 3" xfId="4711" xr:uid="{404DA855-017E-4C62-B393-A2EB2637FB07}"/>
    <cellStyle name="20% - Accent1 2 3 3" xfId="226" xr:uid="{00000000-0005-0000-0000-000039000000}"/>
    <cellStyle name="20% - Accent1 2 3 3 2" xfId="4713" xr:uid="{F400B926-FFEB-4224-B7E9-ADA6BE2F3BA8}"/>
    <cellStyle name="20% - Accent1 2 3 4" xfId="4710" xr:uid="{51A12943-BD91-4C55-94EB-C2B4964A4542}"/>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64B5FF25-DFDC-47EF-B9EF-071A1E0C1D32}"/>
    <cellStyle name="20% - Accent1 2 4 2 3" xfId="4715" xr:uid="{DC3F645E-0A47-4325-8F22-9BBED7201665}"/>
    <cellStyle name="20% - Accent1 2 4 3" xfId="230" xr:uid="{00000000-0005-0000-0000-00003D000000}"/>
    <cellStyle name="20% - Accent1 2 4 3 2" xfId="4717" xr:uid="{62FE2DC1-CEF8-4EFB-ACE4-A6249188BA1F}"/>
    <cellStyle name="20% - Accent1 2 4 4" xfId="4714" xr:uid="{5616D1E4-EC37-4FC4-84DF-BCD7DD5449F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6D438972-5944-4ACC-8091-EA92EE1AF6C9}"/>
    <cellStyle name="20% - Accent1 2 5 2 3" xfId="4719" xr:uid="{6F22EA6F-4058-4234-A66C-063EB4F56823}"/>
    <cellStyle name="20% - Accent1 2 5 3" xfId="234" xr:uid="{00000000-0005-0000-0000-000041000000}"/>
    <cellStyle name="20% - Accent1 2 5 3 2" xfId="4721" xr:uid="{8F3F23BA-C7C8-42A3-9E46-8FD727BC83D3}"/>
    <cellStyle name="20% - Accent1 2 5 4" xfId="4718" xr:uid="{DFE1FF2C-9AED-4BC2-B660-9F18B76D7523}"/>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DB0BCEB0-65DC-4E9A-81DE-A2AE53C35164}"/>
    <cellStyle name="20% - Accent1 2 6 2 3" xfId="4723" xr:uid="{348BA117-A4AF-44B4-87B0-C60B458F4F2A}"/>
    <cellStyle name="20% - Accent1 2 6 3" xfId="238" xr:uid="{00000000-0005-0000-0000-000045000000}"/>
    <cellStyle name="20% - Accent1 2 6 3 2" xfId="4725" xr:uid="{3B14C568-2B4E-4857-BC2F-8FA2296EFF67}"/>
    <cellStyle name="20% - Accent1 2 6 4" xfId="4722" xr:uid="{FF201E5B-CA81-4903-A480-06D2A6B150F2}"/>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FA7301E-AE34-45F0-8E9F-862464531996}"/>
    <cellStyle name="20% - Accent1 2 7 2 3" xfId="4727" xr:uid="{3CE251F0-FD82-4D2E-BC33-502A9655B896}"/>
    <cellStyle name="20% - Accent1 2 7 3" xfId="242" xr:uid="{00000000-0005-0000-0000-000049000000}"/>
    <cellStyle name="20% - Accent1 2 7 3 2" xfId="4729" xr:uid="{D6A34E4A-E05B-4575-99D3-04F503E6B6FE}"/>
    <cellStyle name="20% - Accent1 2 7 4" xfId="4726" xr:uid="{511A32D8-2AB5-458E-8DEF-D3AFE29DD72C}"/>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630200F-1377-42F8-9FCD-C896D4E1A373}"/>
    <cellStyle name="20% - Accent1 2 8 2 3" xfId="4731" xr:uid="{DC380D55-0A18-4B07-A61B-9AB4C2428947}"/>
    <cellStyle name="20% - Accent1 2 8 3" xfId="246" xr:uid="{00000000-0005-0000-0000-00004D000000}"/>
    <cellStyle name="20% - Accent1 2 8 3 2" xfId="4733" xr:uid="{3FDC1B11-1D0F-4489-AB19-E8498A64C984}"/>
    <cellStyle name="20% - Accent1 2 8 4" xfId="4730" xr:uid="{4CAC4473-DE1C-41AC-B087-AEA10B08FDFC}"/>
    <cellStyle name="20% - Accent1 2 9" xfId="247" xr:uid="{00000000-0005-0000-0000-00004E000000}"/>
    <cellStyle name="20% - Accent1 2 9 2" xfId="248" xr:uid="{00000000-0005-0000-0000-00004F000000}"/>
    <cellStyle name="20% - Accent1 2 9 2 2" xfId="4735" xr:uid="{0FC1368D-E55F-415E-BA22-9E00C30550B0}"/>
    <cellStyle name="20% - Accent1 2 9 3" xfId="4734" xr:uid="{CD6EFC36-BD43-4285-9424-7A0EEA4ED334}"/>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71C9BF15-F341-43FD-BB1C-CE8572A50803}"/>
    <cellStyle name="20% - Accent2 19 2 3" xfId="4737" xr:uid="{B63E8E98-7F0C-4377-A57E-FB8AD7443B75}"/>
    <cellStyle name="20% - Accent2 19 3" xfId="268" xr:uid="{00000000-0005-0000-0000-000063000000}"/>
    <cellStyle name="20% - Accent2 19 3 2" xfId="4739" xr:uid="{9D2D3066-38E6-41FF-AA4E-E00163ABDC66}"/>
    <cellStyle name="20% - Accent2 19 4" xfId="4736" xr:uid="{90B3C9C6-9ACF-4823-8F5E-8D87CFFD6F2F}"/>
    <cellStyle name="20% - Accent2 2" xfId="17" xr:uid="{00000000-0005-0000-0000-000064000000}"/>
    <cellStyle name="20% - Accent2 2 10" xfId="269" xr:uid="{00000000-0005-0000-0000-000065000000}"/>
    <cellStyle name="20% - Accent2 2 10 2" xfId="4740" xr:uid="{007602C6-F938-4B6C-B908-2366BFFAF9BB}"/>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E666692E-FFAD-4C6D-8580-78F9CBE3F849}"/>
    <cellStyle name="20% - Accent2 2 2 2 3" xfId="4742" xr:uid="{BA1D542E-C02E-4E7D-9E21-1C8F6C4B5689}"/>
    <cellStyle name="20% - Accent2 2 2 3" xfId="273" xr:uid="{00000000-0005-0000-0000-000069000000}"/>
    <cellStyle name="20% - Accent2 2 2 3 2" xfId="4744" xr:uid="{6840D131-270A-454D-A3C2-95AB552024CC}"/>
    <cellStyle name="20% - Accent2 2 2 4" xfId="4741" xr:uid="{A9197A87-690C-443E-8CF0-DBB158EDDDAE}"/>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C6F07D59-6B47-4C68-8619-FFC0EC7B7B17}"/>
    <cellStyle name="20% - Accent2 2 3 2 3" xfId="4746" xr:uid="{16456A81-8FF8-40BF-8DAC-9CB2269B4D9A}"/>
    <cellStyle name="20% - Accent2 2 3 3" xfId="277" xr:uid="{00000000-0005-0000-0000-00006D000000}"/>
    <cellStyle name="20% - Accent2 2 3 3 2" xfId="4748" xr:uid="{08213492-0058-4CF4-8CCF-225433A7AB4D}"/>
    <cellStyle name="20% - Accent2 2 3 4" xfId="4745" xr:uid="{186052B9-88B3-42F4-8049-F98095FB30E0}"/>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166C827A-CFA2-442D-99F7-B2B94D35E0BE}"/>
    <cellStyle name="20% - Accent2 2 4 2 3" xfId="4750" xr:uid="{3A4D0B7A-D79E-4DCC-92DE-331E6F62CCA7}"/>
    <cellStyle name="20% - Accent2 2 4 3" xfId="281" xr:uid="{00000000-0005-0000-0000-000071000000}"/>
    <cellStyle name="20% - Accent2 2 4 3 2" xfId="4752" xr:uid="{E9B2D010-F219-40BC-8131-49B874931287}"/>
    <cellStyle name="20% - Accent2 2 4 4" xfId="4749" xr:uid="{3478DBDD-4C71-402A-AB52-6D0A8167AD1C}"/>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85D029F-8EA2-4B4F-9CFC-3F1EF7E877E8}"/>
    <cellStyle name="20% - Accent2 2 5 2 3" xfId="4754" xr:uid="{2E52994C-9139-4F54-A900-21769090E382}"/>
    <cellStyle name="20% - Accent2 2 5 3" xfId="285" xr:uid="{00000000-0005-0000-0000-000075000000}"/>
    <cellStyle name="20% - Accent2 2 5 3 2" xfId="4756" xr:uid="{5FCD9EC5-4C66-4C98-8F74-E4CB6CABEA13}"/>
    <cellStyle name="20% - Accent2 2 5 4" xfId="4753" xr:uid="{4C811793-AAAE-45C6-BB0A-CB41D86077FF}"/>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1FD25793-1D5A-4DAD-BDD3-CE9114036FA6}"/>
    <cellStyle name="20% - Accent2 2 6 2 3" xfId="4758" xr:uid="{32502CFB-86DF-495A-AC3D-471C9CFC17EF}"/>
    <cellStyle name="20% - Accent2 2 6 3" xfId="289" xr:uid="{00000000-0005-0000-0000-000079000000}"/>
    <cellStyle name="20% - Accent2 2 6 3 2" xfId="4760" xr:uid="{62F9C6BB-E1D7-45CA-ADDD-72F337323DD0}"/>
    <cellStyle name="20% - Accent2 2 6 4" xfId="4757" xr:uid="{AC1D5CCD-8D90-4B9E-8FF3-04F6528235F0}"/>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0143D36F-4C41-4767-9585-11A93FE925F5}"/>
    <cellStyle name="20% - Accent2 2 7 2 3" xfId="4762" xr:uid="{0CD7DB96-2A20-4465-B402-A3EF107B9535}"/>
    <cellStyle name="20% - Accent2 2 7 3" xfId="293" xr:uid="{00000000-0005-0000-0000-00007D000000}"/>
    <cellStyle name="20% - Accent2 2 7 3 2" xfId="4764" xr:uid="{C577AE2F-09B5-4BE7-9329-D23B4D4642BA}"/>
    <cellStyle name="20% - Accent2 2 7 4" xfId="4761" xr:uid="{643ED49D-7625-4FF3-A7AF-529B98DD0F78}"/>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5AC2E7B5-4B9F-4B35-9CE4-98EEF1938BA0}"/>
    <cellStyle name="20% - Accent2 2 8 2 3" xfId="4766" xr:uid="{93004D68-1269-4515-A22C-F1342CA64EBD}"/>
    <cellStyle name="20% - Accent2 2 8 3" xfId="297" xr:uid="{00000000-0005-0000-0000-000081000000}"/>
    <cellStyle name="20% - Accent2 2 8 3 2" xfId="4768" xr:uid="{2A4806B4-8976-4841-A3E3-FD87CAFEBB4A}"/>
    <cellStyle name="20% - Accent2 2 8 4" xfId="4765" xr:uid="{8CD4BBA0-8687-4293-BFFD-833457542AF0}"/>
    <cellStyle name="20% - Accent2 2 9" xfId="298" xr:uid="{00000000-0005-0000-0000-000082000000}"/>
    <cellStyle name="20% - Accent2 2 9 2" xfId="299" xr:uid="{00000000-0005-0000-0000-000083000000}"/>
    <cellStyle name="20% - Accent2 2 9 2 2" xfId="4770" xr:uid="{C56DC56B-DE39-415B-8531-B5CA65CDC5D6}"/>
    <cellStyle name="20% - Accent2 2 9 3" xfId="4769" xr:uid="{C32CCABD-E08E-4048-AB72-81D3F7C01CE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EA1143D1-2942-4B35-8033-2813211C4479}"/>
    <cellStyle name="20% - Accent3 2 2 2 3" xfId="4772" xr:uid="{5A84F5D2-F869-4D5B-9098-AA6EDC3C3F5B}"/>
    <cellStyle name="20% - Accent3 2 2 3" xfId="319" xr:uid="{00000000-0005-0000-0000-000098000000}"/>
    <cellStyle name="20% - Accent3 2 2 3 2" xfId="4774" xr:uid="{0CA48360-E6C9-46B5-A238-3D189849741B}"/>
    <cellStyle name="20% - Accent3 2 2 4" xfId="4771" xr:uid="{56EE86DA-AD62-4C0F-8C9E-9ED4E5B4585A}"/>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D69096C-B1D0-4FC2-88B3-A152C485F3D2}"/>
    <cellStyle name="20% - Accent3 2 3 2 3" xfId="4776" xr:uid="{8BB6A78E-FF5F-4E79-8DF9-C1B134B7D6C5}"/>
    <cellStyle name="20% - Accent3 2 3 3" xfId="323" xr:uid="{00000000-0005-0000-0000-00009C000000}"/>
    <cellStyle name="20% - Accent3 2 3 3 2" xfId="4778" xr:uid="{951EB265-7C51-4C38-B2BB-51006155E4C9}"/>
    <cellStyle name="20% - Accent3 2 3 4" xfId="4775" xr:uid="{119D75E9-2F0B-40E7-828D-87FB727A8CF0}"/>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AEFF0904-86FA-45E2-B40D-07A884952005}"/>
    <cellStyle name="20% - Accent3 2 4 2 3" xfId="4780" xr:uid="{8FA72EBD-EDF3-4975-BF4A-26B96B7DF1D6}"/>
    <cellStyle name="20% - Accent3 2 4 3" xfId="327" xr:uid="{00000000-0005-0000-0000-0000A0000000}"/>
    <cellStyle name="20% - Accent3 2 4 3 2" xfId="4782" xr:uid="{4C5DBD32-FF0F-44BB-B0A7-45DA4012B2EC}"/>
    <cellStyle name="20% - Accent3 2 4 4" xfId="4779" xr:uid="{C8007EEA-15C4-4FF6-87C3-A0FFEB6AA30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58F336F2-2F55-485A-A339-80F177700A4C}"/>
    <cellStyle name="20% - Accent3 2 5 2 3" xfId="4784" xr:uid="{4BB42C75-2CA6-4659-A077-EE9BF3DBDF33}"/>
    <cellStyle name="20% - Accent3 2 5 3" xfId="331" xr:uid="{00000000-0005-0000-0000-0000A4000000}"/>
    <cellStyle name="20% - Accent3 2 5 3 2" xfId="4786" xr:uid="{95EAB2EE-DC8C-4F7A-BE6D-38847D63F94A}"/>
    <cellStyle name="20% - Accent3 2 5 4" xfId="4783" xr:uid="{17BD7996-CDE3-423E-8873-BEE7DFB604F8}"/>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B83BD3D8-A618-4382-83BA-FF779307A17A}"/>
    <cellStyle name="20% - Accent3 2 6 2 3" xfId="4788" xr:uid="{DB27AC2D-A721-4F5B-8D9B-252763D40391}"/>
    <cellStyle name="20% - Accent3 2 6 3" xfId="335" xr:uid="{00000000-0005-0000-0000-0000A8000000}"/>
    <cellStyle name="20% - Accent3 2 6 3 2" xfId="4790" xr:uid="{552D5231-AA31-403D-96FC-5AE06CD99D84}"/>
    <cellStyle name="20% - Accent3 2 6 4" xfId="4787" xr:uid="{2F339C11-B1E5-4D78-B79E-7A1E74D35E87}"/>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C0751DAC-F6E6-4119-8CD4-A6E993E8230B}"/>
    <cellStyle name="20% - Accent3 2 7 2 3" xfId="4792" xr:uid="{EEBA90E7-6C3E-4F56-A2AD-EC2AB6863505}"/>
    <cellStyle name="20% - Accent3 2 7 3" xfId="339" xr:uid="{00000000-0005-0000-0000-0000AC000000}"/>
    <cellStyle name="20% - Accent3 2 7 3 2" xfId="4794" xr:uid="{DAFCE71E-9E8E-4CC6-B85D-E803A5982A81}"/>
    <cellStyle name="20% - Accent3 2 7 4" xfId="4791" xr:uid="{CBE31A23-85A5-4ABB-95FB-C088D23DEC5F}"/>
    <cellStyle name="20% - Accent3 2 8" xfId="340" xr:uid="{00000000-0005-0000-0000-0000AD000000}"/>
    <cellStyle name="20% - Accent3 2 8 2" xfId="341" xr:uid="{00000000-0005-0000-0000-0000AE000000}"/>
    <cellStyle name="20% - Accent3 2 8 2 2" xfId="4796" xr:uid="{B08DE865-2F31-46CF-A43D-416619E8DF72}"/>
    <cellStyle name="20% - Accent3 2 8 3" xfId="4795" xr:uid="{FDC6A85E-035A-4C22-B7C5-7AB702E52161}"/>
    <cellStyle name="20% - Accent3 2 9" xfId="342" xr:uid="{00000000-0005-0000-0000-0000AF000000}"/>
    <cellStyle name="20% - Accent3 2 9 2" xfId="4797" xr:uid="{9AE69CDE-BFA1-459E-8844-A7EC8B82D452}"/>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B344899-92EF-458F-A2A2-DC0AD3835BBB}"/>
    <cellStyle name="20% - Accent4 2 2 2 3" xfId="4799" xr:uid="{0C55A690-1106-495B-8367-B24C37B557B4}"/>
    <cellStyle name="20% - Accent4 2 2 3" xfId="362" xr:uid="{00000000-0005-0000-0000-0000C4000000}"/>
    <cellStyle name="20% - Accent4 2 2 3 2" xfId="4801" xr:uid="{1C5DE75A-692A-4816-AA0E-B0C93671708C}"/>
    <cellStyle name="20% - Accent4 2 2 4" xfId="4798" xr:uid="{265DF366-0DAB-49CA-8C71-01DB933DCB90}"/>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379E8985-5847-426C-A4F3-3FEFEE9E4B69}"/>
    <cellStyle name="20% - Accent4 2 3 2 3" xfId="4803" xr:uid="{BAA6A8CE-79BE-440D-86A2-3584C1B36305}"/>
    <cellStyle name="20% - Accent4 2 3 3" xfId="366" xr:uid="{00000000-0005-0000-0000-0000C8000000}"/>
    <cellStyle name="20% - Accent4 2 3 3 2" xfId="4805" xr:uid="{48E7BFAA-F42B-4526-A199-376FCE6B6A35}"/>
    <cellStyle name="20% - Accent4 2 3 4" xfId="4802" xr:uid="{22D2B815-E050-40E1-8123-19D4CA1AE8C7}"/>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5C1BBE19-7BFD-43A3-A739-CF79D693852F}"/>
    <cellStyle name="20% - Accent4 2 4 2 3" xfId="4807" xr:uid="{DA9FC671-8462-4F14-AB1D-6AE014E53542}"/>
    <cellStyle name="20% - Accent4 2 4 3" xfId="370" xr:uid="{00000000-0005-0000-0000-0000CC000000}"/>
    <cellStyle name="20% - Accent4 2 4 3 2" xfId="4809" xr:uid="{C15A3B10-F653-4344-AF29-1129F29D681D}"/>
    <cellStyle name="20% - Accent4 2 4 4" xfId="4806" xr:uid="{3FAE72F1-59B9-4C6D-B7E8-78528892BA1F}"/>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9D4DDE1E-9E24-43E5-B10A-85A25B14DC98}"/>
    <cellStyle name="20% - Accent4 2 5 2 3" xfId="4811" xr:uid="{082CD8A1-C485-4DC0-B112-B61A8EF5027F}"/>
    <cellStyle name="20% - Accent4 2 5 3" xfId="374" xr:uid="{00000000-0005-0000-0000-0000D0000000}"/>
    <cellStyle name="20% - Accent4 2 5 3 2" xfId="4813" xr:uid="{2E0B39C7-F305-43CA-A1A2-06646D5A4C66}"/>
    <cellStyle name="20% - Accent4 2 5 4" xfId="4810" xr:uid="{3F11060D-CB03-4AA8-A18E-CB747B02B4D7}"/>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BAF920CA-10A2-4E7D-86FE-CA6C3F4D56F3}"/>
    <cellStyle name="20% - Accent4 2 6 2 3" xfId="4815" xr:uid="{B1BEA7D4-6AE6-4EAB-8800-10A007712F38}"/>
    <cellStyle name="20% - Accent4 2 6 3" xfId="378" xr:uid="{00000000-0005-0000-0000-0000D4000000}"/>
    <cellStyle name="20% - Accent4 2 6 3 2" xfId="4817" xr:uid="{C59924CC-9238-4900-A6D2-708E5491BA88}"/>
    <cellStyle name="20% - Accent4 2 6 4" xfId="4814" xr:uid="{E3A5BF9D-D995-40D3-83BE-CE18D88A378F}"/>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5A85D919-7062-4A7D-AF16-917B41425267}"/>
    <cellStyle name="20% - Accent4 2 7 2 3" xfId="4819" xr:uid="{DF123308-6218-4403-BAC1-6C73E8923704}"/>
    <cellStyle name="20% - Accent4 2 7 3" xfId="382" xr:uid="{00000000-0005-0000-0000-0000D8000000}"/>
    <cellStyle name="20% - Accent4 2 7 3 2" xfId="4821" xr:uid="{41D6D67D-7ED4-4DD7-AE3C-133E44F369C3}"/>
    <cellStyle name="20% - Accent4 2 7 4" xfId="4818" xr:uid="{702080D3-79CB-4358-861F-E54320B10438}"/>
    <cellStyle name="20% - Accent4 2 8" xfId="383" xr:uid="{00000000-0005-0000-0000-0000D9000000}"/>
    <cellStyle name="20% - Accent4 2 8 2" xfId="384" xr:uid="{00000000-0005-0000-0000-0000DA000000}"/>
    <cellStyle name="20% - Accent4 2 8 2 2" xfId="4823" xr:uid="{A5E051BB-F6AD-430D-8B4D-225AB86BCC26}"/>
    <cellStyle name="20% - Accent4 2 8 3" xfId="4822" xr:uid="{685FC4CD-E72A-444D-864B-1F8B971D86F8}"/>
    <cellStyle name="20% - Accent4 2 9" xfId="385" xr:uid="{00000000-0005-0000-0000-0000DB000000}"/>
    <cellStyle name="20% - Accent4 2 9 2" xfId="4824" xr:uid="{69DDBF44-4EA8-411E-8DCA-AA3A672BB1F5}"/>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BAA7BB35-32C5-4590-9EE1-19F56E607CB7}"/>
    <cellStyle name="20% - Accent5 2 2 2 3" xfId="4826" xr:uid="{EC7A2B3E-8DA4-4444-B231-D1544304525A}"/>
    <cellStyle name="20% - Accent5 2 2 3" xfId="405" xr:uid="{00000000-0005-0000-0000-0000F0000000}"/>
    <cellStyle name="20% - Accent5 2 2 3 2" xfId="4828" xr:uid="{46D69829-2E75-4714-98B2-E99E7BDCC540}"/>
    <cellStyle name="20% - Accent5 2 2 4" xfId="4825" xr:uid="{AFA7E1E7-3A51-4F71-B5DB-1FD3BA5C4ED9}"/>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A3F84533-0757-434F-9FB4-19507D612AF5}"/>
    <cellStyle name="20% - Accent5 2 3 2 3" xfId="4830" xr:uid="{639243EC-1DEB-4CB9-B647-BB425C3ED975}"/>
    <cellStyle name="20% - Accent5 2 3 3" xfId="409" xr:uid="{00000000-0005-0000-0000-0000F4000000}"/>
    <cellStyle name="20% - Accent5 2 3 3 2" xfId="4832" xr:uid="{A84AD155-11FB-4B8C-80D7-2877F31C5584}"/>
    <cellStyle name="20% - Accent5 2 3 4" xfId="4829" xr:uid="{507B52AA-01DB-477B-8DF2-AD577970AC4F}"/>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1B06FA8E-E394-40A7-9D45-3811EB5C78B0}"/>
    <cellStyle name="20% - Accent5 2 4 2 3" xfId="4834" xr:uid="{9F57FA20-B67C-42A9-9ED0-3BEB254D7075}"/>
    <cellStyle name="20% - Accent5 2 4 3" xfId="413" xr:uid="{00000000-0005-0000-0000-0000F8000000}"/>
    <cellStyle name="20% - Accent5 2 4 3 2" xfId="4836" xr:uid="{F4946AE9-11BF-4CF9-BDE2-F0433A3B9B2C}"/>
    <cellStyle name="20% - Accent5 2 4 4" xfId="4833" xr:uid="{BAF1FECC-9073-4066-9138-F0CCBC0306CF}"/>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C5A2D507-0608-449C-A25B-DA86A030D3ED}"/>
    <cellStyle name="20% - Accent5 2 5 2 3" xfId="4838" xr:uid="{0C0643C5-BC39-4CC9-9235-7CDFD1CBBCB2}"/>
    <cellStyle name="20% - Accent5 2 5 3" xfId="417" xr:uid="{00000000-0005-0000-0000-0000FC000000}"/>
    <cellStyle name="20% - Accent5 2 5 3 2" xfId="4840" xr:uid="{BF954CEE-D750-4C34-B1BD-370AC4EDBDD6}"/>
    <cellStyle name="20% - Accent5 2 5 4" xfId="4837" xr:uid="{6280C9DE-3E3A-465C-B524-035EAB4E7B8E}"/>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66D7E977-A02B-4525-B1DF-D580DC0AC316}"/>
    <cellStyle name="20% - Accent5 2 6 2 3" xfId="4842" xr:uid="{02AC4BFE-AB10-469C-8E8A-3AEEE207B699}"/>
    <cellStyle name="20% - Accent5 2 6 3" xfId="421" xr:uid="{00000000-0005-0000-0000-000000010000}"/>
    <cellStyle name="20% - Accent5 2 6 3 2" xfId="4844" xr:uid="{6131F14C-87BC-4C36-B4ED-9001EF78D15A}"/>
    <cellStyle name="20% - Accent5 2 6 4" xfId="4841" xr:uid="{5F4D2E6F-CDBF-4475-924D-0A1F51F1C419}"/>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66399250-0C4B-46F5-922C-15EB923E56F0}"/>
    <cellStyle name="20% - Accent5 2 7 2 3" xfId="4846" xr:uid="{469DCAC4-5A86-46EE-91C3-BD5E88C71F3D}"/>
    <cellStyle name="20% - Accent5 2 7 3" xfId="425" xr:uid="{00000000-0005-0000-0000-000004010000}"/>
    <cellStyle name="20% - Accent5 2 7 3 2" xfId="4848" xr:uid="{18E8C89A-85E6-4FB6-B17D-BC1A91F25A29}"/>
    <cellStyle name="20% - Accent5 2 7 4" xfId="4845" xr:uid="{9A386F14-0E1B-45A2-8D9C-084BF47C6CBF}"/>
    <cellStyle name="20% - Accent5 2 8" xfId="426" xr:uid="{00000000-0005-0000-0000-000005010000}"/>
    <cellStyle name="20% - Accent5 2 8 2" xfId="427" xr:uid="{00000000-0005-0000-0000-000006010000}"/>
    <cellStyle name="20% - Accent5 2 8 2 2" xfId="4850" xr:uid="{B8EAE02F-A715-481A-A0FE-FF8C3095B5DE}"/>
    <cellStyle name="20% - Accent5 2 8 3" xfId="4849" xr:uid="{FA72078A-4BBF-4C46-BCEC-FC212A6AEC96}"/>
    <cellStyle name="20% - Accent5 2 9" xfId="428" xr:uid="{00000000-0005-0000-0000-000007010000}"/>
    <cellStyle name="20% - Accent5 2 9 2" xfId="4851" xr:uid="{E02EC5EE-3B0C-4C53-866E-693B675EB761}"/>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485F05B6-867C-4A16-A29D-6DA56F9FD6ED}"/>
    <cellStyle name="20% - Accent6 2 2 2 3" xfId="4853" xr:uid="{48D89CFB-742C-4CE2-A08B-F29D32AAD372}"/>
    <cellStyle name="20% - Accent6 2 2 3" xfId="448" xr:uid="{00000000-0005-0000-0000-00001C010000}"/>
    <cellStyle name="20% - Accent6 2 2 3 2" xfId="4855" xr:uid="{7AA83F49-6ECB-46A6-8E30-CFA4244A5ADF}"/>
    <cellStyle name="20% - Accent6 2 2 4" xfId="4852" xr:uid="{DF282E1B-4946-4604-923C-1A74EAEEBB19}"/>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9CFA22C0-37A8-4A98-A221-3233EFEF6BFF}"/>
    <cellStyle name="20% - Accent6 2 3 2 3" xfId="4857" xr:uid="{9A900A14-736D-423D-9BF2-761593AFE051}"/>
    <cellStyle name="20% - Accent6 2 3 3" xfId="452" xr:uid="{00000000-0005-0000-0000-000020010000}"/>
    <cellStyle name="20% - Accent6 2 3 3 2" xfId="4859" xr:uid="{AE2A6EC4-E591-49CF-9C34-007FA3EAADFD}"/>
    <cellStyle name="20% - Accent6 2 3 4" xfId="4856" xr:uid="{6778124E-32B7-4BE4-9616-35F6D717FF84}"/>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DEF14D8D-3B8D-41AA-AEB5-413AC85C1082}"/>
    <cellStyle name="20% - Accent6 2 4 2 3" xfId="4861" xr:uid="{09EB8791-EB03-4758-A213-6CFC55A1C620}"/>
    <cellStyle name="20% - Accent6 2 4 3" xfId="456" xr:uid="{00000000-0005-0000-0000-000024010000}"/>
    <cellStyle name="20% - Accent6 2 4 3 2" xfId="4863" xr:uid="{CC561B8C-B04C-4A50-BE60-8532B8A22E5C}"/>
    <cellStyle name="20% - Accent6 2 4 4" xfId="4860" xr:uid="{4CA49318-A0F7-4531-8AE7-AFAEEFFAAB24}"/>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3CC52C50-DF45-4FF7-9065-781AAB995D73}"/>
    <cellStyle name="20% - Accent6 2 5 2 3" xfId="4865" xr:uid="{B3364446-F232-4B74-B842-923BCAD0AFE4}"/>
    <cellStyle name="20% - Accent6 2 5 3" xfId="460" xr:uid="{00000000-0005-0000-0000-000028010000}"/>
    <cellStyle name="20% - Accent6 2 5 3 2" xfId="4867" xr:uid="{3B171200-31F7-4013-94FF-62187F82AA3E}"/>
    <cellStyle name="20% - Accent6 2 5 4" xfId="4864" xr:uid="{19412EF5-6F65-4D0B-855B-ADD502AB2117}"/>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82E14BBA-7311-493C-87F0-E77889F4E610}"/>
    <cellStyle name="20% - Accent6 2 6 2 3" xfId="4869" xr:uid="{5B354529-CBFA-4078-8723-2E0F8B963F87}"/>
    <cellStyle name="20% - Accent6 2 6 3" xfId="464" xr:uid="{00000000-0005-0000-0000-00002C010000}"/>
    <cellStyle name="20% - Accent6 2 6 3 2" xfId="4871" xr:uid="{A73E7129-335A-460D-8B76-53C69ABA1D24}"/>
    <cellStyle name="20% - Accent6 2 6 4" xfId="4868" xr:uid="{8BF599BC-EB3E-4384-9CC2-15D99FE57FF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30784D3F-FC8A-4A77-B9BC-EB1D4CD2DE2A}"/>
    <cellStyle name="20% - Accent6 2 7 2 3" xfId="4873" xr:uid="{BDA34587-D682-4249-8D43-826F09B279FA}"/>
    <cellStyle name="20% - Accent6 2 7 3" xfId="468" xr:uid="{00000000-0005-0000-0000-000030010000}"/>
    <cellStyle name="20% - Accent6 2 7 3 2" xfId="4875" xr:uid="{75E46A15-2C48-4479-81DE-422CAEF28DB8}"/>
    <cellStyle name="20% - Accent6 2 7 4" xfId="4872" xr:uid="{1602A96A-A881-4E3A-921C-E950677DA468}"/>
    <cellStyle name="20% - Accent6 2 8" xfId="469" xr:uid="{00000000-0005-0000-0000-000031010000}"/>
    <cellStyle name="20% - Accent6 2 8 2" xfId="470" xr:uid="{00000000-0005-0000-0000-000032010000}"/>
    <cellStyle name="20% - Accent6 2 8 2 2" xfId="4877" xr:uid="{B0958AE0-1AD3-4AA0-B884-E5147E0CCB5B}"/>
    <cellStyle name="20% - Accent6 2 8 3" xfId="4876" xr:uid="{ACA6D9C6-BE25-4F90-A25B-CB14EA63AC90}"/>
    <cellStyle name="20% - Accent6 2 9" xfId="471" xr:uid="{00000000-0005-0000-0000-000033010000}"/>
    <cellStyle name="20% - Accent6 2 9 2" xfId="4878" xr:uid="{BC6ACBAD-9780-4CD1-A7DC-B7A4BAE9BDAF}"/>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D85F5368-D4ED-45FD-BBAA-40A0D58737E4}"/>
    <cellStyle name="40% - Accent1 2 2 2 3" xfId="4880" xr:uid="{E303F292-2214-4FD8-9AFD-F0CD47B6C53F}"/>
    <cellStyle name="40% - Accent1 2 2 3" xfId="491" xr:uid="{00000000-0005-0000-0000-000048010000}"/>
    <cellStyle name="40% - Accent1 2 2 3 2" xfId="4882" xr:uid="{7009E6EA-F6BA-420E-AD57-E716994EAC6B}"/>
    <cellStyle name="40% - Accent1 2 2 4" xfId="4879" xr:uid="{35DC5945-990A-4B23-9ACB-475EA77F1094}"/>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B35181D0-96D4-45B4-A4CE-D56FBBE19D84}"/>
    <cellStyle name="40% - Accent1 2 3 2 3" xfId="4884" xr:uid="{B2C56168-65AB-4CEC-8ABD-864459247371}"/>
    <cellStyle name="40% - Accent1 2 3 3" xfId="495" xr:uid="{00000000-0005-0000-0000-00004C010000}"/>
    <cellStyle name="40% - Accent1 2 3 3 2" xfId="4886" xr:uid="{3B69162C-5984-48AF-92ED-3134C2367AD5}"/>
    <cellStyle name="40% - Accent1 2 3 4" xfId="4883" xr:uid="{1207741B-F105-4D05-9811-CCF03ACFC61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6AC0E908-B40E-4782-82BC-0B8A08FDADFC}"/>
    <cellStyle name="40% - Accent1 2 4 2 3" xfId="4888" xr:uid="{5EBBA7DC-3B55-4EF2-8EFF-C0869ABB8B27}"/>
    <cellStyle name="40% - Accent1 2 4 3" xfId="499" xr:uid="{00000000-0005-0000-0000-000050010000}"/>
    <cellStyle name="40% - Accent1 2 4 3 2" xfId="4890" xr:uid="{4C32DF78-2304-4CC0-85CE-554638A524D6}"/>
    <cellStyle name="40% - Accent1 2 4 4" xfId="4887" xr:uid="{568D31D9-3593-4F78-A333-E593C0003B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4BBC8F0-CA85-4648-9F3F-000A11F98010}"/>
    <cellStyle name="40% - Accent1 2 5 2 3" xfId="4892" xr:uid="{A75FFC7D-594D-489C-A01B-DF28F8D312AB}"/>
    <cellStyle name="40% - Accent1 2 5 3" xfId="503" xr:uid="{00000000-0005-0000-0000-000054010000}"/>
    <cellStyle name="40% - Accent1 2 5 3 2" xfId="4894" xr:uid="{197D832E-F0B2-48BE-85D2-8DB5971FCEB5}"/>
    <cellStyle name="40% - Accent1 2 5 4" xfId="4891" xr:uid="{8A3133F9-8EEF-4177-AA12-FED0DA61DD34}"/>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D2C5162D-5A40-46A0-B3A4-97534DCE0104}"/>
    <cellStyle name="40% - Accent1 2 6 2 3" xfId="4896" xr:uid="{3155051B-CFB6-4999-A050-65911C9832FC}"/>
    <cellStyle name="40% - Accent1 2 6 3" xfId="507" xr:uid="{00000000-0005-0000-0000-000058010000}"/>
    <cellStyle name="40% - Accent1 2 6 3 2" xfId="4898" xr:uid="{E17E885F-C38C-43CE-AD42-13DB4C23992E}"/>
    <cellStyle name="40% - Accent1 2 6 4" xfId="4895" xr:uid="{0709DF13-2F07-4752-BC36-4F0677C95FBF}"/>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F8DF478-57A3-462A-AC37-3602A372ABA9}"/>
    <cellStyle name="40% - Accent1 2 7 2 3" xfId="4900" xr:uid="{CAC53A69-B99A-4984-A736-01368727F40D}"/>
    <cellStyle name="40% - Accent1 2 7 3" xfId="511" xr:uid="{00000000-0005-0000-0000-00005C010000}"/>
    <cellStyle name="40% - Accent1 2 7 3 2" xfId="4902" xr:uid="{05F029FD-B61E-474B-990E-43FCA23CC786}"/>
    <cellStyle name="40% - Accent1 2 7 4" xfId="4899" xr:uid="{A7FE8889-39A4-4B19-9ADC-55B8EA0979E0}"/>
    <cellStyle name="40% - Accent1 2 8" xfId="512" xr:uid="{00000000-0005-0000-0000-00005D010000}"/>
    <cellStyle name="40% - Accent1 2 8 2" xfId="513" xr:uid="{00000000-0005-0000-0000-00005E010000}"/>
    <cellStyle name="40% - Accent1 2 8 2 2" xfId="4904" xr:uid="{F6835BFA-0633-4BF1-A70F-4F9778B09791}"/>
    <cellStyle name="40% - Accent1 2 8 3" xfId="4903" xr:uid="{84B908EF-364C-4162-A429-ADF9AF931884}"/>
    <cellStyle name="40% - Accent1 2 9" xfId="514" xr:uid="{00000000-0005-0000-0000-00005F010000}"/>
    <cellStyle name="40% - Accent1 2 9 2" xfId="4905" xr:uid="{E6F040C6-30D0-469A-A011-9A2BB3B9ACB4}"/>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3E3DA48F-6221-4869-A2FD-616D90707A27}"/>
    <cellStyle name="40% - Accent2 2 2 2 3" xfId="4907" xr:uid="{D19F6CB7-C591-4A5F-B208-24BE25A0B718}"/>
    <cellStyle name="40% - Accent2 2 2 3" xfId="534" xr:uid="{00000000-0005-0000-0000-000074010000}"/>
    <cellStyle name="40% - Accent2 2 2 3 2" xfId="4909" xr:uid="{CA493B81-2ED5-47FD-8181-7D47CB7413C1}"/>
    <cellStyle name="40% - Accent2 2 2 4" xfId="4906" xr:uid="{CB73B799-3C7A-4CEB-8F5D-DEA97DE6DDB8}"/>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DC8D4225-1AF5-4D24-86F2-6C28C7231ACF}"/>
    <cellStyle name="40% - Accent2 2 3 2 3" xfId="4911" xr:uid="{717A19F5-0FA8-4440-9A10-014DD8BC63CA}"/>
    <cellStyle name="40% - Accent2 2 3 3" xfId="538" xr:uid="{00000000-0005-0000-0000-000078010000}"/>
    <cellStyle name="40% - Accent2 2 3 3 2" xfId="4913" xr:uid="{B7AD958B-5096-467C-B5E4-AA4D2DE8EAE5}"/>
    <cellStyle name="40% - Accent2 2 3 4" xfId="4910" xr:uid="{C781882A-D79B-45DA-BE7D-0C0C6B1C0D6E}"/>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A6D82768-4215-4B30-A2CA-F84106D13090}"/>
    <cellStyle name="40% - Accent2 2 4 2 3" xfId="4915" xr:uid="{554B02B2-20F8-4844-B9C5-E89364295A87}"/>
    <cellStyle name="40% - Accent2 2 4 3" xfId="542" xr:uid="{00000000-0005-0000-0000-00007C010000}"/>
    <cellStyle name="40% - Accent2 2 4 3 2" xfId="4917" xr:uid="{8238CE3B-A2FC-479D-977C-EAA1B639DA25}"/>
    <cellStyle name="40% - Accent2 2 4 4" xfId="4914" xr:uid="{6F338B1E-D97F-448E-BF3C-B9CA460582C2}"/>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63475F4-1496-4B17-8AED-56B673F2F635}"/>
    <cellStyle name="40% - Accent2 2 5 2 3" xfId="4919" xr:uid="{672F2425-CDE6-4FF1-BC69-624BF0219885}"/>
    <cellStyle name="40% - Accent2 2 5 3" xfId="546" xr:uid="{00000000-0005-0000-0000-000080010000}"/>
    <cellStyle name="40% - Accent2 2 5 3 2" xfId="4921" xr:uid="{77C40D0E-FB2A-4CAF-B280-F8E539291764}"/>
    <cellStyle name="40% - Accent2 2 5 4" xfId="4918" xr:uid="{3C9568F5-2440-484C-8F84-2FCFBE9D3050}"/>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EC6E6C16-88FF-4D80-95A7-517AD64C9C0D}"/>
    <cellStyle name="40% - Accent2 2 6 2 3" xfId="4923" xr:uid="{25455054-A64C-4FE6-B474-20D1AB8A51EC}"/>
    <cellStyle name="40% - Accent2 2 6 3" xfId="550" xr:uid="{00000000-0005-0000-0000-000084010000}"/>
    <cellStyle name="40% - Accent2 2 6 3 2" xfId="4925" xr:uid="{7515B294-FAB2-4427-A716-211EBC592F80}"/>
    <cellStyle name="40% - Accent2 2 6 4" xfId="4922" xr:uid="{4D56C395-77FE-4B15-BDC0-21F029FBCB9C}"/>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612A9980-2AF7-4BBE-A850-8CEE634FAB8F}"/>
    <cellStyle name="40% - Accent2 2 7 2 3" xfId="4927" xr:uid="{467EDBE3-5030-4D39-8264-AA02F30504B3}"/>
    <cellStyle name="40% - Accent2 2 7 3" xfId="554" xr:uid="{00000000-0005-0000-0000-000088010000}"/>
    <cellStyle name="40% - Accent2 2 7 3 2" xfId="4929" xr:uid="{09F5FDD3-1D9F-418A-A470-ACE2458859D4}"/>
    <cellStyle name="40% - Accent2 2 7 4" xfId="4926" xr:uid="{78689948-3042-4FF3-A175-65DA5960FE7F}"/>
    <cellStyle name="40% - Accent2 2 8" xfId="555" xr:uid="{00000000-0005-0000-0000-000089010000}"/>
    <cellStyle name="40% - Accent2 2 8 2" xfId="556" xr:uid="{00000000-0005-0000-0000-00008A010000}"/>
    <cellStyle name="40% - Accent2 2 8 2 2" xfId="4931" xr:uid="{261FD0FD-BD67-4E8A-A9C0-2725840D6F02}"/>
    <cellStyle name="40% - Accent2 2 8 3" xfId="4930" xr:uid="{A99FBF12-6BBC-4C44-B1EF-FE0FE73C957C}"/>
    <cellStyle name="40% - Accent2 2 9" xfId="557" xr:uid="{00000000-0005-0000-0000-00008B010000}"/>
    <cellStyle name="40% - Accent2 2 9 2" xfId="4932" xr:uid="{F3C161DC-A54C-4317-B252-8FF8C5170ABA}"/>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119222F6-15E9-4D24-B23A-4FB8147B22AA}"/>
    <cellStyle name="40% - Accent3 2 2 2 3" xfId="4934" xr:uid="{14A9AE0A-6814-4EC6-BD14-F26241CFDE28}"/>
    <cellStyle name="40% - Accent3 2 2 3" xfId="577" xr:uid="{00000000-0005-0000-0000-0000A0010000}"/>
    <cellStyle name="40% - Accent3 2 2 3 2" xfId="4936" xr:uid="{6683CC63-7B61-4E93-8A34-EDAF22FA7D4C}"/>
    <cellStyle name="40% - Accent3 2 2 4" xfId="4933" xr:uid="{7B50A99A-8CC5-48FA-9D2F-591554B2EAFB}"/>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8ED6CC87-AB92-45C6-9E27-94BFBCA2C563}"/>
    <cellStyle name="40% - Accent3 2 3 2 3" xfId="4938" xr:uid="{0AFA020E-74D8-4E27-841A-031D513E1042}"/>
    <cellStyle name="40% - Accent3 2 3 3" xfId="581" xr:uid="{00000000-0005-0000-0000-0000A4010000}"/>
    <cellStyle name="40% - Accent3 2 3 3 2" xfId="4940" xr:uid="{1A38A92F-5D06-432A-BB6C-FB4030273C6B}"/>
    <cellStyle name="40% - Accent3 2 3 4" xfId="4937" xr:uid="{F4584CE8-466B-4AE4-B6AE-32DBC4DCD569}"/>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DAF26089-6871-43EA-936E-08F0FBF71970}"/>
    <cellStyle name="40% - Accent3 2 4 2 3" xfId="4942" xr:uid="{D5637F6A-F92F-44B4-9D82-5D4B49578693}"/>
    <cellStyle name="40% - Accent3 2 4 3" xfId="585" xr:uid="{00000000-0005-0000-0000-0000A8010000}"/>
    <cellStyle name="40% - Accent3 2 4 3 2" xfId="4944" xr:uid="{3255D450-623E-4E73-8395-08AEFDCBAFCE}"/>
    <cellStyle name="40% - Accent3 2 4 4" xfId="4941" xr:uid="{F36C1706-083C-48E7-8370-6C07A4E09A36}"/>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D788AA13-A4D7-4213-8C83-B2AEC2F4E06C}"/>
    <cellStyle name="40% - Accent3 2 5 2 3" xfId="4946" xr:uid="{5E763645-8106-402C-8B77-647EEF89584A}"/>
    <cellStyle name="40% - Accent3 2 5 3" xfId="589" xr:uid="{00000000-0005-0000-0000-0000AC010000}"/>
    <cellStyle name="40% - Accent3 2 5 3 2" xfId="4948" xr:uid="{960C6C05-A631-4C45-9655-1A1C65455380}"/>
    <cellStyle name="40% - Accent3 2 5 4" xfId="4945" xr:uid="{BA1C0E1B-3D14-4C75-A25A-C9830DCA0668}"/>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2AC0E71F-6BB4-4F64-B43C-811E74793DBB}"/>
    <cellStyle name="40% - Accent3 2 6 2 3" xfId="4950" xr:uid="{5262FDBE-382D-41F9-8553-2D973CC85A05}"/>
    <cellStyle name="40% - Accent3 2 6 3" xfId="593" xr:uid="{00000000-0005-0000-0000-0000B0010000}"/>
    <cellStyle name="40% - Accent3 2 6 3 2" xfId="4952" xr:uid="{9C96A356-334D-4CEE-948C-6E710C783122}"/>
    <cellStyle name="40% - Accent3 2 6 4" xfId="4949" xr:uid="{735355B1-137D-4F88-8B49-2B3673BD63B1}"/>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266CF510-C50D-4C62-A346-BC606AD74CC9}"/>
    <cellStyle name="40% - Accent3 2 7 2 3" xfId="4954" xr:uid="{A9541F78-CF94-4AC0-AA08-0899A81FCBFE}"/>
    <cellStyle name="40% - Accent3 2 7 3" xfId="597" xr:uid="{00000000-0005-0000-0000-0000B4010000}"/>
    <cellStyle name="40% - Accent3 2 7 3 2" xfId="4956" xr:uid="{E33EFD75-2944-4506-A943-B4BD55CDAC26}"/>
    <cellStyle name="40% - Accent3 2 7 4" xfId="4953" xr:uid="{73D8DB54-58EF-4AC4-B765-2D4BE1AA8AAE}"/>
    <cellStyle name="40% - Accent3 2 8" xfId="598" xr:uid="{00000000-0005-0000-0000-0000B5010000}"/>
    <cellStyle name="40% - Accent3 2 8 2" xfId="599" xr:uid="{00000000-0005-0000-0000-0000B6010000}"/>
    <cellStyle name="40% - Accent3 2 8 2 2" xfId="4958" xr:uid="{AC94706A-07BE-48E7-96C7-D2B3A4F0B6FF}"/>
    <cellStyle name="40% - Accent3 2 8 3" xfId="4957" xr:uid="{FFB7FC60-CC47-42C8-B73A-3C5316EE3E01}"/>
    <cellStyle name="40% - Accent3 2 9" xfId="600" xr:uid="{00000000-0005-0000-0000-0000B7010000}"/>
    <cellStyle name="40% - Accent3 2 9 2" xfId="4959" xr:uid="{DFECCA8A-EF44-4E5F-A4FE-FD4D2FC8060C}"/>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2DBDD035-630C-442E-8771-DB78CF11C78E}"/>
    <cellStyle name="40% - Accent4 2 2 2 3" xfId="4961" xr:uid="{563BAF26-6269-413A-BEAD-2A211C29937D}"/>
    <cellStyle name="40% - Accent4 2 2 3" xfId="620" xr:uid="{00000000-0005-0000-0000-0000CC010000}"/>
    <cellStyle name="40% - Accent4 2 2 3 2" xfId="4963" xr:uid="{16AF0D35-4C7B-4C55-8AFB-2C31F302DD29}"/>
    <cellStyle name="40% - Accent4 2 2 4" xfId="4960" xr:uid="{F2E82A26-552C-4C20-B9F5-3C346DFDED77}"/>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FE3D7085-A1F1-473E-93EC-489788B92AE7}"/>
    <cellStyle name="40% - Accent4 2 3 2 3" xfId="4965" xr:uid="{4B9EE69A-E614-48A8-96F3-77DBCEA023D6}"/>
    <cellStyle name="40% - Accent4 2 3 3" xfId="624" xr:uid="{00000000-0005-0000-0000-0000D0010000}"/>
    <cellStyle name="40% - Accent4 2 3 3 2" xfId="4967" xr:uid="{8ECEF061-4AFC-453C-A280-61262F03AD97}"/>
    <cellStyle name="40% - Accent4 2 3 4" xfId="4964" xr:uid="{B0DBAA97-9C02-441A-9AF1-AEF6FD42B1AA}"/>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04504283-7462-4C1F-8F87-359DDAF6F3C5}"/>
    <cellStyle name="40% - Accent4 2 4 2 3" xfId="4969" xr:uid="{5B39A68E-94D2-4ADE-81E0-871910819D82}"/>
    <cellStyle name="40% - Accent4 2 4 3" xfId="628" xr:uid="{00000000-0005-0000-0000-0000D4010000}"/>
    <cellStyle name="40% - Accent4 2 4 3 2" xfId="4971" xr:uid="{2C4045A2-FADC-41E0-9F31-063592093B34}"/>
    <cellStyle name="40% - Accent4 2 4 4" xfId="4968" xr:uid="{E66FA9CB-D53D-4A80-8DB7-B834BE9C823B}"/>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B3E7004A-13D6-4ECC-9FB7-C8AF7CCA3D22}"/>
    <cellStyle name="40% - Accent4 2 5 2 3" xfId="4973" xr:uid="{92D45A64-3402-4421-A983-6F698B57FD6C}"/>
    <cellStyle name="40% - Accent4 2 5 3" xfId="632" xr:uid="{00000000-0005-0000-0000-0000D8010000}"/>
    <cellStyle name="40% - Accent4 2 5 3 2" xfId="4975" xr:uid="{0A269092-E9FB-4F67-9280-B0E55A4CB8C4}"/>
    <cellStyle name="40% - Accent4 2 5 4" xfId="4972" xr:uid="{391CA8A5-0213-47C9-8474-D3708B225A85}"/>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24E2B112-8856-4F3B-8EB9-F5DCE3CBF4FE}"/>
    <cellStyle name="40% - Accent4 2 6 2 3" xfId="4977" xr:uid="{EA9BFA75-A43E-468D-B7C3-9C3D43D20BB0}"/>
    <cellStyle name="40% - Accent4 2 6 3" xfId="636" xr:uid="{00000000-0005-0000-0000-0000DC010000}"/>
    <cellStyle name="40% - Accent4 2 6 3 2" xfId="4979" xr:uid="{69DD198B-AC07-47A9-B330-8DC3998749E9}"/>
    <cellStyle name="40% - Accent4 2 6 4" xfId="4976" xr:uid="{0115BF59-3762-4F35-B5F8-F028C6F1FD38}"/>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37EE87DB-895C-46E5-B2FA-72FB830E6656}"/>
    <cellStyle name="40% - Accent4 2 7 2 3" xfId="4981" xr:uid="{576EE210-1FFF-48C9-A501-9BE0B203EA31}"/>
    <cellStyle name="40% - Accent4 2 7 3" xfId="640" xr:uid="{00000000-0005-0000-0000-0000E0010000}"/>
    <cellStyle name="40% - Accent4 2 7 3 2" xfId="4983" xr:uid="{EE323471-C5AE-4214-A5AA-2FEA618466D4}"/>
    <cellStyle name="40% - Accent4 2 7 4" xfId="4980" xr:uid="{3B5BB942-7EF8-4687-A69E-90F753293E63}"/>
    <cellStyle name="40% - Accent4 2 8" xfId="641" xr:uid="{00000000-0005-0000-0000-0000E1010000}"/>
    <cellStyle name="40% - Accent4 2 8 2" xfId="642" xr:uid="{00000000-0005-0000-0000-0000E2010000}"/>
    <cellStyle name="40% - Accent4 2 8 2 2" xfId="4985" xr:uid="{16F39905-2A9A-475D-AE59-EEA57B75208A}"/>
    <cellStyle name="40% - Accent4 2 8 3" xfId="4984" xr:uid="{3DD2F357-4AE7-4BC5-B78E-209A1C3C95AF}"/>
    <cellStyle name="40% - Accent4 2 9" xfId="643" xr:uid="{00000000-0005-0000-0000-0000E3010000}"/>
    <cellStyle name="40% - Accent4 2 9 2" xfId="4986" xr:uid="{EE8083FB-1040-4592-BC33-980D7B33A60A}"/>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6D036CBE-C33D-48C3-AC51-303B31482484}"/>
    <cellStyle name="40% - Accent5 2 2 2 3" xfId="4988" xr:uid="{DB2E0C98-ED41-4708-A757-4F9CC802208F}"/>
    <cellStyle name="40% - Accent5 2 2 3" xfId="663" xr:uid="{00000000-0005-0000-0000-0000F8010000}"/>
    <cellStyle name="40% - Accent5 2 2 3 2" xfId="4990" xr:uid="{1A2D5660-771D-41A6-8ACA-CD4E29DE7604}"/>
    <cellStyle name="40% - Accent5 2 2 4" xfId="4987" xr:uid="{1FB5DF1E-1515-46E9-A646-F5B524549169}"/>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350944E6-344F-4FE6-935D-A06AEB64F75E}"/>
    <cellStyle name="40% - Accent5 2 3 2 3" xfId="4992" xr:uid="{ABF946E3-B401-4A4A-AA60-E41A1F94D2F0}"/>
    <cellStyle name="40% - Accent5 2 3 3" xfId="667" xr:uid="{00000000-0005-0000-0000-0000FC010000}"/>
    <cellStyle name="40% - Accent5 2 3 3 2" xfId="4994" xr:uid="{FF1D14FE-4049-4889-A84F-1E20AAB37A6C}"/>
    <cellStyle name="40% - Accent5 2 3 4" xfId="4991" xr:uid="{885C9972-91D8-4345-8199-DBDE15B09B51}"/>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F005AD37-6722-4795-9BDB-B0A5575EE1DA}"/>
    <cellStyle name="40% - Accent5 2 4 2 3" xfId="4996" xr:uid="{62B76BFA-08F6-4402-9657-D40E33BACC41}"/>
    <cellStyle name="40% - Accent5 2 4 3" xfId="671" xr:uid="{00000000-0005-0000-0000-000000020000}"/>
    <cellStyle name="40% - Accent5 2 4 3 2" xfId="4998" xr:uid="{CC809920-282F-4E58-9B8D-B171AF0A4A94}"/>
    <cellStyle name="40% - Accent5 2 4 4" xfId="4995" xr:uid="{71BAE03D-BB58-4546-8A0C-1EDE1C476CB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11B11208-EBE6-4F0C-80E7-609AA27E8059}"/>
    <cellStyle name="40% - Accent5 2 5 2 3" xfId="5000" xr:uid="{759CA60D-2D05-449B-BFA6-C2EDC80C8901}"/>
    <cellStyle name="40% - Accent5 2 5 3" xfId="675" xr:uid="{00000000-0005-0000-0000-000004020000}"/>
    <cellStyle name="40% - Accent5 2 5 3 2" xfId="5002" xr:uid="{335831AD-950C-4676-9D8A-5033A173EA69}"/>
    <cellStyle name="40% - Accent5 2 5 4" xfId="4999" xr:uid="{F3E9E09E-5A12-4F4D-AC78-FAE2A1032B4F}"/>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41F65F13-D616-45BB-9CCF-0A2AC761C692}"/>
    <cellStyle name="40% - Accent5 2 6 2 3" xfId="5004" xr:uid="{F3FC920F-174E-41B2-8210-C82796397674}"/>
    <cellStyle name="40% - Accent5 2 6 3" xfId="679" xr:uid="{00000000-0005-0000-0000-000008020000}"/>
    <cellStyle name="40% - Accent5 2 6 3 2" xfId="5006" xr:uid="{32CE7949-086E-4C10-91A0-0C7E23FDB5C0}"/>
    <cellStyle name="40% - Accent5 2 6 4" xfId="5003" xr:uid="{DE8B2BBA-E186-478E-AD21-7C92BD694C1B}"/>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BA9E850D-8221-4B8D-878D-597EAEF88BBE}"/>
    <cellStyle name="40% - Accent5 2 7 2 3" xfId="5008" xr:uid="{8E7BBE41-CFBC-4B8C-BFB3-2C5B8F5F8F4D}"/>
    <cellStyle name="40% - Accent5 2 7 3" xfId="683" xr:uid="{00000000-0005-0000-0000-00000C020000}"/>
    <cellStyle name="40% - Accent5 2 7 3 2" xfId="5010" xr:uid="{F50F9634-8D58-46C0-AB6A-0DEE5F062A41}"/>
    <cellStyle name="40% - Accent5 2 7 4" xfId="5007" xr:uid="{A8F4EE10-DC66-4599-8D03-1E9CF1E0B7E8}"/>
    <cellStyle name="40% - Accent5 2 8" xfId="684" xr:uid="{00000000-0005-0000-0000-00000D020000}"/>
    <cellStyle name="40% - Accent5 2 8 2" xfId="685" xr:uid="{00000000-0005-0000-0000-00000E020000}"/>
    <cellStyle name="40% - Accent5 2 8 2 2" xfId="5012" xr:uid="{1FE787FA-68DE-4A82-BBE5-069A242BA7D6}"/>
    <cellStyle name="40% - Accent5 2 8 3" xfId="5011" xr:uid="{4126D4A0-B785-40E6-9956-0795EC731647}"/>
    <cellStyle name="40% - Accent5 2 9" xfId="686" xr:uid="{00000000-0005-0000-0000-00000F020000}"/>
    <cellStyle name="40% - Accent5 2 9 2" xfId="5013" xr:uid="{D02C1AA8-7F8D-46F8-8A6E-DC74A607149B}"/>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F1ADAD3C-6B6E-48BC-A404-57AEEBAAF036}"/>
    <cellStyle name="40% - Accent6 2 2 2 3" xfId="5015" xr:uid="{5C05AE55-7351-4672-B125-72D65D822731}"/>
    <cellStyle name="40% - Accent6 2 2 3" xfId="706" xr:uid="{00000000-0005-0000-0000-000024020000}"/>
    <cellStyle name="40% - Accent6 2 2 3 2" xfId="5017" xr:uid="{73051037-693C-49F7-9F97-E1080D861707}"/>
    <cellStyle name="40% - Accent6 2 2 4" xfId="5014" xr:uid="{DA203C9E-8934-4C03-8C8F-BB4F223D55A2}"/>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8D525FA0-0F0C-43BD-B9DD-ED58C6F0C769}"/>
    <cellStyle name="40% - Accent6 2 3 2 3" xfId="5019" xr:uid="{83AEAF2A-483F-49DA-8B9A-318112562524}"/>
    <cellStyle name="40% - Accent6 2 3 3" xfId="710" xr:uid="{00000000-0005-0000-0000-000028020000}"/>
    <cellStyle name="40% - Accent6 2 3 3 2" xfId="5021" xr:uid="{575557DB-A5BB-417D-95C9-0D621BAA1A0D}"/>
    <cellStyle name="40% - Accent6 2 3 4" xfId="5018" xr:uid="{65B9982D-6999-4C32-BCBA-57BFE4FED80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3128A9B0-CEBC-4E75-B11F-16472E356BD2}"/>
    <cellStyle name="40% - Accent6 2 4 2 3" xfId="5023" xr:uid="{E660F6C5-E19A-4520-B1BB-D0C5805F4F48}"/>
    <cellStyle name="40% - Accent6 2 4 3" xfId="714" xr:uid="{00000000-0005-0000-0000-00002C020000}"/>
    <cellStyle name="40% - Accent6 2 4 3 2" xfId="5025" xr:uid="{9D1A4FCC-C062-404B-8AC4-51ECC60E650D}"/>
    <cellStyle name="40% - Accent6 2 4 4" xfId="5022" xr:uid="{AA7A522D-456F-4D39-AF6F-5333300C459B}"/>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EC6A6755-443F-406F-88B5-4E5A50E05803}"/>
    <cellStyle name="40% - Accent6 2 5 2 3" xfId="5027" xr:uid="{FD883E73-C56C-438D-AA52-E8E38EC143A5}"/>
    <cellStyle name="40% - Accent6 2 5 3" xfId="718" xr:uid="{00000000-0005-0000-0000-000030020000}"/>
    <cellStyle name="40% - Accent6 2 5 3 2" xfId="5029" xr:uid="{9B775066-FD3F-4760-97B1-57460F4BD312}"/>
    <cellStyle name="40% - Accent6 2 5 4" xfId="5026" xr:uid="{C256F892-3A08-4AA9-8BB6-BA435131CC25}"/>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386DA886-599B-488A-A5B3-DAA6DA8899A4}"/>
    <cellStyle name="40% - Accent6 2 6 2 3" xfId="5031" xr:uid="{2A6DF7AC-0821-422C-B98F-39093731118B}"/>
    <cellStyle name="40% - Accent6 2 6 3" xfId="722" xr:uid="{00000000-0005-0000-0000-000034020000}"/>
    <cellStyle name="40% - Accent6 2 6 3 2" xfId="5033" xr:uid="{3FD12F6C-76ED-4027-8903-D36A4A5CD7E2}"/>
    <cellStyle name="40% - Accent6 2 6 4" xfId="5030" xr:uid="{10C97925-88D9-4903-8AEB-E3B253FEA4A5}"/>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5B2E059D-538E-4BB5-91D1-98B35D9DEEFA}"/>
    <cellStyle name="40% - Accent6 2 7 2 3" xfId="5035" xr:uid="{A1692CAB-5514-49B2-990A-13237739430B}"/>
    <cellStyle name="40% - Accent6 2 7 3" xfId="726" xr:uid="{00000000-0005-0000-0000-000038020000}"/>
    <cellStyle name="40% - Accent6 2 7 3 2" xfId="5037" xr:uid="{E4C25E6B-D78A-40EF-A259-0CB92DC41088}"/>
    <cellStyle name="40% - Accent6 2 7 4" xfId="5034" xr:uid="{D1A0D293-6D5C-4B47-A225-86D505E0C999}"/>
    <cellStyle name="40% - Accent6 2 8" xfId="727" xr:uid="{00000000-0005-0000-0000-000039020000}"/>
    <cellStyle name="40% - Accent6 2 8 2" xfId="728" xr:uid="{00000000-0005-0000-0000-00003A020000}"/>
    <cellStyle name="40% - Accent6 2 8 2 2" xfId="5039" xr:uid="{D34D2161-EDB7-4876-807A-8EB85B9E90F8}"/>
    <cellStyle name="40% - Accent6 2 8 3" xfId="5038" xr:uid="{9777B8AD-D06F-468F-ACBE-BD9AD87123CD}"/>
    <cellStyle name="40% - Accent6 2 9" xfId="729" xr:uid="{00000000-0005-0000-0000-00003B020000}"/>
    <cellStyle name="40% - Accent6 2 9 2" xfId="5040" xr:uid="{AD7122F6-B338-49B2-8156-BB5F14E682B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05D1E500-D86D-4392-83A1-8CC5C72D4B3D}"/>
    <cellStyle name="Comma [0] 4" xfId="4174" xr:uid="{00000000-0005-0000-0000-0000CC030000}"/>
    <cellStyle name="Comma [0] 4 2" xfId="5065" xr:uid="{9081E65D-C1AA-4776-BB5F-40D9B7B713D3}"/>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4F0C874-67FA-4858-B337-CBBAFFC618B7}"/>
    <cellStyle name="Comma 10 5" xfId="4499" xr:uid="{00000000-0005-0000-0000-0000DA030000}"/>
    <cellStyle name="Comma 10 5 2" xfId="5086" xr:uid="{3E6AF834-CC00-454D-8B24-4D73E4F8AB4D}"/>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A21D6A42-8D7C-4B4D-AA66-20A37548AECA}"/>
    <cellStyle name="Comma 12 2 3" xfId="5171" xr:uid="{8696D2DF-141D-415B-8154-F322932128A8}"/>
    <cellStyle name="Comma 12 3" xfId="4678" xr:uid="{00000000-0005-0000-0000-0000E0030000}"/>
    <cellStyle name="Comma 12 3 2" xfId="5166" xr:uid="{1A1EBCDC-32C5-4B3D-98DC-8CE049F49CB3}"/>
    <cellStyle name="Comma 13" xfId="1043" xr:uid="{00000000-0005-0000-0000-0000E1030000}"/>
    <cellStyle name="Comma 13 2" xfId="4681" xr:uid="{00000000-0005-0000-0000-0000E2030000}"/>
    <cellStyle name="Comma 13 2 2" xfId="4691" xr:uid="{00000000-0005-0000-0000-0000E3030000}"/>
    <cellStyle name="Comma 13 2 2 2" xfId="5178" xr:uid="{D51128C2-6C6F-4071-994B-EC4210B9CE7B}"/>
    <cellStyle name="Comma 13 2 3" xfId="5168" xr:uid="{C1D19D87-C1B0-43E9-B865-56A7058555A7}"/>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72A4038F-98B6-4E74-BF65-5CC3204C89B5}"/>
    <cellStyle name="Comma 2 3" xfId="1051" xr:uid="{00000000-0005-0000-0000-0000ED030000}"/>
    <cellStyle name="Comma 2 3 2" xfId="1052" xr:uid="{00000000-0005-0000-0000-0000EE030000}"/>
    <cellStyle name="Comma 2 3 2 2" xfId="1053" xr:uid="{00000000-0005-0000-0000-0000EF030000}"/>
    <cellStyle name="Comma 2 3 2 2 2" xfId="5043" xr:uid="{59C18215-107E-438D-A463-56DF9502244C}"/>
    <cellStyle name="Comma 2 3 2 3" xfId="5042" xr:uid="{7375947C-189E-4F70-9CEE-40731D1D3924}"/>
    <cellStyle name="Comma 2 3 3" xfId="1054" xr:uid="{00000000-0005-0000-0000-0000F0030000}"/>
    <cellStyle name="Comma 2 3 3 2" xfId="5044" xr:uid="{EC0606F0-4576-48A6-9297-7F57ABA58F06}"/>
    <cellStyle name="Comma 2 3 4" xfId="5041" xr:uid="{47EC9724-3B39-45A5-A194-7E2B23E62EC5}"/>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51AB85C5-E0B7-4BC2-8465-990D56C01BAD}"/>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0D4F3AF0-64C9-4C9F-8BBA-16ABC58B6865}"/>
    <cellStyle name="Comma 8 2 4" xfId="4502" xr:uid="{00000000-0005-0000-0000-000058040000}"/>
    <cellStyle name="Comma 8 2 4 2" xfId="5088" xr:uid="{8BDB78ED-1621-4081-929D-CD9DDFCBE191}"/>
    <cellStyle name="Comma 8 2 5" xfId="4503" xr:uid="{00000000-0005-0000-0000-000059040000}"/>
    <cellStyle name="Comma 8 2 5 2" xfId="5089" xr:uid="{8B4B043B-A555-49C4-87F8-55FE499363AE}"/>
    <cellStyle name="Comma 8 3" xfId="4504" xr:uid="{00000000-0005-0000-0000-00005A040000}"/>
    <cellStyle name="Comma 8 4" xfId="4505" xr:uid="{00000000-0005-0000-0000-00005B040000}"/>
    <cellStyle name="Comma 8 4 2" xfId="5090" xr:uid="{83D07942-3930-4D0B-AA68-D6AEABBE117F}"/>
    <cellStyle name="Comma 8 5" xfId="4506" xr:uid="{00000000-0005-0000-0000-00005C040000}"/>
    <cellStyle name="Comma 8 5 2" xfId="5091" xr:uid="{AB66DD7A-8AAB-4A05-9ECE-27319193A3E6}"/>
    <cellStyle name="Comma 8 6" xfId="4507" xr:uid="{00000000-0005-0000-0000-00005D040000}"/>
    <cellStyle name="Comma 8 6 2" xfId="5092" xr:uid="{5B0CB201-FD1C-4020-81E6-C126AA1C3EEC}"/>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D5D6F030-D78C-4FB5-9C69-0D11DD978E27}"/>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71DFD24-9891-42FB-9765-5B79A0CEC672}"/>
    <cellStyle name="Currency 2 3 2 3" xfId="5045" xr:uid="{8C7DC6EB-83E4-4200-96CF-22E2D2BB3318}"/>
    <cellStyle name="Currency 2 3 3" xfId="1328" xr:uid="{00000000-0005-0000-0000-00002B050000}"/>
    <cellStyle name="Currency 2 3 3 2" xfId="1329" xr:uid="{00000000-0005-0000-0000-00002C050000}"/>
    <cellStyle name="Currency 2 3 3 2 2" xfId="5048" xr:uid="{7C08CB55-BFD9-424E-AA83-81B4407B6065}"/>
    <cellStyle name="Currency 2 3 3 3" xfId="5047" xr:uid="{00F51581-4063-4992-9CAA-D4E648176E6E}"/>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D59D5DF9-A7CA-41D0-A1B3-46F0D7D485E5}"/>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A4AEB430-C94B-4385-9614-1AF9F1EF5FFD}"/>
    <cellStyle name="Normal 12 2 4 3" xfId="5164" xr:uid="{11E64244-2206-4519-A875-AD27DA0B545D}"/>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3E7D9401-5AD1-45EA-BF47-0C5EBC363D7F}"/>
    <cellStyle name="Normal 13 2 2 3" xfId="5167" xr:uid="{20B3B542-E38F-4B73-A1C7-3D53EB95B62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B0E940D8-4A72-4864-B7D9-E89BCFF72612}"/>
    <cellStyle name="Normal 15 2 3" xfId="5173" xr:uid="{8456F47C-3D28-4EE3-B8BF-B724B8B6089D}"/>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0FB5ED95-902D-4DA0-848F-EE679994DEF1}"/>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2402406A-6384-43BE-B78B-1E207D4E6F41}"/>
    <cellStyle name="Normal 17 2 2 2 3" xfId="5051" xr:uid="{53F77FDD-0BA0-4177-AB04-B932219235A7}"/>
    <cellStyle name="Normal 17 2 2 3" xfId="2284" xr:uid="{00000000-0005-0000-0000-000067090000}"/>
    <cellStyle name="Normal 17 2 2 3 2" xfId="5053" xr:uid="{68C8D1A3-A9B8-4957-A9CF-9AA50CEB9765}"/>
    <cellStyle name="Normal 17 2 2 4" xfId="5050" xr:uid="{1853EC32-E894-4712-BB98-14471A85D851}"/>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1324C5ED-CEAA-4599-B9F5-DFA8439E743B}"/>
    <cellStyle name="Normal 17 2 3 2 3" xfId="5055" xr:uid="{733053E1-F3B5-4BC8-AFD8-3774D8494D3F}"/>
    <cellStyle name="Normal 17 2 3 3" xfId="2288" xr:uid="{00000000-0005-0000-0000-00006B090000}"/>
    <cellStyle name="Normal 17 2 3 3 2" xfId="5057" xr:uid="{05B180E3-9E62-47CE-B28A-ED649A778C4A}"/>
    <cellStyle name="Normal 17 2 3 4" xfId="5054" xr:uid="{79D089CE-759F-44AA-9964-7518A3968AEE}"/>
    <cellStyle name="Normal 17 2 4" xfId="2289" xr:uid="{00000000-0005-0000-0000-00006C090000}"/>
    <cellStyle name="Normal 17 2 4 2" xfId="2290" xr:uid="{00000000-0005-0000-0000-00006D090000}"/>
    <cellStyle name="Normal 17 2 4 2 2" xfId="5059" xr:uid="{8F856DF1-7555-4DB3-B681-DB30C90519B2}"/>
    <cellStyle name="Normal 17 2 4 3" xfId="5058" xr:uid="{B8F0135C-7ACD-418A-81E0-3C5F84226F09}"/>
    <cellStyle name="Normal 17 2 5" xfId="2291" xr:uid="{00000000-0005-0000-0000-00006E090000}"/>
    <cellStyle name="Normal 17 2 5 2" xfId="5060" xr:uid="{A226B494-39A3-4D67-824D-7CE94AF6D39F}"/>
    <cellStyle name="Normal 17 2 6" xfId="5049" xr:uid="{98B4F5AF-EB43-42CE-A681-F5AE8D40C9AA}"/>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858EBCEF-87A7-4762-9D17-D9B34ED4C914}"/>
    <cellStyle name="Normal 2 19 2 3" xfId="5062" xr:uid="{56791E47-9F36-4913-97AA-DF38A755061F}"/>
    <cellStyle name="Normal 2 19 3" xfId="2474" xr:uid="{00000000-0005-0000-0000-0000260A0000}"/>
    <cellStyle name="Normal 2 19 3 2" xfId="5064" xr:uid="{A8B056BD-C9AE-473B-8DC5-3688C11DCF39}"/>
    <cellStyle name="Normal 2 19 4" xfId="5061" xr:uid="{17A17744-AC2B-492C-A1C9-83E9D73E4432}"/>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B7B5E00B-0624-49AF-B41F-C75AB166E125}"/>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565ECC3F-4913-47C2-A909-398F18051E9A}"/>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8F1F7B5E-A239-4BF4-9539-CFA1FBB9CD3D}"/>
    <cellStyle name="Normal 51" xfId="4328" xr:uid="{00000000-0005-0000-0000-0000A50E0000}"/>
    <cellStyle name="Normal 51 2" xfId="5069" xr:uid="{8E5018A5-E88F-49E7-99D3-48224AB78C8D}"/>
    <cellStyle name="Normal 52" xfId="4329" xr:uid="{00000000-0005-0000-0000-0000A60E0000}"/>
    <cellStyle name="Normal 52 2" xfId="5070" xr:uid="{27DBF479-D1BF-40ED-8150-5E75B5C758D6}"/>
    <cellStyle name="Normal 53" xfId="4330" xr:uid="{00000000-0005-0000-0000-0000A70E0000}"/>
    <cellStyle name="Normal 53 2" xfId="5071" xr:uid="{1C1D47CD-52D1-4BF7-85A7-B5C8BBE3A19F}"/>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122879A6-E174-4F03-BA68-AF6E6E5D61E3}"/>
    <cellStyle name="Normal 59" xfId="4338" xr:uid="{00000000-0005-0000-0000-0000AF0E0000}"/>
    <cellStyle name="Normal 59 2" xfId="5073" xr:uid="{BCF2D897-13F8-4A78-848D-A26BD05EE49D}"/>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A139D8E8-8E8A-4F43-B8F3-F852AEF91F3F}"/>
    <cellStyle name="Normal 6 2 2 2 2 3" xfId="4533" xr:uid="{00000000-0005-0000-0000-0000B60E0000}"/>
    <cellStyle name="Normal 6 2 2 2 2 3 2" xfId="5097" xr:uid="{A0D66392-C25B-4A73-8925-699CFD9F6FD7}"/>
    <cellStyle name="Normal 6 2 2 2 2 4" xfId="4534" xr:uid="{00000000-0005-0000-0000-0000B70E0000}"/>
    <cellStyle name="Normal 6 2 2 2 2 4 2" xfId="5098" xr:uid="{96E5249B-E54F-477A-9A4A-102F6FE397AC}"/>
    <cellStyle name="Normal 6 2 2 2 2 5" xfId="5095" xr:uid="{A190DB5C-7669-4674-B4BE-961E9965C2A7}"/>
    <cellStyle name="Normal 6 2 2 2 3" xfId="4535" xr:uid="{00000000-0005-0000-0000-0000B80E0000}"/>
    <cellStyle name="Normal 6 2 2 2 3 2" xfId="5099" xr:uid="{24F89F79-A812-4A3D-9131-A9D612D7AFE0}"/>
    <cellStyle name="Normal 6 2 2 2 4" xfId="4536" xr:uid="{00000000-0005-0000-0000-0000B90E0000}"/>
    <cellStyle name="Normal 6 2 2 2 4 2" xfId="5100" xr:uid="{BFDF50DF-E44F-41CB-8986-C8612BC899A6}"/>
    <cellStyle name="Normal 6 2 2 2 5" xfId="4537" xr:uid="{00000000-0005-0000-0000-0000BA0E0000}"/>
    <cellStyle name="Normal 6 2 2 2 5 2" xfId="5101" xr:uid="{0049B3F0-461D-486D-9C9D-47A0F59E5DC8}"/>
    <cellStyle name="Normal 6 2 2 2 6" xfId="5094" xr:uid="{01B2AD52-5D5C-4FC6-B439-77C2B08DB18C}"/>
    <cellStyle name="Normal 6 2 2 3" xfId="4538" xr:uid="{00000000-0005-0000-0000-0000BB0E0000}"/>
    <cellStyle name="Normal 6 2 2 3 2" xfId="4539" xr:uid="{00000000-0005-0000-0000-0000BC0E0000}"/>
    <cellStyle name="Normal 6 2 2 3 2 2" xfId="5103" xr:uid="{589CBC5E-C4A7-4089-9A48-31C53352D7C5}"/>
    <cellStyle name="Normal 6 2 2 3 3" xfId="4540" xr:uid="{00000000-0005-0000-0000-0000BD0E0000}"/>
    <cellStyle name="Normal 6 2 2 3 3 2" xfId="5104" xr:uid="{E7F357CE-CC90-4465-B01C-1649BC471A6B}"/>
    <cellStyle name="Normal 6 2 2 3 4" xfId="4541" xr:uid="{00000000-0005-0000-0000-0000BE0E0000}"/>
    <cellStyle name="Normal 6 2 2 3 4 2" xfId="5105" xr:uid="{607DD675-10EF-43C1-B7C0-616BBF42E4F3}"/>
    <cellStyle name="Normal 6 2 2 3 5" xfId="5102" xr:uid="{34880083-4821-4A5D-AECD-AA0FD7E78C26}"/>
    <cellStyle name="Normal 6 2 2 4" xfId="4542" xr:uid="{00000000-0005-0000-0000-0000BF0E0000}"/>
    <cellStyle name="Normal 6 2 2 4 2" xfId="5106" xr:uid="{C5CE98D1-052C-480B-8B39-F45E4B7E7940}"/>
    <cellStyle name="Normal 6 2 2 5" xfId="4543" xr:uid="{00000000-0005-0000-0000-0000C00E0000}"/>
    <cellStyle name="Normal 6 2 2 5 2" xfId="5107" xr:uid="{A2A4CEB1-3F3A-4385-AAFB-C0DD4BE29CDA}"/>
    <cellStyle name="Normal 6 2 2 6" xfId="4544" xr:uid="{00000000-0005-0000-0000-0000C10E0000}"/>
    <cellStyle name="Normal 6 2 2 6 2" xfId="5108" xr:uid="{2C763247-DAA8-45DA-A699-AE6E44A2B821}"/>
    <cellStyle name="Normal 6 2 3" xfId="4545" xr:uid="{00000000-0005-0000-0000-0000C20E0000}"/>
    <cellStyle name="Normal 6 2 3 2" xfId="4546" xr:uid="{00000000-0005-0000-0000-0000C30E0000}"/>
    <cellStyle name="Normal 6 2 3 2 2" xfId="4547" xr:uid="{00000000-0005-0000-0000-0000C40E0000}"/>
    <cellStyle name="Normal 6 2 3 2 2 2" xfId="5111" xr:uid="{0E2EDEFE-D7EB-42F1-8D04-DA08A849BF34}"/>
    <cellStyle name="Normal 6 2 3 2 3" xfId="4548" xr:uid="{00000000-0005-0000-0000-0000C50E0000}"/>
    <cellStyle name="Normal 6 2 3 2 3 2" xfId="5112" xr:uid="{9175A98A-935E-43E4-9B41-4083229D1110}"/>
    <cellStyle name="Normal 6 2 3 2 4" xfId="4549" xr:uid="{00000000-0005-0000-0000-0000C60E0000}"/>
    <cellStyle name="Normal 6 2 3 2 4 2" xfId="5113" xr:uid="{62A5D183-0F2E-4BD2-954E-D293E91F03FE}"/>
    <cellStyle name="Normal 6 2 3 2 5" xfId="5110" xr:uid="{2185C36D-7F1A-4C9F-BA37-3B82D7892E1C}"/>
    <cellStyle name="Normal 6 2 3 3" xfId="4550" xr:uid="{00000000-0005-0000-0000-0000C70E0000}"/>
    <cellStyle name="Normal 6 2 3 3 2" xfId="5114" xr:uid="{EF39BC97-1F2C-407F-BE3F-24AB28E9882F}"/>
    <cellStyle name="Normal 6 2 3 4" xfId="4551" xr:uid="{00000000-0005-0000-0000-0000C80E0000}"/>
    <cellStyle name="Normal 6 2 3 4 2" xfId="5115" xr:uid="{82509D33-2F4D-4FBB-A4BA-2971743D6B39}"/>
    <cellStyle name="Normal 6 2 3 5" xfId="4552" xr:uid="{00000000-0005-0000-0000-0000C90E0000}"/>
    <cellStyle name="Normal 6 2 3 5 2" xfId="5116" xr:uid="{1074A8D7-EA4B-4738-A90B-FE1A25D0ED6D}"/>
    <cellStyle name="Normal 6 2 3 6" xfId="5109" xr:uid="{34FB5891-EE69-45CE-9729-FA783BE0A440}"/>
    <cellStyle name="Normal 6 2 4" xfId="4553" xr:uid="{00000000-0005-0000-0000-0000CA0E0000}"/>
    <cellStyle name="Normal 6 2 4 2" xfId="4554" xr:uid="{00000000-0005-0000-0000-0000CB0E0000}"/>
    <cellStyle name="Normal 6 2 4 2 2" xfId="5118" xr:uid="{F3E31FAA-DCF6-4838-8384-63DA3CBD0484}"/>
    <cellStyle name="Normal 6 2 4 3" xfId="4555" xr:uid="{00000000-0005-0000-0000-0000CC0E0000}"/>
    <cellStyle name="Normal 6 2 4 3 2" xfId="5119" xr:uid="{1159348A-D355-4620-BECB-DA586F6B023F}"/>
    <cellStyle name="Normal 6 2 4 4" xfId="4556" xr:uid="{00000000-0005-0000-0000-0000CD0E0000}"/>
    <cellStyle name="Normal 6 2 4 4 2" xfId="5120" xr:uid="{98F409C4-78F3-4F55-8416-C7AE612B4050}"/>
    <cellStyle name="Normal 6 2 4 5" xfId="5117" xr:uid="{7B860257-793F-48EC-8333-96B4ADE99933}"/>
    <cellStyle name="Normal 6 2 5" xfId="4557" xr:uid="{00000000-0005-0000-0000-0000CE0E0000}"/>
    <cellStyle name="Normal 6 2 5 2" xfId="5121" xr:uid="{D9805B58-0288-421E-BDE1-F031ADC00F81}"/>
    <cellStyle name="Normal 6 2 6" xfId="4558" xr:uid="{00000000-0005-0000-0000-0000CF0E0000}"/>
    <cellStyle name="Normal 6 2 6 2" xfId="5122" xr:uid="{B460AC98-B586-4694-9C97-F7CA5AEB3428}"/>
    <cellStyle name="Normal 6 2 7" xfId="4559" xr:uid="{00000000-0005-0000-0000-0000D00E0000}"/>
    <cellStyle name="Normal 6 2 7 2" xfId="5123" xr:uid="{5BF3EE63-859A-4562-8D27-B6936EAE4B96}"/>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F7514508-EE2E-4F52-84D0-CDDE4095EC46}"/>
    <cellStyle name="Normal 6 3 2 2 3" xfId="4562" xr:uid="{00000000-0005-0000-0000-0000D50E0000}"/>
    <cellStyle name="Normal 6 3 2 2 3 2" xfId="5126" xr:uid="{8F02485D-6076-400A-922D-4024D0A51D6F}"/>
    <cellStyle name="Normal 6 3 2 2 4" xfId="4563" xr:uid="{00000000-0005-0000-0000-0000D60E0000}"/>
    <cellStyle name="Normal 6 3 2 2 4 2" xfId="5127" xr:uid="{4BC357A4-9AAE-46A9-9737-B9C3DACF08C2}"/>
    <cellStyle name="Normal 6 3 2 2 5" xfId="5124" xr:uid="{6D264E45-97F5-462E-8351-14A3081C4835}"/>
    <cellStyle name="Normal 6 3 2 3" xfId="4564" xr:uid="{00000000-0005-0000-0000-0000D70E0000}"/>
    <cellStyle name="Normal 6 3 2 3 2" xfId="5128" xr:uid="{1B35964C-67E7-4028-8D4A-1BCEE18DEAB5}"/>
    <cellStyle name="Normal 6 3 2 4" xfId="4565" xr:uid="{00000000-0005-0000-0000-0000D80E0000}"/>
    <cellStyle name="Normal 6 3 2 4 2" xfId="5129" xr:uid="{310532FE-9A5F-412A-BC17-DDC27D963037}"/>
    <cellStyle name="Normal 6 3 2 5" xfId="4566" xr:uid="{00000000-0005-0000-0000-0000D90E0000}"/>
    <cellStyle name="Normal 6 3 2 5 2" xfId="5130" xr:uid="{4537DBC8-4BF6-4A57-BE0A-62A5BF30E24D}"/>
    <cellStyle name="Normal 6 3 3" xfId="4567" xr:uid="{00000000-0005-0000-0000-0000DA0E0000}"/>
    <cellStyle name="Normal 6 3 3 2" xfId="4568" xr:uid="{00000000-0005-0000-0000-0000DB0E0000}"/>
    <cellStyle name="Normal 6 3 3 2 2" xfId="5132" xr:uid="{AD52B014-286B-49C4-AEA9-BC7E069082F6}"/>
    <cellStyle name="Normal 6 3 3 3" xfId="4569" xr:uid="{00000000-0005-0000-0000-0000DC0E0000}"/>
    <cellStyle name="Normal 6 3 3 3 2" xfId="5133" xr:uid="{3B1DC3E5-D1A3-4183-884D-501DD66AF4BD}"/>
    <cellStyle name="Normal 6 3 3 4" xfId="4570" xr:uid="{00000000-0005-0000-0000-0000DD0E0000}"/>
    <cellStyle name="Normal 6 3 3 4 2" xfId="5134" xr:uid="{370B4BC6-AD7E-43C6-994B-0403C7F8B4BE}"/>
    <cellStyle name="Normal 6 3 3 5" xfId="5131" xr:uid="{7340F298-8EE2-4A17-AC56-801263CCB6E0}"/>
    <cellStyle name="Normal 6 3 4" xfId="4571" xr:uid="{00000000-0005-0000-0000-0000DE0E0000}"/>
    <cellStyle name="Normal 6 3 4 2" xfId="5135" xr:uid="{5C6DBAC1-3E89-4478-BA53-DCF24B261738}"/>
    <cellStyle name="Normal 6 3 5" xfId="4572" xr:uid="{00000000-0005-0000-0000-0000DF0E0000}"/>
    <cellStyle name="Normal 6 3 5 2" xfId="5136" xr:uid="{017826B4-87D7-46B9-BDA4-000AE5C5B76A}"/>
    <cellStyle name="Normal 6 3 6" xfId="4573" xr:uid="{00000000-0005-0000-0000-0000E00E0000}"/>
    <cellStyle name="Normal 6 3 6 2" xfId="5137" xr:uid="{0066922D-AFE4-41FB-BE8C-DB6C26F0663F}"/>
    <cellStyle name="Normal 6 4" xfId="3621" xr:uid="{00000000-0005-0000-0000-0000E10E0000}"/>
    <cellStyle name="Normal 6 4 2" xfId="3622" xr:uid="{00000000-0005-0000-0000-0000E20E0000}"/>
    <cellStyle name="Normal 6 4 2 2" xfId="4574" xr:uid="{00000000-0005-0000-0000-0000E30E0000}"/>
    <cellStyle name="Normal 6 4 2 2 2" xfId="5138" xr:uid="{7266E7D6-CCEC-47AE-AF35-EC79BDD98519}"/>
    <cellStyle name="Normal 6 4 2 3" xfId="4575" xr:uid="{00000000-0005-0000-0000-0000E40E0000}"/>
    <cellStyle name="Normal 6 4 2 3 2" xfId="5139" xr:uid="{5E63EBF5-B455-4B71-A5F9-FFCC2BF243C3}"/>
    <cellStyle name="Normal 6 4 2 4" xfId="4576" xr:uid="{00000000-0005-0000-0000-0000E50E0000}"/>
    <cellStyle name="Normal 6 4 2 4 2" xfId="5140" xr:uid="{B2AE2185-7A09-4BF4-BD06-5F2546ACC7AE}"/>
    <cellStyle name="Normal 6 4 3" xfId="4577" xr:uid="{00000000-0005-0000-0000-0000E60E0000}"/>
    <cellStyle name="Normal 6 4 3 2" xfId="5141" xr:uid="{B940928B-6915-447A-8CE4-EE2B61583652}"/>
    <cellStyle name="Normal 6 4 4" xfId="4578" xr:uid="{00000000-0005-0000-0000-0000E70E0000}"/>
    <cellStyle name="Normal 6 4 4 2" xfId="5142" xr:uid="{B400CAA4-C701-4C05-8270-5603F421EE07}"/>
    <cellStyle name="Normal 6 4 5" xfId="4579" xr:uid="{00000000-0005-0000-0000-0000E80E0000}"/>
    <cellStyle name="Normal 6 4 5 2" xfId="5143" xr:uid="{40A69021-606F-4C13-92E2-D116ACD20573}"/>
    <cellStyle name="Normal 6 5" xfId="3623" xr:uid="{00000000-0005-0000-0000-0000E90E0000}"/>
    <cellStyle name="Normal 6 5 2" xfId="3624" xr:uid="{00000000-0005-0000-0000-0000EA0E0000}"/>
    <cellStyle name="Normal 6 5 3" xfId="4580" xr:uid="{00000000-0005-0000-0000-0000EB0E0000}"/>
    <cellStyle name="Normal 6 5 3 2" xfId="5144" xr:uid="{DBB182D6-3943-46D9-ABB4-060DB84CF3F8}"/>
    <cellStyle name="Normal 6 5 4" xfId="4581" xr:uid="{00000000-0005-0000-0000-0000EC0E0000}"/>
    <cellStyle name="Normal 6 5 4 2" xfId="5145" xr:uid="{752966F7-82DD-4CF0-B961-BA355B518278}"/>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72BC2F98-FB47-4459-BC5F-9040E07F8BEB}"/>
    <cellStyle name="Normal 60" xfId="4339" xr:uid="{00000000-0005-0000-0000-0000F10E0000}"/>
    <cellStyle name="Normal 60 2" xfId="5074" xr:uid="{57FFC9E5-DA73-40A3-880C-AD7C9F3478AA}"/>
    <cellStyle name="Normal 61" xfId="4340" xr:uid="{00000000-0005-0000-0000-0000F20E0000}"/>
    <cellStyle name="Normal 61 2" xfId="5075" xr:uid="{14C8E548-D158-4C03-81E9-8146148D4BFE}"/>
    <cellStyle name="Normal 62" xfId="4341" xr:uid="{00000000-0005-0000-0000-0000F30E0000}"/>
    <cellStyle name="Normal 62 2" xfId="5076" xr:uid="{4F132B2A-15F5-4C83-905D-442D74FED9F7}"/>
    <cellStyle name="Normal 63" xfId="4342" xr:uid="{00000000-0005-0000-0000-0000F40E0000}"/>
    <cellStyle name="Normal 63 2" xfId="5077" xr:uid="{34E6B33E-2E71-4E8E-AE1C-1731BF22C2DD}"/>
    <cellStyle name="Normal 64" xfId="4343" xr:uid="{00000000-0005-0000-0000-0000F50E0000}"/>
    <cellStyle name="Normal 64 2" xfId="5078" xr:uid="{5D8233A1-2680-4FB2-B6C5-0AEF7BD7AC19}"/>
    <cellStyle name="Normal 65" xfId="4470" xr:uid="{00000000-0005-0000-0000-0000F60E0000}"/>
    <cellStyle name="Normal 65 2" xfId="5082" xr:uid="{F6581FCB-C68C-4B05-92F1-E8C3A336C6E7}"/>
    <cellStyle name="Normal 66" xfId="4667" xr:uid="{00000000-0005-0000-0000-0000F70E0000}"/>
    <cellStyle name="Normal 67" xfId="4671" xr:uid="{00000000-0005-0000-0000-0000F80E0000}"/>
    <cellStyle name="Normal 67 2" xfId="5162" xr:uid="{3168AF94-856E-4640-B322-D0222618CB3A}"/>
    <cellStyle name="Normal 68" xfId="4695" xr:uid="{930C09BD-5977-4784-89E7-46D7EC3F37FF}"/>
    <cellStyle name="Normal 69" xfId="4344" xr:uid="{00000000-0005-0000-0000-0000F90E0000}"/>
    <cellStyle name="Normal 69 2" xfId="5079" xr:uid="{A55B816E-80FF-4722-99EA-D97522EFB356}"/>
    <cellStyle name="Normal 69 3" xfId="4345" xr:uid="{00000000-0005-0000-0000-0000FA0E0000}"/>
    <cellStyle name="Normal 69 3 2" xfId="5080" xr:uid="{808796DB-9763-411E-B991-1B2B215337B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9A73182E-0914-46CD-974D-FA94D153858C}"/>
    <cellStyle name="Normal 8 2" xfId="3639" xr:uid="{00000000-0005-0000-0000-0000090F0000}"/>
    <cellStyle name="Normal 8 2 2" xfId="3640" xr:uid="{00000000-0005-0000-0000-00000A0F0000}"/>
    <cellStyle name="Normal 8 2 2 2" xfId="4582" xr:uid="{00000000-0005-0000-0000-00000B0F0000}"/>
    <cellStyle name="Normal 8 2 2 2 2" xfId="5146" xr:uid="{60CED35F-30F9-4731-8D91-682D1B0691F7}"/>
    <cellStyle name="Normal 8 2 2 3" xfId="4583" xr:uid="{00000000-0005-0000-0000-00000C0F0000}"/>
    <cellStyle name="Normal 8 2 2 3 2" xfId="5147" xr:uid="{D22588D4-0272-4BED-874B-622E91DD6483}"/>
    <cellStyle name="Normal 8 2 2 4" xfId="4584" xr:uid="{00000000-0005-0000-0000-00000D0F0000}"/>
    <cellStyle name="Normal 8 2 2 4 2" xfId="5148" xr:uid="{CC6F30FE-9CD4-4183-B299-FF79DCF1791B}"/>
    <cellStyle name="Normal 8 2 3" xfId="4585" xr:uid="{00000000-0005-0000-0000-00000E0F0000}"/>
    <cellStyle name="Normal 8 2 3 2" xfId="5149" xr:uid="{8F73B31B-5DDC-4AF0-A558-129E70FA0820}"/>
    <cellStyle name="Normal 8 2 4" xfId="4586" xr:uid="{00000000-0005-0000-0000-00000F0F0000}"/>
    <cellStyle name="Normal 8 2 4 2" xfId="5150" xr:uid="{87AFFAE2-DAB6-466D-A432-06B918C77505}"/>
    <cellStyle name="Normal 8 2 5" xfId="4587" xr:uid="{00000000-0005-0000-0000-0000100F0000}"/>
    <cellStyle name="Normal 8 2 5 2" xfId="5151" xr:uid="{5D50ABEF-2F91-4F22-A2B4-A225AD25694E}"/>
    <cellStyle name="Normal 8 3" xfId="3641" xr:uid="{00000000-0005-0000-0000-0000110F0000}"/>
    <cellStyle name="Normal 8 3 2" xfId="3642" xr:uid="{00000000-0005-0000-0000-0000120F0000}"/>
    <cellStyle name="Normal 8 3 3" xfId="4588" xr:uid="{00000000-0005-0000-0000-0000130F0000}"/>
    <cellStyle name="Normal 8 3 3 2" xfId="5152" xr:uid="{BC885877-A9FB-48F1-AD1B-F8BBF4ADFDE4}"/>
    <cellStyle name="Normal 8 3 4" xfId="4589" xr:uid="{00000000-0005-0000-0000-0000140F0000}"/>
    <cellStyle name="Normal 8 3 4 2" xfId="5153" xr:uid="{4F6FB80C-C0B3-437D-B543-548B70CD81A3}"/>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7BFDB635-DA04-4DEB-8CD6-8F1FE3124A4A}"/>
    <cellStyle name="Normal 9 2 2 4" xfId="4591" xr:uid="{00000000-0005-0000-0000-00003A0F0000}"/>
    <cellStyle name="Normal 9 2 2 4 2" xfId="5155" xr:uid="{733A4F87-A0C2-4625-B88C-6F2E441D1B91}"/>
    <cellStyle name="Normal 9 2 3" xfId="3679" xr:uid="{00000000-0005-0000-0000-00003B0F0000}"/>
    <cellStyle name="Normal 9 2 4" xfId="4592" xr:uid="{00000000-0005-0000-0000-00003C0F0000}"/>
    <cellStyle name="Normal 9 2 4 2" xfId="5156" xr:uid="{5BEB2445-D032-4834-AA3E-C329B8AC78B6}"/>
    <cellStyle name="Normal 9 2 5" xfId="4593" xr:uid="{00000000-0005-0000-0000-00003D0F0000}"/>
    <cellStyle name="Normal 9 2 5 2" xfId="5157" xr:uid="{A8170067-9AC6-4E68-A1AE-8F11FF3D3CC1}"/>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08EC52A-072E-4040-9FD7-FAC9F534AA8C}"/>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FC117C3D-5B6B-4EAB-948C-DBDD72B2B632}"/>
    <cellStyle name="Percent 6 4" xfId="4652" xr:uid="{00000000-0005-0000-0000-000068110000}"/>
    <cellStyle name="Percent 6 4 2" xfId="5160" xr:uid="{6ED3C5D6-CD20-4D2F-8012-4C5DD3054997}"/>
    <cellStyle name="Percent 6 5" xfId="4653" xr:uid="{00000000-0005-0000-0000-000069110000}"/>
    <cellStyle name="Percent 6 5 2" xfId="5161" xr:uid="{C4241431-08D8-41BB-B732-A3ED9FC712B9}"/>
    <cellStyle name="Percent 60" xfId="4405" xr:uid="{00000000-0005-0000-0000-00006A110000}"/>
    <cellStyle name="Percent 60 2" xfId="4475" xr:uid="{00000000-0005-0000-0000-00006B110000}"/>
    <cellStyle name="Percent 60 2 2" xfId="5084" xr:uid="{0DD92C4D-2C72-4BA2-B14F-1CD608F60FEC}"/>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9DC7E9C1-5B71-4A59-9612-A7755B68D280}"/>
    <cellStyle name="Percent 70" xfId="4408" xr:uid="{00000000-0005-0000-0000-000070110000}"/>
    <cellStyle name="Percent 70 2" xfId="5081" xr:uid="{D87BEF68-BB89-4A79-B793-7AAC6F49AEDC}"/>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A53957FA-F967-4C3E-90E0-C2334E2B113F}"/>
    <cellStyle name="Percent 9 2 3" xfId="5175" xr:uid="{992CD418-3EE8-4904-9D74-8649FD90DC43}"/>
    <cellStyle name="Percent 9 3" xfId="4689" xr:uid="{00000000-0005-0000-0000-000075110000}"/>
    <cellStyle name="Percent 9 3 2" xfId="5176" xr:uid="{C822379D-9B39-4690-B0BD-FAB45B1C3433}"/>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99FF"/>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topLeftCell="A14" zoomScale="80" zoomScaleNormal="80" workbookViewId="0">
      <selection activeCell="C43" sqref="C43"/>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9" t="s">
        <v>911</v>
      </c>
      <c r="B1" s="909"/>
      <c r="C1" s="909"/>
      <c r="D1" s="909"/>
      <c r="E1" s="909"/>
    </row>
    <row r="2" spans="1:5" ht="20.399999999999999">
      <c r="A2" s="909" t="s">
        <v>427</v>
      </c>
      <c r="B2" s="909"/>
      <c r="C2" s="909"/>
      <c r="D2" s="909"/>
      <c r="E2" s="909"/>
    </row>
    <row r="3" spans="1:5">
      <c r="A3" s="176"/>
    </row>
    <row r="4" spans="1:5" ht="20.399999999999999">
      <c r="A4" s="909" t="s">
        <v>237</v>
      </c>
      <c r="B4" s="909"/>
      <c r="C4" s="909"/>
      <c r="D4" s="909"/>
      <c r="E4" s="909"/>
    </row>
    <row r="5" spans="1:5">
      <c r="A5" s="176"/>
      <c r="E5" s="177" t="s">
        <v>515</v>
      </c>
    </row>
    <row r="6" spans="1:5">
      <c r="A6" s="176" t="s">
        <v>238</v>
      </c>
    </row>
    <row r="7" spans="1:5" ht="47.25" customHeight="1">
      <c r="A7" s="907" t="s">
        <v>1080</v>
      </c>
      <c r="B7" s="907"/>
      <c r="C7" s="907"/>
      <c r="D7" s="907"/>
      <c r="E7" s="907"/>
    </row>
    <row r="8" spans="1:5">
      <c r="A8" s="178"/>
      <c r="B8" s="178"/>
      <c r="C8" s="178"/>
      <c r="D8" s="178"/>
      <c r="E8" s="178"/>
    </row>
    <row r="9" spans="1:5" ht="36.75" customHeight="1">
      <c r="A9" s="907" t="s">
        <v>1236</v>
      </c>
      <c r="B9" s="907"/>
      <c r="C9" s="907"/>
      <c r="D9" s="907"/>
      <c r="E9" s="907"/>
    </row>
    <row r="10" spans="1:5">
      <c r="A10" s="176"/>
    </row>
    <row r="11" spans="1:5" ht="51.75" customHeight="1">
      <c r="A11" s="907" t="s">
        <v>912</v>
      </c>
      <c r="B11" s="907"/>
      <c r="C11" s="907"/>
      <c r="D11" s="907"/>
      <c r="E11" s="907"/>
    </row>
    <row r="12" spans="1:5" ht="32.25" customHeight="1">
      <c r="A12" s="179"/>
      <c r="B12" s="908" t="s">
        <v>239</v>
      </c>
      <c r="C12" s="908"/>
      <c r="D12" s="908"/>
      <c r="E12" s="908"/>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0" t="s">
        <v>1025</v>
      </c>
      <c r="B28" s="801" t="s">
        <v>1008</v>
      </c>
      <c r="C28" s="801" t="s">
        <v>1026</v>
      </c>
      <c r="D28" s="802" t="s">
        <v>150</v>
      </c>
    </row>
    <row r="29" spans="1:4">
      <c r="A29" s="800"/>
      <c r="B29" s="801"/>
      <c r="C29" s="801"/>
      <c r="D29" s="802"/>
    </row>
    <row r="30" spans="1:4">
      <c r="A30" s="800" t="s">
        <v>1027</v>
      </c>
      <c r="B30" s="801" t="s">
        <v>1023</v>
      </c>
      <c r="C30" s="801" t="s">
        <v>1028</v>
      </c>
      <c r="D30" s="802"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1237</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1230</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topLeftCell="A2" zoomScale="80" zoomScaleNormal="80" workbookViewId="0">
      <selection activeCell="E8" sqref="E8:E19"/>
    </sheetView>
  </sheetViews>
  <sheetFormatPr defaultColWidth="7.08984375" defaultRowHeight="13.2"/>
  <cols>
    <col min="1" max="1" width="2.08984375" style="190" customWidth="1"/>
    <col min="2" max="2" width="4.6328125" style="190" customWidth="1"/>
    <col min="3" max="3" width="11.08984375" style="190" customWidth="1"/>
    <col min="4" max="4" width="9.453125" style="190" bestFit="1" customWidth="1"/>
    <col min="5" max="5" width="11.08984375" style="190" customWidth="1"/>
    <col min="6" max="6" width="13" style="190" customWidth="1"/>
    <col min="7" max="7" width="13.90625" style="190" customWidth="1"/>
    <col min="8" max="8" width="8.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4" t="s">
        <v>416</v>
      </c>
      <c r="B1" s="934"/>
      <c r="C1" s="934"/>
      <c r="D1" s="934"/>
      <c r="E1" s="934"/>
      <c r="F1" s="934"/>
      <c r="G1" s="934"/>
      <c r="H1" s="206"/>
    </row>
    <row r="2" spans="1:8">
      <c r="A2" s="934" t="s">
        <v>1231</v>
      </c>
      <c r="B2" s="934"/>
      <c r="C2" s="934"/>
      <c r="D2" s="934"/>
      <c r="E2" s="934"/>
      <c r="F2" s="934"/>
      <c r="G2" s="934"/>
      <c r="H2" s="206"/>
    </row>
    <row r="3" spans="1:8">
      <c r="A3" s="935" t="str">
        <f>'Act Att-H'!C7</f>
        <v>Black Hills Colorado Electric, LLC</v>
      </c>
      <c r="B3" s="935"/>
      <c r="C3" s="935"/>
      <c r="D3" s="935"/>
      <c r="E3" s="935"/>
      <c r="F3" s="935"/>
      <c r="G3" s="935"/>
      <c r="H3" s="218"/>
    </row>
    <row r="4" spans="1:8">
      <c r="F4" s="2"/>
      <c r="G4" s="192" t="s">
        <v>515</v>
      </c>
    </row>
    <row r="5" spans="1:8">
      <c r="A5" s="206"/>
      <c r="B5" s="206"/>
      <c r="C5" s="206"/>
      <c r="D5" s="206"/>
      <c r="E5" s="206"/>
      <c r="F5" s="206"/>
      <c r="G5" s="206"/>
      <c r="H5" s="206"/>
    </row>
    <row r="6" spans="1:8" ht="60.75" customHeight="1">
      <c r="B6" s="116" t="s">
        <v>4</v>
      </c>
      <c r="C6" s="116" t="s">
        <v>219</v>
      </c>
      <c r="D6" s="219" t="s">
        <v>220</v>
      </c>
      <c r="E6" s="219" t="s">
        <v>1221</v>
      </c>
      <c r="F6" s="219" t="s">
        <v>1222</v>
      </c>
      <c r="G6" s="219" t="s">
        <v>1069</v>
      </c>
      <c r="H6" s="190"/>
    </row>
    <row r="7" spans="1:8" ht="15" customHeight="1">
      <c r="B7" s="215"/>
      <c r="C7" s="220" t="s">
        <v>138</v>
      </c>
      <c r="D7" s="221" t="s">
        <v>139</v>
      </c>
      <c r="E7" s="221" t="s">
        <v>140</v>
      </c>
      <c r="F7" s="221" t="s">
        <v>141</v>
      </c>
      <c r="G7" s="221" t="s">
        <v>142</v>
      </c>
      <c r="H7" s="190"/>
    </row>
    <row r="8" spans="1:8" ht="15" customHeight="1">
      <c r="B8" s="193">
        <v>1</v>
      </c>
      <c r="C8" s="392" t="s">
        <v>146</v>
      </c>
      <c r="D8" s="391">
        <v>2023</v>
      </c>
      <c r="E8" s="662">
        <f>(279+15+58)*1000</f>
        <v>352000</v>
      </c>
      <c r="F8" s="222">
        <f>E8</f>
        <v>352000</v>
      </c>
      <c r="G8" s="223"/>
      <c r="H8" s="190"/>
    </row>
    <row r="9" spans="1:8" ht="15" customHeight="1">
      <c r="B9" s="193">
        <v>2</v>
      </c>
      <c r="C9" s="392" t="s">
        <v>147</v>
      </c>
      <c r="D9" s="393">
        <f>D8</f>
        <v>2023</v>
      </c>
      <c r="E9" s="662">
        <f>(282+15+58)*1000</f>
        <v>355000</v>
      </c>
      <c r="F9" s="222">
        <f t="shared" ref="F9:F15" si="0">E9</f>
        <v>355000</v>
      </c>
      <c r="G9" s="223"/>
      <c r="H9" s="190"/>
    </row>
    <row r="10" spans="1:8" ht="15" customHeight="1">
      <c r="B10" s="193">
        <v>3</v>
      </c>
      <c r="C10" s="392" t="s">
        <v>397</v>
      </c>
      <c r="D10" s="393">
        <f t="shared" ref="D10:D19" si="1">D9</f>
        <v>2023</v>
      </c>
      <c r="E10" s="662">
        <f>(256+12+58)*1000</f>
        <v>326000</v>
      </c>
      <c r="F10" s="222">
        <f t="shared" si="0"/>
        <v>326000</v>
      </c>
      <c r="G10" s="223"/>
      <c r="H10" s="190"/>
    </row>
    <row r="11" spans="1:8" ht="15" customHeight="1">
      <c r="B11" s="193">
        <v>4</v>
      </c>
      <c r="C11" s="392" t="s">
        <v>148</v>
      </c>
      <c r="D11" s="393">
        <f t="shared" si="1"/>
        <v>2023</v>
      </c>
      <c r="E11" s="662">
        <f>(240+10+58)*1000</f>
        <v>308000</v>
      </c>
      <c r="F11" s="222">
        <f t="shared" si="0"/>
        <v>308000</v>
      </c>
      <c r="G11" s="223"/>
      <c r="H11" s="190"/>
    </row>
    <row r="12" spans="1:8" ht="15" customHeight="1">
      <c r="B12" s="193">
        <v>5</v>
      </c>
      <c r="C12" s="392" t="s">
        <v>149</v>
      </c>
      <c r="D12" s="393">
        <f t="shared" si="1"/>
        <v>2023</v>
      </c>
      <c r="E12" s="662">
        <f>(268+10+58)*1000</f>
        <v>336000</v>
      </c>
      <c r="F12" s="222">
        <f t="shared" si="0"/>
        <v>336000</v>
      </c>
      <c r="G12" s="223"/>
      <c r="H12" s="190"/>
    </row>
    <row r="13" spans="1:8" ht="15" customHeight="1">
      <c r="B13" s="193">
        <v>6</v>
      </c>
      <c r="C13" s="392" t="s">
        <v>150</v>
      </c>
      <c r="D13" s="393">
        <f t="shared" si="1"/>
        <v>2023</v>
      </c>
      <c r="E13" s="662">
        <f>(361+14+58)*1000</f>
        <v>433000</v>
      </c>
      <c r="F13" s="222">
        <f t="shared" si="0"/>
        <v>433000</v>
      </c>
      <c r="G13" s="223"/>
      <c r="H13" s="190"/>
    </row>
    <row r="14" spans="1:8" ht="15" customHeight="1">
      <c r="B14" s="193">
        <v>7</v>
      </c>
      <c r="C14" s="392" t="s">
        <v>151</v>
      </c>
      <c r="D14" s="393">
        <f t="shared" si="1"/>
        <v>2023</v>
      </c>
      <c r="E14" s="662">
        <f>(396+15+57)*1000</f>
        <v>468000</v>
      </c>
      <c r="F14" s="222">
        <f t="shared" si="0"/>
        <v>468000</v>
      </c>
      <c r="G14" s="223"/>
      <c r="H14" s="190"/>
    </row>
    <row r="15" spans="1:8" ht="15" customHeight="1">
      <c r="B15" s="193">
        <v>8</v>
      </c>
      <c r="C15" s="392" t="s">
        <v>398</v>
      </c>
      <c r="D15" s="393">
        <f t="shared" si="1"/>
        <v>2023</v>
      </c>
      <c r="E15" s="662">
        <f>(402+15+58)*1000</f>
        <v>475000</v>
      </c>
      <c r="F15" s="222">
        <f t="shared" si="0"/>
        <v>475000</v>
      </c>
      <c r="G15" s="223"/>
      <c r="H15" s="190"/>
    </row>
    <row r="16" spans="1:8" ht="15" customHeight="1">
      <c r="B16" s="193">
        <v>9</v>
      </c>
      <c r="C16" s="392" t="s">
        <v>152</v>
      </c>
      <c r="D16" s="393">
        <f t="shared" si="1"/>
        <v>2023</v>
      </c>
      <c r="E16" s="662">
        <f>(346+13+59)*1000</f>
        <v>418000</v>
      </c>
      <c r="F16" s="224"/>
      <c r="G16" s="225">
        <f>E16/F22</f>
        <v>1.0953160825417623</v>
      </c>
      <c r="H16" s="190"/>
    </row>
    <row r="17" spans="2:9" ht="15.6">
      <c r="B17" s="193">
        <v>10</v>
      </c>
      <c r="C17" s="392" t="s">
        <v>153</v>
      </c>
      <c r="D17" s="393">
        <f t="shared" si="1"/>
        <v>2023</v>
      </c>
      <c r="E17" s="662">
        <f>(299+11+58)*1000</f>
        <v>368000</v>
      </c>
      <c r="F17" s="224"/>
      <c r="G17" s="225">
        <f>E17/F22</f>
        <v>0.96429741238126432</v>
      </c>
      <c r="H17" s="190"/>
    </row>
    <row r="18" spans="2:9" ht="15.6">
      <c r="B18" s="193">
        <v>11</v>
      </c>
      <c r="C18" s="392" t="s">
        <v>154</v>
      </c>
      <c r="D18" s="393">
        <f t="shared" si="1"/>
        <v>2023</v>
      </c>
      <c r="E18" s="662">
        <f>(271+13+58)*1000</f>
        <v>342000</v>
      </c>
      <c r="F18" s="224"/>
      <c r="G18" s="225">
        <f>E18/F22</f>
        <v>0.89616770389780542</v>
      </c>
      <c r="H18" s="190"/>
    </row>
    <row r="19" spans="2:9" ht="15.6">
      <c r="B19" s="193">
        <v>12</v>
      </c>
      <c r="C19" s="392" t="s">
        <v>399</v>
      </c>
      <c r="D19" s="393">
        <f t="shared" si="1"/>
        <v>2023</v>
      </c>
      <c r="E19" s="662">
        <f>(278+13+58)*1000</f>
        <v>349000</v>
      </c>
      <c r="F19" s="224"/>
      <c r="G19" s="225">
        <f>E19/F22</f>
        <v>0.91451031772027513</v>
      </c>
      <c r="H19" s="190"/>
    </row>
    <row r="20" spans="2:9">
      <c r="B20" s="193">
        <v>13</v>
      </c>
      <c r="C20" s="226" t="s">
        <v>9</v>
      </c>
      <c r="D20" s="226"/>
      <c r="E20" s="227">
        <f t="shared" ref="E20" si="2">SUM(E8:E19)</f>
        <v>4530000</v>
      </c>
      <c r="G20" s="225"/>
      <c r="H20" s="190"/>
    </row>
    <row r="21" spans="2:9">
      <c r="B21" s="193">
        <v>14</v>
      </c>
      <c r="C21" s="226" t="s">
        <v>164</v>
      </c>
      <c r="D21" s="226"/>
      <c r="E21" s="228">
        <f t="shared" ref="E21" si="3">E20/12</f>
        <v>377500</v>
      </c>
      <c r="G21" s="229"/>
      <c r="H21" s="190"/>
    </row>
    <row r="22" spans="2:9">
      <c r="B22" s="193">
        <v>15</v>
      </c>
      <c r="C22" s="192" t="s">
        <v>438</v>
      </c>
      <c r="F22" s="222">
        <f>AVERAGE(F8:F19)</f>
        <v>381625</v>
      </c>
      <c r="G22" s="217"/>
      <c r="H22" s="190"/>
      <c r="I22" s="216"/>
    </row>
    <row r="23" spans="2:9">
      <c r="B23" s="193"/>
      <c r="H23" s="216"/>
    </row>
    <row r="24" spans="2:9">
      <c r="B24" s="193" t="s">
        <v>155</v>
      </c>
      <c r="H24" s="216"/>
    </row>
    <row r="25" spans="2:9">
      <c r="B25" s="193" t="s">
        <v>76</v>
      </c>
      <c r="C25" s="190" t="s">
        <v>951</v>
      </c>
      <c r="H25" s="216"/>
    </row>
    <row r="26" spans="2:9">
      <c r="B26" s="193" t="s">
        <v>77</v>
      </c>
      <c r="C26" s="550"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15" zoomScale="80" zoomScaleNormal="80" workbookViewId="0">
      <selection activeCell="C43" sqref="C43"/>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31" t="s">
        <v>524</v>
      </c>
      <c r="B1" s="931"/>
      <c r="C1" s="931"/>
      <c r="D1" s="931"/>
      <c r="E1" s="931"/>
      <c r="F1" s="931"/>
      <c r="G1" s="931"/>
      <c r="H1" s="931"/>
      <c r="I1" s="931"/>
      <c r="J1" s="931"/>
      <c r="K1" s="931"/>
      <c r="L1" s="931"/>
      <c r="M1" s="931"/>
      <c r="N1" s="931"/>
      <c r="O1" s="931"/>
    </row>
    <row r="2" spans="1:19">
      <c r="A2" s="961" t="s">
        <v>525</v>
      </c>
      <c r="B2" s="961"/>
      <c r="C2" s="961"/>
      <c r="D2" s="961"/>
      <c r="E2" s="961"/>
      <c r="F2" s="961"/>
      <c r="G2" s="961"/>
      <c r="H2" s="961"/>
      <c r="I2" s="961"/>
      <c r="J2" s="961"/>
      <c r="K2" s="961"/>
      <c r="L2" s="961"/>
      <c r="M2" s="961"/>
      <c r="N2" s="961"/>
      <c r="O2" s="961"/>
    </row>
    <row r="3" spans="1:19">
      <c r="A3" s="962" t="str">
        <f>'Act Att-H'!C7</f>
        <v>Black Hills Colorado Electric, LLC</v>
      </c>
      <c r="B3" s="962"/>
      <c r="C3" s="962"/>
      <c r="D3" s="962"/>
      <c r="E3" s="962"/>
      <c r="F3" s="962"/>
      <c r="G3" s="962"/>
      <c r="H3" s="962"/>
      <c r="I3" s="962"/>
      <c r="J3" s="962"/>
      <c r="K3" s="962"/>
      <c r="L3" s="962"/>
      <c r="M3" s="962"/>
      <c r="N3" s="962"/>
      <c r="O3" s="962"/>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1"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60" t="s">
        <v>9</v>
      </c>
      <c r="D14" s="960"/>
      <c r="E14" s="960"/>
      <c r="F14" s="960"/>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5" t="s">
        <v>768</v>
      </c>
      <c r="J16" s="296" t="s">
        <v>532</v>
      </c>
      <c r="K16" s="645" t="s">
        <v>798</v>
      </c>
      <c r="L16" s="295" t="s">
        <v>531</v>
      </c>
      <c r="M16" s="645" t="s">
        <v>768</v>
      </c>
      <c r="N16" s="296" t="s">
        <v>532</v>
      </c>
      <c r="O16" s="646"/>
      <c r="P16" s="2"/>
      <c r="Q16" s="4"/>
      <c r="R16" s="2"/>
      <c r="S16" s="2"/>
    </row>
    <row r="17" spans="1:19" s="287" customFormat="1">
      <c r="A17" s="296"/>
      <c r="B17" s="294" t="s">
        <v>138</v>
      </c>
      <c r="C17" s="294" t="s">
        <v>139</v>
      </c>
      <c r="D17" s="294" t="s">
        <v>140</v>
      </c>
      <c r="E17" s="294" t="s">
        <v>141</v>
      </c>
      <c r="F17" s="294" t="s">
        <v>142</v>
      </c>
      <c r="G17" s="292"/>
      <c r="H17" s="294" t="s">
        <v>143</v>
      </c>
      <c r="I17" s="618" t="s">
        <v>144</v>
      </c>
      <c r="J17" s="294" t="s">
        <v>145</v>
      </c>
      <c r="K17" s="647" t="s">
        <v>161</v>
      </c>
      <c r="L17" s="294" t="s">
        <v>162</v>
      </c>
      <c r="M17" s="618" t="s">
        <v>871</v>
      </c>
      <c r="N17" s="294" t="s">
        <v>870</v>
      </c>
      <c r="O17" s="647" t="s">
        <v>928</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7" t="s">
        <v>929</v>
      </c>
      <c r="C19" s="298">
        <f>+H19+L19</f>
        <v>0</v>
      </c>
      <c r="D19" s="298">
        <f>+I19+M19</f>
        <v>0</v>
      </c>
      <c r="E19" s="298">
        <f>+J19+N19</f>
        <v>0</v>
      </c>
      <c r="F19" s="298">
        <f>+K19+O19</f>
        <v>0</v>
      </c>
      <c r="G19" s="319"/>
      <c r="H19" s="314">
        <v>0</v>
      </c>
      <c r="I19" s="315">
        <v>0</v>
      </c>
      <c r="J19" s="619">
        <f>+H19-I19</f>
        <v>0</v>
      </c>
      <c r="K19" s="299">
        <f>ROUND(J19*I$11,2)</f>
        <v>0</v>
      </c>
      <c r="L19" s="314">
        <v>0</v>
      </c>
      <c r="M19" s="315">
        <v>0</v>
      </c>
      <c r="N19" s="619">
        <f>+L19-M19</f>
        <v>0</v>
      </c>
      <c r="O19" s="300">
        <f>ROUND(N19*M$11,2)</f>
        <v>0</v>
      </c>
      <c r="P19" s="2"/>
      <c r="Q19" s="4"/>
      <c r="R19" s="2"/>
      <c r="S19" s="2"/>
    </row>
    <row r="20" spans="1:19" s="287" customFormat="1">
      <c r="A20" s="319">
        <f t="shared" ref="A20:A42" si="1">A19+1</f>
        <v>10</v>
      </c>
      <c r="B20" s="717" t="s">
        <v>929</v>
      </c>
      <c r="C20" s="298">
        <f t="shared" ref="C20:C42" si="2">+H20+L20</f>
        <v>0</v>
      </c>
      <c r="D20" s="298">
        <f t="shared" ref="D20:D42" si="3">+I20+M20</f>
        <v>0</v>
      </c>
      <c r="E20" s="298">
        <f t="shared" ref="E20:E42" si="4">+J20+N20</f>
        <v>0</v>
      </c>
      <c r="F20" s="298">
        <f t="shared" ref="F20:F42" si="5">+K20+O20</f>
        <v>0</v>
      </c>
      <c r="G20" s="319"/>
      <c r="H20" s="314">
        <v>0</v>
      </c>
      <c r="I20" s="619">
        <f>(H20*$I$9)+I19</f>
        <v>0</v>
      </c>
      <c r="J20" s="299">
        <f>+H20-I20</f>
        <v>0</v>
      </c>
      <c r="K20" s="299">
        <f t="shared" ref="K20:K42" si="6">ROUND(J20*I$11,2)</f>
        <v>0</v>
      </c>
      <c r="L20" s="314">
        <v>0</v>
      </c>
      <c r="M20" s="619">
        <f>(L20*$M$9)+M19</f>
        <v>0</v>
      </c>
      <c r="N20" s="299">
        <f>+L20-M20</f>
        <v>0</v>
      </c>
      <c r="O20" s="300">
        <f t="shared" ref="O20:O42" si="7">ROUND(N20*M$11,2)</f>
        <v>0</v>
      </c>
      <c r="P20" s="2"/>
      <c r="Q20" s="4"/>
      <c r="R20" s="2"/>
      <c r="S20" s="2"/>
    </row>
    <row r="21" spans="1:19" s="287" customFormat="1">
      <c r="A21" s="319">
        <f t="shared" si="1"/>
        <v>11</v>
      </c>
      <c r="B21" s="717" t="s">
        <v>929</v>
      </c>
      <c r="C21" s="298">
        <f t="shared" si="2"/>
        <v>0</v>
      </c>
      <c r="D21" s="298">
        <f t="shared" si="3"/>
        <v>0</v>
      </c>
      <c r="E21" s="298">
        <f t="shared" si="4"/>
        <v>0</v>
      </c>
      <c r="F21" s="298">
        <f t="shared" si="5"/>
        <v>0</v>
      </c>
      <c r="G21" s="319"/>
      <c r="H21" s="314">
        <v>0</v>
      </c>
      <c r="I21" s="619">
        <f t="shared" ref="I21:I42" si="8">(H21*$I$9)+I20</f>
        <v>0</v>
      </c>
      <c r="J21" s="299">
        <f>+H21-I21</f>
        <v>0</v>
      </c>
      <c r="K21" s="299">
        <f t="shared" si="6"/>
        <v>0</v>
      </c>
      <c r="L21" s="314">
        <v>0</v>
      </c>
      <c r="M21" s="619">
        <f t="shared" ref="M21:M42" si="9">(L21*$M$9)+M20</f>
        <v>0</v>
      </c>
      <c r="N21" s="299">
        <f>+L21-M21</f>
        <v>0</v>
      </c>
      <c r="O21" s="300">
        <f t="shared" si="7"/>
        <v>0</v>
      </c>
      <c r="P21" s="2"/>
      <c r="Q21" s="4"/>
      <c r="R21" s="2"/>
      <c r="S21" s="2"/>
    </row>
    <row r="22" spans="1:19" s="287" customFormat="1">
      <c r="A22" s="319">
        <f t="shared" si="1"/>
        <v>12</v>
      </c>
      <c r="B22" s="717" t="s">
        <v>929</v>
      </c>
      <c r="C22" s="298">
        <f t="shared" si="2"/>
        <v>0</v>
      </c>
      <c r="D22" s="298">
        <f t="shared" si="3"/>
        <v>0</v>
      </c>
      <c r="E22" s="298">
        <f t="shared" si="4"/>
        <v>0</v>
      </c>
      <c r="F22" s="298">
        <f t="shared" si="5"/>
        <v>0</v>
      </c>
      <c r="G22" s="319"/>
      <c r="H22" s="314">
        <v>0</v>
      </c>
      <c r="I22" s="619">
        <f t="shared" si="8"/>
        <v>0</v>
      </c>
      <c r="J22" s="299">
        <f>+H22-I22</f>
        <v>0</v>
      </c>
      <c r="K22" s="299">
        <f t="shared" si="6"/>
        <v>0</v>
      </c>
      <c r="L22" s="314">
        <v>0</v>
      </c>
      <c r="M22" s="619">
        <f t="shared" si="9"/>
        <v>0</v>
      </c>
      <c r="N22" s="299">
        <f>+L22-M22</f>
        <v>0</v>
      </c>
      <c r="O22" s="300">
        <f t="shared" si="7"/>
        <v>0</v>
      </c>
      <c r="P22" s="2"/>
      <c r="Q22" s="4"/>
      <c r="R22" s="2"/>
      <c r="S22" s="2"/>
    </row>
    <row r="23" spans="1:19" s="287" customFormat="1">
      <c r="A23" s="319">
        <f t="shared" si="1"/>
        <v>13</v>
      </c>
      <c r="B23" s="717" t="s">
        <v>929</v>
      </c>
      <c r="C23" s="298">
        <f t="shared" si="2"/>
        <v>0</v>
      </c>
      <c r="D23" s="298">
        <f t="shared" si="3"/>
        <v>0</v>
      </c>
      <c r="E23" s="298">
        <f t="shared" si="4"/>
        <v>0</v>
      </c>
      <c r="F23" s="298">
        <f t="shared" si="5"/>
        <v>0</v>
      </c>
      <c r="G23" s="319"/>
      <c r="H23" s="314">
        <v>0</v>
      </c>
      <c r="I23" s="619">
        <f t="shared" si="8"/>
        <v>0</v>
      </c>
      <c r="J23" s="299">
        <f t="shared" ref="J23:J42" si="10">+H23-I23</f>
        <v>0</v>
      </c>
      <c r="K23" s="299">
        <f t="shared" si="6"/>
        <v>0</v>
      </c>
      <c r="L23" s="314">
        <v>0</v>
      </c>
      <c r="M23" s="619">
        <f t="shared" si="9"/>
        <v>0</v>
      </c>
      <c r="N23" s="299">
        <f t="shared" ref="N23:N42" si="11">+L23-M23</f>
        <v>0</v>
      </c>
      <c r="O23" s="300">
        <f t="shared" si="7"/>
        <v>0</v>
      </c>
      <c r="P23" s="2"/>
      <c r="Q23" s="4"/>
      <c r="R23" s="2"/>
      <c r="S23" s="2"/>
    </row>
    <row r="24" spans="1:19" s="287" customFormat="1">
      <c r="A24" s="319">
        <f t="shared" si="1"/>
        <v>14</v>
      </c>
      <c r="B24" s="717" t="s">
        <v>929</v>
      </c>
      <c r="C24" s="298">
        <f t="shared" si="2"/>
        <v>0</v>
      </c>
      <c r="D24" s="298">
        <f t="shared" si="3"/>
        <v>0</v>
      </c>
      <c r="E24" s="298">
        <f t="shared" si="4"/>
        <v>0</v>
      </c>
      <c r="F24" s="298">
        <f t="shared" si="5"/>
        <v>0</v>
      </c>
      <c r="G24" s="319"/>
      <c r="H24" s="314">
        <v>0</v>
      </c>
      <c r="I24" s="619">
        <f t="shared" si="8"/>
        <v>0</v>
      </c>
      <c r="J24" s="299">
        <f t="shared" si="10"/>
        <v>0</v>
      </c>
      <c r="K24" s="299">
        <f t="shared" si="6"/>
        <v>0</v>
      </c>
      <c r="L24" s="314">
        <v>0</v>
      </c>
      <c r="M24" s="619">
        <f t="shared" si="9"/>
        <v>0</v>
      </c>
      <c r="N24" s="299">
        <f t="shared" si="11"/>
        <v>0</v>
      </c>
      <c r="O24" s="300">
        <f t="shared" si="7"/>
        <v>0</v>
      </c>
      <c r="P24" s="2"/>
      <c r="Q24" s="4"/>
      <c r="R24" s="2"/>
      <c r="S24" s="2"/>
    </row>
    <row r="25" spans="1:19" s="287" customFormat="1">
      <c r="A25" s="319">
        <f t="shared" si="1"/>
        <v>15</v>
      </c>
      <c r="B25" s="717" t="s">
        <v>929</v>
      </c>
      <c r="C25" s="298">
        <f t="shared" si="2"/>
        <v>0</v>
      </c>
      <c r="D25" s="298">
        <f t="shared" si="3"/>
        <v>0</v>
      </c>
      <c r="E25" s="298">
        <f t="shared" si="4"/>
        <v>0</v>
      </c>
      <c r="F25" s="298">
        <f t="shared" si="5"/>
        <v>0</v>
      </c>
      <c r="G25" s="319"/>
      <c r="H25" s="314">
        <v>0</v>
      </c>
      <c r="I25" s="619">
        <f t="shared" si="8"/>
        <v>0</v>
      </c>
      <c r="J25" s="299">
        <f t="shared" si="10"/>
        <v>0</v>
      </c>
      <c r="K25" s="299">
        <f t="shared" si="6"/>
        <v>0</v>
      </c>
      <c r="L25" s="314">
        <v>0</v>
      </c>
      <c r="M25" s="619">
        <f t="shared" si="9"/>
        <v>0</v>
      </c>
      <c r="N25" s="299">
        <f t="shared" si="11"/>
        <v>0</v>
      </c>
      <c r="O25" s="300">
        <f t="shared" si="7"/>
        <v>0</v>
      </c>
      <c r="P25" s="2"/>
      <c r="Q25" s="4"/>
      <c r="R25" s="2"/>
      <c r="S25" s="2"/>
    </row>
    <row r="26" spans="1:19" s="287" customFormat="1">
      <c r="A26" s="319">
        <f t="shared" si="1"/>
        <v>16</v>
      </c>
      <c r="B26" s="717" t="s">
        <v>929</v>
      </c>
      <c r="C26" s="298">
        <f t="shared" si="2"/>
        <v>0</v>
      </c>
      <c r="D26" s="298">
        <f t="shared" si="3"/>
        <v>0</v>
      </c>
      <c r="E26" s="298">
        <f t="shared" si="4"/>
        <v>0</v>
      </c>
      <c r="F26" s="298">
        <f t="shared" si="5"/>
        <v>0</v>
      </c>
      <c r="G26" s="319"/>
      <c r="H26" s="314">
        <v>0</v>
      </c>
      <c r="I26" s="619">
        <f t="shared" si="8"/>
        <v>0</v>
      </c>
      <c r="J26" s="299">
        <f t="shared" si="10"/>
        <v>0</v>
      </c>
      <c r="K26" s="299">
        <f t="shared" si="6"/>
        <v>0</v>
      </c>
      <c r="L26" s="314">
        <v>0</v>
      </c>
      <c r="M26" s="619">
        <f t="shared" si="9"/>
        <v>0</v>
      </c>
      <c r="N26" s="299">
        <f t="shared" si="11"/>
        <v>0</v>
      </c>
      <c r="O26" s="300">
        <f t="shared" si="7"/>
        <v>0</v>
      </c>
      <c r="P26" s="2"/>
      <c r="Q26" s="4"/>
      <c r="R26" s="2"/>
      <c r="S26" s="2"/>
    </row>
    <row r="27" spans="1:19" s="287" customFormat="1">
      <c r="A27" s="319">
        <f t="shared" si="1"/>
        <v>17</v>
      </c>
      <c r="B27" s="717" t="s">
        <v>929</v>
      </c>
      <c r="C27" s="298">
        <f t="shared" si="2"/>
        <v>0</v>
      </c>
      <c r="D27" s="298">
        <f t="shared" si="3"/>
        <v>0</v>
      </c>
      <c r="E27" s="298">
        <f t="shared" si="4"/>
        <v>0</v>
      </c>
      <c r="F27" s="298">
        <f t="shared" si="5"/>
        <v>0</v>
      </c>
      <c r="G27" s="319"/>
      <c r="H27" s="314">
        <v>0</v>
      </c>
      <c r="I27" s="619">
        <f t="shared" si="8"/>
        <v>0</v>
      </c>
      <c r="J27" s="299">
        <f t="shared" si="10"/>
        <v>0</v>
      </c>
      <c r="K27" s="299">
        <f t="shared" si="6"/>
        <v>0</v>
      </c>
      <c r="L27" s="314">
        <v>0</v>
      </c>
      <c r="M27" s="619">
        <f t="shared" si="9"/>
        <v>0</v>
      </c>
      <c r="N27" s="299">
        <f t="shared" si="11"/>
        <v>0</v>
      </c>
      <c r="O27" s="300">
        <f t="shared" si="7"/>
        <v>0</v>
      </c>
      <c r="P27" s="2"/>
      <c r="Q27" s="4"/>
      <c r="R27" s="2"/>
      <c r="S27" s="2"/>
    </row>
    <row r="28" spans="1:19" s="287" customFormat="1">
      <c r="A28" s="319">
        <f t="shared" si="1"/>
        <v>18</v>
      </c>
      <c r="B28" s="717" t="s">
        <v>929</v>
      </c>
      <c r="C28" s="298">
        <f t="shared" si="2"/>
        <v>0</v>
      </c>
      <c r="D28" s="298">
        <f t="shared" si="3"/>
        <v>0</v>
      </c>
      <c r="E28" s="298">
        <f t="shared" si="4"/>
        <v>0</v>
      </c>
      <c r="F28" s="298">
        <f t="shared" si="5"/>
        <v>0</v>
      </c>
      <c r="G28" s="319"/>
      <c r="H28" s="314">
        <v>0</v>
      </c>
      <c r="I28" s="619">
        <f t="shared" si="8"/>
        <v>0</v>
      </c>
      <c r="J28" s="299">
        <f t="shared" si="10"/>
        <v>0</v>
      </c>
      <c r="K28" s="299">
        <f t="shared" si="6"/>
        <v>0</v>
      </c>
      <c r="L28" s="314">
        <v>0</v>
      </c>
      <c r="M28" s="619">
        <f t="shared" si="9"/>
        <v>0</v>
      </c>
      <c r="N28" s="299">
        <f t="shared" si="11"/>
        <v>0</v>
      </c>
      <c r="O28" s="300">
        <f t="shared" si="7"/>
        <v>0</v>
      </c>
      <c r="P28" s="2"/>
      <c r="Q28" s="4"/>
      <c r="R28" s="2"/>
      <c r="S28" s="2"/>
    </row>
    <row r="29" spans="1:19" s="287" customFormat="1">
      <c r="A29" s="319">
        <f t="shared" si="1"/>
        <v>19</v>
      </c>
      <c r="B29" s="717" t="s">
        <v>929</v>
      </c>
      <c r="C29" s="298">
        <f t="shared" si="2"/>
        <v>0</v>
      </c>
      <c r="D29" s="298">
        <f t="shared" si="3"/>
        <v>0</v>
      </c>
      <c r="E29" s="298">
        <f t="shared" si="4"/>
        <v>0</v>
      </c>
      <c r="F29" s="298">
        <f t="shared" si="5"/>
        <v>0</v>
      </c>
      <c r="G29" s="319"/>
      <c r="H29" s="314">
        <v>0</v>
      </c>
      <c r="I29" s="619">
        <f t="shared" si="8"/>
        <v>0</v>
      </c>
      <c r="J29" s="299">
        <f t="shared" si="10"/>
        <v>0</v>
      </c>
      <c r="K29" s="299">
        <f t="shared" si="6"/>
        <v>0</v>
      </c>
      <c r="L29" s="314">
        <v>0</v>
      </c>
      <c r="M29" s="619">
        <f t="shared" si="9"/>
        <v>0</v>
      </c>
      <c r="N29" s="299">
        <f t="shared" si="11"/>
        <v>0</v>
      </c>
      <c r="O29" s="300">
        <f t="shared" si="7"/>
        <v>0</v>
      </c>
      <c r="P29" s="2"/>
      <c r="Q29" s="4"/>
      <c r="R29" s="2"/>
      <c r="S29" s="2"/>
    </row>
    <row r="30" spans="1:19" s="287" customFormat="1">
      <c r="A30" s="319">
        <f t="shared" si="1"/>
        <v>20</v>
      </c>
      <c r="B30" s="717" t="s">
        <v>929</v>
      </c>
      <c r="C30" s="298">
        <f t="shared" si="2"/>
        <v>0</v>
      </c>
      <c r="D30" s="298">
        <f t="shared" si="3"/>
        <v>0</v>
      </c>
      <c r="E30" s="298">
        <f t="shared" si="4"/>
        <v>0</v>
      </c>
      <c r="F30" s="298">
        <f t="shared" si="5"/>
        <v>0</v>
      </c>
      <c r="G30" s="319"/>
      <c r="H30" s="314">
        <v>0</v>
      </c>
      <c r="I30" s="619">
        <f t="shared" si="8"/>
        <v>0</v>
      </c>
      <c r="J30" s="299">
        <f t="shared" si="10"/>
        <v>0</v>
      </c>
      <c r="K30" s="299">
        <f t="shared" si="6"/>
        <v>0</v>
      </c>
      <c r="L30" s="314">
        <v>0</v>
      </c>
      <c r="M30" s="619">
        <f t="shared" si="9"/>
        <v>0</v>
      </c>
      <c r="N30" s="299">
        <f t="shared" si="11"/>
        <v>0</v>
      </c>
      <c r="O30" s="300">
        <f t="shared" si="7"/>
        <v>0</v>
      </c>
      <c r="P30" s="2"/>
      <c r="Q30" s="4"/>
      <c r="R30" s="2"/>
      <c r="S30" s="2"/>
    </row>
    <row r="31" spans="1:19" s="287" customFormat="1">
      <c r="A31" s="319">
        <f t="shared" si="1"/>
        <v>21</v>
      </c>
      <c r="B31" s="717" t="s">
        <v>929</v>
      </c>
      <c r="C31" s="298">
        <f t="shared" si="2"/>
        <v>0</v>
      </c>
      <c r="D31" s="298">
        <f t="shared" si="3"/>
        <v>0</v>
      </c>
      <c r="E31" s="298">
        <f t="shared" si="4"/>
        <v>0</v>
      </c>
      <c r="F31" s="298">
        <f t="shared" si="5"/>
        <v>0</v>
      </c>
      <c r="G31" s="319"/>
      <c r="H31" s="314">
        <v>0</v>
      </c>
      <c r="I31" s="619">
        <f t="shared" si="8"/>
        <v>0</v>
      </c>
      <c r="J31" s="299">
        <f t="shared" si="10"/>
        <v>0</v>
      </c>
      <c r="K31" s="299">
        <f t="shared" si="6"/>
        <v>0</v>
      </c>
      <c r="L31" s="314">
        <v>0</v>
      </c>
      <c r="M31" s="619">
        <f t="shared" si="9"/>
        <v>0</v>
      </c>
      <c r="N31" s="299">
        <f t="shared" si="11"/>
        <v>0</v>
      </c>
      <c r="O31" s="300">
        <f t="shared" si="7"/>
        <v>0</v>
      </c>
      <c r="P31" s="2"/>
      <c r="Q31" s="4"/>
      <c r="R31" s="2"/>
      <c r="S31" s="2"/>
    </row>
    <row r="32" spans="1:19" s="287" customFormat="1">
      <c r="A32" s="319">
        <f t="shared" si="1"/>
        <v>22</v>
      </c>
      <c r="B32" s="717" t="s">
        <v>929</v>
      </c>
      <c r="C32" s="298">
        <f t="shared" si="2"/>
        <v>0</v>
      </c>
      <c r="D32" s="298">
        <f t="shared" si="3"/>
        <v>0</v>
      </c>
      <c r="E32" s="298">
        <f t="shared" si="4"/>
        <v>0</v>
      </c>
      <c r="F32" s="298">
        <f t="shared" si="5"/>
        <v>0</v>
      </c>
      <c r="G32" s="319"/>
      <c r="H32" s="314">
        <v>0</v>
      </c>
      <c r="I32" s="619">
        <f t="shared" si="8"/>
        <v>0</v>
      </c>
      <c r="J32" s="299">
        <f t="shared" si="10"/>
        <v>0</v>
      </c>
      <c r="K32" s="299">
        <f t="shared" si="6"/>
        <v>0</v>
      </c>
      <c r="L32" s="314">
        <v>0</v>
      </c>
      <c r="M32" s="619">
        <f t="shared" si="9"/>
        <v>0</v>
      </c>
      <c r="N32" s="299">
        <f t="shared" si="11"/>
        <v>0</v>
      </c>
      <c r="O32" s="300">
        <f t="shared" si="7"/>
        <v>0</v>
      </c>
      <c r="P32" s="2"/>
      <c r="Q32" s="4"/>
      <c r="R32" s="2"/>
      <c r="S32" s="2"/>
    </row>
    <row r="33" spans="1:19" s="287" customFormat="1">
      <c r="A33" s="319">
        <f t="shared" si="1"/>
        <v>23</v>
      </c>
      <c r="B33" s="717" t="s">
        <v>929</v>
      </c>
      <c r="C33" s="298">
        <f t="shared" si="2"/>
        <v>0</v>
      </c>
      <c r="D33" s="298">
        <f t="shared" si="3"/>
        <v>0</v>
      </c>
      <c r="E33" s="298">
        <f t="shared" si="4"/>
        <v>0</v>
      </c>
      <c r="F33" s="298">
        <f t="shared" si="5"/>
        <v>0</v>
      </c>
      <c r="G33" s="319"/>
      <c r="H33" s="314">
        <v>0</v>
      </c>
      <c r="I33" s="619">
        <f t="shared" si="8"/>
        <v>0</v>
      </c>
      <c r="J33" s="299">
        <f t="shared" si="10"/>
        <v>0</v>
      </c>
      <c r="K33" s="299">
        <f t="shared" si="6"/>
        <v>0</v>
      </c>
      <c r="L33" s="314">
        <v>0</v>
      </c>
      <c r="M33" s="619">
        <f t="shared" si="9"/>
        <v>0</v>
      </c>
      <c r="N33" s="299">
        <f t="shared" si="11"/>
        <v>0</v>
      </c>
      <c r="O33" s="300">
        <f t="shared" si="7"/>
        <v>0</v>
      </c>
      <c r="P33" s="2"/>
      <c r="Q33" s="4"/>
      <c r="R33" s="2"/>
      <c r="S33" s="2"/>
    </row>
    <row r="34" spans="1:19" s="287" customFormat="1">
      <c r="A34" s="319">
        <f t="shared" si="1"/>
        <v>24</v>
      </c>
      <c r="B34" s="717" t="s">
        <v>929</v>
      </c>
      <c r="C34" s="298">
        <f t="shared" si="2"/>
        <v>0</v>
      </c>
      <c r="D34" s="298">
        <f t="shared" si="3"/>
        <v>0</v>
      </c>
      <c r="E34" s="298">
        <f t="shared" si="4"/>
        <v>0</v>
      </c>
      <c r="F34" s="298">
        <f t="shared" si="5"/>
        <v>0</v>
      </c>
      <c r="G34" s="319"/>
      <c r="H34" s="314">
        <v>0</v>
      </c>
      <c r="I34" s="619">
        <f t="shared" si="8"/>
        <v>0</v>
      </c>
      <c r="J34" s="299">
        <f t="shared" si="10"/>
        <v>0</v>
      </c>
      <c r="K34" s="299">
        <f t="shared" si="6"/>
        <v>0</v>
      </c>
      <c r="L34" s="314">
        <v>0</v>
      </c>
      <c r="M34" s="619">
        <f t="shared" si="9"/>
        <v>0</v>
      </c>
      <c r="N34" s="299">
        <f t="shared" si="11"/>
        <v>0</v>
      </c>
      <c r="O34" s="300">
        <f t="shared" si="7"/>
        <v>0</v>
      </c>
      <c r="P34" s="2"/>
      <c r="Q34" s="4"/>
      <c r="R34" s="2"/>
      <c r="S34" s="2"/>
    </row>
    <row r="35" spans="1:19" s="287" customFormat="1">
      <c r="A35" s="319">
        <f t="shared" si="1"/>
        <v>25</v>
      </c>
      <c r="B35" s="717" t="s">
        <v>929</v>
      </c>
      <c r="C35" s="298">
        <f t="shared" si="2"/>
        <v>0</v>
      </c>
      <c r="D35" s="298">
        <f t="shared" si="3"/>
        <v>0</v>
      </c>
      <c r="E35" s="298">
        <f t="shared" si="4"/>
        <v>0</v>
      </c>
      <c r="F35" s="298">
        <f t="shared" si="5"/>
        <v>0</v>
      </c>
      <c r="G35" s="319"/>
      <c r="H35" s="314">
        <v>0</v>
      </c>
      <c r="I35" s="619">
        <f t="shared" si="8"/>
        <v>0</v>
      </c>
      <c r="J35" s="299">
        <f t="shared" si="10"/>
        <v>0</v>
      </c>
      <c r="K35" s="299">
        <f t="shared" si="6"/>
        <v>0</v>
      </c>
      <c r="L35" s="314">
        <v>0</v>
      </c>
      <c r="M35" s="619">
        <f t="shared" si="9"/>
        <v>0</v>
      </c>
      <c r="N35" s="299">
        <f t="shared" si="11"/>
        <v>0</v>
      </c>
      <c r="O35" s="300">
        <f t="shared" si="7"/>
        <v>0</v>
      </c>
      <c r="P35" s="2"/>
      <c r="Q35" s="4"/>
      <c r="R35" s="2"/>
      <c r="S35" s="2"/>
    </row>
    <row r="36" spans="1:19" s="287" customFormat="1">
      <c r="A36" s="319">
        <f t="shared" si="1"/>
        <v>26</v>
      </c>
      <c r="B36" s="717" t="s">
        <v>929</v>
      </c>
      <c r="C36" s="298">
        <f t="shared" si="2"/>
        <v>0</v>
      </c>
      <c r="D36" s="298">
        <f t="shared" si="3"/>
        <v>0</v>
      </c>
      <c r="E36" s="298">
        <f t="shared" si="4"/>
        <v>0</v>
      </c>
      <c r="F36" s="298">
        <f t="shared" si="5"/>
        <v>0</v>
      </c>
      <c r="G36" s="319"/>
      <c r="H36" s="314">
        <v>0</v>
      </c>
      <c r="I36" s="619">
        <f t="shared" si="8"/>
        <v>0</v>
      </c>
      <c r="J36" s="299">
        <f t="shared" si="10"/>
        <v>0</v>
      </c>
      <c r="K36" s="299">
        <f t="shared" si="6"/>
        <v>0</v>
      </c>
      <c r="L36" s="314">
        <v>0</v>
      </c>
      <c r="M36" s="619">
        <f t="shared" si="9"/>
        <v>0</v>
      </c>
      <c r="N36" s="299">
        <f t="shared" si="11"/>
        <v>0</v>
      </c>
      <c r="O36" s="300">
        <f t="shared" si="7"/>
        <v>0</v>
      </c>
      <c r="P36" s="2"/>
      <c r="Q36" s="4"/>
      <c r="R36" s="2"/>
      <c r="S36" s="2"/>
    </row>
    <row r="37" spans="1:19" s="287" customFormat="1">
      <c r="A37" s="319">
        <f t="shared" si="1"/>
        <v>27</v>
      </c>
      <c r="B37" s="717" t="s">
        <v>929</v>
      </c>
      <c r="C37" s="298">
        <f t="shared" si="2"/>
        <v>0</v>
      </c>
      <c r="D37" s="298">
        <f t="shared" si="3"/>
        <v>0</v>
      </c>
      <c r="E37" s="298">
        <f t="shared" si="4"/>
        <v>0</v>
      </c>
      <c r="F37" s="298">
        <f t="shared" si="5"/>
        <v>0</v>
      </c>
      <c r="G37" s="319"/>
      <c r="H37" s="314">
        <v>0</v>
      </c>
      <c r="I37" s="619">
        <f t="shared" si="8"/>
        <v>0</v>
      </c>
      <c r="J37" s="299">
        <f t="shared" si="10"/>
        <v>0</v>
      </c>
      <c r="K37" s="299">
        <f t="shared" si="6"/>
        <v>0</v>
      </c>
      <c r="L37" s="314">
        <v>0</v>
      </c>
      <c r="M37" s="619">
        <f t="shared" si="9"/>
        <v>0</v>
      </c>
      <c r="N37" s="299">
        <f t="shared" si="11"/>
        <v>0</v>
      </c>
      <c r="O37" s="300">
        <f t="shared" si="7"/>
        <v>0</v>
      </c>
      <c r="P37" s="2"/>
      <c r="Q37" s="4"/>
      <c r="R37" s="2"/>
      <c r="S37" s="2"/>
    </row>
    <row r="38" spans="1:19" s="287" customFormat="1">
      <c r="A38" s="319">
        <f t="shared" si="1"/>
        <v>28</v>
      </c>
      <c r="B38" s="717" t="s">
        <v>929</v>
      </c>
      <c r="C38" s="298">
        <f t="shared" si="2"/>
        <v>0</v>
      </c>
      <c r="D38" s="298">
        <f t="shared" si="3"/>
        <v>0</v>
      </c>
      <c r="E38" s="298">
        <f t="shared" si="4"/>
        <v>0</v>
      </c>
      <c r="F38" s="298">
        <f t="shared" si="5"/>
        <v>0</v>
      </c>
      <c r="G38" s="319"/>
      <c r="H38" s="314">
        <v>0</v>
      </c>
      <c r="I38" s="619">
        <f t="shared" si="8"/>
        <v>0</v>
      </c>
      <c r="J38" s="299">
        <f t="shared" si="10"/>
        <v>0</v>
      </c>
      <c r="K38" s="299">
        <f t="shared" si="6"/>
        <v>0</v>
      </c>
      <c r="L38" s="314">
        <v>0</v>
      </c>
      <c r="M38" s="619">
        <f t="shared" si="9"/>
        <v>0</v>
      </c>
      <c r="N38" s="299">
        <f t="shared" si="11"/>
        <v>0</v>
      </c>
      <c r="O38" s="300">
        <f t="shared" si="7"/>
        <v>0</v>
      </c>
      <c r="P38" s="2"/>
      <c r="Q38" s="4"/>
      <c r="R38" s="2"/>
      <c r="S38" s="2"/>
    </row>
    <row r="39" spans="1:19" s="287" customFormat="1">
      <c r="A39" s="319">
        <f t="shared" si="1"/>
        <v>29</v>
      </c>
      <c r="B39" s="717" t="s">
        <v>929</v>
      </c>
      <c r="C39" s="298">
        <f t="shared" si="2"/>
        <v>0</v>
      </c>
      <c r="D39" s="298">
        <f t="shared" si="3"/>
        <v>0</v>
      </c>
      <c r="E39" s="298">
        <f t="shared" si="4"/>
        <v>0</v>
      </c>
      <c r="F39" s="298">
        <f t="shared" si="5"/>
        <v>0</v>
      </c>
      <c r="G39" s="319"/>
      <c r="H39" s="314">
        <v>0</v>
      </c>
      <c r="I39" s="619">
        <f t="shared" si="8"/>
        <v>0</v>
      </c>
      <c r="J39" s="299">
        <f t="shared" si="10"/>
        <v>0</v>
      </c>
      <c r="K39" s="299">
        <f t="shared" si="6"/>
        <v>0</v>
      </c>
      <c r="L39" s="314">
        <v>0</v>
      </c>
      <c r="M39" s="619">
        <f t="shared" si="9"/>
        <v>0</v>
      </c>
      <c r="N39" s="299">
        <f t="shared" si="11"/>
        <v>0</v>
      </c>
      <c r="O39" s="300">
        <f t="shared" si="7"/>
        <v>0</v>
      </c>
      <c r="P39" s="2"/>
      <c r="Q39" s="4"/>
      <c r="R39" s="2"/>
      <c r="S39" s="2"/>
    </row>
    <row r="40" spans="1:19" s="287" customFormat="1">
      <c r="A40" s="319">
        <f t="shared" si="1"/>
        <v>30</v>
      </c>
      <c r="B40" s="717" t="s">
        <v>929</v>
      </c>
      <c r="C40" s="298">
        <f t="shared" si="2"/>
        <v>0</v>
      </c>
      <c r="D40" s="298">
        <f t="shared" si="3"/>
        <v>0</v>
      </c>
      <c r="E40" s="298">
        <f t="shared" si="4"/>
        <v>0</v>
      </c>
      <c r="F40" s="298">
        <f t="shared" si="5"/>
        <v>0</v>
      </c>
      <c r="G40" s="319"/>
      <c r="H40" s="314">
        <v>0</v>
      </c>
      <c r="I40" s="619">
        <f t="shared" si="8"/>
        <v>0</v>
      </c>
      <c r="J40" s="299">
        <f t="shared" si="10"/>
        <v>0</v>
      </c>
      <c r="K40" s="299">
        <f t="shared" si="6"/>
        <v>0</v>
      </c>
      <c r="L40" s="314">
        <v>0</v>
      </c>
      <c r="M40" s="619">
        <f t="shared" si="9"/>
        <v>0</v>
      </c>
      <c r="N40" s="299">
        <f t="shared" si="11"/>
        <v>0</v>
      </c>
      <c r="O40" s="300">
        <f t="shared" si="7"/>
        <v>0</v>
      </c>
      <c r="P40" s="2"/>
      <c r="Q40" s="4"/>
      <c r="R40" s="2"/>
      <c r="S40" s="2"/>
    </row>
    <row r="41" spans="1:19" s="287" customFormat="1">
      <c r="A41" s="319">
        <f t="shared" si="1"/>
        <v>31</v>
      </c>
      <c r="B41" s="717" t="s">
        <v>929</v>
      </c>
      <c r="C41" s="298">
        <f t="shared" si="2"/>
        <v>0</v>
      </c>
      <c r="D41" s="298">
        <f t="shared" si="3"/>
        <v>0</v>
      </c>
      <c r="E41" s="298">
        <f t="shared" si="4"/>
        <v>0</v>
      </c>
      <c r="F41" s="298">
        <f t="shared" si="5"/>
        <v>0</v>
      </c>
      <c r="G41" s="319"/>
      <c r="H41" s="314">
        <v>0</v>
      </c>
      <c r="I41" s="619">
        <f t="shared" si="8"/>
        <v>0</v>
      </c>
      <c r="J41" s="299">
        <f t="shared" si="10"/>
        <v>0</v>
      </c>
      <c r="K41" s="299">
        <f t="shared" si="6"/>
        <v>0</v>
      </c>
      <c r="L41" s="314">
        <v>0</v>
      </c>
      <c r="M41" s="619">
        <f t="shared" si="9"/>
        <v>0</v>
      </c>
      <c r="N41" s="299">
        <f t="shared" si="11"/>
        <v>0</v>
      </c>
      <c r="O41" s="300">
        <f t="shared" si="7"/>
        <v>0</v>
      </c>
      <c r="P41" s="2"/>
      <c r="Q41" s="4"/>
      <c r="R41" s="2"/>
      <c r="S41" s="2"/>
    </row>
    <row r="42" spans="1:19" s="287" customFormat="1">
      <c r="A42" s="319">
        <f t="shared" si="1"/>
        <v>32</v>
      </c>
      <c r="B42" s="717" t="s">
        <v>929</v>
      </c>
      <c r="C42" s="298">
        <f t="shared" si="2"/>
        <v>0</v>
      </c>
      <c r="D42" s="298">
        <f t="shared" si="3"/>
        <v>0</v>
      </c>
      <c r="E42" s="298">
        <f t="shared" si="4"/>
        <v>0</v>
      </c>
      <c r="F42" s="298">
        <f t="shared" si="5"/>
        <v>0</v>
      </c>
      <c r="G42" s="319"/>
      <c r="H42" s="314">
        <v>0</v>
      </c>
      <c r="I42" s="619">
        <f t="shared" si="8"/>
        <v>0</v>
      </c>
      <c r="J42" s="299">
        <f t="shared" si="10"/>
        <v>0</v>
      </c>
      <c r="K42" s="299">
        <f t="shared" si="6"/>
        <v>0</v>
      </c>
      <c r="L42" s="314">
        <v>0</v>
      </c>
      <c r="M42" s="619">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8.2" customHeight="1">
      <c r="A47" s="296" t="s">
        <v>78</v>
      </c>
      <c r="B47" s="963" t="s">
        <v>1261</v>
      </c>
      <c r="C47" s="963"/>
      <c r="D47" s="963"/>
      <c r="E47" s="963"/>
      <c r="F47" s="963"/>
      <c r="G47" s="963"/>
      <c r="H47" s="963"/>
      <c r="I47" s="963"/>
      <c r="J47" s="963"/>
      <c r="K47" s="963"/>
      <c r="L47" s="963"/>
      <c r="M47" s="963"/>
      <c r="N47" s="963"/>
      <c r="O47" s="963"/>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E12" sqref="E12"/>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08984375" style="190" customWidth="1"/>
    <col min="7" max="7" width="7.54296875" style="190" customWidth="1"/>
    <col min="8" max="8" width="9.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4" t="s">
        <v>757</v>
      </c>
      <c r="B1" s="934"/>
      <c r="C1" s="934"/>
      <c r="D1" s="934"/>
      <c r="E1" s="934"/>
      <c r="F1" s="934"/>
      <c r="G1" s="934"/>
      <c r="H1" s="934"/>
    </row>
    <row r="2" spans="1:9">
      <c r="A2" s="934" t="s">
        <v>722</v>
      </c>
      <c r="B2" s="934"/>
      <c r="C2" s="934"/>
      <c r="D2" s="934"/>
      <c r="E2" s="934"/>
      <c r="F2" s="934"/>
      <c r="G2" s="934"/>
      <c r="H2" s="934"/>
    </row>
    <row r="3" spans="1:9">
      <c r="A3" s="935" t="str">
        <f>'Act Att-H'!C7</f>
        <v>Black Hills Colorado Electric, LLC</v>
      </c>
      <c r="B3" s="935"/>
      <c r="C3" s="935"/>
      <c r="D3" s="935"/>
      <c r="E3" s="935"/>
      <c r="F3" s="935"/>
      <c r="G3" s="935"/>
      <c r="H3" s="935"/>
    </row>
    <row r="4" spans="1:9">
      <c r="F4" s="2"/>
      <c r="H4" s="192" t="s">
        <v>515</v>
      </c>
    </row>
    <row r="5" spans="1:9">
      <c r="A5" s="206"/>
      <c r="B5" s="206"/>
      <c r="C5" s="206"/>
      <c r="D5" s="206"/>
      <c r="E5" s="206"/>
      <c r="F5" s="206"/>
      <c r="G5" s="206"/>
      <c r="H5" s="206"/>
    </row>
    <row r="6" spans="1:9" ht="60.75" customHeight="1">
      <c r="B6" s="116" t="s">
        <v>4</v>
      </c>
      <c r="C6" s="116" t="s">
        <v>933</v>
      </c>
      <c r="D6" s="116" t="s">
        <v>159</v>
      </c>
      <c r="E6" s="219" t="s">
        <v>948</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6" t="s">
        <v>934</v>
      </c>
      <c r="D8" s="733" t="s">
        <v>935</v>
      </c>
      <c r="E8" s="823">
        <v>0</v>
      </c>
      <c r="F8" s="787" t="s">
        <v>290</v>
      </c>
      <c r="G8" s="788">
        <f>'Act Att-H'!$G$116</f>
        <v>1</v>
      </c>
      <c r="H8" s="789">
        <f t="shared" ref="H8:H11" si="0">G8*E8</f>
        <v>0</v>
      </c>
    </row>
    <row r="9" spans="1:9" ht="30" customHeight="1">
      <c r="B9" s="394">
        <v>2</v>
      </c>
      <c r="C9" s="786" t="s">
        <v>936</v>
      </c>
      <c r="D9" s="733" t="s">
        <v>937</v>
      </c>
      <c r="E9" s="824">
        <v>184710.95</v>
      </c>
      <c r="F9" s="787" t="s">
        <v>11</v>
      </c>
      <c r="G9" s="788">
        <f>'Act Att-H'!$I$175</f>
        <v>0.92887970882503001</v>
      </c>
      <c r="H9" s="790">
        <f t="shared" si="0"/>
        <v>171574.25345279468</v>
      </c>
    </row>
    <row r="10" spans="1:9" ht="30" customHeight="1">
      <c r="B10" s="394">
        <v>3</v>
      </c>
      <c r="C10" s="786" t="s">
        <v>938</v>
      </c>
      <c r="D10" s="733" t="s">
        <v>939</v>
      </c>
      <c r="E10" s="824">
        <v>0</v>
      </c>
      <c r="F10" s="787" t="s">
        <v>35</v>
      </c>
      <c r="G10" s="788">
        <f>'Act Att-H'!$I$184</f>
        <v>0.92887970882503001</v>
      </c>
      <c r="H10" s="790">
        <f t="shared" si="0"/>
        <v>0</v>
      </c>
    </row>
    <row r="11" spans="1:9" ht="30" customHeight="1">
      <c r="B11" s="394">
        <v>4</v>
      </c>
      <c r="C11" s="786" t="s">
        <v>1257</v>
      </c>
      <c r="D11" s="733" t="s">
        <v>1259</v>
      </c>
      <c r="E11" s="824">
        <v>0</v>
      </c>
      <c r="F11" s="787" t="s">
        <v>1251</v>
      </c>
      <c r="G11" s="788">
        <f>'Act Att-H'!$K$196</f>
        <v>0.12947946442867816</v>
      </c>
      <c r="H11" s="790">
        <f t="shared" si="0"/>
        <v>0</v>
      </c>
    </row>
    <row r="12" spans="1:9" ht="30" customHeight="1">
      <c r="B12" s="394">
        <v>5</v>
      </c>
      <c r="C12" s="786" t="s">
        <v>940</v>
      </c>
      <c r="D12" s="733" t="s">
        <v>941</v>
      </c>
      <c r="E12" s="824">
        <v>392069.72</v>
      </c>
      <c r="F12" s="787" t="s">
        <v>31</v>
      </c>
      <c r="G12" s="788">
        <f>'Act Att-H'!$I$192</f>
        <v>0.13228055028384053</v>
      </c>
      <c r="H12" s="790">
        <f t="shared" ref="H12:H15" si="1">G12*E12</f>
        <v>51863.198311231274</v>
      </c>
    </row>
    <row r="13" spans="1:9" ht="30" customHeight="1">
      <c r="B13" s="394">
        <v>6</v>
      </c>
      <c r="C13" s="786" t="s">
        <v>942</v>
      </c>
      <c r="D13" s="733" t="s">
        <v>943</v>
      </c>
      <c r="E13" s="824">
        <v>0</v>
      </c>
      <c r="F13" s="787" t="s">
        <v>36</v>
      </c>
      <c r="G13" s="788">
        <f>'Act Att-H'!$G$50</f>
        <v>0.23929098354858599</v>
      </c>
      <c r="H13" s="790">
        <f t="shared" si="1"/>
        <v>0</v>
      </c>
    </row>
    <row r="14" spans="1:9" ht="30" customHeight="1">
      <c r="B14" s="394">
        <v>7</v>
      </c>
      <c r="C14" s="786" t="s">
        <v>944</v>
      </c>
      <c r="D14" s="733" t="s">
        <v>945</v>
      </c>
      <c r="E14" s="824">
        <v>0</v>
      </c>
      <c r="F14" s="787" t="s">
        <v>949</v>
      </c>
      <c r="G14" s="788">
        <f>'Act Att-H'!$G$66</f>
        <v>0.28588581118088968</v>
      </c>
      <c r="H14" s="790">
        <f t="shared" si="1"/>
        <v>0</v>
      </c>
    </row>
    <row r="15" spans="1:9" ht="60" customHeight="1">
      <c r="B15" s="394">
        <v>8</v>
      </c>
      <c r="C15" s="786" t="s">
        <v>946</v>
      </c>
      <c r="D15" s="733" t="s">
        <v>947</v>
      </c>
      <c r="E15" s="824">
        <v>657028.27</v>
      </c>
      <c r="F15" s="787" t="s">
        <v>27</v>
      </c>
      <c r="G15" s="788">
        <v>0</v>
      </c>
      <c r="H15" s="790">
        <f t="shared" si="1"/>
        <v>0</v>
      </c>
    </row>
    <row r="16" spans="1:9">
      <c r="B16" s="193">
        <v>9</v>
      </c>
      <c r="C16" s="285" t="s">
        <v>9</v>
      </c>
      <c r="D16" s="285" t="s">
        <v>483</v>
      </c>
      <c r="E16" s="407">
        <f>SUM(E8:E15)</f>
        <v>1233808.94</v>
      </c>
      <c r="F16" s="611"/>
      <c r="G16" s="613"/>
      <c r="H16" s="612">
        <f>SUM(H8:H15)</f>
        <v>223437.45176402596</v>
      </c>
      <c r="I16" s="216"/>
    </row>
    <row r="17" spans="2:11">
      <c r="B17" s="193">
        <v>10</v>
      </c>
      <c r="C17" s="190" t="s">
        <v>781</v>
      </c>
      <c r="E17" s="210">
        <f>'A4-Rate Base'!I89</f>
        <v>1233809.923076923</v>
      </c>
      <c r="F17" s="621"/>
      <c r="G17" s="621"/>
      <c r="H17" s="621"/>
      <c r="I17" s="216"/>
    </row>
    <row r="18" spans="2:11">
      <c r="B18" s="193">
        <v>11</v>
      </c>
      <c r="C18" s="190" t="s">
        <v>782</v>
      </c>
      <c r="E18" s="901">
        <f>E17-E16</f>
        <v>0.98307692306116223</v>
      </c>
      <c r="F18" s="621"/>
      <c r="G18" s="621"/>
      <c r="H18" s="621"/>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59" t="s">
        <v>783</v>
      </c>
      <c r="D23" s="959"/>
      <c r="E23" s="959"/>
      <c r="F23" s="959"/>
      <c r="G23" s="959"/>
      <c r="H23" s="959"/>
      <c r="K23" s="722"/>
    </row>
    <row r="24" spans="2:11">
      <c r="B24" s="193"/>
    </row>
    <row r="25" spans="2:11">
      <c r="B25" s="193"/>
      <c r="C25" s="550"/>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zoomScale="80" zoomScaleNormal="80" workbookViewId="0">
      <selection activeCell="M21" sqref="M21"/>
    </sheetView>
  </sheetViews>
  <sheetFormatPr defaultColWidth="7.08984375" defaultRowHeight="13.2"/>
  <cols>
    <col min="1" max="1" width="5.08984375" style="231" customWidth="1"/>
    <col min="2" max="2" width="5.54296875" style="231" customWidth="1"/>
    <col min="3" max="3" width="5.08984375" style="231" customWidth="1"/>
    <col min="4" max="4" width="12.6328125" style="230" customWidth="1"/>
    <col min="5" max="5" width="28.08984375" style="230" customWidth="1"/>
    <col min="6" max="6" width="12.08984375" style="230" customWidth="1"/>
    <col min="7" max="7" width="13.453125" style="230" bestFit="1" customWidth="1"/>
    <col min="8" max="8" width="19.08984375" style="230" customWidth="1"/>
    <col min="9" max="9" width="4.6328125" style="230" bestFit="1" customWidth="1"/>
    <col min="10" max="10" width="13" style="230" customWidth="1"/>
    <col min="11" max="11" width="13" style="230" bestFit="1" customWidth="1"/>
    <col min="12" max="13" width="12.08984375" style="230" customWidth="1"/>
    <col min="14" max="14" width="11.54296875" style="230" bestFit="1" customWidth="1"/>
    <col min="15" max="15" width="7.08984375" style="230" bestFit="1" customWidth="1"/>
    <col min="16" max="16" width="11.6328125" style="230" bestFit="1" customWidth="1"/>
    <col min="17" max="16384" width="7.08984375" style="230"/>
  </cols>
  <sheetData>
    <row r="1" spans="1:11">
      <c r="A1" s="934" t="s">
        <v>246</v>
      </c>
      <c r="B1" s="934"/>
      <c r="C1" s="934"/>
      <c r="D1" s="934"/>
      <c r="E1" s="934"/>
      <c r="F1" s="934"/>
      <c r="G1" s="934"/>
      <c r="H1" s="934"/>
    </row>
    <row r="2" spans="1:11">
      <c r="A2" s="934" t="s">
        <v>432</v>
      </c>
      <c r="B2" s="934"/>
      <c r="C2" s="934"/>
      <c r="D2" s="934"/>
      <c r="E2" s="934"/>
      <c r="F2" s="934"/>
      <c r="G2" s="934"/>
      <c r="H2" s="934"/>
    </row>
    <row r="3" spans="1:11">
      <c r="A3" s="935" t="str">
        <f>'Act Att-H'!C7</f>
        <v>Black Hills Colorado Electric, LLC</v>
      </c>
      <c r="B3" s="935"/>
      <c r="C3" s="935"/>
      <c r="D3" s="935"/>
      <c r="E3" s="935"/>
      <c r="F3" s="935"/>
      <c r="G3" s="935"/>
      <c r="H3" s="935"/>
    </row>
    <row r="4" spans="1:11">
      <c r="H4" s="232" t="s">
        <v>515</v>
      </c>
    </row>
    <row r="5" spans="1:11">
      <c r="A5" s="233" t="s">
        <v>217</v>
      </c>
    </row>
    <row r="6" spans="1:11">
      <c r="A6" s="610" t="s">
        <v>218</v>
      </c>
      <c r="B6" s="610" t="s">
        <v>219</v>
      </c>
      <c r="C6" s="610" t="s">
        <v>220</v>
      </c>
      <c r="D6" s="610" t="s">
        <v>221</v>
      </c>
      <c r="E6" s="231"/>
    </row>
    <row r="7" spans="1:11">
      <c r="A7" s="231">
        <v>1</v>
      </c>
      <c r="B7" s="231" t="s">
        <v>222</v>
      </c>
      <c r="C7" s="231" t="s">
        <v>223</v>
      </c>
      <c r="D7" s="234" t="s">
        <v>913</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914</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915</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1235</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30070797.590203214</v>
      </c>
      <c r="I21" s="237"/>
      <c r="N21" s="242"/>
      <c r="O21" s="242"/>
      <c r="P21" s="242"/>
    </row>
    <row r="22" spans="1:16">
      <c r="A22" s="231">
        <f t="shared" ref="A22:A23" si="1">A21+1</f>
        <v>14</v>
      </c>
      <c r="B22" s="243"/>
      <c r="C22" s="230" t="s">
        <v>619</v>
      </c>
      <c r="F22" s="241"/>
      <c r="H22" s="406">
        <v>31707378.20915778</v>
      </c>
      <c r="I22" s="903"/>
      <c r="N22" s="244"/>
      <c r="O22" s="244"/>
      <c r="P22" s="244"/>
    </row>
    <row r="23" spans="1:16">
      <c r="A23" s="231">
        <f t="shared" si="1"/>
        <v>15</v>
      </c>
      <c r="C23" s="230" t="s">
        <v>764</v>
      </c>
      <c r="F23" s="245" t="s">
        <v>598</v>
      </c>
      <c r="H23" s="374">
        <f>+H21-H22</f>
        <v>-1636580.6189545654</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5">
        <v>391833.33333333331</v>
      </c>
      <c r="I27" s="237" t="s">
        <v>613</v>
      </c>
      <c r="N27" s="242"/>
      <c r="O27" s="242"/>
      <c r="P27" s="242"/>
    </row>
    <row r="28" spans="1:16">
      <c r="A28" s="231">
        <f t="shared" ref="A28:A33" si="2">A27+1</f>
        <v>18</v>
      </c>
      <c r="B28" s="243"/>
      <c r="C28" s="230" t="s">
        <v>620</v>
      </c>
      <c r="F28" s="241"/>
      <c r="H28" s="505">
        <v>406586.14301593177</v>
      </c>
      <c r="I28" s="237" t="s">
        <v>613</v>
      </c>
      <c r="N28" s="244"/>
      <c r="O28" s="244"/>
      <c r="P28" s="244"/>
    </row>
    <row r="29" spans="1:16">
      <c r="A29" s="231">
        <f t="shared" si="2"/>
        <v>19</v>
      </c>
      <c r="C29" s="230" t="s">
        <v>707</v>
      </c>
      <c r="F29" s="245" t="s">
        <v>618</v>
      </c>
      <c r="H29" s="506">
        <f>H28-H27</f>
        <v>14752.809682598454</v>
      </c>
      <c r="I29" s="237" t="s">
        <v>613</v>
      </c>
      <c r="N29" s="239"/>
      <c r="O29" s="239"/>
      <c r="P29" s="239"/>
    </row>
    <row r="30" spans="1:16" ht="12.75" customHeight="1">
      <c r="A30" s="231">
        <f t="shared" si="2"/>
        <v>20</v>
      </c>
      <c r="C30" s="230"/>
      <c r="D30" s="237"/>
      <c r="E30" s="237"/>
      <c r="F30" s="245"/>
      <c r="H30" s="507"/>
      <c r="I30" s="237"/>
      <c r="N30" s="239"/>
      <c r="O30" s="239"/>
      <c r="P30" s="239"/>
    </row>
    <row r="31" spans="1:16">
      <c r="A31" s="231">
        <f t="shared" si="2"/>
        <v>21</v>
      </c>
      <c r="C31" s="230" t="s">
        <v>621</v>
      </c>
      <c r="E31" s="237"/>
      <c r="F31" s="245" t="s">
        <v>615</v>
      </c>
      <c r="H31" s="507">
        <f>IF(H28=0,0,ROUND(H22/H28,6))</f>
        <v>77.984403999999998</v>
      </c>
      <c r="I31" s="237" t="s">
        <v>616</v>
      </c>
      <c r="N31" s="242"/>
      <c r="O31" s="242"/>
      <c r="P31" s="242"/>
    </row>
    <row r="32" spans="1:16">
      <c r="A32" s="231">
        <f t="shared" si="2"/>
        <v>22</v>
      </c>
      <c r="B32" s="243"/>
      <c r="C32" s="230" t="s">
        <v>612</v>
      </c>
      <c r="F32" s="245" t="s">
        <v>626</v>
      </c>
      <c r="H32" s="374">
        <f>H29*H31</f>
        <v>1150489.0704228696</v>
      </c>
      <c r="I32" s="237"/>
      <c r="N32" s="244"/>
      <c r="O32" s="244"/>
      <c r="P32" s="244"/>
    </row>
    <row r="33" spans="1:16">
      <c r="A33" s="231">
        <f t="shared" si="2"/>
        <v>23</v>
      </c>
      <c r="C33" s="230"/>
      <c r="F33" s="245"/>
      <c r="H33" s="504"/>
      <c r="I33" s="237"/>
      <c r="N33" s="239"/>
      <c r="O33" s="239"/>
      <c r="P33" s="239"/>
    </row>
    <row r="34" spans="1:16">
      <c r="B34" s="233" t="s">
        <v>754</v>
      </c>
      <c r="C34" s="230"/>
      <c r="F34" s="245"/>
      <c r="H34" s="504"/>
      <c r="I34" s="237"/>
      <c r="N34" s="239"/>
      <c r="O34" s="239"/>
      <c r="P34" s="239"/>
    </row>
    <row r="35" spans="1:16">
      <c r="A35" s="231" t="s">
        <v>292</v>
      </c>
      <c r="C35" s="230" t="s">
        <v>756</v>
      </c>
      <c r="F35" s="245"/>
      <c r="H35" s="406">
        <v>0</v>
      </c>
      <c r="I35" s="237"/>
      <c r="N35" s="239"/>
      <c r="O35" s="239"/>
      <c r="P35" s="239"/>
    </row>
    <row r="36" spans="1:16">
      <c r="C36" s="230"/>
      <c r="F36" s="245"/>
      <c r="H36" s="504"/>
      <c r="I36" s="237"/>
      <c r="N36" s="239"/>
      <c r="O36" s="239"/>
      <c r="P36" s="239"/>
    </row>
    <row r="37" spans="1:16" ht="26.4">
      <c r="A37" s="231">
        <f>A33+1</f>
        <v>24</v>
      </c>
      <c r="B37" s="230" t="s">
        <v>708</v>
      </c>
      <c r="C37" s="230"/>
      <c r="D37" s="234"/>
      <c r="E37" s="231"/>
      <c r="F37" s="237" t="s">
        <v>755</v>
      </c>
      <c r="G37" s="237"/>
      <c r="H37" s="508">
        <f>H23+H32+H35</f>
        <v>-486091.54853169573</v>
      </c>
      <c r="I37" s="237"/>
      <c r="J37" s="237"/>
      <c r="K37" s="237"/>
      <c r="L37" s="237"/>
    </row>
    <row r="38" spans="1:16">
      <c r="C38" s="230"/>
      <c r="D38" s="234"/>
      <c r="E38" s="231"/>
      <c r="F38" s="237"/>
      <c r="G38" s="237"/>
      <c r="H38" s="237"/>
      <c r="I38" s="237"/>
      <c r="J38" s="237"/>
      <c r="K38" s="237"/>
      <c r="L38" s="237"/>
    </row>
    <row r="39" spans="1:16">
      <c r="C39" s="241"/>
      <c r="D39" s="231"/>
      <c r="E39" s="234"/>
      <c r="G39" s="231"/>
      <c r="H39" s="246"/>
      <c r="I39" s="234"/>
      <c r="J39" s="246"/>
    </row>
    <row r="40" spans="1:16">
      <c r="A40" s="231" t="s">
        <v>172</v>
      </c>
    </row>
    <row r="41" spans="1:16" s="617" customFormat="1" ht="15.75" customHeight="1">
      <c r="A41" s="247" t="s">
        <v>76</v>
      </c>
      <c r="B41" s="965" t="s">
        <v>1246</v>
      </c>
      <c r="C41" s="965"/>
      <c r="D41" s="965"/>
      <c r="E41" s="965"/>
      <c r="F41" s="965"/>
      <c r="G41" s="965"/>
      <c r="H41" s="965"/>
    </row>
    <row r="42" spans="1:16" s="617" customFormat="1">
      <c r="A42" s="247" t="s">
        <v>77</v>
      </c>
      <c r="B42" s="965" t="s">
        <v>1246</v>
      </c>
      <c r="C42" s="965"/>
      <c r="D42" s="965"/>
      <c r="E42" s="965"/>
      <c r="F42" s="965"/>
      <c r="G42" s="965"/>
      <c r="H42" s="965"/>
    </row>
    <row r="43" spans="1:16" s="617" customFormat="1">
      <c r="A43" s="247" t="s">
        <v>78</v>
      </c>
      <c r="B43" s="965" t="s">
        <v>1246</v>
      </c>
      <c r="C43" s="965"/>
      <c r="D43" s="965"/>
      <c r="E43" s="965"/>
      <c r="F43" s="965"/>
      <c r="G43" s="965"/>
      <c r="H43" s="965"/>
    </row>
    <row r="44" spans="1:16" s="617" customFormat="1" ht="13.35" customHeight="1">
      <c r="A44" s="247" t="s">
        <v>79</v>
      </c>
      <c r="B44" s="965" t="s">
        <v>1246</v>
      </c>
      <c r="C44" s="965"/>
      <c r="D44" s="965"/>
      <c r="E44" s="965"/>
      <c r="F44" s="965"/>
      <c r="G44" s="965"/>
      <c r="H44" s="965"/>
    </row>
    <row r="45" spans="1:16" s="617" customFormat="1" ht="14.25" customHeight="1">
      <c r="A45" s="247" t="s">
        <v>80</v>
      </c>
      <c r="B45" s="965" t="s">
        <v>1247</v>
      </c>
      <c r="C45" s="965"/>
      <c r="D45" s="965"/>
      <c r="E45" s="965"/>
      <c r="F45" s="965"/>
      <c r="G45" s="965"/>
      <c r="H45" s="965"/>
    </row>
    <row r="46" spans="1:16" s="617" customFormat="1" ht="122.4" customHeight="1">
      <c r="A46" s="247" t="s">
        <v>81</v>
      </c>
      <c r="B46" s="964" t="s">
        <v>1248</v>
      </c>
      <c r="C46" s="964"/>
      <c r="D46" s="964"/>
      <c r="E46" s="964"/>
      <c r="F46" s="964"/>
      <c r="G46" s="964"/>
      <c r="H46" s="964"/>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tabSelected="1" zoomScale="80" zoomScaleNormal="80" workbookViewId="0">
      <selection activeCell="N24" sqref="N24"/>
    </sheetView>
  </sheetViews>
  <sheetFormatPr defaultColWidth="8.6328125" defaultRowHeight="13.2"/>
  <cols>
    <col min="1" max="1" width="4.08984375" style="93" customWidth="1"/>
    <col min="2" max="2" width="47.90625" style="93" customWidth="1"/>
    <col min="3" max="3" width="39.08984375" style="93" customWidth="1"/>
    <col min="4" max="4" width="12.90625" style="93" customWidth="1"/>
    <col min="5" max="5" width="4.08984375" style="93" customWidth="1"/>
    <col min="6" max="6" width="3.90625" style="93" customWidth="1"/>
    <col min="7" max="7" width="7.90625" style="93" customWidth="1"/>
    <col min="8" max="8" width="3.6328125" style="93" bestFit="1" customWidth="1"/>
    <col min="9" max="9" width="12.453125" style="93" customWidth="1"/>
    <col min="10" max="10" width="1.453125" style="93" customWidth="1"/>
    <col min="11" max="11" width="6.6328125" style="93" customWidth="1"/>
    <col min="12" max="12" width="10.08984375" style="93" bestFit="1" customWidth="1"/>
    <col min="13" max="14" width="10.6328125" style="93" customWidth="1"/>
    <col min="15"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3" t="s">
        <v>370</v>
      </c>
      <c r="J1" s="913"/>
      <c r="K1" s="913"/>
    </row>
    <row r="2" spans="1:11">
      <c r="B2" s="62"/>
      <c r="C2" s="62"/>
      <c r="D2" s="94"/>
      <c r="E2" s="62"/>
      <c r="F2" s="62"/>
      <c r="G2" s="62"/>
      <c r="H2" s="62"/>
      <c r="I2" s="62"/>
      <c r="J2" s="912" t="s">
        <v>193</v>
      </c>
      <c r="K2" s="912"/>
    </row>
    <row r="3" spans="1:11">
      <c r="B3" s="62"/>
      <c r="C3" s="62"/>
      <c r="D3" s="94"/>
      <c r="E3" s="62"/>
      <c r="F3" s="62"/>
      <c r="G3" s="62"/>
      <c r="H3" s="62"/>
      <c r="I3" s="62"/>
      <c r="J3" s="62"/>
      <c r="K3" s="95"/>
    </row>
    <row r="4" spans="1:11">
      <c r="B4" s="94" t="s">
        <v>0</v>
      </c>
      <c r="C4" s="68" t="s">
        <v>112</v>
      </c>
      <c r="E4" s="62"/>
      <c r="F4" s="62"/>
      <c r="G4" s="62"/>
      <c r="H4" s="62"/>
      <c r="I4" s="62"/>
      <c r="J4" s="62"/>
      <c r="K4" s="96" t="s">
        <v>1266</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32794171.079112172</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661.59457261062767</v>
      </c>
      <c r="E13" s="97"/>
      <c r="F13" s="97" t="s">
        <v>290</v>
      </c>
      <c r="G13" s="104">
        <v>1</v>
      </c>
      <c r="H13" s="97"/>
      <c r="I13" s="54">
        <f>+G13*D13</f>
        <v>661.59457261062767</v>
      </c>
      <c r="J13" s="62"/>
      <c r="K13" s="62"/>
    </row>
    <row r="14" spans="1:11">
      <c r="A14" s="68">
        <v>3</v>
      </c>
      <c r="B14" s="62" t="s">
        <v>102</v>
      </c>
      <c r="C14" s="97" t="s">
        <v>677</v>
      </c>
      <c r="D14" s="160">
        <f>'Act Att-H'!D14</f>
        <v>908954</v>
      </c>
      <c r="E14" s="97"/>
      <c r="F14" s="105" t="s">
        <v>290</v>
      </c>
      <c r="G14" s="104">
        <v>1</v>
      </c>
      <c r="H14" s="97"/>
      <c r="I14" s="54">
        <f>+G14*D14</f>
        <v>908954</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909615.59457261057</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31884555.484539561</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377252.70226007211</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7">
        <f>ROUND(I19/I22,2)</f>
        <v>84.52</v>
      </c>
      <c r="E25" s="62" t="s">
        <v>197</v>
      </c>
      <c r="F25" s="97"/>
      <c r="G25" s="906"/>
      <c r="H25" s="906"/>
      <c r="I25" s="906"/>
      <c r="J25" s="97"/>
      <c r="K25" s="62"/>
    </row>
    <row r="26" spans="1:11">
      <c r="A26" s="68">
        <v>12</v>
      </c>
      <c r="B26" s="62" t="s">
        <v>208</v>
      </c>
      <c r="C26" s="62" t="s">
        <v>603</v>
      </c>
      <c r="D26" s="537">
        <f>ROUND(D25/12,2)</f>
        <v>7.04</v>
      </c>
      <c r="E26" s="62" t="s">
        <v>198</v>
      </c>
      <c r="F26" s="97"/>
      <c r="G26" s="906"/>
      <c r="H26" s="906"/>
      <c r="I26" s="906"/>
      <c r="J26" s="97"/>
      <c r="K26" s="62"/>
    </row>
    <row r="27" spans="1:11">
      <c r="A27" s="68">
        <v>13</v>
      </c>
      <c r="B27" s="62" t="s">
        <v>209</v>
      </c>
      <c r="C27" s="62" t="s">
        <v>604</v>
      </c>
      <c r="D27" s="537">
        <f>ROUND(D25/52,2)</f>
        <v>1.63</v>
      </c>
      <c r="E27" s="62" t="s">
        <v>199</v>
      </c>
      <c r="F27" s="97"/>
      <c r="G27" s="906"/>
      <c r="H27" s="906"/>
      <c r="I27" s="906"/>
      <c r="J27" s="97"/>
      <c r="K27" s="62"/>
    </row>
    <row r="28" spans="1:11">
      <c r="A28" s="68">
        <v>14</v>
      </c>
      <c r="B28" s="62" t="s">
        <v>210</v>
      </c>
      <c r="C28" s="62" t="s">
        <v>200</v>
      </c>
      <c r="D28" s="538">
        <f>+D27/6</f>
        <v>0.27166666666666667</v>
      </c>
      <c r="E28" s="62" t="s">
        <v>201</v>
      </c>
      <c r="F28" s="97"/>
      <c r="G28" s="906"/>
      <c r="H28" s="906"/>
      <c r="I28" s="906"/>
      <c r="J28" s="97"/>
      <c r="K28" s="62"/>
    </row>
    <row r="29" spans="1:11">
      <c r="A29" s="68">
        <v>15</v>
      </c>
      <c r="B29" s="62" t="s">
        <v>211</v>
      </c>
      <c r="C29" s="62" t="s">
        <v>202</v>
      </c>
      <c r="D29" s="538">
        <f>+D27/7</f>
        <v>0.23285714285714285</v>
      </c>
      <c r="E29" s="62" t="s">
        <v>201</v>
      </c>
      <c r="F29" s="97"/>
      <c r="G29" s="906"/>
      <c r="H29" s="906"/>
      <c r="I29" s="906"/>
      <c r="J29" s="97"/>
      <c r="K29" s="62"/>
    </row>
    <row r="30" spans="1:11">
      <c r="A30" s="68">
        <v>16</v>
      </c>
      <c r="B30" s="62" t="s">
        <v>212</v>
      </c>
      <c r="C30" s="62" t="s">
        <v>203</v>
      </c>
      <c r="D30" s="537">
        <f>+D28/16*1000</f>
        <v>16.979166666666668</v>
      </c>
      <c r="E30" s="62" t="s">
        <v>668</v>
      </c>
      <c r="F30" s="97"/>
      <c r="G30" s="906"/>
      <c r="H30" s="906"/>
      <c r="I30" s="906"/>
      <c r="J30" s="97"/>
      <c r="K30" s="62"/>
    </row>
    <row r="31" spans="1:11">
      <c r="A31" s="68">
        <v>17</v>
      </c>
      <c r="B31" s="62" t="s">
        <v>213</v>
      </c>
      <c r="C31" s="62" t="s">
        <v>204</v>
      </c>
      <c r="D31" s="537">
        <f>+D29/24*1000</f>
        <v>9.7023809523809526</v>
      </c>
      <c r="E31" s="62" t="s">
        <v>668</v>
      </c>
      <c r="F31" s="97"/>
      <c r="G31" s="906"/>
      <c r="H31" s="906"/>
      <c r="I31" s="906"/>
      <c r="J31" s="97"/>
      <c r="K31" s="62"/>
    </row>
    <row r="32" spans="1:11">
      <c r="B32" s="62"/>
      <c r="C32" s="62"/>
      <c r="D32" s="94"/>
      <c r="E32" s="62"/>
      <c r="F32" s="62"/>
      <c r="G32" s="62"/>
      <c r="H32" s="62"/>
      <c r="I32" s="913" t="str">
        <f>I1</f>
        <v>Projected Attachment H</v>
      </c>
      <c r="J32" s="913"/>
      <c r="K32" s="913"/>
    </row>
    <row r="33" spans="1:11">
      <c r="B33" s="62"/>
      <c r="C33" s="62"/>
      <c r="D33" s="94"/>
      <c r="E33" s="62"/>
      <c r="F33" s="62"/>
      <c r="G33" s="62"/>
      <c r="H33" s="62"/>
      <c r="I33" s="62"/>
      <c r="J33" s="912" t="s">
        <v>194</v>
      </c>
      <c r="K33" s="912"/>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12/31/2025</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0">
        <v>1</v>
      </c>
      <c r="B45" s="841" t="s">
        <v>28</v>
      </c>
      <c r="C45" s="842" t="s">
        <v>824</v>
      </c>
      <c r="D45" s="258">
        <f>'P1-Trans Plant'!H44</f>
        <v>329132728.55589271</v>
      </c>
      <c r="E45" s="97"/>
      <c r="F45" s="97" t="s">
        <v>11</v>
      </c>
      <c r="G45" s="120">
        <f>$I$170</f>
        <v>0.92887970882503001</v>
      </c>
      <c r="H45" s="97"/>
      <c r="I45" s="847">
        <f>+G45*D45</f>
        <v>305724713.06578523</v>
      </c>
      <c r="J45" s="97"/>
      <c r="K45" s="97"/>
    </row>
    <row r="46" spans="1:11">
      <c r="A46" s="840">
        <v>2</v>
      </c>
      <c r="B46" s="841" t="s">
        <v>30</v>
      </c>
      <c r="C46" s="841" t="s">
        <v>968</v>
      </c>
      <c r="D46" s="258">
        <f>'A4-Rate Base'!F22</f>
        <v>45655275.060000002</v>
      </c>
      <c r="E46" s="97"/>
      <c r="F46" s="845" t="s">
        <v>31</v>
      </c>
      <c r="G46" s="846">
        <f>$I$187</f>
        <v>0.13228055028384053</v>
      </c>
      <c r="H46" s="97"/>
      <c r="I46" s="847">
        <f>+G46*D46</f>
        <v>6039304.9082969008</v>
      </c>
      <c r="J46" s="97"/>
      <c r="K46" s="97"/>
    </row>
    <row r="47" spans="1:11">
      <c r="A47" s="840" t="s">
        <v>130</v>
      </c>
      <c r="B47" s="841" t="s">
        <v>58</v>
      </c>
      <c r="C47" s="841" t="s">
        <v>967</v>
      </c>
      <c r="D47" s="844">
        <f>'A4-Rate Base'!G22</f>
        <v>26045763</v>
      </c>
      <c r="E47" s="97"/>
      <c r="F47" s="845" t="s">
        <v>1251</v>
      </c>
      <c r="G47" s="846">
        <f>$K$191</f>
        <v>0.12947946442867816</v>
      </c>
      <c r="H47" s="97"/>
      <c r="I47" s="847">
        <f>+G47*D47</f>
        <v>3372391.4438762818</v>
      </c>
      <c r="J47" s="97"/>
      <c r="K47" s="97"/>
    </row>
    <row r="48" spans="1:11">
      <c r="A48" s="840">
        <v>3</v>
      </c>
      <c r="B48" s="841" t="s">
        <v>281</v>
      </c>
      <c r="C48" s="843" t="s">
        <v>1101</v>
      </c>
      <c r="D48" s="544">
        <f>SUM(D45:D47)</f>
        <v>400833766.61589271</v>
      </c>
      <c r="E48" s="97"/>
      <c r="F48" s="97" t="s">
        <v>36</v>
      </c>
      <c r="G48" s="120">
        <f>$G$222</f>
        <v>0.25168398225195288</v>
      </c>
      <c r="H48" s="97"/>
      <c r="I48" s="848">
        <f>SUM(I45:I47)</f>
        <v>315136409.41795838</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0">
        <v>4</v>
      </c>
      <c r="B51" s="849" t="str">
        <f>+B45</f>
        <v xml:space="preserve">  Transmission</v>
      </c>
      <c r="C51" s="842" t="s">
        <v>825</v>
      </c>
      <c r="D51" s="844">
        <f>'P1-Trans Plant'!J44</f>
        <v>60446011.694126554</v>
      </c>
      <c r="E51" s="845"/>
      <c r="F51" s="850" t="str">
        <f>+F45</f>
        <v>TP</v>
      </c>
      <c r="G51" s="846">
        <f>$I$170</f>
        <v>0.92887970882503001</v>
      </c>
      <c r="H51" s="845"/>
      <c r="I51" s="847">
        <f>+G51*D51</f>
        <v>56147073.742074631</v>
      </c>
      <c r="J51" s="97"/>
      <c r="K51" s="97"/>
    </row>
    <row r="52" spans="1:11">
      <c r="A52" s="840">
        <v>5</v>
      </c>
      <c r="B52" s="849" t="str">
        <f>+B46</f>
        <v xml:space="preserve">  General &amp; Intangible</v>
      </c>
      <c r="C52" s="841" t="s">
        <v>969</v>
      </c>
      <c r="D52" s="844">
        <f>'A4-Rate Base'!H45</f>
        <v>23667929.41</v>
      </c>
      <c r="E52" s="845"/>
      <c r="F52" s="850" t="str">
        <f>+F46</f>
        <v>W/S</v>
      </c>
      <c r="G52" s="846">
        <f>$I$187</f>
        <v>0.13228055028384053</v>
      </c>
      <c r="H52" s="845"/>
      <c r="I52" s="847">
        <f>+G52*D52</f>
        <v>3130806.7264338932</v>
      </c>
      <c r="J52" s="97"/>
      <c r="K52" s="97"/>
    </row>
    <row r="53" spans="1:11">
      <c r="A53" s="840" t="s">
        <v>99</v>
      </c>
      <c r="B53" s="841" t="s">
        <v>58</v>
      </c>
      <c r="C53" s="841" t="s">
        <v>1102</v>
      </c>
      <c r="D53" s="844">
        <f>'A4-Rate Base'!I45</f>
        <v>9226628</v>
      </c>
      <c r="E53" s="845"/>
      <c r="F53" s="845" t="s">
        <v>1251</v>
      </c>
      <c r="G53" s="846">
        <f>$K$191</f>
        <v>0.12947946442867816</v>
      </c>
      <c r="H53" s="845"/>
      <c r="I53" s="847">
        <f>+G53*D53</f>
        <v>1194658.8519226459</v>
      </c>
      <c r="J53" s="97"/>
      <c r="K53" s="97"/>
    </row>
    <row r="54" spans="1:11">
      <c r="A54" s="840">
        <v>6</v>
      </c>
      <c r="B54" s="841" t="s">
        <v>283</v>
      </c>
      <c r="C54" s="843" t="s">
        <v>1103</v>
      </c>
      <c r="D54" s="851">
        <f>SUM(D51:D53)</f>
        <v>93340569.104126558</v>
      </c>
      <c r="E54" s="845"/>
      <c r="F54" s="845"/>
      <c r="G54" s="846"/>
      <c r="H54" s="845"/>
      <c r="I54" s="848">
        <f>SUM(I51:I53)</f>
        <v>60472539.320431173</v>
      </c>
      <c r="J54" s="97"/>
      <c r="K54" s="97"/>
    </row>
    <row r="55" spans="1:11">
      <c r="A55" s="68"/>
      <c r="C55" s="97" t="s">
        <v>2</v>
      </c>
      <c r="D55" s="855"/>
      <c r="E55" s="845"/>
      <c r="F55" s="845"/>
      <c r="G55" s="846"/>
      <c r="H55" s="845"/>
      <c r="I55" s="855"/>
      <c r="J55" s="97"/>
      <c r="K55" s="122"/>
    </row>
    <row r="56" spans="1:11">
      <c r="A56" s="68"/>
      <c r="B56" s="62" t="s">
        <v>126</v>
      </c>
      <c r="C56" s="97"/>
      <c r="D56" s="845"/>
      <c r="E56" s="845"/>
      <c r="F56" s="845"/>
      <c r="G56" s="846"/>
      <c r="H56" s="845"/>
      <c r="I56" s="845"/>
      <c r="J56" s="97"/>
      <c r="K56" s="97"/>
    </row>
    <row r="57" spans="1:11">
      <c r="A57" s="840">
        <v>7</v>
      </c>
      <c r="B57" s="849" t="str">
        <f>+B51</f>
        <v xml:space="preserve">  Transmission</v>
      </c>
      <c r="C57" s="852" t="s">
        <v>471</v>
      </c>
      <c r="D57" s="853">
        <f>D45-D51</f>
        <v>268686716.86176616</v>
      </c>
      <c r="E57" s="845"/>
      <c r="F57" s="845"/>
      <c r="G57" s="846"/>
      <c r="H57" s="845"/>
      <c r="I57" s="847">
        <f>I45-I51</f>
        <v>249577639.32371059</v>
      </c>
      <c r="J57" s="97"/>
      <c r="K57" s="122"/>
    </row>
    <row r="58" spans="1:11">
      <c r="A58" s="840">
        <v>8</v>
      </c>
      <c r="B58" s="849" t="str">
        <f>+B52</f>
        <v xml:space="preserve">  General &amp; Intangible</v>
      </c>
      <c r="C58" s="852" t="s">
        <v>470</v>
      </c>
      <c r="D58" s="853">
        <f>D46-D52</f>
        <v>21987345.650000002</v>
      </c>
      <c r="E58" s="845"/>
      <c r="F58" s="845"/>
      <c r="G58" s="846"/>
      <c r="H58" s="845"/>
      <c r="I58" s="847">
        <f>I46-I52</f>
        <v>2908498.1818630076</v>
      </c>
      <c r="J58" s="97"/>
      <c r="K58" s="122"/>
    </row>
    <row r="59" spans="1:11">
      <c r="A59" s="840" t="s">
        <v>970</v>
      </c>
      <c r="B59" s="841" t="s">
        <v>58</v>
      </c>
      <c r="C59" s="841" t="s">
        <v>971</v>
      </c>
      <c r="D59" s="853">
        <f>D47-D53</f>
        <v>16819135</v>
      </c>
      <c r="E59" s="845"/>
      <c r="F59" s="845"/>
      <c r="G59" s="846"/>
      <c r="H59" s="845"/>
      <c r="I59" s="847">
        <f>I47-I53</f>
        <v>2177732.5919536361</v>
      </c>
      <c r="J59" s="97"/>
      <c r="K59" s="122"/>
    </row>
    <row r="60" spans="1:11">
      <c r="A60" s="840">
        <v>9</v>
      </c>
      <c r="B60" s="841" t="s">
        <v>285</v>
      </c>
      <c r="C60" s="843" t="s">
        <v>1104</v>
      </c>
      <c r="D60" s="854">
        <f>SUM(D57:D59)</f>
        <v>307493197.51176614</v>
      </c>
      <c r="E60" s="845"/>
      <c r="F60" s="845" t="s">
        <v>33</v>
      </c>
      <c r="G60" s="846">
        <f>$G$230</f>
        <v>0.29480549431666142</v>
      </c>
      <c r="H60" s="845"/>
      <c r="I60" s="848">
        <f>SUM(I57:I59)</f>
        <v>254663870.09752724</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1148</v>
      </c>
      <c r="D62" s="258">
        <f>'A4-Rate Base'!H23</f>
        <v>0</v>
      </c>
      <c r="E62" s="49"/>
      <c r="F62" s="64"/>
      <c r="G62" s="607"/>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0.25168398225195288</v>
      </c>
      <c r="H65" s="42"/>
      <c r="I65" s="46">
        <f>D65*G65</f>
        <v>0</v>
      </c>
      <c r="J65" s="97"/>
      <c r="K65" s="122"/>
    </row>
    <row r="66" spans="1:11">
      <c r="A66" s="44">
        <v>12</v>
      </c>
      <c r="B66" s="123" t="s">
        <v>777</v>
      </c>
      <c r="C66" s="62" t="s">
        <v>752</v>
      </c>
      <c r="D66" s="258">
        <f>'P5-ADIT'!J106</f>
        <v>-35324236.829184726</v>
      </c>
      <c r="E66" s="43"/>
      <c r="F66" s="43" t="s">
        <v>11</v>
      </c>
      <c r="G66" s="120">
        <f>$I$170</f>
        <v>0.92887970882503001</v>
      </c>
      <c r="H66" s="42"/>
      <c r="I66" s="46">
        <f>D66*G66</f>
        <v>-32811966.820359509</v>
      </c>
      <c r="J66" s="97"/>
      <c r="K66" s="122"/>
    </row>
    <row r="67" spans="1:11">
      <c r="A67" s="44">
        <v>13</v>
      </c>
      <c r="B67" s="123" t="s">
        <v>778</v>
      </c>
      <c r="C67" s="62" t="s">
        <v>753</v>
      </c>
      <c r="D67" s="258">
        <f>'P5-ADIT'!J140</f>
        <v>-66229768</v>
      </c>
      <c r="E67" s="43"/>
      <c r="F67" s="43" t="s">
        <v>36</v>
      </c>
      <c r="G67" s="120">
        <f>$G$222</f>
        <v>0.25168398225195288</v>
      </c>
      <c r="H67" s="42"/>
      <c r="I67" s="46">
        <f>D67*G67</f>
        <v>-16668971.753862957</v>
      </c>
      <c r="J67" s="97"/>
      <c r="K67" s="122"/>
    </row>
    <row r="68" spans="1:11">
      <c r="A68" s="44">
        <v>14</v>
      </c>
      <c r="B68" s="45" t="s">
        <v>121</v>
      </c>
      <c r="C68" s="62" t="s">
        <v>740</v>
      </c>
      <c r="D68" s="258">
        <f>'P5-ADIT'!J28</f>
        <v>73564969.255309999</v>
      </c>
      <c r="E68" s="43"/>
      <c r="F68" s="43" t="s">
        <v>36</v>
      </c>
      <c r="G68" s="120">
        <f>$G$222</f>
        <v>0.25168398225195288</v>
      </c>
      <c r="H68" s="42"/>
      <c r="I68" s="54">
        <f>D68*G68</f>
        <v>18515124.416418903</v>
      </c>
      <c r="J68" s="97"/>
      <c r="K68" s="122"/>
    </row>
    <row r="69" spans="1:11">
      <c r="A69" s="44" t="s">
        <v>742</v>
      </c>
      <c r="B69" s="45" t="s">
        <v>743</v>
      </c>
      <c r="C69" s="62" t="s">
        <v>741</v>
      </c>
      <c r="D69" s="258">
        <f>'P5-ADIT'!J35</f>
        <v>461176.89101717813</v>
      </c>
      <c r="E69" s="43"/>
      <c r="F69" s="43"/>
      <c r="G69" s="120"/>
      <c r="H69" s="42"/>
      <c r="I69" s="54">
        <f>D69</f>
        <v>461176.89101717813</v>
      </c>
      <c r="J69" s="97"/>
      <c r="K69" s="122"/>
    </row>
    <row r="70" spans="1:11">
      <c r="A70" s="44">
        <v>15</v>
      </c>
      <c r="B70" s="52" t="s">
        <v>734</v>
      </c>
      <c r="C70" s="62"/>
      <c r="D70" s="545">
        <v>0</v>
      </c>
      <c r="E70" s="43"/>
      <c r="F70" s="43"/>
      <c r="G70" s="120"/>
      <c r="H70" s="42"/>
      <c r="I70" s="50">
        <f>D70*G70</f>
        <v>0</v>
      </c>
      <c r="J70" s="97"/>
      <c r="K70" s="122"/>
    </row>
    <row r="71" spans="1:11">
      <c r="A71" s="44">
        <v>16</v>
      </c>
      <c r="B71" s="48" t="s">
        <v>288</v>
      </c>
      <c r="C71" s="62" t="s">
        <v>1105</v>
      </c>
      <c r="D71" s="258">
        <f>'A4-Rate Base'!C89</f>
        <v>0</v>
      </c>
      <c r="E71" s="49"/>
      <c r="F71" s="64"/>
      <c r="G71" s="607"/>
      <c r="H71" s="49"/>
      <c r="I71" s="51">
        <f>D71*G71</f>
        <v>0</v>
      </c>
      <c r="J71" s="97"/>
      <c r="K71" s="122"/>
    </row>
    <row r="72" spans="1:11">
      <c r="A72" s="44" t="s">
        <v>1143</v>
      </c>
      <c r="B72" s="48" t="s">
        <v>1124</v>
      </c>
      <c r="C72" s="62" t="s">
        <v>1144</v>
      </c>
      <c r="D72" s="258">
        <f>'A4-Rate Base'!I66</f>
        <v>0</v>
      </c>
      <c r="E72" s="49"/>
      <c r="F72" s="64"/>
      <c r="G72" s="607"/>
      <c r="H72" s="49"/>
      <c r="I72" s="51">
        <f>D72*G72</f>
        <v>0</v>
      </c>
      <c r="J72" s="97"/>
      <c r="K72" s="122"/>
    </row>
    <row r="73" spans="1:11">
      <c r="A73" s="44">
        <v>17</v>
      </c>
      <c r="B73" s="48" t="s">
        <v>289</v>
      </c>
      <c r="C73" s="62" t="s">
        <v>1106</v>
      </c>
      <c r="D73" s="258">
        <f>'A4-Rate Base'!D89</f>
        <v>0</v>
      </c>
      <c r="E73" s="49"/>
      <c r="F73" s="64"/>
      <c r="G73" s="607"/>
      <c r="H73" s="49"/>
      <c r="I73" s="51">
        <f>D73*G73</f>
        <v>0</v>
      </c>
      <c r="J73" s="97"/>
      <c r="K73" s="122"/>
    </row>
    <row r="74" spans="1:11">
      <c r="A74" s="44">
        <v>18</v>
      </c>
      <c r="B74" s="48" t="s">
        <v>291</v>
      </c>
      <c r="C74" s="62" t="s">
        <v>469</v>
      </c>
      <c r="D74" s="258">
        <f>'Act Att-H'!D79</f>
        <v>-906060.95091745793</v>
      </c>
      <c r="E74" s="49"/>
      <c r="F74" s="49"/>
      <c r="G74" s="120"/>
      <c r="H74" s="49"/>
      <c r="I74" s="51">
        <f t="shared" ref="I74" si="0">D74</f>
        <v>-906060.95091745793</v>
      </c>
      <c r="J74" s="97"/>
      <c r="K74" s="122"/>
    </row>
    <row r="75" spans="1:11">
      <c r="A75" s="44">
        <v>19</v>
      </c>
      <c r="B75" s="123" t="s">
        <v>122</v>
      </c>
      <c r="C75" s="62" t="s">
        <v>468</v>
      </c>
      <c r="D75" s="258">
        <f>'Act Att-H'!D80</f>
        <v>7178090.1400000006</v>
      </c>
      <c r="E75" s="97"/>
      <c r="F75" s="43" t="s">
        <v>36</v>
      </c>
      <c r="G75" s="120">
        <f>$G$222</f>
        <v>0.25168398225195288</v>
      </c>
      <c r="H75" s="97"/>
      <c r="I75" s="51">
        <f t="shared" ref="I75" si="1">D75*G75</f>
        <v>1806610.311398678</v>
      </c>
      <c r="J75" s="97"/>
      <c r="K75" s="122"/>
    </row>
    <row r="76" spans="1:11" ht="13.8" thickBot="1">
      <c r="A76" s="68">
        <v>20</v>
      </c>
      <c r="B76" s="123" t="s">
        <v>1045</v>
      </c>
      <c r="C76" s="62" t="s">
        <v>910</v>
      </c>
      <c r="D76" s="258">
        <f>'P5-ADIT'!J175</f>
        <v>-8472551.0775746014</v>
      </c>
      <c r="E76" s="97"/>
      <c r="F76" s="97"/>
      <c r="G76" s="97"/>
      <c r="H76" s="97"/>
      <c r="I76" s="55">
        <f>D76</f>
        <v>-8472551.0775746014</v>
      </c>
      <c r="J76" s="97"/>
      <c r="K76" s="122"/>
    </row>
    <row r="77" spans="1:11">
      <c r="A77" s="68">
        <v>21</v>
      </c>
      <c r="B77" s="62" t="s">
        <v>297</v>
      </c>
      <c r="C77" s="165" t="s">
        <v>763</v>
      </c>
      <c r="D77" s="546">
        <f>SUM(D65:D76)</f>
        <v>-29728380.571349606</v>
      </c>
      <c r="E77" s="97"/>
      <c r="F77" s="97"/>
      <c r="G77" s="120"/>
      <c r="H77" s="97"/>
      <c r="I77" s="54">
        <f>SUM(I65:I76)</f>
        <v>-38076638.983879767</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0.92887970882503001</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5">
        <f>D112/8</f>
        <v>3864439.410528834</v>
      </c>
      <c r="E82" s="97"/>
      <c r="F82" s="97"/>
      <c r="G82" s="120"/>
      <c r="H82" s="97"/>
      <c r="I82" s="54">
        <f>I112/8</f>
        <v>806904.6390352532</v>
      </c>
      <c r="J82" s="62"/>
      <c r="K82" s="122"/>
    </row>
    <row r="83" spans="1:11">
      <c r="A83" s="68">
        <v>24</v>
      </c>
      <c r="B83" s="62" t="s">
        <v>128</v>
      </c>
      <c r="C83" s="60" t="s">
        <v>1079</v>
      </c>
      <c r="D83" s="258">
        <f>'A4-Rate Base'!F129</f>
        <v>172152.01365830802</v>
      </c>
      <c r="E83" s="97"/>
      <c r="F83" s="97"/>
      <c r="G83" s="120"/>
      <c r="H83" s="97"/>
      <c r="I83" s="54">
        <f>D83</f>
        <v>172152.01365830802</v>
      </c>
      <c r="J83" s="97" t="s">
        <v>2</v>
      </c>
      <c r="K83" s="122"/>
    </row>
    <row r="84" spans="1:11" ht="13.8" thickBot="1">
      <c r="A84" s="68">
        <v>25</v>
      </c>
      <c r="B84" s="62" t="s">
        <v>123</v>
      </c>
      <c r="C84" s="42" t="s">
        <v>1107</v>
      </c>
      <c r="D84" s="258">
        <f>'A8-Prepmts'!H16</f>
        <v>223437.45176402596</v>
      </c>
      <c r="E84" s="97"/>
      <c r="F84" s="97"/>
      <c r="G84" s="120"/>
      <c r="H84" s="97"/>
      <c r="I84" s="55">
        <f>D84</f>
        <v>223437.45176402596</v>
      </c>
      <c r="J84" s="97"/>
      <c r="K84" s="122"/>
    </row>
    <row r="85" spans="1:11">
      <c r="A85" s="68">
        <v>26</v>
      </c>
      <c r="B85" s="62" t="s">
        <v>295</v>
      </c>
      <c r="C85" s="43"/>
      <c r="D85" s="546">
        <f>D82+D83+D84</f>
        <v>4260028.8759511681</v>
      </c>
      <c r="E85" s="62"/>
      <c r="F85" s="62"/>
      <c r="G85" s="62"/>
      <c r="H85" s="62"/>
      <c r="I85" s="54">
        <f>I82+I83+I84</f>
        <v>1202494.1044575872</v>
      </c>
      <c r="J85" s="62"/>
      <c r="K85" s="62"/>
    </row>
    <row r="86" spans="1:11" ht="13.8" thickBot="1">
      <c r="C86" s="97"/>
      <c r="E86" s="97"/>
      <c r="F86" s="97"/>
      <c r="G86" s="97"/>
      <c r="H86" s="97"/>
      <c r="I86" s="124"/>
      <c r="J86" s="97"/>
      <c r="K86" s="97"/>
    </row>
    <row r="87" spans="1:11" ht="13.8" thickBot="1">
      <c r="A87" s="68">
        <v>27</v>
      </c>
      <c r="B87" s="62" t="s">
        <v>442</v>
      </c>
      <c r="C87" s="97" t="s">
        <v>1151</v>
      </c>
      <c r="D87" s="61">
        <f>+D85+D79+D77+D60</f>
        <v>282024845.81636769</v>
      </c>
      <c r="E87" s="97"/>
      <c r="F87" s="97"/>
      <c r="G87" s="122"/>
      <c r="H87" s="97"/>
      <c r="I87" s="61">
        <f>+I85+I79+I77+I60</f>
        <v>217789725.21810505</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3" t="str">
        <f>I1</f>
        <v>Projected Attachment H</v>
      </c>
      <c r="J89" s="913"/>
      <c r="K89" s="913"/>
    </row>
    <row r="90" spans="1:11">
      <c r="B90" s="62"/>
      <c r="C90" s="62"/>
      <c r="D90" s="94"/>
      <c r="E90" s="62"/>
      <c r="F90" s="62"/>
      <c r="G90" s="62"/>
      <c r="H90" s="62"/>
      <c r="I90" s="62"/>
      <c r="J90" s="912" t="s">
        <v>195</v>
      </c>
      <c r="K90" s="912"/>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12/31/2025</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4807583.5846370924</v>
      </c>
      <c r="E101" s="97"/>
      <c r="F101" s="97" t="s">
        <v>35</v>
      </c>
      <c r="G101" s="120">
        <f>$I$179</f>
        <v>0.92887970882503001</v>
      </c>
      <c r="H101" s="97"/>
      <c r="I101" s="54">
        <f>+G101*D101</f>
        <v>4465666.8402496967</v>
      </c>
      <c r="J101" s="62"/>
      <c r="K101" s="97"/>
    </row>
    <row r="102" spans="1:11">
      <c r="A102" s="68">
        <v>2</v>
      </c>
      <c r="B102" s="62" t="s">
        <v>129</v>
      </c>
      <c r="C102" s="62" t="s">
        <v>474</v>
      </c>
      <c r="D102" s="258">
        <f>'P2-Exp. &amp; Rev. Credits'!F17</f>
        <v>863072.29312131077</v>
      </c>
      <c r="E102" s="97"/>
      <c r="F102" s="97" t="s">
        <v>35</v>
      </c>
      <c r="G102" s="120">
        <f>$I$179</f>
        <v>0.92887970882503001</v>
      </c>
      <c r="H102" s="97"/>
      <c r="I102" s="46">
        <f t="shared" ref="I102:I111" si="2">+G102*D102</f>
        <v>801690.34032947407</v>
      </c>
      <c r="J102" s="62"/>
      <c r="K102" s="97"/>
    </row>
    <row r="103" spans="1:11">
      <c r="A103" s="68" t="s">
        <v>130</v>
      </c>
      <c r="B103" s="62" t="s">
        <v>38</v>
      </c>
      <c r="C103" s="62" t="s">
        <v>475</v>
      </c>
      <c r="D103" s="258">
        <f>'P2-Exp. &amp; Rev. Credits'!F18</f>
        <v>974741.97553026048</v>
      </c>
      <c r="E103" s="97"/>
      <c r="F103" s="97" t="s">
        <v>35</v>
      </c>
      <c r="G103" s="120">
        <f>$I$179</f>
        <v>0.92887970882503001</v>
      </c>
      <c r="H103" s="97"/>
      <c r="I103" s="46">
        <f t="shared" si="2"/>
        <v>905418.04241008288</v>
      </c>
      <c r="J103" s="62"/>
      <c r="K103" s="97"/>
    </row>
    <row r="104" spans="1:11">
      <c r="A104" s="68">
        <v>3</v>
      </c>
      <c r="B104" s="62" t="s">
        <v>39</v>
      </c>
      <c r="C104" s="62" t="s">
        <v>476</v>
      </c>
      <c r="D104" s="258">
        <f>'P2-Exp. &amp; Rev. Credits'!F19</f>
        <v>29189861.187744133</v>
      </c>
      <c r="E104" s="97"/>
      <c r="F104" s="97" t="s">
        <v>31</v>
      </c>
      <c r="G104" s="120">
        <f>$I$187</f>
        <v>0.13228055028384053</v>
      </c>
      <c r="H104" s="97"/>
      <c r="I104" s="54">
        <f t="shared" si="2"/>
        <v>3861250.9006237127</v>
      </c>
      <c r="J104" s="97"/>
      <c r="K104" s="97" t="s">
        <v>2</v>
      </c>
    </row>
    <row r="105" spans="1:11">
      <c r="A105" s="68">
        <v>4</v>
      </c>
      <c r="B105" s="62" t="s">
        <v>831</v>
      </c>
      <c r="C105" s="62"/>
      <c r="D105" s="97"/>
      <c r="E105" s="97"/>
      <c r="F105" s="105"/>
      <c r="G105" s="120"/>
      <c r="H105" s="97"/>
      <c r="I105" s="46"/>
      <c r="J105" s="97"/>
      <c r="K105" s="97"/>
    </row>
    <row r="106" spans="1:11">
      <c r="A106" s="68">
        <v>5</v>
      </c>
      <c r="B106" s="62" t="s">
        <v>488</v>
      </c>
      <c r="C106" s="62" t="s">
        <v>477</v>
      </c>
      <c r="D106" s="258">
        <f>'P2-Exp. &amp; Rev. Credits'!F21</f>
        <v>1492862.2598989648</v>
      </c>
      <c r="E106" s="97"/>
      <c r="F106" s="105" t="s">
        <v>31</v>
      </c>
      <c r="G106" s="120">
        <f>$I$187</f>
        <v>0.13228055028384053</v>
      </c>
      <c r="H106" s="97"/>
      <c r="I106" s="46">
        <f t="shared" si="2"/>
        <v>197476.64123741281</v>
      </c>
      <c r="J106" s="97"/>
      <c r="K106" s="97"/>
    </row>
    <row r="107" spans="1:11">
      <c r="A107" s="68" t="s">
        <v>99</v>
      </c>
      <c r="B107" s="62" t="s">
        <v>489</v>
      </c>
      <c r="C107" s="62" t="s">
        <v>478</v>
      </c>
      <c r="D107" s="258">
        <f>'P2-Exp. &amp; Rev. Credits'!F22</f>
        <v>0</v>
      </c>
      <c r="E107" s="97"/>
      <c r="F107" s="126" t="str">
        <f>+F101</f>
        <v>TE</v>
      </c>
      <c r="G107" s="120">
        <f>$I$179</f>
        <v>0.92887970882503001</v>
      </c>
      <c r="H107" s="97"/>
      <c r="I107" s="46">
        <f>+G107*D107</f>
        <v>0</v>
      </c>
      <c r="J107" s="97"/>
      <c r="K107" s="97"/>
    </row>
    <row r="108" spans="1:11">
      <c r="A108" s="68" t="s">
        <v>133</v>
      </c>
      <c r="B108" s="62" t="s">
        <v>694</v>
      </c>
      <c r="C108" s="62" t="s">
        <v>479</v>
      </c>
      <c r="D108" s="258">
        <f>'P2-Exp. &amp; Rev. Credits'!F23</f>
        <v>556648.06699999992</v>
      </c>
      <c r="E108" s="97"/>
      <c r="F108" s="105" t="s">
        <v>31</v>
      </c>
      <c r="G108" s="120">
        <f>$I$187</f>
        <v>0.13228055028384053</v>
      </c>
      <c r="H108" s="97"/>
      <c r="I108" s="51">
        <f t="shared" ref="I108:I109" si="3">+G108*D108</f>
        <v>73633.712617196128</v>
      </c>
      <c r="J108" s="97"/>
      <c r="K108" s="97"/>
    </row>
    <row r="109" spans="1:11">
      <c r="A109" s="68" t="s">
        <v>134</v>
      </c>
      <c r="B109" s="62" t="s">
        <v>695</v>
      </c>
      <c r="C109" s="62" t="s">
        <v>480</v>
      </c>
      <c r="D109" s="258">
        <f>'P2-Exp. &amp; Rev. Credits'!F24</f>
        <v>307901.0266000207</v>
      </c>
      <c r="E109" s="97"/>
      <c r="F109" s="105" t="str">
        <f>+F108</f>
        <v>W/S</v>
      </c>
      <c r="G109" s="120">
        <f>$I$187</f>
        <v>0.13228055028384053</v>
      </c>
      <c r="H109" s="97"/>
      <c r="I109" s="51">
        <f t="shared" si="3"/>
        <v>40729.317231610163</v>
      </c>
      <c r="J109" s="97"/>
      <c r="K109" s="97"/>
    </row>
    <row r="110" spans="1:11">
      <c r="A110" s="68">
        <v>6</v>
      </c>
      <c r="B110" s="62" t="s">
        <v>58</v>
      </c>
      <c r="C110" s="62" t="s">
        <v>481</v>
      </c>
      <c r="D110" s="258">
        <f>'P2-Exp. &amp; Rev. Credits'!F25</f>
        <v>0</v>
      </c>
      <c r="E110" s="97"/>
      <c r="F110" s="97" t="s">
        <v>1251</v>
      </c>
      <c r="G110" s="120">
        <f>K191</f>
        <v>0.12947946442867816</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1150</v>
      </c>
      <c r="C112" s="167" t="s">
        <v>1149</v>
      </c>
      <c r="D112" s="546">
        <f>D101+D104+D107+D108+D110+D111-D102-D103-D106-D109</f>
        <v>30915515.284230672</v>
      </c>
      <c r="E112" s="97"/>
      <c r="F112" s="97"/>
      <c r="G112" s="120"/>
      <c r="H112" s="97"/>
      <c r="I112" s="54">
        <f>+I101-I102-I103+I104-I106+I110+I111+I107+I108-I109</f>
        <v>6455237.1122820256</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826</v>
      </c>
      <c r="D115" s="258">
        <f>'P1-Trans Plant'!E43</f>
        <v>5768029.1975177545</v>
      </c>
      <c r="E115" s="97"/>
      <c r="F115" s="97" t="s">
        <v>11</v>
      </c>
      <c r="G115" s="120">
        <f>$I$170</f>
        <v>0.92887970882503001</v>
      </c>
      <c r="H115" s="97"/>
      <c r="I115" s="54">
        <f>+G115*D115</f>
        <v>5357805.2814845629</v>
      </c>
      <c r="J115" s="97"/>
      <c r="K115" s="122"/>
    </row>
    <row r="116" spans="1:11">
      <c r="A116" s="68">
        <v>10</v>
      </c>
      <c r="B116" s="62" t="s">
        <v>114</v>
      </c>
      <c r="C116" s="62" t="s">
        <v>450</v>
      </c>
      <c r="D116" s="258">
        <f>'Act Att-H'!D121</f>
        <v>4725214</v>
      </c>
      <c r="E116" s="97"/>
      <c r="F116" s="97" t="s">
        <v>31</v>
      </c>
      <c r="G116" s="120">
        <f>+G104</f>
        <v>0.13228055028384053</v>
      </c>
      <c r="H116" s="97"/>
      <c r="I116" s="54">
        <f>+G116*D116</f>
        <v>625053.90812890721</v>
      </c>
      <c r="J116" s="97"/>
      <c r="K116" s="122"/>
    </row>
    <row r="117" spans="1:11">
      <c r="A117" s="68">
        <v>11</v>
      </c>
      <c r="B117" s="123" t="str">
        <f>+B110</f>
        <v xml:space="preserve">  Other</v>
      </c>
      <c r="C117" s="62" t="s">
        <v>452</v>
      </c>
      <c r="D117" s="258">
        <f>'Act Att-H'!D122</f>
        <v>0</v>
      </c>
      <c r="E117" s="97"/>
      <c r="F117" s="97" t="s">
        <v>1251</v>
      </c>
      <c r="G117" s="120">
        <f>+G110</f>
        <v>0.12947946442867816</v>
      </c>
      <c r="H117" s="97"/>
      <c r="I117" s="54">
        <f>+G117*D117</f>
        <v>0</v>
      </c>
      <c r="J117" s="97"/>
      <c r="K117" s="122"/>
    </row>
    <row r="118" spans="1:11" s="2" customFormat="1" ht="13.8" thickBot="1">
      <c r="A118" s="65" t="s">
        <v>299</v>
      </c>
      <c r="B118" s="48" t="s">
        <v>303</v>
      </c>
      <c r="C118" s="62" t="s">
        <v>792</v>
      </c>
      <c r="D118" s="258">
        <f>'Act Att-H'!D123</f>
        <v>0</v>
      </c>
      <c r="E118" s="46"/>
      <c r="F118" s="64"/>
      <c r="G118" s="607"/>
      <c r="H118" s="46"/>
      <c r="I118" s="59">
        <f>+G118*D118</f>
        <v>0</v>
      </c>
      <c r="J118" s="43"/>
      <c r="K118" s="53"/>
    </row>
    <row r="119" spans="1:11">
      <c r="A119" s="68">
        <v>12</v>
      </c>
      <c r="B119" s="62" t="s">
        <v>304</v>
      </c>
      <c r="C119" s="165" t="s">
        <v>305</v>
      </c>
      <c r="D119" s="546">
        <f>SUM(D115:D118)</f>
        <v>10493243.197517755</v>
      </c>
      <c r="E119" s="97"/>
      <c r="F119" s="97"/>
      <c r="G119" s="120"/>
      <c r="H119" s="97"/>
      <c r="I119" s="54">
        <f>SUM(I115:I118)</f>
        <v>5982859.1896134699</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1108</v>
      </c>
      <c r="D123" s="258">
        <f>'P2-Exp. &amp; Rev. Credits'!F32</f>
        <v>1823069.8854354478</v>
      </c>
      <c r="E123" s="97"/>
      <c r="F123" s="97" t="s">
        <v>31</v>
      </c>
      <c r="G123" s="120">
        <f>+G116</f>
        <v>0.13228055028384053</v>
      </c>
      <c r="H123" s="97"/>
      <c r="I123" s="54">
        <f>+G123*D123</f>
        <v>241156.68765129914</v>
      </c>
      <c r="J123" s="97"/>
      <c r="K123" s="122"/>
    </row>
    <row r="124" spans="1:11">
      <c r="A124" s="68">
        <v>14</v>
      </c>
      <c r="B124" s="62" t="s">
        <v>43</v>
      </c>
      <c r="C124" s="62" t="s">
        <v>1109</v>
      </c>
      <c r="D124" s="258">
        <f>'P2-Exp. &amp; Rev. Credits'!F33</f>
        <v>0</v>
      </c>
      <c r="E124" s="97"/>
      <c r="F124" s="105" t="str">
        <f>+F123</f>
        <v>W/S</v>
      </c>
      <c r="G124" s="120">
        <f>+G123</f>
        <v>0.13228055028384053</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1110</v>
      </c>
      <c r="D126" s="258">
        <f>'P2-Exp. &amp; Rev. Credits'!F35</f>
        <v>11491224.322152233</v>
      </c>
      <c r="E126" s="97"/>
      <c r="F126" s="97" t="s">
        <v>36</v>
      </c>
      <c r="G126" s="120">
        <f>$G$222</f>
        <v>0.25168398225195288</v>
      </c>
      <c r="H126" s="97"/>
      <c r="I126" s="54">
        <f>+G126*D126</f>
        <v>2892157.0983497719</v>
      </c>
      <c r="J126" s="97"/>
      <c r="K126" s="122"/>
    </row>
    <row r="127" spans="1:11">
      <c r="A127" s="68">
        <v>17</v>
      </c>
      <c r="B127" s="62" t="s">
        <v>46</v>
      </c>
      <c r="C127" s="62" t="s">
        <v>1111</v>
      </c>
      <c r="D127" s="258">
        <f>'P2-Exp. &amp; Rev. Credits'!F36</f>
        <v>-57396.245119476429</v>
      </c>
      <c r="E127" s="97"/>
      <c r="F127" s="105" t="s">
        <v>27</v>
      </c>
      <c r="G127" s="120">
        <v>0</v>
      </c>
      <c r="H127" s="97"/>
      <c r="I127" s="54">
        <v>0</v>
      </c>
      <c r="J127" s="97"/>
      <c r="K127" s="122"/>
    </row>
    <row r="128" spans="1:11">
      <c r="A128" s="68">
        <v>18</v>
      </c>
      <c r="B128" s="62" t="s">
        <v>58</v>
      </c>
      <c r="C128" s="62" t="s">
        <v>1112</v>
      </c>
      <c r="D128" s="258">
        <f>'P2-Exp. &amp; Rev. Credits'!F37</f>
        <v>0</v>
      </c>
      <c r="E128" s="97"/>
      <c r="F128" s="623"/>
      <c r="G128" s="607"/>
      <c r="H128" s="97"/>
      <c r="I128" s="54">
        <f>+G128*D128</f>
        <v>0</v>
      </c>
      <c r="J128" s="97"/>
      <c r="K128" s="122"/>
    </row>
    <row r="129" spans="1:11" ht="13.8" thickBot="1">
      <c r="A129" s="68">
        <v>19</v>
      </c>
      <c r="B129" s="62" t="s">
        <v>794</v>
      </c>
      <c r="C129" s="62"/>
      <c r="D129" s="545"/>
      <c r="E129" s="97"/>
      <c r="F129" s="97"/>
      <c r="G129" s="120"/>
      <c r="H129" s="97"/>
      <c r="I129" s="54"/>
      <c r="J129" s="97"/>
      <c r="K129" s="122"/>
    </row>
    <row r="130" spans="1:11">
      <c r="A130" s="68">
        <v>20</v>
      </c>
      <c r="B130" s="62" t="s">
        <v>307</v>
      </c>
      <c r="C130" s="165" t="s">
        <v>306</v>
      </c>
      <c r="D130" s="546">
        <f>SUM(D123:D129)</f>
        <v>13256897.962468203</v>
      </c>
      <c r="E130" s="97"/>
      <c r="F130" s="97"/>
      <c r="G130" s="120"/>
      <c r="H130" s="97"/>
      <c r="I130" s="63">
        <f>SUM(I123:I129)</f>
        <v>3133313.7860010709</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0.24594499999999997</v>
      </c>
      <c r="E133" s="97"/>
      <c r="G133" s="120"/>
      <c r="H133" s="97"/>
      <c r="J133" s="97"/>
    </row>
    <row r="134" spans="1:11">
      <c r="A134" s="68">
        <v>22</v>
      </c>
      <c r="B134" s="93" t="s">
        <v>703</v>
      </c>
      <c r="C134" s="97"/>
      <c r="D134" s="130">
        <f>IF(I199&gt;0,(D133/(1-D133))*(1-I197/I199),0)</f>
        <v>0.22802376427858564</v>
      </c>
      <c r="E134" s="97"/>
      <c r="G134" s="120"/>
      <c r="H134" s="97"/>
      <c r="J134" s="97"/>
    </row>
    <row r="135" spans="1:11">
      <c r="A135" s="68"/>
      <c r="B135" s="62" t="s">
        <v>1082</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7">
        <f>IF(D133&gt;0,1/(1-D133),0)</f>
        <v>1.3261632109063661</v>
      </c>
      <c r="E137" s="97"/>
      <c r="G137" s="120"/>
      <c r="H137" s="97"/>
      <c r="J137" s="97"/>
    </row>
    <row r="138" spans="1:11">
      <c r="A138" s="68">
        <v>24</v>
      </c>
      <c r="B138" s="62" t="s">
        <v>701</v>
      </c>
      <c r="C138" s="62" t="s">
        <v>453</v>
      </c>
      <c r="D138" s="258">
        <f>'Act Att-H'!D143</f>
        <v>252794</v>
      </c>
      <c r="E138" s="97"/>
      <c r="G138" s="120"/>
      <c r="H138" s="97"/>
      <c r="J138" s="97"/>
    </row>
    <row r="139" spans="1:11">
      <c r="A139" s="68" t="s">
        <v>300</v>
      </c>
      <c r="B139" s="45" t="s">
        <v>1038</v>
      </c>
      <c r="C139" s="62" t="s">
        <v>736</v>
      </c>
      <c r="D139" s="258">
        <f>'Act Att-H'!D144</f>
        <v>244121.99143944043</v>
      </c>
      <c r="E139" s="97"/>
      <c r="G139" s="120"/>
      <c r="H139" s="97"/>
      <c r="J139" s="97"/>
    </row>
    <row r="140" spans="1:11">
      <c r="A140" s="68" t="s">
        <v>625</v>
      </c>
      <c r="B140" s="45" t="s">
        <v>1191</v>
      </c>
      <c r="C140" s="62" t="s">
        <v>745</v>
      </c>
      <c r="D140" s="258">
        <f>'Act Att-H'!D145</f>
        <v>31396</v>
      </c>
      <c r="E140" s="97"/>
      <c r="G140" s="120"/>
      <c r="H140" s="97"/>
      <c r="J140" s="97"/>
    </row>
    <row r="141" spans="1:11">
      <c r="A141" s="68" t="s">
        <v>301</v>
      </c>
      <c r="B141" s="45" t="s">
        <v>298</v>
      </c>
      <c r="C141" s="62" t="s">
        <v>454</v>
      </c>
      <c r="D141" s="258">
        <f>'Act Att-H'!D146</f>
        <v>7684.4849599999989</v>
      </c>
      <c r="E141" s="97"/>
      <c r="G141" s="120"/>
      <c r="H141" s="97"/>
      <c r="J141" s="97"/>
    </row>
    <row r="142" spans="1:11">
      <c r="A142" s="68">
        <v>25</v>
      </c>
      <c r="B142" s="129" t="s">
        <v>310</v>
      </c>
      <c r="C142" s="131" t="s">
        <v>308</v>
      </c>
      <c r="D142" s="545">
        <f>D134*D149</f>
        <v>4236881.1140306201</v>
      </c>
      <c r="E142" s="97"/>
      <c r="F142" s="97"/>
      <c r="G142" s="120"/>
      <c r="H142" s="97"/>
      <c r="I142" s="54">
        <f>D134*I149</f>
        <v>3271871.9194241809</v>
      </c>
      <c r="J142" s="97"/>
      <c r="K142" s="132" t="s">
        <v>2</v>
      </c>
    </row>
    <row r="143" spans="1:11">
      <c r="A143" s="68">
        <v>26</v>
      </c>
      <c r="B143" s="93" t="s">
        <v>311</v>
      </c>
      <c r="C143" s="131" t="s">
        <v>309</v>
      </c>
      <c r="D143" s="545">
        <f>D137*D138</f>
        <v>335246.1027378639</v>
      </c>
      <c r="E143" s="97"/>
      <c r="F143" s="43" t="s">
        <v>36</v>
      </c>
      <c r="G143" s="120">
        <f>$G$222</f>
        <v>0.25168398225195288</v>
      </c>
      <c r="H143" s="97"/>
      <c r="I143" s="54">
        <f>G143*D143</f>
        <v>84376.074171512912</v>
      </c>
      <c r="J143" s="97"/>
      <c r="K143" s="132"/>
    </row>
    <row r="144" spans="1:11">
      <c r="A144" s="68" t="s">
        <v>312</v>
      </c>
      <c r="B144" s="123" t="s">
        <v>1039</v>
      </c>
      <c r="C144" s="66" t="s">
        <v>315</v>
      </c>
      <c r="D144" s="545">
        <f>D137*D139</f>
        <v>323745.60402018478</v>
      </c>
      <c r="E144" s="97"/>
      <c r="G144" s="120"/>
      <c r="H144" s="97"/>
      <c r="I144" s="54">
        <f>D144</f>
        <v>323745.60402018478</v>
      </c>
      <c r="J144" s="97"/>
      <c r="K144" s="132"/>
    </row>
    <row r="145" spans="1:11">
      <c r="A145" s="68" t="s">
        <v>313</v>
      </c>
      <c r="B145" s="52" t="s">
        <v>314</v>
      </c>
      <c r="C145" s="66" t="s">
        <v>316</v>
      </c>
      <c r="D145" s="545">
        <f>D137*D141</f>
        <v>10190.881248715277</v>
      </c>
      <c r="E145" s="97"/>
      <c r="G145" s="120"/>
      <c r="H145" s="97"/>
      <c r="I145" s="54">
        <f>D145</f>
        <v>10190.881248715277</v>
      </c>
      <c r="J145" s="97"/>
      <c r="K145" s="132"/>
    </row>
    <row r="146" spans="1:11">
      <c r="A146" s="68">
        <v>27</v>
      </c>
      <c r="B146" s="129" t="s">
        <v>89</v>
      </c>
      <c r="C146" s="52" t="s">
        <v>702</v>
      </c>
      <c r="D146" s="546">
        <f>D142+D145-D143-D144</f>
        <v>3588080.2885212866</v>
      </c>
      <c r="E146" s="97"/>
      <c r="F146" s="97" t="s">
        <v>2</v>
      </c>
      <c r="G146" s="120" t="s">
        <v>2</v>
      </c>
      <c r="H146" s="97"/>
      <c r="I146" s="546">
        <f>I142+I145-I143-I144</f>
        <v>2873941.1224811985</v>
      </c>
      <c r="J146" s="97"/>
      <c r="K146" s="97"/>
    </row>
    <row r="147" spans="1:11">
      <c r="A147" s="68" t="s">
        <v>2</v>
      </c>
      <c r="C147" s="133"/>
      <c r="D147" s="545"/>
      <c r="E147" s="97"/>
      <c r="F147" s="97"/>
      <c r="G147" s="120"/>
      <c r="H147" s="97"/>
      <c r="I147" s="97"/>
      <c r="J147" s="97"/>
      <c r="K147" s="97"/>
    </row>
    <row r="148" spans="1:11">
      <c r="B148" s="62" t="s">
        <v>49</v>
      </c>
      <c r="C148" s="122"/>
      <c r="G148" s="120"/>
      <c r="J148" s="97"/>
    </row>
    <row r="149" spans="1:11">
      <c r="A149" s="68">
        <v>28</v>
      </c>
      <c r="B149" s="129" t="s">
        <v>545</v>
      </c>
      <c r="C149" s="648" t="s">
        <v>790</v>
      </c>
      <c r="D149" s="54">
        <f>+$I199*D87+I202</f>
        <v>18580875.232172094</v>
      </c>
      <c r="E149" s="97"/>
      <c r="F149" s="97"/>
      <c r="G149" s="120"/>
      <c r="H149" s="97"/>
      <c r="I149" s="54">
        <f>+$I199*I87+I202</f>
        <v>14348819.868734408</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76834611.964910001</v>
      </c>
      <c r="E151" s="97"/>
      <c r="F151" s="97"/>
      <c r="G151" s="97"/>
      <c r="H151" s="97"/>
      <c r="I151" s="67">
        <f>+I112+I119+I130+I146+I149</f>
        <v>32794171.079112172</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2"/>
      <c r="G153" s="912"/>
      <c r="H153" s="912"/>
      <c r="I153" s="912"/>
      <c r="J153" s="912"/>
      <c r="K153" s="912"/>
    </row>
    <row r="154" spans="1:11">
      <c r="B154" s="62"/>
      <c r="C154" s="62"/>
      <c r="D154" s="94"/>
      <c r="E154" s="62"/>
      <c r="F154" s="62"/>
      <c r="G154" s="62"/>
      <c r="H154" s="62"/>
      <c r="I154" s="913" t="str">
        <f>I1</f>
        <v>Projected Attachment H</v>
      </c>
      <c r="J154" s="913"/>
      <c r="K154" s="913"/>
    </row>
    <row r="155" spans="1:11">
      <c r="B155" s="62"/>
      <c r="C155" s="62"/>
      <c r="D155" s="94"/>
      <c r="E155" s="62"/>
      <c r="F155" s="62"/>
      <c r="G155" s="62"/>
      <c r="H155" s="62"/>
      <c r="I155" s="62"/>
      <c r="J155" s="912" t="s">
        <v>196</v>
      </c>
      <c r="K155" s="912"/>
    </row>
    <row r="156" spans="1:11">
      <c r="B156" s="62"/>
      <c r="C156" s="62"/>
      <c r="D156" s="94"/>
      <c r="E156" s="62"/>
      <c r="F156" s="62"/>
      <c r="G156" s="62"/>
      <c r="H156" s="62"/>
      <c r="I156" s="62"/>
      <c r="J156" s="95"/>
      <c r="K156" s="95"/>
    </row>
    <row r="157" spans="1:11">
      <c r="B157" s="94" t="s">
        <v>0</v>
      </c>
      <c r="C157" s="68" t="s">
        <v>1</v>
      </c>
      <c r="E157" s="62"/>
      <c r="F157" s="62"/>
      <c r="G157" s="966" t="str">
        <f>K4</f>
        <v>Estimated - For the 12 months ended 12/31/2025</v>
      </c>
      <c r="H157" s="966"/>
      <c r="I157" s="966"/>
      <c r="J157" s="966"/>
      <c r="K157" s="966"/>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306658674.61923081</v>
      </c>
      <c r="J165" s="97"/>
      <c r="K165" s="97"/>
    </row>
    <row r="166" spans="1:19">
      <c r="A166" s="68">
        <v>2</v>
      </c>
      <c r="B166" s="62" t="s">
        <v>321</v>
      </c>
      <c r="C166" s="62" t="s">
        <v>465</v>
      </c>
      <c r="I166" s="258">
        <f>'Act Att-H'!I171</f>
        <v>13559737.015250061</v>
      </c>
      <c r="J166" s="97"/>
      <c r="K166" s="97"/>
    </row>
    <row r="167" spans="1:19">
      <c r="A167" s="68">
        <v>3</v>
      </c>
      <c r="B167" s="62" t="s">
        <v>322</v>
      </c>
      <c r="C167" s="62" t="s">
        <v>466</v>
      </c>
      <c r="D167" s="97"/>
      <c r="E167" s="97"/>
      <c r="F167" s="97"/>
      <c r="G167" s="98"/>
      <c r="H167" s="97"/>
      <c r="I167" s="258">
        <f>'Act Att-H'!I172</f>
        <v>8249917.2150000008</v>
      </c>
      <c r="J167" s="97"/>
      <c r="K167" s="97"/>
    </row>
    <row r="168" spans="1:19">
      <c r="A168" s="68">
        <v>4</v>
      </c>
      <c r="B168" s="167" t="s">
        <v>323</v>
      </c>
      <c r="C168" s="167" t="s">
        <v>324</v>
      </c>
      <c r="D168" s="97"/>
      <c r="E168" s="97"/>
      <c r="F168" s="97"/>
      <c r="G168" s="98"/>
      <c r="H168" s="97"/>
      <c r="I168" s="166">
        <f>I165-I166-I167</f>
        <v>284849020.38898075</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0.92887970882503001</v>
      </c>
      <c r="J170" s="97"/>
      <c r="K170" s="97"/>
      <c r="N170" s="137"/>
      <c r="O170" s="137"/>
      <c r="P170" s="137"/>
    </row>
    <row r="171" spans="1:19" ht="9" customHeight="1">
      <c r="A171" s="68"/>
      <c r="J171" s="97"/>
      <c r="K171" s="97"/>
      <c r="N171" s="62"/>
      <c r="P171" s="97"/>
      <c r="Q171" s="62"/>
    </row>
    <row r="172" spans="1:19">
      <c r="A172" s="68"/>
      <c r="B172" s="62" t="s">
        <v>50</v>
      </c>
      <c r="J172" s="97"/>
      <c r="K172" s="97"/>
      <c r="N172" s="919"/>
      <c r="O172" s="919"/>
      <c r="P172" s="919"/>
      <c r="Q172" s="919"/>
      <c r="R172" s="919"/>
      <c r="S172" s="919"/>
    </row>
    <row r="173" spans="1:19">
      <c r="A173" s="68">
        <v>6</v>
      </c>
      <c r="B173" s="93" t="s">
        <v>327</v>
      </c>
      <c r="C173" s="93" t="s">
        <v>337</v>
      </c>
      <c r="D173" s="62"/>
      <c r="E173" s="62"/>
      <c r="F173" s="62"/>
      <c r="G173" s="68"/>
      <c r="H173" s="62"/>
      <c r="I173" s="258">
        <f>D101</f>
        <v>4807583.5846370924</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4807583.5846370924</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0.92887970882503001</v>
      </c>
      <c r="N178" s="139"/>
      <c r="O178" s="142"/>
      <c r="Q178" s="142"/>
    </row>
    <row r="179" spans="1:17">
      <c r="A179" s="68">
        <v>11</v>
      </c>
      <c r="B179" s="62" t="s">
        <v>334</v>
      </c>
      <c r="C179" s="62" t="s">
        <v>333</v>
      </c>
      <c r="D179" s="62"/>
      <c r="E179" s="62"/>
      <c r="F179" s="62"/>
      <c r="G179" s="62"/>
      <c r="H179" s="62" t="s">
        <v>51</v>
      </c>
      <c r="I179" s="104">
        <f>+I178*I177</f>
        <v>0.92887970882503001</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2363162</v>
      </c>
      <c r="E183" s="148">
        <v>0</v>
      </c>
      <c r="F183" s="148"/>
      <c r="G183" s="105">
        <f>D183*E183</f>
        <v>0</v>
      </c>
      <c r="H183" s="97"/>
      <c r="I183" s="97"/>
      <c r="J183" s="97"/>
      <c r="K183" s="97"/>
    </row>
    <row r="184" spans="1:17">
      <c r="A184" s="68">
        <v>13</v>
      </c>
      <c r="B184" s="62" t="s">
        <v>28</v>
      </c>
      <c r="C184" s="62" t="s">
        <v>456</v>
      </c>
      <c r="D184" s="258">
        <f>'Act Att-H'!D189</f>
        <v>1780159</v>
      </c>
      <c r="E184" s="149">
        <f>+I170</f>
        <v>0.92887970882503001</v>
      </c>
      <c r="F184" s="148"/>
      <c r="G184" s="105">
        <f>D184*E184</f>
        <v>1653553.5735822567</v>
      </c>
      <c r="H184" s="97"/>
      <c r="I184" s="97"/>
      <c r="J184" s="97"/>
      <c r="K184" s="97"/>
    </row>
    <row r="185" spans="1:17">
      <c r="A185" s="68">
        <v>14</v>
      </c>
      <c r="B185" s="62" t="s">
        <v>29</v>
      </c>
      <c r="C185" s="62" t="s">
        <v>457</v>
      </c>
      <c r="D185" s="258">
        <f>'Act Att-H'!D190</f>
        <v>6937934</v>
      </c>
      <c r="E185" s="148">
        <v>0</v>
      </c>
      <c r="F185" s="148"/>
      <c r="G185" s="105">
        <f>D185*E185</f>
        <v>0</v>
      </c>
      <c r="H185" s="97"/>
      <c r="I185" s="98" t="s">
        <v>57</v>
      </c>
      <c r="J185" s="97"/>
      <c r="K185" s="97"/>
    </row>
    <row r="186" spans="1:17" ht="13.8" thickBot="1">
      <c r="A186" s="68">
        <v>15</v>
      </c>
      <c r="B186" s="62" t="s">
        <v>58</v>
      </c>
      <c r="C186" s="62" t="s">
        <v>458</v>
      </c>
      <c r="D186" s="258">
        <f>'Act Att-H'!D191</f>
        <v>1419098</v>
      </c>
      <c r="E186" s="148">
        <v>0</v>
      </c>
      <c r="F186" s="148"/>
      <c r="G186" s="150">
        <f>D186*E186</f>
        <v>0</v>
      </c>
      <c r="H186" s="97"/>
      <c r="I186" s="101" t="s">
        <v>59</v>
      </c>
      <c r="J186" s="97"/>
      <c r="K186" s="97"/>
    </row>
    <row r="187" spans="1:17">
      <c r="A187" s="68">
        <v>16</v>
      </c>
      <c r="B187" s="62" t="s">
        <v>339</v>
      </c>
      <c r="C187" s="97" t="s">
        <v>966</v>
      </c>
      <c r="D187" s="166">
        <f>SUM(D183:D186)</f>
        <v>12500353</v>
      </c>
      <c r="E187" s="97"/>
      <c r="F187" s="97"/>
      <c r="G187" s="105">
        <f>SUM(G183:G186)</f>
        <v>1653553.5735822567</v>
      </c>
      <c r="H187" s="68" t="s">
        <v>60</v>
      </c>
      <c r="I187" s="120">
        <f>IF(G187&gt;0,G187/D187,0)</f>
        <v>0.13228055028384053</v>
      </c>
      <c r="J187" s="98" t="s">
        <v>60</v>
      </c>
      <c r="K187" s="132" t="s">
        <v>97</v>
      </c>
    </row>
    <row r="188" spans="1:17" ht="9" customHeight="1">
      <c r="A188" s="68"/>
      <c r="B188" s="62"/>
      <c r="C188" s="97"/>
      <c r="D188" s="97"/>
      <c r="E188" s="97"/>
      <c r="F188" s="97"/>
      <c r="G188" s="97"/>
      <c r="H188" s="97"/>
      <c r="I188" s="97"/>
      <c r="J188" s="97"/>
      <c r="K188" s="97"/>
    </row>
    <row r="189" spans="1:17">
      <c r="A189" s="68"/>
      <c r="B189" s="62" t="s">
        <v>1252</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1203958614</v>
      </c>
      <c r="E190" s="97"/>
      <c r="G190" s="68" t="s">
        <v>64</v>
      </c>
      <c r="H190" s="128"/>
      <c r="I190" s="68" t="s">
        <v>65</v>
      </c>
      <c r="J190" s="97"/>
      <c r="K190" s="68" t="s">
        <v>1251</v>
      </c>
    </row>
    <row r="191" spans="1:17">
      <c r="A191" s="68">
        <v>18</v>
      </c>
      <c r="B191" s="62" t="s">
        <v>66</v>
      </c>
      <c r="C191" s="62" t="s">
        <v>460</v>
      </c>
      <c r="D191" s="258">
        <f>'Act Att-H'!D196</f>
        <v>0</v>
      </c>
      <c r="E191" s="97"/>
      <c r="G191" s="104">
        <f>IF(D193&gt;0,D190/D193,0)</f>
        <v>0.97882465828005749</v>
      </c>
      <c r="H191" s="98" t="s">
        <v>67</v>
      </c>
      <c r="I191" s="104">
        <f>I187</f>
        <v>0.13228055028384053</v>
      </c>
      <c r="J191" s="128" t="s">
        <v>60</v>
      </c>
      <c r="K191" s="151">
        <f>I191*G191</f>
        <v>0.12947946442867816</v>
      </c>
    </row>
    <row r="192" spans="1:17">
      <c r="A192" s="68">
        <v>19</v>
      </c>
      <c r="B192" s="62" t="s">
        <v>58</v>
      </c>
      <c r="C192" s="62" t="s">
        <v>461</v>
      </c>
      <c r="D192" s="258">
        <f>'Act Att-H'!D197</f>
        <v>26045763</v>
      </c>
      <c r="E192" s="97"/>
      <c r="F192" s="97"/>
      <c r="G192" s="97" t="s">
        <v>2</v>
      </c>
      <c r="H192" s="97"/>
      <c r="I192" s="97"/>
      <c r="J192" s="97"/>
      <c r="K192" s="97"/>
    </row>
    <row r="193" spans="1:11">
      <c r="A193" s="68">
        <v>20</v>
      </c>
      <c r="B193" s="167" t="s">
        <v>339</v>
      </c>
      <c r="C193" s="168" t="s">
        <v>340</v>
      </c>
      <c r="D193" s="166">
        <f>D190+D191+D192</f>
        <v>1230004377</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5">
        <f>'Act Att-H'!G203</f>
        <v>3.7403441019576086E-2</v>
      </c>
      <c r="I197" s="155">
        <f>G197*E197</f>
        <v>1.9823823740375328E-2</v>
      </c>
      <c r="J197" s="156" t="s">
        <v>72</v>
      </c>
    </row>
    <row r="198" spans="1:11" ht="13.8" thickBot="1">
      <c r="A198" s="68">
        <v>22</v>
      </c>
      <c r="B198" s="62" t="s">
        <v>342</v>
      </c>
      <c r="C198" s="62" t="s">
        <v>463</v>
      </c>
      <c r="D198" s="874"/>
      <c r="E198" s="153">
        <v>0.47</v>
      </c>
      <c r="F198" s="154"/>
      <c r="G198" s="615">
        <f>'Act Att-H'!G204</f>
        <v>9.8000000000000004E-2</v>
      </c>
      <c r="I198" s="157">
        <f>G198*E198</f>
        <v>4.6059999999999997E-2</v>
      </c>
      <c r="J198" s="97"/>
    </row>
    <row r="199" spans="1:11">
      <c r="A199" s="68">
        <v>23</v>
      </c>
      <c r="B199" s="167"/>
      <c r="C199" s="169"/>
      <c r="D199" s="97"/>
      <c r="E199" s="97" t="s">
        <v>2</v>
      </c>
      <c r="F199" s="97"/>
      <c r="G199" s="97"/>
      <c r="H199" s="97"/>
      <c r="I199" s="155">
        <f>SUM(I197:I198)</f>
        <v>6.5883823740375325E-2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12"/>
      <c r="H203" s="912"/>
      <c r="I203" s="912"/>
      <c r="J203" s="912"/>
      <c r="K203" s="912"/>
    </row>
    <row r="204" spans="1:11">
      <c r="B204" s="62"/>
      <c r="C204" s="62"/>
      <c r="D204" s="94"/>
      <c r="E204" s="62"/>
      <c r="F204" s="62"/>
      <c r="G204" s="62"/>
      <c r="H204" s="62"/>
      <c r="I204" s="913" t="str">
        <f>I1</f>
        <v>Projected Attachment H</v>
      </c>
      <c r="J204" s="913"/>
      <c r="K204" s="913"/>
    </row>
    <row r="205" spans="1:11">
      <c r="B205" s="62"/>
      <c r="C205" s="62"/>
      <c r="D205" s="94"/>
      <c r="E205" s="62"/>
      <c r="F205" s="62"/>
      <c r="G205" s="62"/>
      <c r="H205" s="62"/>
      <c r="I205" s="62"/>
      <c r="J205" s="912" t="s">
        <v>276</v>
      </c>
      <c r="K205" s="912"/>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12/31/2025</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425876517.23846155</v>
      </c>
      <c r="E217" s="97"/>
      <c r="F217" s="97" t="s">
        <v>27</v>
      </c>
      <c r="G217" s="119" t="s">
        <v>2</v>
      </c>
      <c r="H217" s="97"/>
      <c r="I217" s="97" t="s">
        <v>2</v>
      </c>
      <c r="J217" s="97"/>
      <c r="K217" s="68"/>
    </row>
    <row r="218" spans="1:11">
      <c r="A218" s="68">
        <v>2</v>
      </c>
      <c r="B218" s="62" t="s">
        <v>28</v>
      </c>
      <c r="C218" s="97" t="s">
        <v>1113</v>
      </c>
      <c r="D218" s="258">
        <f>D45</f>
        <v>329132728.55589271</v>
      </c>
      <c r="E218" s="97"/>
      <c r="F218" s="97" t="s">
        <v>11</v>
      </c>
      <c r="G218" s="120">
        <f>I170</f>
        <v>0.92887970882503001</v>
      </c>
      <c r="H218" s="97"/>
      <c r="I218" s="54">
        <f>+G218*D218</f>
        <v>305724713.06578523</v>
      </c>
      <c r="J218" s="128"/>
      <c r="K218" s="151"/>
    </row>
    <row r="219" spans="1:11">
      <c r="A219" s="68">
        <v>3</v>
      </c>
      <c r="B219" s="62" t="s">
        <v>29</v>
      </c>
      <c r="C219" s="97" t="s">
        <v>582</v>
      </c>
      <c r="D219" s="258">
        <f>'Act Att-H'!D47</f>
        <v>426878280.09075266</v>
      </c>
      <c r="E219" s="97"/>
      <c r="F219" s="97" t="s">
        <v>27</v>
      </c>
      <c r="G219" s="119" t="s">
        <v>2</v>
      </c>
      <c r="H219" s="97"/>
      <c r="I219" s="54" t="s">
        <v>2</v>
      </c>
      <c r="J219" s="97"/>
      <c r="K219" s="97"/>
    </row>
    <row r="220" spans="1:11">
      <c r="A220" s="68">
        <v>4</v>
      </c>
      <c r="B220" s="62" t="s">
        <v>30</v>
      </c>
      <c r="C220" s="97" t="s">
        <v>583</v>
      </c>
      <c r="D220" s="258">
        <f>'Act Att-H'!D48</f>
        <v>45067030.808461539</v>
      </c>
      <c r="E220" s="97"/>
      <c r="F220" s="97" t="s">
        <v>31</v>
      </c>
      <c r="G220" s="120">
        <f>I187</f>
        <v>0.13228055028384053</v>
      </c>
      <c r="H220" s="97"/>
      <c r="I220" s="54">
        <f>+G220*D220</f>
        <v>5961491.6350020869</v>
      </c>
      <c r="J220" s="97"/>
      <c r="K220" s="97"/>
    </row>
    <row r="221" spans="1:11">
      <c r="A221" s="68">
        <v>5</v>
      </c>
      <c r="B221" s="62" t="s">
        <v>58</v>
      </c>
      <c r="C221" s="97" t="s">
        <v>584</v>
      </c>
      <c r="D221" s="258">
        <f>'Act Att-H'!D49</f>
        <v>23578472.230769232</v>
      </c>
      <c r="E221" s="97"/>
      <c r="F221" s="97" t="s">
        <v>1251</v>
      </c>
      <c r="G221" s="120">
        <f>K191</f>
        <v>0.12947946442867816</v>
      </c>
      <c r="H221" s="97"/>
      <c r="I221" s="54">
        <f>+G221*D221</f>
        <v>3052927.9564864608</v>
      </c>
      <c r="J221" s="97"/>
      <c r="K221" s="97"/>
    </row>
    <row r="222" spans="1:11">
      <c r="A222" s="68">
        <v>6</v>
      </c>
      <c r="B222" s="167" t="s">
        <v>339</v>
      </c>
      <c r="C222" s="168" t="s">
        <v>1114</v>
      </c>
      <c r="D222" s="166">
        <f>SUM(D217:D221)</f>
        <v>1250533028.9243374</v>
      </c>
      <c r="E222" s="97"/>
      <c r="F222" s="168" t="s">
        <v>32</v>
      </c>
      <c r="G222" s="510">
        <f>IF(I222&gt;0,I222/D222,0)</f>
        <v>0.25168398225195288</v>
      </c>
      <c r="H222" s="97"/>
      <c r="I222" s="170">
        <f>SUM(I217:I221)</f>
        <v>314739132.65727377</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290934588.47934318</v>
      </c>
      <c r="E225" s="97"/>
      <c r="F225" s="97" t="s">
        <v>27</v>
      </c>
      <c r="G225" s="119" t="s">
        <v>2</v>
      </c>
      <c r="H225" s="97"/>
      <c r="I225" s="97" t="s">
        <v>2</v>
      </c>
      <c r="J225" s="97"/>
      <c r="K225" s="68"/>
    </row>
    <row r="226" spans="1:11">
      <c r="A226" s="68">
        <v>8</v>
      </c>
      <c r="B226" s="62" t="s">
        <v>28</v>
      </c>
      <c r="C226" s="97" t="s">
        <v>585</v>
      </c>
      <c r="D226" s="258">
        <f>D57</f>
        <v>268686716.86176616</v>
      </c>
      <c r="E226" s="97"/>
      <c r="F226" s="97" t="s">
        <v>11</v>
      </c>
      <c r="G226" s="120">
        <f>G218</f>
        <v>0.92887970882503001</v>
      </c>
      <c r="H226" s="97"/>
      <c r="I226" s="54">
        <f>+G226*D226</f>
        <v>249577639.32371062</v>
      </c>
      <c r="J226" s="128"/>
      <c r="K226" s="151"/>
    </row>
    <row r="227" spans="1:11">
      <c r="A227" s="68">
        <v>9</v>
      </c>
      <c r="B227" s="62" t="s">
        <v>29</v>
      </c>
      <c r="C227" s="97" t="s">
        <v>579</v>
      </c>
      <c r="D227" s="258">
        <f>'Act Att-H'!D63</f>
        <v>266254725.29543874</v>
      </c>
      <c r="E227" s="97"/>
      <c r="F227" s="97" t="s">
        <v>27</v>
      </c>
      <c r="G227" s="119" t="s">
        <v>2</v>
      </c>
      <c r="H227" s="97"/>
      <c r="I227" s="54" t="s">
        <v>2</v>
      </c>
      <c r="J227" s="97"/>
      <c r="K227" s="97"/>
    </row>
    <row r="228" spans="1:11">
      <c r="A228" s="68">
        <v>10</v>
      </c>
      <c r="B228" s="62" t="s">
        <v>30</v>
      </c>
      <c r="C228" s="97" t="s">
        <v>580</v>
      </c>
      <c r="D228" s="258">
        <f>'Act Att-H'!D64</f>
        <v>21560686.882806893</v>
      </c>
      <c r="E228" s="97"/>
      <c r="F228" s="97" t="s">
        <v>31</v>
      </c>
      <c r="G228" s="120">
        <f>G220</f>
        <v>0.13228055028384053</v>
      </c>
      <c r="H228" s="97"/>
      <c r="I228" s="54">
        <f>+G228*D228</f>
        <v>2852059.525355278</v>
      </c>
      <c r="J228" s="97"/>
      <c r="K228" s="97"/>
    </row>
    <row r="229" spans="1:11">
      <c r="A229" s="68">
        <v>11</v>
      </c>
      <c r="B229" s="62" t="s">
        <v>58</v>
      </c>
      <c r="C229" s="97" t="s">
        <v>581</v>
      </c>
      <c r="D229" s="258">
        <f>'Act Att-H'!D65</f>
        <v>15730725.76923077</v>
      </c>
      <c r="E229" s="97"/>
      <c r="F229" s="97" t="s">
        <v>1251</v>
      </c>
      <c r="G229" s="120">
        <f>G221</f>
        <v>0.12947946442867816</v>
      </c>
      <c r="H229" s="97"/>
      <c r="I229" s="54">
        <f>+G229*D229</f>
        <v>2036805.9476744065</v>
      </c>
      <c r="J229" s="97"/>
      <c r="K229" s="97"/>
    </row>
    <row r="230" spans="1:11">
      <c r="A230" s="68">
        <v>12</v>
      </c>
      <c r="B230" s="167" t="s">
        <v>339</v>
      </c>
      <c r="C230" s="168" t="s">
        <v>1115</v>
      </c>
      <c r="D230" s="166">
        <f>SUM(D225:D229)</f>
        <v>863167443.28858566</v>
      </c>
      <c r="E230" s="97"/>
      <c r="F230" s="168" t="s">
        <v>33</v>
      </c>
      <c r="G230" s="510">
        <f>IF(I230&gt;0,I230/D230,0)</f>
        <v>0.29480549431666142</v>
      </c>
      <c r="H230" s="97"/>
      <c r="I230" s="170">
        <f>SUM(I225:I229)</f>
        <v>254466504.79674029</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16" t="s">
        <v>132</v>
      </c>
      <c r="C238" s="916"/>
      <c r="D238" s="916"/>
      <c r="E238" s="916"/>
      <c r="F238" s="916"/>
      <c r="G238" s="916"/>
      <c r="H238" s="916"/>
      <c r="I238" s="916"/>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4.5499999999999999E-2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67"/>
      <c r="C242" s="967"/>
      <c r="D242" s="967"/>
      <c r="E242" s="967"/>
      <c r="F242" s="967"/>
      <c r="G242" s="967"/>
      <c r="H242" s="967"/>
      <c r="I242" s="967"/>
      <c r="J242" s="82"/>
      <c r="K242" s="82"/>
    </row>
    <row r="243" spans="1:11">
      <c r="A243" s="71" t="s">
        <v>77</v>
      </c>
      <c r="B243" s="93" t="s">
        <v>749</v>
      </c>
      <c r="J243" s="82"/>
      <c r="K243" s="82"/>
    </row>
    <row r="244" spans="1:11">
      <c r="A244" s="28" t="s">
        <v>78</v>
      </c>
      <c r="B244" s="969" t="s">
        <v>1057</v>
      </c>
      <c r="C244" s="969"/>
      <c r="D244" s="969"/>
      <c r="E244" s="969"/>
      <c r="F244" s="969"/>
      <c r="G244" s="969"/>
      <c r="H244" s="969"/>
      <c r="I244" s="969"/>
      <c r="J244" s="82"/>
      <c r="K244" s="82"/>
    </row>
    <row r="245" spans="1:11">
      <c r="A245" s="28" t="s">
        <v>79</v>
      </c>
      <c r="B245" s="968" t="s">
        <v>1061</v>
      </c>
      <c r="C245" s="968"/>
      <c r="D245" s="968"/>
      <c r="E245" s="968"/>
      <c r="F245" s="968"/>
      <c r="G245" s="968"/>
      <c r="H245" s="968"/>
      <c r="I245" s="968"/>
      <c r="J245" s="79"/>
      <c r="K245" s="79"/>
    </row>
    <row r="246" spans="1:11">
      <c r="A246" s="83"/>
      <c r="B246" s="967"/>
      <c r="C246" s="967"/>
      <c r="D246" s="967"/>
      <c r="E246" s="967"/>
      <c r="F246" s="967"/>
      <c r="G246" s="967"/>
      <c r="H246" s="967"/>
      <c r="I246" s="967"/>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25"/>
      <c r="C250" s="925"/>
      <c r="D250" s="925"/>
      <c r="E250" s="925"/>
      <c r="F250" s="925"/>
      <c r="G250" s="925"/>
      <c r="H250" s="925"/>
      <c r="I250" s="925"/>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23"/>
      <c r="C258" s="923"/>
      <c r="D258" s="923"/>
      <c r="E258" s="923"/>
      <c r="F258" s="923"/>
      <c r="G258" s="923"/>
      <c r="H258" s="923"/>
      <c r="I258" s="923"/>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B250:I250"/>
    <mergeCell ref="B258:I258"/>
    <mergeCell ref="B242:I242"/>
    <mergeCell ref="B245:I245"/>
    <mergeCell ref="G203:K203"/>
    <mergeCell ref="I204:K204"/>
    <mergeCell ref="J205:K205"/>
    <mergeCell ref="B246:I246"/>
    <mergeCell ref="B238:I238"/>
    <mergeCell ref="B244:I244"/>
    <mergeCell ref="N172:S172"/>
    <mergeCell ref="I1:K1"/>
    <mergeCell ref="J2:K2"/>
    <mergeCell ref="I32:K32"/>
    <mergeCell ref="J33:K33"/>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zoomScale="80" zoomScaleNormal="80" workbookViewId="0">
      <selection activeCell="Q14" sqref="Q14"/>
    </sheetView>
  </sheetViews>
  <sheetFormatPr defaultColWidth="8.6328125" defaultRowHeight="13.2"/>
  <cols>
    <col min="1" max="1" width="3.08984375" style="529" customWidth="1"/>
    <col min="2" max="2" width="8.54296875" style="250" customWidth="1"/>
    <col min="3" max="3" width="4.6328125" style="250" hidden="1" customWidth="1"/>
    <col min="4" max="4" width="12.08984375" style="250" customWidth="1"/>
    <col min="5" max="6" width="11.08984375" style="250" bestFit="1" customWidth="1"/>
    <col min="7" max="7" width="16.08984375" style="250" customWidth="1"/>
    <col min="8" max="8" width="13.7265625" style="250" bestFit="1" customWidth="1"/>
    <col min="9" max="9" width="13.08984375" style="250" bestFit="1" customWidth="1"/>
    <col min="10" max="11" width="10.6328125" style="250" bestFit="1" customWidth="1"/>
    <col min="12" max="12" width="10.08984375" style="250" customWidth="1"/>
    <col min="13" max="14" width="10.6328125" style="250" customWidth="1"/>
    <col min="15" max="15" width="10.08984375" style="250" bestFit="1" customWidth="1"/>
    <col min="16" max="16" width="11.08984375" style="250" customWidth="1"/>
    <col min="17" max="17" width="12.08984375" style="250" customWidth="1"/>
    <col min="18" max="18" width="11.08984375" style="250" customWidth="1"/>
    <col min="19" max="20" width="9.54296875" style="250" customWidth="1"/>
    <col min="21" max="21" width="11.08984375" style="250" customWidth="1"/>
    <col min="22" max="22" width="11.6328125" style="250" customWidth="1"/>
    <col min="23" max="28" width="11.08984375" style="250" customWidth="1"/>
    <col min="29" max="29" width="10.089843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08984375" style="250" customWidth="1"/>
    <col min="40" max="40" width="11.08984375" style="250" customWidth="1"/>
    <col min="41" max="16384" width="8.6328125" style="250"/>
  </cols>
  <sheetData>
    <row r="1" spans="1:38" ht="13.35" customHeight="1">
      <c r="A1" s="527"/>
      <c r="B1" s="500" t="s">
        <v>417</v>
      </c>
      <c r="C1" s="500"/>
      <c r="D1" s="500"/>
      <c r="E1" s="500"/>
      <c r="F1" s="500"/>
      <c r="G1" s="500"/>
      <c r="H1" s="500"/>
      <c r="I1" s="500"/>
      <c r="J1" s="500"/>
      <c r="K1" s="339"/>
      <c r="L1" s="339"/>
      <c r="M1" s="447"/>
      <c r="N1" s="447"/>
      <c r="Q1" s="447"/>
      <c r="AA1" s="976"/>
      <c r="AB1" s="976"/>
      <c r="AK1" s="976" t="s">
        <v>371</v>
      </c>
      <c r="AL1" s="976"/>
    </row>
    <row r="2" spans="1:38" ht="13.35" customHeight="1">
      <c r="A2" s="527"/>
      <c r="B2" s="500" t="s">
        <v>435</v>
      </c>
      <c r="C2" s="500"/>
      <c r="D2" s="500"/>
      <c r="E2" s="500"/>
      <c r="F2" s="500"/>
      <c r="G2" s="500"/>
      <c r="H2" s="500"/>
      <c r="I2" s="500"/>
      <c r="J2" s="500"/>
      <c r="K2" s="339"/>
      <c r="L2" s="339"/>
      <c r="M2" s="448"/>
      <c r="N2" s="448"/>
      <c r="Q2" s="448"/>
      <c r="AB2" s="448"/>
      <c r="AL2" s="448"/>
    </row>
    <row r="3" spans="1:38" ht="13.35" customHeight="1">
      <c r="A3" s="528"/>
      <c r="B3" s="500" t="str">
        <f>'Act Att-H'!C7</f>
        <v>Black Hills Colorado Electric, LLC</v>
      </c>
      <c r="C3" s="500"/>
      <c r="D3" s="500"/>
      <c r="E3" s="500"/>
      <c r="F3" s="500"/>
      <c r="G3" s="500"/>
      <c r="H3" s="500"/>
      <c r="I3" s="500"/>
      <c r="J3" s="500"/>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70"/>
      <c r="C6" s="970"/>
      <c r="D6" s="970"/>
      <c r="E6" s="970"/>
      <c r="F6" s="971"/>
      <c r="G6" s="449"/>
      <c r="H6" s="450"/>
      <c r="I6" s="450"/>
      <c r="J6" s="451"/>
      <c r="K6" s="254"/>
      <c r="L6" s="254"/>
      <c r="M6" s="254"/>
      <c r="N6" s="254"/>
      <c r="Q6" s="254"/>
      <c r="X6" s="255"/>
    </row>
    <row r="7" spans="1:38">
      <c r="B7" s="972" t="s">
        <v>557</v>
      </c>
      <c r="C7" s="972"/>
      <c r="D7" s="972"/>
      <c r="E7" s="972"/>
      <c r="F7" s="972"/>
      <c r="G7" s="973" t="s">
        <v>379</v>
      </c>
      <c r="H7" s="974"/>
      <c r="I7" s="974"/>
      <c r="J7" s="975"/>
      <c r="K7" s="519"/>
      <c r="L7" s="519"/>
      <c r="M7" s="323"/>
      <c r="N7" s="323"/>
      <c r="Q7" s="323"/>
      <c r="R7" s="879"/>
      <c r="S7" s="981" t="s">
        <v>679</v>
      </c>
      <c r="T7" s="981"/>
      <c r="U7" s="981"/>
      <c r="V7" s="982"/>
      <c r="W7" s="980" t="s">
        <v>680</v>
      </c>
      <c r="X7" s="981"/>
      <c r="Y7" s="981"/>
      <c r="Z7" s="981"/>
      <c r="AA7" s="982"/>
    </row>
    <row r="8" spans="1:38">
      <c r="B8" s="792" t="s">
        <v>138</v>
      </c>
      <c r="C8" s="792"/>
      <c r="D8" s="792" t="s">
        <v>139</v>
      </c>
      <c r="E8" s="792" t="s">
        <v>1155</v>
      </c>
      <c r="F8" s="792" t="s">
        <v>141</v>
      </c>
      <c r="G8" s="452" t="s">
        <v>542</v>
      </c>
      <c r="H8" s="385" t="s">
        <v>143</v>
      </c>
      <c r="I8" s="385" t="s">
        <v>144</v>
      </c>
      <c r="J8" s="534" t="s">
        <v>145</v>
      </c>
      <c r="K8" s="540" t="s">
        <v>161</v>
      </c>
      <c r="L8" s="541" t="s">
        <v>162</v>
      </c>
      <c r="M8" s="880" t="s">
        <v>871</v>
      </c>
      <c r="N8" s="880" t="s">
        <v>870</v>
      </c>
      <c r="O8" s="880" t="s">
        <v>928</v>
      </c>
      <c r="P8" s="541" t="s">
        <v>975</v>
      </c>
      <c r="Q8" s="534" t="s">
        <v>976</v>
      </c>
      <c r="R8" s="454" t="s">
        <v>977</v>
      </c>
      <c r="S8" s="792" t="s">
        <v>978</v>
      </c>
      <c r="T8" s="792" t="s">
        <v>1242</v>
      </c>
      <c r="U8" s="792" t="s">
        <v>980</v>
      </c>
      <c r="V8" s="792" t="s">
        <v>981</v>
      </c>
      <c r="W8" s="454" t="s">
        <v>982</v>
      </c>
      <c r="X8" s="792" t="s">
        <v>983</v>
      </c>
      <c r="Y8" s="792" t="s">
        <v>984</v>
      </c>
      <c r="Z8" s="792" t="s">
        <v>985</v>
      </c>
      <c r="AA8" s="881" t="s">
        <v>986</v>
      </c>
    </row>
    <row r="9" spans="1:38">
      <c r="G9" s="324"/>
      <c r="H9" s="385"/>
      <c r="I9" s="385" t="s">
        <v>380</v>
      </c>
      <c r="J9" s="453" t="s">
        <v>380</v>
      </c>
      <c r="K9" s="454"/>
      <c r="L9" s="977" t="s">
        <v>657</v>
      </c>
      <c r="M9" s="977"/>
      <c r="N9" s="274"/>
      <c r="O9" s="274"/>
      <c r="P9" s="978" t="s">
        <v>670</v>
      </c>
      <c r="Q9" s="979"/>
      <c r="R9" s="325"/>
      <c r="S9" s="253"/>
      <c r="T9" s="253"/>
      <c r="U9" s="253"/>
      <c r="V9" s="260"/>
      <c r="W9" s="325"/>
      <c r="X9" s="253"/>
      <c r="Y9" s="253"/>
      <c r="Z9" s="253"/>
      <c r="AA9" s="260"/>
    </row>
    <row r="10" spans="1:38">
      <c r="B10" s="363" t="s">
        <v>219</v>
      </c>
      <c r="G10" s="454" t="s">
        <v>381</v>
      </c>
      <c r="H10" s="274"/>
      <c r="I10" s="274" t="s">
        <v>375</v>
      </c>
      <c r="J10" s="455" t="s">
        <v>382</v>
      </c>
      <c r="K10" s="454" t="s">
        <v>664</v>
      </c>
      <c r="L10" s="977" t="s">
        <v>656</v>
      </c>
      <c r="M10" s="977"/>
      <c r="N10" s="977" t="s">
        <v>669</v>
      </c>
      <c r="O10" s="977"/>
      <c r="P10" s="978" t="s">
        <v>681</v>
      </c>
      <c r="Q10" s="979"/>
      <c r="R10" s="454" t="s">
        <v>665</v>
      </c>
      <c r="S10" s="274" t="s">
        <v>659</v>
      </c>
      <c r="T10" s="274" t="s">
        <v>660</v>
      </c>
      <c r="U10" s="274"/>
      <c r="V10" s="455"/>
      <c r="W10" s="454" t="s">
        <v>665</v>
      </c>
      <c r="X10" s="274" t="s">
        <v>659</v>
      </c>
      <c r="Y10" s="274" t="s">
        <v>660</v>
      </c>
      <c r="Z10" s="274"/>
      <c r="AA10" s="455"/>
    </row>
    <row r="11" spans="1:38" ht="13.35" customHeight="1" thickBot="1">
      <c r="A11" s="531" t="s">
        <v>666</v>
      </c>
      <c r="B11" s="456" t="s">
        <v>987</v>
      </c>
      <c r="C11" s="456"/>
      <c r="D11" s="456" t="s">
        <v>374</v>
      </c>
      <c r="E11" s="456" t="s">
        <v>375</v>
      </c>
      <c r="F11" s="456" t="s">
        <v>376</v>
      </c>
      <c r="G11" s="457" t="s">
        <v>492</v>
      </c>
      <c r="H11" s="458" t="s">
        <v>383</v>
      </c>
      <c r="I11" s="458" t="s">
        <v>493</v>
      </c>
      <c r="J11" s="459" t="s">
        <v>375</v>
      </c>
      <c r="K11" s="521" t="s">
        <v>663</v>
      </c>
      <c r="L11" s="522" t="s">
        <v>679</v>
      </c>
      <c r="M11" s="522" t="s">
        <v>680</v>
      </c>
      <c r="N11" s="522" t="s">
        <v>679</v>
      </c>
      <c r="O11" s="522" t="s">
        <v>680</v>
      </c>
      <c r="P11" s="522" t="s">
        <v>679</v>
      </c>
      <c r="Q11" s="624" t="s">
        <v>680</v>
      </c>
      <c r="R11" s="525" t="s">
        <v>438</v>
      </c>
      <c r="S11" s="523" t="s">
        <v>375</v>
      </c>
      <c r="T11" s="523" t="s">
        <v>653</v>
      </c>
      <c r="U11" s="523" t="s">
        <v>654</v>
      </c>
      <c r="V11" s="526" t="s">
        <v>655</v>
      </c>
      <c r="W11" s="525" t="s">
        <v>438</v>
      </c>
      <c r="X11" s="523" t="s">
        <v>375</v>
      </c>
      <c r="Y11" s="523" t="s">
        <v>653</v>
      </c>
      <c r="Z11" s="523" t="s">
        <v>654</v>
      </c>
      <c r="AA11" s="526" t="s">
        <v>655</v>
      </c>
    </row>
    <row r="12" spans="1:38" s="882" customFormat="1" ht="39.6">
      <c r="A12" s="530">
        <v>1</v>
      </c>
      <c r="G12" s="883"/>
      <c r="H12" s="884" t="s">
        <v>1240</v>
      </c>
      <c r="I12" s="885">
        <f>IF('Act Att-H'!D46=0,0,ROUND('Act Att-H'!D120/'Act Att-H'!D46,6)/12)</f>
        <v>1.4625E-3</v>
      </c>
      <c r="J12" s="886" t="s">
        <v>1241</v>
      </c>
      <c r="K12" s="883"/>
      <c r="L12" s="887"/>
      <c r="M12" s="887"/>
      <c r="N12" s="888" t="s">
        <v>1152</v>
      </c>
      <c r="O12" s="888" t="s">
        <v>1153</v>
      </c>
      <c r="P12" s="889">
        <v>28477919</v>
      </c>
      <c r="Q12" s="890">
        <v>26745535</v>
      </c>
      <c r="R12" s="891" t="s">
        <v>1154</v>
      </c>
      <c r="S12" s="888" t="s">
        <v>1155</v>
      </c>
      <c r="T12" s="888" t="s">
        <v>1156</v>
      </c>
      <c r="U12" s="892" t="s">
        <v>1157</v>
      </c>
      <c r="V12" s="893" t="s">
        <v>1158</v>
      </c>
      <c r="W12" s="894" t="s">
        <v>1159</v>
      </c>
      <c r="X12" s="888" t="s">
        <v>1155</v>
      </c>
      <c r="Y12" s="888" t="s">
        <v>1160</v>
      </c>
      <c r="Z12" s="892" t="s">
        <v>1157</v>
      </c>
      <c r="AA12" s="895" t="s">
        <v>1161</v>
      </c>
    </row>
    <row r="13" spans="1:38">
      <c r="A13" s="530">
        <v>2</v>
      </c>
      <c r="G13" s="325"/>
      <c r="H13" s="253"/>
      <c r="I13" s="460"/>
      <c r="J13" s="260"/>
      <c r="K13" s="325"/>
      <c r="L13" s="253"/>
      <c r="M13" s="253"/>
      <c r="N13" s="253" t="s">
        <v>658</v>
      </c>
      <c r="O13" s="253"/>
      <c r="P13" s="731">
        <f>'Act Att-H'!G50</f>
        <v>0.23929098354858599</v>
      </c>
      <c r="Q13" s="856">
        <f>'Proj Att-H'!G222</f>
        <v>0.25168398225195288</v>
      </c>
      <c r="R13" s="863"/>
      <c r="S13" s="253"/>
      <c r="T13" s="253"/>
      <c r="U13" s="862"/>
      <c r="V13" s="260"/>
      <c r="W13" s="325"/>
      <c r="X13" s="253"/>
      <c r="Y13" s="253"/>
      <c r="Z13" s="253"/>
      <c r="AA13" s="260"/>
    </row>
    <row r="14" spans="1:38" ht="25.5" customHeight="1">
      <c r="A14" s="530">
        <v>3</v>
      </c>
      <c r="B14" s="268"/>
      <c r="C14" s="268"/>
      <c r="D14" s="461"/>
      <c r="E14" s="462"/>
      <c r="F14" s="259"/>
      <c r="G14" s="536" t="s">
        <v>1267</v>
      </c>
      <c r="H14" s="729">
        <f>'A4-Rate Base'!D22</f>
        <v>318162522.33999997</v>
      </c>
      <c r="I14" s="462"/>
      <c r="J14" s="730">
        <f>'A4-Rate Base'!F45</f>
        <v>51935611.219999999</v>
      </c>
      <c r="K14" s="325"/>
      <c r="L14" s="253"/>
      <c r="M14" s="259"/>
      <c r="N14" s="259"/>
      <c r="O14" s="253"/>
      <c r="P14" s="139">
        <f>P12*P13</f>
        <v>6814509.2469269643</v>
      </c>
      <c r="Q14" s="857">
        <f>Q12*Q13</f>
        <v>6731422.7562589841</v>
      </c>
      <c r="R14" s="325"/>
      <c r="S14" s="253"/>
      <c r="T14" s="253"/>
      <c r="U14" s="253"/>
      <c r="V14" s="260"/>
      <c r="W14" s="325"/>
      <c r="X14" s="253"/>
      <c r="Y14" s="253"/>
      <c r="Z14" s="253"/>
      <c r="AA14" s="260"/>
    </row>
    <row r="15" spans="1:38">
      <c r="G15" s="325"/>
      <c r="H15" s="253"/>
      <c r="I15" s="253"/>
      <c r="J15" s="260"/>
      <c r="K15" s="325"/>
      <c r="L15" s="253"/>
      <c r="M15" s="253"/>
      <c r="N15" s="253"/>
      <c r="O15" s="253"/>
      <c r="P15" s="256"/>
      <c r="Q15" s="625"/>
      <c r="R15" s="325"/>
      <c r="S15" s="253"/>
      <c r="T15" s="253"/>
      <c r="U15" s="253"/>
      <c r="V15" s="260"/>
      <c r="W15" s="325"/>
      <c r="X15" s="253"/>
      <c r="Y15" s="253"/>
      <c r="Z15" s="253"/>
      <c r="AA15" s="260"/>
    </row>
    <row r="16" spans="1:38" s="535" customFormat="1">
      <c r="A16" s="663"/>
      <c r="B16" s="664" t="s">
        <v>138</v>
      </c>
      <c r="C16" s="664"/>
      <c r="D16" s="664" t="s">
        <v>139</v>
      </c>
      <c r="E16" s="664" t="s">
        <v>140</v>
      </c>
      <c r="F16" s="664" t="s">
        <v>141</v>
      </c>
      <c r="G16" s="665" t="s">
        <v>142</v>
      </c>
      <c r="H16" s="664" t="s">
        <v>143</v>
      </c>
      <c r="I16" s="664" t="s">
        <v>144</v>
      </c>
      <c r="J16" s="666" t="s">
        <v>145</v>
      </c>
      <c r="K16" s="665" t="s">
        <v>161</v>
      </c>
      <c r="L16" s="664" t="s">
        <v>162</v>
      </c>
      <c r="M16" s="667" t="s">
        <v>871</v>
      </c>
      <c r="N16" s="664" t="s">
        <v>870</v>
      </c>
      <c r="O16" s="664" t="s">
        <v>928</v>
      </c>
      <c r="P16" s="664" t="s">
        <v>975</v>
      </c>
      <c r="Q16" s="668" t="s">
        <v>976</v>
      </c>
      <c r="R16" s="665" t="s">
        <v>977</v>
      </c>
      <c r="S16" s="664" t="s">
        <v>978</v>
      </c>
      <c r="T16" s="664" t="s">
        <v>979</v>
      </c>
      <c r="U16" s="664" t="s">
        <v>980</v>
      </c>
      <c r="V16" s="666" t="s">
        <v>981</v>
      </c>
      <c r="W16" s="665" t="s">
        <v>982</v>
      </c>
      <c r="X16" s="664" t="s">
        <v>983</v>
      </c>
      <c r="Y16" s="664" t="s">
        <v>984</v>
      </c>
      <c r="Z16" s="664" t="s">
        <v>985</v>
      </c>
      <c r="AA16" s="666" t="s">
        <v>986</v>
      </c>
    </row>
    <row r="17" spans="1:27">
      <c r="G17" s="326"/>
      <c r="H17" s="261"/>
      <c r="I17" s="253"/>
      <c r="J17" s="260"/>
      <c r="K17" s="325"/>
      <c r="L17" s="253"/>
      <c r="M17" s="253"/>
      <c r="N17" s="253"/>
      <c r="O17" s="253"/>
      <c r="P17" s="256"/>
      <c r="Q17" s="625"/>
      <c r="R17" s="325"/>
      <c r="S17" s="253"/>
      <c r="T17" s="253"/>
      <c r="U17" s="253"/>
      <c r="V17" s="260"/>
      <c r="W17" s="325"/>
      <c r="X17" s="253"/>
      <c r="Y17" s="253"/>
      <c r="Z17" s="253"/>
      <c r="AA17" s="260"/>
    </row>
    <row r="18" spans="1:27">
      <c r="A18" s="530">
        <f>+A14+1</f>
        <v>4</v>
      </c>
      <c r="B18" s="714">
        <v>45292</v>
      </c>
      <c r="C18" s="463"/>
      <c r="D18" s="382">
        <f>H18</f>
        <v>318454615.96999997</v>
      </c>
      <c r="E18" s="382">
        <f>I18</f>
        <v>465312.68892225</v>
      </c>
      <c r="F18" s="382">
        <f>J18</f>
        <v>52400923.908922248</v>
      </c>
      <c r="G18" s="464">
        <v>292093.63</v>
      </c>
      <c r="H18" s="465">
        <f>H$14+G18</f>
        <v>318454615.96999997</v>
      </c>
      <c r="I18" s="466">
        <f>I$12*H14</f>
        <v>465312.68892225</v>
      </c>
      <c r="J18" s="467">
        <f>J14+I18</f>
        <v>52400923.908922248</v>
      </c>
      <c r="K18" s="626">
        <f>G18</f>
        <v>292093.63</v>
      </c>
      <c r="L18" s="520">
        <v>0.05</v>
      </c>
      <c r="M18" s="520">
        <v>9.5000000000000001E-2</v>
      </c>
      <c r="N18" s="253">
        <f t="shared" ref="N18:N29" si="0">K18*L18</f>
        <v>14604.681500000001</v>
      </c>
      <c r="O18" s="253">
        <f t="shared" ref="O18:O29" si="1">K18*M18</f>
        <v>27748.894850000001</v>
      </c>
      <c r="P18" s="256">
        <f t="shared" ref="P18:P29" si="2">(P$14)/12</f>
        <v>567875.77057724702</v>
      </c>
      <c r="Q18" s="627"/>
      <c r="R18" s="636">
        <f>N$42/12+P18</f>
        <v>590872.99672480859</v>
      </c>
      <c r="S18" s="637">
        <f>E18</f>
        <v>465312.68892225</v>
      </c>
      <c r="T18" s="637">
        <f>S18-R18</f>
        <v>-125560.30780255859</v>
      </c>
      <c r="U18" s="638">
        <f>+'Proj Att-H'!$D$133</f>
        <v>0.24594499999999997</v>
      </c>
      <c r="V18" s="639">
        <f>T18*U18</f>
        <v>-30880.929902500269</v>
      </c>
      <c r="W18" s="640"/>
      <c r="X18" s="628"/>
      <c r="Y18" s="628"/>
      <c r="Z18" s="628"/>
      <c r="AA18" s="627"/>
    </row>
    <row r="19" spans="1:27">
      <c r="A19" s="530">
        <f t="shared" ref="A19:A41" si="3">+A18+1</f>
        <v>5</v>
      </c>
      <c r="B19" s="714">
        <v>45323</v>
      </c>
      <c r="C19" s="463"/>
      <c r="D19" s="382">
        <f t="shared" ref="D19:D41" si="4">H19</f>
        <v>321503207.38</v>
      </c>
      <c r="E19" s="382">
        <f t="shared" ref="E19:E41" si="5">I19</f>
        <v>465739.87585612497</v>
      </c>
      <c r="F19" s="382">
        <f t="shared" ref="F19:F41" si="6">J19</f>
        <v>52866663.784778371</v>
      </c>
      <c r="G19" s="464">
        <v>3340685.04</v>
      </c>
      <c r="H19" s="465">
        <f t="shared" ref="H19:H41" si="7">H$14+G19</f>
        <v>321503207.38</v>
      </c>
      <c r="I19" s="466">
        <f>I$12*H18</f>
        <v>465739.87585612497</v>
      </c>
      <c r="J19" s="467">
        <f t="shared" ref="J19:J41" si="8">J18+I19</f>
        <v>52866663.784778371</v>
      </c>
      <c r="K19" s="626">
        <f>G19-G18</f>
        <v>3048591.41</v>
      </c>
      <c r="L19" s="520">
        <v>0.05</v>
      </c>
      <c r="M19" s="520">
        <v>9.5000000000000001E-2</v>
      </c>
      <c r="N19" s="253">
        <f t="shared" si="0"/>
        <v>152429.5705</v>
      </c>
      <c r="O19" s="253">
        <f t="shared" si="1"/>
        <v>289616.18395000004</v>
      </c>
      <c r="P19" s="256">
        <f t="shared" si="2"/>
        <v>567875.77057724702</v>
      </c>
      <c r="Q19" s="627"/>
      <c r="R19" s="636">
        <f t="shared" ref="R19:R29" si="9">N$42/12+P19</f>
        <v>590872.99672480859</v>
      </c>
      <c r="S19" s="637">
        <f t="shared" ref="S19:S29" si="10">E19</f>
        <v>465739.87585612497</v>
      </c>
      <c r="T19" s="637">
        <f t="shared" ref="T19:T29" si="11">S19-R19</f>
        <v>-125133.12086868362</v>
      </c>
      <c r="U19" s="638">
        <f>+'Proj Att-H'!$D$133</f>
        <v>0.24594499999999997</v>
      </c>
      <c r="V19" s="639">
        <f t="shared" ref="V19:V29" si="12">T19*U19</f>
        <v>-30775.865412048388</v>
      </c>
      <c r="W19" s="640"/>
      <c r="X19" s="628"/>
      <c r="Y19" s="628"/>
      <c r="Z19" s="628"/>
      <c r="AA19" s="627"/>
    </row>
    <row r="20" spans="1:27">
      <c r="A20" s="530">
        <f t="shared" si="3"/>
        <v>6</v>
      </c>
      <c r="B20" s="714">
        <v>45352</v>
      </c>
      <c r="C20" s="463"/>
      <c r="D20" s="382">
        <f t="shared" si="4"/>
        <v>322062583.38</v>
      </c>
      <c r="E20" s="382">
        <f t="shared" si="5"/>
        <v>470198.44079324999</v>
      </c>
      <c r="F20" s="382">
        <f t="shared" si="6"/>
        <v>53336862.225571625</v>
      </c>
      <c r="G20" s="464">
        <v>3900061.04</v>
      </c>
      <c r="H20" s="465">
        <f t="shared" si="7"/>
        <v>322062583.38</v>
      </c>
      <c r="I20" s="466">
        <f t="shared" ref="I20:I41" si="13">I$12*H19</f>
        <v>470198.44079324999</v>
      </c>
      <c r="J20" s="467">
        <f t="shared" si="8"/>
        <v>53336862.225571625</v>
      </c>
      <c r="K20" s="626">
        <f t="shared" ref="K20:K41" si="14">G20-G19</f>
        <v>559376</v>
      </c>
      <c r="L20" s="520">
        <v>0.05</v>
      </c>
      <c r="M20" s="520">
        <v>9.5000000000000001E-2</v>
      </c>
      <c r="N20" s="253">
        <f t="shared" si="0"/>
        <v>27968.800000000003</v>
      </c>
      <c r="O20" s="253">
        <f t="shared" si="1"/>
        <v>53140.72</v>
      </c>
      <c r="P20" s="256">
        <f t="shared" si="2"/>
        <v>567875.77057724702</v>
      </c>
      <c r="Q20" s="627"/>
      <c r="R20" s="636">
        <f t="shared" si="9"/>
        <v>590872.99672480859</v>
      </c>
      <c r="S20" s="637">
        <f t="shared" si="10"/>
        <v>470198.44079324999</v>
      </c>
      <c r="T20" s="637">
        <f t="shared" si="11"/>
        <v>-120674.5559315586</v>
      </c>
      <c r="U20" s="638">
        <f>+'Proj Att-H'!$D$133</f>
        <v>0.24594499999999997</v>
      </c>
      <c r="V20" s="639">
        <f t="shared" si="12"/>
        <v>-29679.303658587178</v>
      </c>
      <c r="W20" s="640"/>
      <c r="X20" s="628"/>
      <c r="Y20" s="628"/>
      <c r="Z20" s="628"/>
      <c r="AA20" s="627"/>
    </row>
    <row r="21" spans="1:27">
      <c r="A21" s="530">
        <f t="shared" si="3"/>
        <v>7</v>
      </c>
      <c r="B21" s="714">
        <v>45383</v>
      </c>
      <c r="C21" s="463"/>
      <c r="D21" s="382">
        <f t="shared" si="4"/>
        <v>322223121.77999997</v>
      </c>
      <c r="E21" s="382">
        <f t="shared" si="5"/>
        <v>471016.52819325001</v>
      </c>
      <c r="F21" s="382">
        <f t="shared" si="6"/>
        <v>53807878.753764875</v>
      </c>
      <c r="G21" s="464">
        <v>4060599.44</v>
      </c>
      <c r="H21" s="465">
        <f t="shared" si="7"/>
        <v>322223121.77999997</v>
      </c>
      <c r="I21" s="466">
        <f t="shared" si="13"/>
        <v>471016.52819325001</v>
      </c>
      <c r="J21" s="467">
        <f t="shared" si="8"/>
        <v>53807878.753764875</v>
      </c>
      <c r="K21" s="626">
        <f t="shared" si="14"/>
        <v>160538.39999999991</v>
      </c>
      <c r="L21" s="520">
        <v>0.05</v>
      </c>
      <c r="M21" s="520">
        <v>9.5000000000000001E-2</v>
      </c>
      <c r="N21" s="253">
        <f t="shared" si="0"/>
        <v>8026.9199999999955</v>
      </c>
      <c r="O21" s="253">
        <f t="shared" si="1"/>
        <v>15251.147999999992</v>
      </c>
      <c r="P21" s="256">
        <f t="shared" si="2"/>
        <v>567875.77057724702</v>
      </c>
      <c r="Q21" s="627"/>
      <c r="R21" s="636">
        <f t="shared" si="9"/>
        <v>590872.99672480859</v>
      </c>
      <c r="S21" s="637">
        <f t="shared" si="10"/>
        <v>471016.52819325001</v>
      </c>
      <c r="T21" s="637">
        <f t="shared" si="11"/>
        <v>-119856.46853155858</v>
      </c>
      <c r="U21" s="638">
        <f>+'Proj Att-H'!$D$133</f>
        <v>0.24594499999999997</v>
      </c>
      <c r="V21" s="639">
        <f t="shared" si="12"/>
        <v>-29478.099152994171</v>
      </c>
      <c r="W21" s="640"/>
      <c r="X21" s="628"/>
      <c r="Y21" s="628"/>
      <c r="Z21" s="628"/>
      <c r="AA21" s="627"/>
    </row>
    <row r="22" spans="1:27">
      <c r="A22" s="530">
        <f t="shared" si="3"/>
        <v>8</v>
      </c>
      <c r="B22" s="714">
        <v>45413</v>
      </c>
      <c r="C22" s="463"/>
      <c r="D22" s="382">
        <f t="shared" si="4"/>
        <v>322192517.27999997</v>
      </c>
      <c r="E22" s="382">
        <f t="shared" si="5"/>
        <v>471251.31560325</v>
      </c>
      <c r="F22" s="382">
        <f t="shared" si="6"/>
        <v>54279130.069368124</v>
      </c>
      <c r="G22" s="464">
        <v>4029994.94</v>
      </c>
      <c r="H22" s="465">
        <f t="shared" si="7"/>
        <v>322192517.27999997</v>
      </c>
      <c r="I22" s="466">
        <f t="shared" si="13"/>
        <v>471251.31560325</v>
      </c>
      <c r="J22" s="467">
        <f t="shared" si="8"/>
        <v>54279130.069368124</v>
      </c>
      <c r="K22" s="626">
        <f t="shared" si="14"/>
        <v>-30604.5</v>
      </c>
      <c r="L22" s="520">
        <v>0.05</v>
      </c>
      <c r="M22" s="520">
        <v>9.5000000000000001E-2</v>
      </c>
      <c r="N22" s="253">
        <f t="shared" si="0"/>
        <v>-1530.2250000000001</v>
      </c>
      <c r="O22" s="253">
        <f t="shared" si="1"/>
        <v>-2907.4275000000002</v>
      </c>
      <c r="P22" s="256">
        <f t="shared" si="2"/>
        <v>567875.77057724702</v>
      </c>
      <c r="Q22" s="627"/>
      <c r="R22" s="636">
        <f t="shared" si="9"/>
        <v>590872.99672480859</v>
      </c>
      <c r="S22" s="637">
        <f t="shared" si="10"/>
        <v>471251.31560325</v>
      </c>
      <c r="T22" s="637">
        <f t="shared" si="11"/>
        <v>-119621.68112155859</v>
      </c>
      <c r="U22" s="638">
        <f>+'Proj Att-H'!$D$133</f>
        <v>0.24594499999999997</v>
      </c>
      <c r="V22" s="639">
        <f t="shared" si="12"/>
        <v>-29420.354363441726</v>
      </c>
      <c r="W22" s="640"/>
      <c r="X22" s="628"/>
      <c r="Y22" s="628"/>
      <c r="Z22" s="628"/>
      <c r="AA22" s="627"/>
    </row>
    <row r="23" spans="1:27">
      <c r="A23" s="530">
        <f t="shared" si="3"/>
        <v>9</v>
      </c>
      <c r="B23" s="714">
        <v>45444</v>
      </c>
      <c r="C23" s="463"/>
      <c r="D23" s="382">
        <f t="shared" si="4"/>
        <v>321777061.41999996</v>
      </c>
      <c r="E23" s="382">
        <f t="shared" si="5"/>
        <v>471206.556522</v>
      </c>
      <c r="F23" s="382">
        <f t="shared" si="6"/>
        <v>54750336.625890121</v>
      </c>
      <c r="G23" s="464">
        <v>3614539.0800000005</v>
      </c>
      <c r="H23" s="465">
        <f t="shared" si="7"/>
        <v>321777061.41999996</v>
      </c>
      <c r="I23" s="466">
        <f t="shared" si="13"/>
        <v>471206.556522</v>
      </c>
      <c r="J23" s="467">
        <f t="shared" si="8"/>
        <v>54750336.625890121</v>
      </c>
      <c r="K23" s="626">
        <f t="shared" si="14"/>
        <v>-415455.8599999994</v>
      </c>
      <c r="L23" s="520">
        <v>0.05</v>
      </c>
      <c r="M23" s="520">
        <v>9.5000000000000001E-2</v>
      </c>
      <c r="N23" s="253">
        <f t="shared" si="0"/>
        <v>-20772.792999999972</v>
      </c>
      <c r="O23" s="253">
        <f t="shared" si="1"/>
        <v>-39468.306699999943</v>
      </c>
      <c r="P23" s="256">
        <f t="shared" si="2"/>
        <v>567875.77057724702</v>
      </c>
      <c r="Q23" s="627"/>
      <c r="R23" s="636">
        <f t="shared" si="9"/>
        <v>590872.99672480859</v>
      </c>
      <c r="S23" s="637">
        <f t="shared" si="10"/>
        <v>471206.556522</v>
      </c>
      <c r="T23" s="637">
        <f t="shared" si="11"/>
        <v>-119666.44020280859</v>
      </c>
      <c r="U23" s="638">
        <f>+'Proj Att-H'!$D$133</f>
        <v>0.24594499999999997</v>
      </c>
      <c r="V23" s="639">
        <f t="shared" si="12"/>
        <v>-29431.362635679754</v>
      </c>
      <c r="W23" s="640"/>
      <c r="X23" s="628"/>
      <c r="Y23" s="628"/>
      <c r="Z23" s="628"/>
      <c r="AA23" s="627"/>
    </row>
    <row r="24" spans="1:27">
      <c r="A24" s="530">
        <f t="shared" si="3"/>
        <v>10</v>
      </c>
      <c r="B24" s="714">
        <v>45474</v>
      </c>
      <c r="C24" s="463"/>
      <c r="D24" s="382">
        <f t="shared" si="4"/>
        <v>321798503.19999999</v>
      </c>
      <c r="E24" s="382">
        <f t="shared" si="5"/>
        <v>470598.95232674998</v>
      </c>
      <c r="F24" s="382">
        <f t="shared" si="6"/>
        <v>55220935.578216873</v>
      </c>
      <c r="G24" s="464">
        <v>3635980.8600000003</v>
      </c>
      <c r="H24" s="465">
        <f t="shared" si="7"/>
        <v>321798503.19999999</v>
      </c>
      <c r="I24" s="466">
        <f t="shared" si="13"/>
        <v>470598.95232674998</v>
      </c>
      <c r="J24" s="467">
        <f t="shared" si="8"/>
        <v>55220935.578216873</v>
      </c>
      <c r="K24" s="626">
        <f t="shared" si="14"/>
        <v>21441.779999999795</v>
      </c>
      <c r="L24" s="520">
        <v>0.05</v>
      </c>
      <c r="M24" s="520">
        <v>9.5000000000000001E-2</v>
      </c>
      <c r="N24" s="253">
        <f t="shared" si="0"/>
        <v>1072.0889999999897</v>
      </c>
      <c r="O24" s="253">
        <f t="shared" si="1"/>
        <v>2036.9690999999805</v>
      </c>
      <c r="P24" s="256">
        <f t="shared" si="2"/>
        <v>567875.77057724702</v>
      </c>
      <c r="Q24" s="627"/>
      <c r="R24" s="636">
        <f t="shared" si="9"/>
        <v>590872.99672480859</v>
      </c>
      <c r="S24" s="637">
        <f t="shared" si="10"/>
        <v>470598.95232674998</v>
      </c>
      <c r="T24" s="637">
        <f t="shared" si="11"/>
        <v>-120274.04439805861</v>
      </c>
      <c r="U24" s="638">
        <f>+'Proj Att-H'!$D$133</f>
        <v>0.24594499999999997</v>
      </c>
      <c r="V24" s="639">
        <f t="shared" si="12"/>
        <v>-29580.799849480522</v>
      </c>
      <c r="W24" s="640"/>
      <c r="X24" s="628"/>
      <c r="Y24" s="628"/>
      <c r="Z24" s="628"/>
      <c r="AA24" s="627"/>
    </row>
    <row r="25" spans="1:27">
      <c r="A25" s="530">
        <f t="shared" si="3"/>
        <v>11</v>
      </c>
      <c r="B25" s="714">
        <v>45505</v>
      </c>
      <c r="C25" s="463"/>
      <c r="D25" s="382">
        <f t="shared" si="4"/>
        <v>322054809.21552581</v>
      </c>
      <c r="E25" s="382">
        <f t="shared" si="5"/>
        <v>470630.31092999998</v>
      </c>
      <c r="F25" s="382">
        <f t="shared" si="6"/>
        <v>55691565.889146872</v>
      </c>
      <c r="G25" s="464">
        <v>3892286.8755258522</v>
      </c>
      <c r="H25" s="465">
        <f t="shared" si="7"/>
        <v>322054809.21552581</v>
      </c>
      <c r="I25" s="466">
        <f t="shared" si="13"/>
        <v>470630.31092999998</v>
      </c>
      <c r="J25" s="467">
        <f t="shared" si="8"/>
        <v>55691565.889146872</v>
      </c>
      <c r="K25" s="626">
        <f t="shared" si="14"/>
        <v>256306.01552585186</v>
      </c>
      <c r="L25" s="520">
        <v>0.05</v>
      </c>
      <c r="M25" s="520">
        <v>9.5000000000000001E-2</v>
      </c>
      <c r="N25" s="253">
        <f t="shared" si="0"/>
        <v>12815.300776292594</v>
      </c>
      <c r="O25" s="253">
        <f t="shared" si="1"/>
        <v>24349.071474955927</v>
      </c>
      <c r="P25" s="256">
        <f t="shared" si="2"/>
        <v>567875.77057724702</v>
      </c>
      <c r="Q25" s="627"/>
      <c r="R25" s="636">
        <f t="shared" si="9"/>
        <v>590872.99672480859</v>
      </c>
      <c r="S25" s="637">
        <f t="shared" si="10"/>
        <v>470630.31092999998</v>
      </c>
      <c r="T25" s="637">
        <f t="shared" si="11"/>
        <v>-120242.68579480861</v>
      </c>
      <c r="U25" s="638">
        <f>+'Proj Att-H'!$D$133</f>
        <v>0.24594499999999997</v>
      </c>
      <c r="V25" s="639">
        <f t="shared" si="12"/>
        <v>-29573.087357804201</v>
      </c>
      <c r="W25" s="640"/>
      <c r="X25" s="628"/>
      <c r="Y25" s="628"/>
      <c r="Z25" s="628"/>
      <c r="AA25" s="627"/>
    </row>
    <row r="26" spans="1:27">
      <c r="A26" s="530">
        <f t="shared" si="3"/>
        <v>12</v>
      </c>
      <c r="B26" s="714">
        <v>45536</v>
      </c>
      <c r="C26" s="463"/>
      <c r="D26" s="382">
        <f t="shared" si="4"/>
        <v>322314257.54616356</v>
      </c>
      <c r="E26" s="382">
        <f t="shared" si="5"/>
        <v>471005.15847770649</v>
      </c>
      <c r="F26" s="382">
        <f t="shared" si="6"/>
        <v>56162571.047624581</v>
      </c>
      <c r="G26" s="464">
        <v>4151735.2061635605</v>
      </c>
      <c r="H26" s="465">
        <f t="shared" si="7"/>
        <v>322314257.54616356</v>
      </c>
      <c r="I26" s="466">
        <f t="shared" si="13"/>
        <v>471005.15847770649</v>
      </c>
      <c r="J26" s="467">
        <f t="shared" si="8"/>
        <v>56162571.047624581</v>
      </c>
      <c r="K26" s="626">
        <f t="shared" si="14"/>
        <v>259448.33063770831</v>
      </c>
      <c r="L26" s="520">
        <v>0.05</v>
      </c>
      <c r="M26" s="520">
        <v>9.5000000000000001E-2</v>
      </c>
      <c r="N26" s="253">
        <f t="shared" si="0"/>
        <v>12972.416531885416</v>
      </c>
      <c r="O26" s="253">
        <f t="shared" si="1"/>
        <v>24647.591410582289</v>
      </c>
      <c r="P26" s="256">
        <f t="shared" si="2"/>
        <v>567875.77057724702</v>
      </c>
      <c r="Q26" s="627"/>
      <c r="R26" s="636">
        <f t="shared" si="9"/>
        <v>590872.99672480859</v>
      </c>
      <c r="S26" s="637">
        <f t="shared" si="10"/>
        <v>471005.15847770649</v>
      </c>
      <c r="T26" s="637">
        <f t="shared" si="11"/>
        <v>-119867.8382471021</v>
      </c>
      <c r="U26" s="638">
        <f>+'Proj Att-H'!$D$133</f>
        <v>0.24594499999999997</v>
      </c>
      <c r="V26" s="639">
        <f t="shared" si="12"/>
        <v>-29480.895477683523</v>
      </c>
      <c r="W26" s="640"/>
      <c r="X26" s="628"/>
      <c r="Y26" s="628"/>
      <c r="Z26" s="628"/>
      <c r="AA26" s="627"/>
    </row>
    <row r="27" spans="1:27">
      <c r="A27" s="530">
        <f t="shared" si="3"/>
        <v>13</v>
      </c>
      <c r="B27" s="714">
        <v>45566</v>
      </c>
      <c r="C27" s="463"/>
      <c r="D27" s="382">
        <f t="shared" si="4"/>
        <v>322550058.52880979</v>
      </c>
      <c r="E27" s="382">
        <f t="shared" si="5"/>
        <v>471384.6016612642</v>
      </c>
      <c r="F27" s="382">
        <f t="shared" si="6"/>
        <v>56633955.649285845</v>
      </c>
      <c r="G27" s="464">
        <v>4387536.1888098149</v>
      </c>
      <c r="H27" s="465">
        <f t="shared" si="7"/>
        <v>322550058.52880979</v>
      </c>
      <c r="I27" s="466">
        <f t="shared" si="13"/>
        <v>471384.6016612642</v>
      </c>
      <c r="J27" s="467">
        <f t="shared" si="8"/>
        <v>56633955.649285845</v>
      </c>
      <c r="K27" s="626">
        <f t="shared" si="14"/>
        <v>235800.98264625436</v>
      </c>
      <c r="L27" s="520">
        <v>0.05</v>
      </c>
      <c r="M27" s="520">
        <v>9.5000000000000001E-2</v>
      </c>
      <c r="N27" s="253">
        <f t="shared" si="0"/>
        <v>11790.049132312719</v>
      </c>
      <c r="O27" s="253">
        <f t="shared" si="1"/>
        <v>22401.093351394164</v>
      </c>
      <c r="P27" s="256">
        <f t="shared" si="2"/>
        <v>567875.77057724702</v>
      </c>
      <c r="Q27" s="627"/>
      <c r="R27" s="636">
        <f t="shared" si="9"/>
        <v>590872.99672480859</v>
      </c>
      <c r="S27" s="637">
        <f t="shared" si="10"/>
        <v>471384.6016612642</v>
      </c>
      <c r="T27" s="637">
        <f t="shared" si="11"/>
        <v>-119488.39506354439</v>
      </c>
      <c r="U27" s="638">
        <f>+'Proj Att-H'!$D$133</f>
        <v>0.24594499999999997</v>
      </c>
      <c r="V27" s="639">
        <f t="shared" si="12"/>
        <v>-29387.57332390342</v>
      </c>
      <c r="W27" s="640"/>
      <c r="X27" s="628"/>
      <c r="Y27" s="628"/>
      <c r="Z27" s="628"/>
      <c r="AA27" s="627"/>
    </row>
    <row r="28" spans="1:27">
      <c r="A28" s="530">
        <f t="shared" si="3"/>
        <v>14</v>
      </c>
      <c r="B28" s="714">
        <v>45597</v>
      </c>
      <c r="C28" s="463"/>
      <c r="D28" s="382">
        <f t="shared" si="4"/>
        <v>323268435.20699316</v>
      </c>
      <c r="E28" s="382">
        <f t="shared" si="5"/>
        <v>471729.46059838432</v>
      </c>
      <c r="F28" s="382">
        <f t="shared" si="6"/>
        <v>57105685.109884232</v>
      </c>
      <c r="G28" s="464">
        <v>5105912.866993174</v>
      </c>
      <c r="H28" s="465">
        <f t="shared" si="7"/>
        <v>323268435.20699316</v>
      </c>
      <c r="I28" s="466">
        <f t="shared" si="13"/>
        <v>471729.46059838432</v>
      </c>
      <c r="J28" s="467">
        <f t="shared" si="8"/>
        <v>57105685.109884232</v>
      </c>
      <c r="K28" s="626">
        <f t="shared" si="14"/>
        <v>718376.67818335909</v>
      </c>
      <c r="L28" s="520">
        <v>0.05</v>
      </c>
      <c r="M28" s="520">
        <v>9.5000000000000001E-2</v>
      </c>
      <c r="N28" s="253">
        <f t="shared" si="0"/>
        <v>35918.833909167959</v>
      </c>
      <c r="O28" s="253">
        <f t="shared" si="1"/>
        <v>68245.784427419116</v>
      </c>
      <c r="P28" s="256">
        <f t="shared" si="2"/>
        <v>567875.77057724702</v>
      </c>
      <c r="Q28" s="627"/>
      <c r="R28" s="636">
        <f t="shared" si="9"/>
        <v>590872.99672480859</v>
      </c>
      <c r="S28" s="637">
        <f t="shared" si="10"/>
        <v>471729.46059838432</v>
      </c>
      <c r="T28" s="637">
        <f t="shared" si="11"/>
        <v>-119143.53612642427</v>
      </c>
      <c r="U28" s="638">
        <f>+'Proj Att-H'!$D$133</f>
        <v>0.24594499999999997</v>
      </c>
      <c r="V28" s="639">
        <f t="shared" si="12"/>
        <v>-29302.756992613413</v>
      </c>
      <c r="W28" s="640"/>
      <c r="X28" s="628"/>
      <c r="Y28" s="628"/>
      <c r="Z28" s="628"/>
      <c r="AA28" s="627"/>
    </row>
    <row r="29" spans="1:27">
      <c r="A29" s="530">
        <f t="shared" si="3"/>
        <v>15</v>
      </c>
      <c r="B29" s="714">
        <v>45627</v>
      </c>
      <c r="C29" s="463"/>
      <c r="D29" s="382">
        <f t="shared" si="4"/>
        <v>323681856.61541474</v>
      </c>
      <c r="E29" s="382">
        <f t="shared" si="5"/>
        <v>472780.08649022749</v>
      </c>
      <c r="F29" s="382">
        <f t="shared" si="6"/>
        <v>57578465.196374461</v>
      </c>
      <c r="G29" s="464">
        <v>5519334.2754147742</v>
      </c>
      <c r="H29" s="465">
        <f t="shared" si="7"/>
        <v>323681856.61541474</v>
      </c>
      <c r="I29" s="466">
        <f>I$12*H28</f>
        <v>472780.08649022749</v>
      </c>
      <c r="J29" s="467">
        <f t="shared" si="8"/>
        <v>57578465.196374461</v>
      </c>
      <c r="K29" s="626">
        <f t="shared" si="14"/>
        <v>413421.40842160024</v>
      </c>
      <c r="L29" s="520">
        <v>0.05</v>
      </c>
      <c r="M29" s="520">
        <v>9.5000000000000001E-2</v>
      </c>
      <c r="N29" s="253">
        <f t="shared" si="0"/>
        <v>20671.070421080014</v>
      </c>
      <c r="O29" s="253">
        <f t="shared" si="1"/>
        <v>39275.033800052021</v>
      </c>
      <c r="P29" s="256">
        <f t="shared" si="2"/>
        <v>567875.77057724702</v>
      </c>
      <c r="Q29" s="627"/>
      <c r="R29" s="636">
        <f t="shared" si="9"/>
        <v>590872.99672480859</v>
      </c>
      <c r="S29" s="637">
        <f t="shared" si="10"/>
        <v>472780.08649022749</v>
      </c>
      <c r="T29" s="637">
        <f t="shared" si="11"/>
        <v>-118092.9102345811</v>
      </c>
      <c r="U29" s="638">
        <f>+'Proj Att-H'!$D$133</f>
        <v>0.24594499999999997</v>
      </c>
      <c r="V29" s="639">
        <f t="shared" si="12"/>
        <v>-29044.360807644043</v>
      </c>
      <c r="W29" s="640"/>
      <c r="X29" s="628"/>
      <c r="Y29" s="628"/>
      <c r="Z29" s="628"/>
      <c r="AA29" s="627"/>
    </row>
    <row r="30" spans="1:27">
      <c r="A30" s="530">
        <f>+A29+1</f>
        <v>16</v>
      </c>
      <c r="B30" s="714">
        <v>45658</v>
      </c>
      <c r="C30" s="463"/>
      <c r="D30" s="382">
        <f t="shared" si="4"/>
        <v>323839724.40665346</v>
      </c>
      <c r="E30" s="382">
        <f t="shared" si="5"/>
        <v>473384.71530004404</v>
      </c>
      <c r="F30" s="382">
        <f t="shared" si="6"/>
        <v>58051849.911674507</v>
      </c>
      <c r="G30" s="464">
        <v>5677202.0666534929</v>
      </c>
      <c r="H30" s="465">
        <f t="shared" si="7"/>
        <v>323839724.40665346</v>
      </c>
      <c r="I30" s="466">
        <f t="shared" si="13"/>
        <v>473384.71530004404</v>
      </c>
      <c r="J30" s="467">
        <f t="shared" si="8"/>
        <v>58051849.911674507</v>
      </c>
      <c r="K30" s="626">
        <f t="shared" si="14"/>
        <v>157867.79123871867</v>
      </c>
      <c r="L30" s="520">
        <v>0.05</v>
      </c>
      <c r="M30" s="520">
        <v>9.5000000000000001E-2</v>
      </c>
      <c r="N30" s="628"/>
      <c r="O30" s="253">
        <f t="shared" ref="O30:O41" si="15">K30*L30</f>
        <v>7893.3895619359337</v>
      </c>
      <c r="P30" s="628"/>
      <c r="Q30" s="625">
        <f>(Q$14)/12</f>
        <v>560951.89635491534</v>
      </c>
      <c r="R30" s="640"/>
      <c r="S30" s="628"/>
      <c r="T30" s="628"/>
      <c r="U30" s="628"/>
      <c r="V30" s="627"/>
      <c r="W30" s="644">
        <f>(O$42/12)+Q30</f>
        <v>650863.40338887437</v>
      </c>
      <c r="X30" s="637">
        <f>E30</f>
        <v>473384.71530004404</v>
      </c>
      <c r="Y30" s="637">
        <f>X30-W30</f>
        <v>-177478.68808883033</v>
      </c>
      <c r="Z30" s="638">
        <f>+'Proj Att-H'!$D$133</f>
        <v>0.24594499999999997</v>
      </c>
      <c r="AA30" s="639">
        <f>Z30*Y30</f>
        <v>-43649.995942007372</v>
      </c>
    </row>
    <row r="31" spans="1:27">
      <c r="A31" s="530">
        <f t="shared" si="3"/>
        <v>17</v>
      </c>
      <c r="B31" s="714">
        <v>45689</v>
      </c>
      <c r="C31" s="463"/>
      <c r="D31" s="382">
        <f t="shared" si="4"/>
        <v>323915537.01736128</v>
      </c>
      <c r="E31" s="382">
        <f t="shared" si="5"/>
        <v>473615.59694473073</v>
      </c>
      <c r="F31" s="382">
        <f t="shared" si="6"/>
        <v>58525465.508619234</v>
      </c>
      <c r="G31" s="464">
        <v>5753014.6773613151</v>
      </c>
      <c r="H31" s="465">
        <f t="shared" si="7"/>
        <v>323915537.01736128</v>
      </c>
      <c r="I31" s="466">
        <f t="shared" si="13"/>
        <v>473615.59694473073</v>
      </c>
      <c r="J31" s="467">
        <f t="shared" si="8"/>
        <v>58525465.508619234</v>
      </c>
      <c r="K31" s="626">
        <f t="shared" si="14"/>
        <v>75812.610707822256</v>
      </c>
      <c r="L31" s="520">
        <v>0.05</v>
      </c>
      <c r="M31" s="520">
        <v>9.5000000000000001E-2</v>
      </c>
      <c r="N31" s="628"/>
      <c r="O31" s="253">
        <f t="shared" si="15"/>
        <v>3790.630535391113</v>
      </c>
      <c r="P31" s="628"/>
      <c r="Q31" s="625">
        <f t="shared" ref="Q31:Q41" si="16">(Q$14)/12</f>
        <v>560951.89635491534</v>
      </c>
      <c r="R31" s="640"/>
      <c r="S31" s="628"/>
      <c r="T31" s="628"/>
      <c r="U31" s="628"/>
      <c r="V31" s="627"/>
      <c r="W31" s="644">
        <f t="shared" ref="W31:W41" si="17">(O$42/12)+Q31</f>
        <v>650863.40338887437</v>
      </c>
      <c r="X31" s="637">
        <f t="shared" ref="X31:X41" si="18">E31</f>
        <v>473615.59694473073</v>
      </c>
      <c r="Y31" s="637">
        <f t="shared" ref="Y31:Y41" si="19">X31-W31</f>
        <v>-177247.80644414364</v>
      </c>
      <c r="Z31" s="638">
        <f>+'Proj Att-H'!$D$133</f>
        <v>0.24594499999999997</v>
      </c>
      <c r="AA31" s="639">
        <f t="shared" ref="AA31:AA41" si="20">Z31*Y31</f>
        <v>-43593.2117559049</v>
      </c>
    </row>
    <row r="32" spans="1:27">
      <c r="A32" s="530">
        <f t="shared" si="3"/>
        <v>18</v>
      </c>
      <c r="B32" s="714">
        <v>45717</v>
      </c>
      <c r="C32" s="463"/>
      <c r="D32" s="382">
        <f t="shared" si="4"/>
        <v>324247782.16382009</v>
      </c>
      <c r="E32" s="382">
        <f t="shared" si="5"/>
        <v>473726.47288789088</v>
      </c>
      <c r="F32" s="382">
        <f t="shared" si="6"/>
        <v>58999191.981507123</v>
      </c>
      <c r="G32" s="464">
        <v>6085259.8238201216</v>
      </c>
      <c r="H32" s="465">
        <f t="shared" si="7"/>
        <v>324247782.16382009</v>
      </c>
      <c r="I32" s="466">
        <f t="shared" si="13"/>
        <v>473726.47288789088</v>
      </c>
      <c r="J32" s="467">
        <f t="shared" si="8"/>
        <v>58999191.981507123</v>
      </c>
      <c r="K32" s="626">
        <f t="shared" si="14"/>
        <v>332245.14645880647</v>
      </c>
      <c r="L32" s="520">
        <v>0.05</v>
      </c>
      <c r="M32" s="520">
        <v>9.5000000000000001E-2</v>
      </c>
      <c r="N32" s="628"/>
      <c r="O32" s="253">
        <f t="shared" si="15"/>
        <v>16612.257322940324</v>
      </c>
      <c r="P32" s="628"/>
      <c r="Q32" s="625">
        <f t="shared" si="16"/>
        <v>560951.89635491534</v>
      </c>
      <c r="R32" s="640"/>
      <c r="S32" s="628"/>
      <c r="T32" s="628"/>
      <c r="U32" s="628"/>
      <c r="V32" s="627"/>
      <c r="W32" s="644">
        <f t="shared" si="17"/>
        <v>650863.40338887437</v>
      </c>
      <c r="X32" s="637">
        <f t="shared" si="18"/>
        <v>473726.47288789088</v>
      </c>
      <c r="Y32" s="637">
        <f t="shared" si="19"/>
        <v>-177136.93050098349</v>
      </c>
      <c r="Z32" s="638">
        <f>+'Proj Att-H'!$D$133</f>
        <v>0.24594499999999997</v>
      </c>
      <c r="AA32" s="639">
        <f t="shared" si="20"/>
        <v>-43565.942372064383</v>
      </c>
    </row>
    <row r="33" spans="1:27">
      <c r="A33" s="530">
        <f t="shared" si="3"/>
        <v>19</v>
      </c>
      <c r="B33" s="714">
        <v>45748</v>
      </c>
      <c r="C33" s="463"/>
      <c r="D33" s="382">
        <f t="shared" si="4"/>
        <v>324323594.77452791</v>
      </c>
      <c r="E33" s="382">
        <f t="shared" si="5"/>
        <v>474212.38141458691</v>
      </c>
      <c r="F33" s="382">
        <f t="shared" si="6"/>
        <v>59473404.362921707</v>
      </c>
      <c r="G33" s="464">
        <v>6161072.4345279438</v>
      </c>
      <c r="H33" s="465">
        <f t="shared" si="7"/>
        <v>324323594.77452791</v>
      </c>
      <c r="I33" s="466">
        <f t="shared" si="13"/>
        <v>474212.38141458691</v>
      </c>
      <c r="J33" s="467">
        <f t="shared" si="8"/>
        <v>59473404.362921707</v>
      </c>
      <c r="K33" s="626">
        <f t="shared" si="14"/>
        <v>75812.610707822256</v>
      </c>
      <c r="L33" s="520">
        <v>0.05</v>
      </c>
      <c r="M33" s="520">
        <v>9.5000000000000001E-2</v>
      </c>
      <c r="N33" s="628"/>
      <c r="O33" s="253">
        <f t="shared" si="15"/>
        <v>3790.630535391113</v>
      </c>
      <c r="P33" s="628"/>
      <c r="Q33" s="625">
        <f t="shared" si="16"/>
        <v>560951.89635491534</v>
      </c>
      <c r="R33" s="640"/>
      <c r="S33" s="628"/>
      <c r="T33" s="628"/>
      <c r="U33" s="628"/>
      <c r="V33" s="627"/>
      <c r="W33" s="644">
        <f t="shared" si="17"/>
        <v>650863.40338887437</v>
      </c>
      <c r="X33" s="637">
        <f t="shared" si="18"/>
        <v>474212.38141458691</v>
      </c>
      <c r="Y33" s="637">
        <f t="shared" si="19"/>
        <v>-176651.02197428746</v>
      </c>
      <c r="Z33" s="638">
        <f>+'Proj Att-H'!$D$133</f>
        <v>0.24594499999999997</v>
      </c>
      <c r="AA33" s="639">
        <f t="shared" si="20"/>
        <v>-43446.435599466124</v>
      </c>
    </row>
    <row r="34" spans="1:27">
      <c r="A34" s="530">
        <f t="shared" si="3"/>
        <v>20</v>
      </c>
      <c r="B34" s="714">
        <v>45778</v>
      </c>
      <c r="C34" s="463"/>
      <c r="D34" s="382">
        <f t="shared" si="4"/>
        <v>331426027.67525834</v>
      </c>
      <c r="E34" s="382">
        <f t="shared" si="5"/>
        <v>474323.25735774706</v>
      </c>
      <c r="F34" s="382">
        <f t="shared" si="6"/>
        <v>59947727.620279454</v>
      </c>
      <c r="G34" s="464">
        <v>13263505.335258368</v>
      </c>
      <c r="H34" s="465">
        <f t="shared" si="7"/>
        <v>331426027.67525834</v>
      </c>
      <c r="I34" s="466">
        <f t="shared" si="13"/>
        <v>474323.25735774706</v>
      </c>
      <c r="J34" s="467">
        <f t="shared" si="8"/>
        <v>59947727.620279454</v>
      </c>
      <c r="K34" s="626">
        <f t="shared" si="14"/>
        <v>7102432.9007304246</v>
      </c>
      <c r="L34" s="520">
        <v>0.05</v>
      </c>
      <c r="M34" s="520">
        <v>9.5000000000000001E-2</v>
      </c>
      <c r="N34" s="628"/>
      <c r="O34" s="253">
        <f t="shared" si="15"/>
        <v>355121.64503652125</v>
      </c>
      <c r="P34" s="628"/>
      <c r="Q34" s="625">
        <f t="shared" si="16"/>
        <v>560951.89635491534</v>
      </c>
      <c r="R34" s="640"/>
      <c r="S34" s="628"/>
      <c r="T34" s="628"/>
      <c r="U34" s="628"/>
      <c r="V34" s="627"/>
      <c r="W34" s="644">
        <f t="shared" si="17"/>
        <v>650863.40338887437</v>
      </c>
      <c r="X34" s="637">
        <f t="shared" si="18"/>
        <v>474323.25735774706</v>
      </c>
      <c r="Y34" s="637">
        <f t="shared" si="19"/>
        <v>-176540.14603112731</v>
      </c>
      <c r="Z34" s="638">
        <f>+'Proj Att-H'!$D$133</f>
        <v>0.24594499999999997</v>
      </c>
      <c r="AA34" s="639">
        <f t="shared" si="20"/>
        <v>-43419.166215625599</v>
      </c>
    </row>
    <row r="35" spans="1:27">
      <c r="A35" s="530">
        <f t="shared" si="3"/>
        <v>21</v>
      </c>
      <c r="B35" s="714">
        <v>45809</v>
      </c>
      <c r="C35" s="463"/>
      <c r="D35" s="382">
        <f t="shared" si="4"/>
        <v>331643903.19240922</v>
      </c>
      <c r="E35" s="382">
        <f t="shared" si="5"/>
        <v>484710.56547506532</v>
      </c>
      <c r="F35" s="382">
        <f t="shared" si="6"/>
        <v>60432438.185754523</v>
      </c>
      <c r="G35" s="464">
        <v>13481380.85240924</v>
      </c>
      <c r="H35" s="465">
        <f t="shared" si="7"/>
        <v>331643903.19240922</v>
      </c>
      <c r="I35" s="466">
        <f t="shared" si="13"/>
        <v>484710.56547506532</v>
      </c>
      <c r="J35" s="467">
        <f t="shared" si="8"/>
        <v>60432438.185754523</v>
      </c>
      <c r="K35" s="626">
        <f t="shared" si="14"/>
        <v>217875.51715087146</v>
      </c>
      <c r="L35" s="520">
        <v>0.05</v>
      </c>
      <c r="M35" s="520">
        <v>9.5000000000000001E-2</v>
      </c>
      <c r="N35" s="628"/>
      <c r="O35" s="253">
        <f t="shared" si="15"/>
        <v>10893.775857543573</v>
      </c>
      <c r="P35" s="628"/>
      <c r="Q35" s="625">
        <f t="shared" si="16"/>
        <v>560951.89635491534</v>
      </c>
      <c r="R35" s="640"/>
      <c r="S35" s="628"/>
      <c r="T35" s="628"/>
      <c r="U35" s="628"/>
      <c r="V35" s="627"/>
      <c r="W35" s="644">
        <f t="shared" si="17"/>
        <v>650863.40338887437</v>
      </c>
      <c r="X35" s="637">
        <f t="shared" si="18"/>
        <v>484710.56547506532</v>
      </c>
      <c r="Y35" s="637">
        <f t="shared" si="19"/>
        <v>-166152.83791380905</v>
      </c>
      <c r="Z35" s="638">
        <f>+'Proj Att-H'!$D$133</f>
        <v>0.24594499999999997</v>
      </c>
      <c r="AA35" s="639">
        <f t="shared" si="20"/>
        <v>-40864.459720711762</v>
      </c>
    </row>
    <row r="36" spans="1:27">
      <c r="A36" s="530">
        <f t="shared" si="3"/>
        <v>22</v>
      </c>
      <c r="B36" s="714">
        <v>45839</v>
      </c>
      <c r="C36" s="463"/>
      <c r="D36" s="382">
        <f t="shared" si="4"/>
        <v>331811565.96313417</v>
      </c>
      <c r="E36" s="382">
        <f t="shared" si="5"/>
        <v>485029.20841889852</v>
      </c>
      <c r="F36" s="382">
        <f t="shared" si="6"/>
        <v>60917467.394173421</v>
      </c>
      <c r="G36" s="464">
        <v>13649043.623134224</v>
      </c>
      <c r="H36" s="465">
        <f t="shared" si="7"/>
        <v>331811565.96313417</v>
      </c>
      <c r="I36" s="466">
        <f t="shared" si="13"/>
        <v>485029.20841889852</v>
      </c>
      <c r="J36" s="467">
        <f t="shared" si="8"/>
        <v>60917467.394173421</v>
      </c>
      <c r="K36" s="626">
        <f t="shared" si="14"/>
        <v>167662.77072498389</v>
      </c>
      <c r="L36" s="520">
        <v>0.05</v>
      </c>
      <c r="M36" s="520">
        <v>9.5000000000000001E-2</v>
      </c>
      <c r="N36" s="628"/>
      <c r="O36" s="253">
        <f t="shared" si="15"/>
        <v>8383.1385362491947</v>
      </c>
      <c r="P36" s="628"/>
      <c r="Q36" s="625">
        <f t="shared" si="16"/>
        <v>560951.89635491534</v>
      </c>
      <c r="R36" s="640"/>
      <c r="S36" s="628"/>
      <c r="T36" s="628"/>
      <c r="U36" s="628"/>
      <c r="V36" s="627"/>
      <c r="W36" s="644">
        <f t="shared" si="17"/>
        <v>650863.40338887437</v>
      </c>
      <c r="X36" s="637">
        <f t="shared" si="18"/>
        <v>485029.20841889852</v>
      </c>
      <c r="Y36" s="637">
        <f t="shared" si="19"/>
        <v>-165834.19496997586</v>
      </c>
      <c r="Z36" s="638">
        <f>+'Proj Att-H'!$D$133</f>
        <v>0.24594499999999997</v>
      </c>
      <c r="AA36" s="639">
        <f t="shared" si="20"/>
        <v>-40786.091081890707</v>
      </c>
    </row>
    <row r="37" spans="1:27">
      <c r="A37" s="530">
        <f t="shared" si="3"/>
        <v>23</v>
      </c>
      <c r="B37" s="714">
        <v>45870</v>
      </c>
      <c r="C37" s="463"/>
      <c r="D37" s="382">
        <f t="shared" si="4"/>
        <v>332016888.29367858</v>
      </c>
      <c r="E37" s="382">
        <f t="shared" si="5"/>
        <v>485274.41522108373</v>
      </c>
      <c r="F37" s="382">
        <f t="shared" si="6"/>
        <v>61402741.809394501</v>
      </c>
      <c r="G37" s="464">
        <v>13854365.953678623</v>
      </c>
      <c r="H37" s="465">
        <f t="shared" si="7"/>
        <v>332016888.29367858</v>
      </c>
      <c r="I37" s="466">
        <f t="shared" si="13"/>
        <v>485274.41522108373</v>
      </c>
      <c r="J37" s="467">
        <f t="shared" si="8"/>
        <v>61402741.809394501</v>
      </c>
      <c r="K37" s="626">
        <f t="shared" si="14"/>
        <v>205322.3305443991</v>
      </c>
      <c r="L37" s="520">
        <v>0.05</v>
      </c>
      <c r="M37" s="520">
        <v>9.5000000000000001E-2</v>
      </c>
      <c r="N37" s="628"/>
      <c r="O37" s="253">
        <f t="shared" si="15"/>
        <v>10266.116527219956</v>
      </c>
      <c r="P37" s="628"/>
      <c r="Q37" s="625">
        <f t="shared" si="16"/>
        <v>560951.89635491534</v>
      </c>
      <c r="R37" s="640"/>
      <c r="S37" s="628"/>
      <c r="T37" s="628"/>
      <c r="U37" s="628"/>
      <c r="V37" s="627"/>
      <c r="W37" s="644">
        <f t="shared" si="17"/>
        <v>650863.40338887437</v>
      </c>
      <c r="X37" s="637">
        <f t="shared" si="18"/>
        <v>485274.41522108373</v>
      </c>
      <c r="Y37" s="637">
        <f t="shared" si="19"/>
        <v>-165588.98816779064</v>
      </c>
      <c r="Z37" s="638">
        <f>+'Proj Att-H'!$D$133</f>
        <v>0.24594499999999997</v>
      </c>
      <c r="AA37" s="639">
        <f t="shared" si="20"/>
        <v>-40725.783694927261</v>
      </c>
    </row>
    <row r="38" spans="1:27">
      <c r="A38" s="530">
        <f t="shared" si="3"/>
        <v>24</v>
      </c>
      <c r="B38" s="714">
        <v>45901</v>
      </c>
      <c r="C38" s="463"/>
      <c r="D38" s="382">
        <f t="shared" si="4"/>
        <v>332272423.37064886</v>
      </c>
      <c r="E38" s="382">
        <f t="shared" si="5"/>
        <v>485574.69912950497</v>
      </c>
      <c r="F38" s="382">
        <f t="shared" si="6"/>
        <v>61888316.508524008</v>
      </c>
      <c r="G38" s="464">
        <v>14109901.03064891</v>
      </c>
      <c r="H38" s="465">
        <f t="shared" si="7"/>
        <v>332272423.37064886</v>
      </c>
      <c r="I38" s="466">
        <f t="shared" si="13"/>
        <v>485574.69912950497</v>
      </c>
      <c r="J38" s="467">
        <f t="shared" si="8"/>
        <v>61888316.508524008</v>
      </c>
      <c r="K38" s="626">
        <f t="shared" si="14"/>
        <v>255535.07697028667</v>
      </c>
      <c r="L38" s="520">
        <v>0.05</v>
      </c>
      <c r="M38" s="520">
        <v>9.5000000000000001E-2</v>
      </c>
      <c r="N38" s="628"/>
      <c r="O38" s="253">
        <f t="shared" si="15"/>
        <v>12776.753848514334</v>
      </c>
      <c r="P38" s="628"/>
      <c r="Q38" s="625">
        <f t="shared" si="16"/>
        <v>560951.89635491534</v>
      </c>
      <c r="R38" s="640"/>
      <c r="S38" s="628"/>
      <c r="T38" s="628"/>
      <c r="U38" s="628"/>
      <c r="V38" s="627"/>
      <c r="W38" s="644">
        <f t="shared" si="17"/>
        <v>650863.40338887437</v>
      </c>
      <c r="X38" s="637">
        <f t="shared" si="18"/>
        <v>485574.69912950497</v>
      </c>
      <c r="Y38" s="637">
        <f t="shared" si="19"/>
        <v>-165288.70425936941</v>
      </c>
      <c r="Z38" s="638">
        <f>+'Proj Att-H'!$D$133</f>
        <v>0.24594499999999997</v>
      </c>
      <c r="AA38" s="639">
        <f t="shared" si="20"/>
        <v>-40651.9303690706</v>
      </c>
    </row>
    <row r="39" spans="1:27">
      <c r="A39" s="530">
        <f t="shared" si="3"/>
        <v>25</v>
      </c>
      <c r="B39" s="714">
        <v>45931</v>
      </c>
      <c r="C39" s="463"/>
      <c r="D39" s="382">
        <f t="shared" si="4"/>
        <v>332348235.98135668</v>
      </c>
      <c r="E39" s="382">
        <f t="shared" si="5"/>
        <v>485948.41917957395</v>
      </c>
      <c r="F39" s="382">
        <f t="shared" si="6"/>
        <v>62374264.927703582</v>
      </c>
      <c r="G39" s="464">
        <v>14185713.641356733</v>
      </c>
      <c r="H39" s="465">
        <f t="shared" si="7"/>
        <v>332348235.98135668</v>
      </c>
      <c r="I39" s="466">
        <f t="shared" si="13"/>
        <v>485948.41917957395</v>
      </c>
      <c r="J39" s="467">
        <f t="shared" si="8"/>
        <v>62374264.927703582</v>
      </c>
      <c r="K39" s="626">
        <f t="shared" si="14"/>
        <v>75812.610707823187</v>
      </c>
      <c r="L39" s="520">
        <v>0.05</v>
      </c>
      <c r="M39" s="520">
        <v>9.5000000000000001E-2</v>
      </c>
      <c r="N39" s="628"/>
      <c r="O39" s="253">
        <f t="shared" si="15"/>
        <v>3790.6305353911594</v>
      </c>
      <c r="P39" s="628"/>
      <c r="Q39" s="625">
        <f t="shared" si="16"/>
        <v>560951.89635491534</v>
      </c>
      <c r="R39" s="640"/>
      <c r="S39" s="628"/>
      <c r="T39" s="628"/>
      <c r="U39" s="628"/>
      <c r="V39" s="627"/>
      <c r="W39" s="644">
        <f t="shared" si="17"/>
        <v>650863.40338887437</v>
      </c>
      <c r="X39" s="637">
        <f t="shared" si="18"/>
        <v>485948.41917957395</v>
      </c>
      <c r="Y39" s="637">
        <f t="shared" si="19"/>
        <v>-164914.98420930043</v>
      </c>
      <c r="Z39" s="638">
        <f>+'Proj Att-H'!$D$133</f>
        <v>0.24594499999999997</v>
      </c>
      <c r="AA39" s="639">
        <f t="shared" si="20"/>
        <v>-40560.015791356389</v>
      </c>
    </row>
    <row r="40" spans="1:27">
      <c r="A40" s="530">
        <f t="shared" si="3"/>
        <v>26</v>
      </c>
      <c r="B40" s="714">
        <v>45962</v>
      </c>
      <c r="C40" s="463"/>
      <c r="D40" s="382">
        <f t="shared" si="4"/>
        <v>332424048.5920645</v>
      </c>
      <c r="E40" s="382">
        <f t="shared" si="5"/>
        <v>486059.29512273415</v>
      </c>
      <c r="F40" s="382">
        <f t="shared" si="6"/>
        <v>62860324.222826317</v>
      </c>
      <c r="G40" s="464">
        <v>14261526.252064556</v>
      </c>
      <c r="H40" s="465">
        <f t="shared" si="7"/>
        <v>332424048.5920645</v>
      </c>
      <c r="I40" s="466">
        <f t="shared" si="13"/>
        <v>486059.29512273415</v>
      </c>
      <c r="J40" s="467">
        <f t="shared" si="8"/>
        <v>62860324.222826317</v>
      </c>
      <c r="K40" s="626">
        <f t="shared" si="14"/>
        <v>75812.610707823187</v>
      </c>
      <c r="L40" s="520">
        <v>0.05</v>
      </c>
      <c r="M40" s="520">
        <v>9.5000000000000001E-2</v>
      </c>
      <c r="N40" s="628"/>
      <c r="O40" s="253">
        <f t="shared" si="15"/>
        <v>3790.6305353911594</v>
      </c>
      <c r="P40" s="628"/>
      <c r="Q40" s="625">
        <f t="shared" si="16"/>
        <v>560951.89635491534</v>
      </c>
      <c r="R40" s="640"/>
      <c r="S40" s="628"/>
      <c r="T40" s="628"/>
      <c r="U40" s="628"/>
      <c r="V40" s="627"/>
      <c r="W40" s="644">
        <f t="shared" si="17"/>
        <v>650863.40338887437</v>
      </c>
      <c r="X40" s="637">
        <f t="shared" si="18"/>
        <v>486059.29512273415</v>
      </c>
      <c r="Y40" s="637">
        <f t="shared" si="19"/>
        <v>-164804.10826614022</v>
      </c>
      <c r="Z40" s="638">
        <f>+'Proj Att-H'!$D$133</f>
        <v>0.24594499999999997</v>
      </c>
      <c r="AA40" s="639">
        <f t="shared" si="20"/>
        <v>-40532.74640751585</v>
      </c>
    </row>
    <row r="41" spans="1:27">
      <c r="A41" s="530">
        <f t="shared" si="3"/>
        <v>27</v>
      </c>
      <c r="B41" s="714">
        <v>45992</v>
      </c>
      <c r="C41" s="463"/>
      <c r="D41" s="382">
        <f t="shared" si="4"/>
        <v>334773883.18027687</v>
      </c>
      <c r="E41" s="382">
        <f t="shared" si="5"/>
        <v>486170.17106589436</v>
      </c>
      <c r="F41" s="382">
        <f t="shared" si="6"/>
        <v>63346494.393892214</v>
      </c>
      <c r="G41" s="464">
        <v>16611360.840276871</v>
      </c>
      <c r="H41" s="465">
        <f t="shared" si="7"/>
        <v>334773883.18027687</v>
      </c>
      <c r="I41" s="466">
        <f t="shared" si="13"/>
        <v>486170.17106589436</v>
      </c>
      <c r="J41" s="467">
        <f t="shared" si="8"/>
        <v>63346494.393892214</v>
      </c>
      <c r="K41" s="626">
        <f t="shared" si="14"/>
        <v>2349834.588212315</v>
      </c>
      <c r="L41" s="520">
        <v>0.05</v>
      </c>
      <c r="M41" s="520">
        <v>9.5000000000000001E-2</v>
      </c>
      <c r="N41" s="628"/>
      <c r="O41" s="253">
        <f t="shared" si="15"/>
        <v>117491.72941061575</v>
      </c>
      <c r="P41" s="628"/>
      <c r="Q41" s="625">
        <f t="shared" si="16"/>
        <v>560951.89635491534</v>
      </c>
      <c r="R41" s="640"/>
      <c r="S41" s="628"/>
      <c r="T41" s="628"/>
      <c r="U41" s="628"/>
      <c r="V41" s="627"/>
      <c r="W41" s="644">
        <f t="shared" si="17"/>
        <v>650863.40338887437</v>
      </c>
      <c r="X41" s="637">
        <f t="shared" si="18"/>
        <v>486170.17106589436</v>
      </c>
      <c r="Y41" s="637">
        <f t="shared" si="19"/>
        <v>-164693.23232298001</v>
      </c>
      <c r="Z41" s="638">
        <f>+'Proj Att-H'!$D$133</f>
        <v>0.24594499999999997</v>
      </c>
      <c r="AA41" s="639">
        <f t="shared" si="20"/>
        <v>-40505.47702367531</v>
      </c>
    </row>
    <row r="42" spans="1:27">
      <c r="A42" s="529" t="s">
        <v>667</v>
      </c>
      <c r="B42" s="468"/>
      <c r="C42" s="468"/>
      <c r="G42" s="469"/>
      <c r="H42" s="267"/>
      <c r="I42" s="267"/>
      <c r="J42" s="266"/>
      <c r="K42" s="629"/>
      <c r="L42" s="267"/>
      <c r="M42" s="253"/>
      <c r="N42" s="524">
        <f t="shared" ref="N42:T42" si="21">SUM(N18:N41)</f>
        <v>275966.71377073869</v>
      </c>
      <c r="O42" s="524">
        <f>SUM(O18:O41)</f>
        <v>1078938.0844075084</v>
      </c>
      <c r="P42" s="548">
        <f t="shared" si="21"/>
        <v>6814509.2469269661</v>
      </c>
      <c r="Q42" s="630">
        <f t="shared" si="21"/>
        <v>6731422.756258986</v>
      </c>
      <c r="R42" s="641">
        <f t="shared" si="21"/>
        <v>7090475.9606977031</v>
      </c>
      <c r="S42" s="524">
        <f t="shared" si="21"/>
        <v>5642853.9763744576</v>
      </c>
      <c r="T42" s="524">
        <f t="shared" si="21"/>
        <v>-1447621.9843232459</v>
      </c>
      <c r="U42" s="524"/>
      <c r="V42" s="642">
        <f>T42*'Proj Att-H'!D133</f>
        <v>-356035.38893438067</v>
      </c>
      <c r="W42" s="641">
        <f>SUM(W18:W41)</f>
        <v>7810360.8406664943</v>
      </c>
      <c r="X42" s="524">
        <f>SUM(X18:X41)</f>
        <v>5768029.1975177545</v>
      </c>
      <c r="Y42" s="524">
        <f>SUM(Y18:Y41)</f>
        <v>-2042331.6431487382</v>
      </c>
      <c r="Z42" s="524"/>
      <c r="AA42" s="642">
        <f>SUM(AA18:AA41)</f>
        <v>-502301.25597421615</v>
      </c>
    </row>
    <row r="43" spans="1:27">
      <c r="A43" s="530">
        <f>A41+1</f>
        <v>28</v>
      </c>
      <c r="B43" s="268" t="s">
        <v>377</v>
      </c>
      <c r="C43" s="268"/>
      <c r="D43" s="382"/>
      <c r="E43" s="470">
        <f>SUM(E30:E41)</f>
        <v>5768029.1975177545</v>
      </c>
      <c r="F43" s="382"/>
      <c r="G43" s="325"/>
      <c r="H43" s="470"/>
      <c r="I43" s="470">
        <f>SUM(I30:I41)</f>
        <v>5768029.1975177545</v>
      </c>
      <c r="J43" s="266"/>
      <c r="K43" s="629"/>
      <c r="L43" s="267"/>
      <c r="M43" s="256"/>
      <c r="N43" s="256"/>
      <c r="O43" s="253"/>
      <c r="P43" s="253"/>
      <c r="Q43" s="625"/>
      <c r="R43" s="325"/>
      <c r="S43" s="253"/>
      <c r="T43" s="253"/>
      <c r="U43" s="253"/>
      <c r="V43" s="260"/>
      <c r="W43" s="325"/>
      <c r="X43" s="253"/>
      <c r="Y43" s="253"/>
      <c r="Z43" s="253"/>
      <c r="AA43" s="260"/>
    </row>
    <row r="44" spans="1:27">
      <c r="A44" s="530">
        <f>+A43+1</f>
        <v>29</v>
      </c>
      <c r="B44" s="268" t="s">
        <v>378</v>
      </c>
      <c r="C44" s="382"/>
      <c r="D44" s="382">
        <f>SUM(D29:D41)/13</f>
        <v>329132728.55589271</v>
      </c>
      <c r="E44" s="267"/>
      <c r="F44" s="382">
        <f>SUM(F29:F41)/13</f>
        <v>60446011.694126554</v>
      </c>
      <c r="G44" s="471"/>
      <c r="H44" s="603">
        <f>SUM(H29:H41)/13</f>
        <v>329132728.55589271</v>
      </c>
      <c r="I44" s="472"/>
      <c r="J44" s="473">
        <f>SUM(J29:J41)/13</f>
        <v>60446011.694126554</v>
      </c>
      <c r="K44" s="631"/>
      <c r="L44" s="632"/>
      <c r="M44" s="633"/>
      <c r="N44" s="633"/>
      <c r="O44" s="634"/>
      <c r="P44" s="634"/>
      <c r="Q44" s="635"/>
      <c r="R44" s="471"/>
      <c r="S44" s="634"/>
      <c r="T44" s="634"/>
      <c r="U44" s="634"/>
      <c r="V44" s="643"/>
      <c r="W44" s="471"/>
      <c r="X44" s="634"/>
      <c r="Y44" s="634"/>
      <c r="Z44" s="634"/>
      <c r="AA44" s="643"/>
    </row>
    <row r="45" spans="1:27">
      <c r="B45" s="268"/>
      <c r="D45" s="269"/>
      <c r="E45" s="269"/>
      <c r="F45" s="269"/>
      <c r="J45" s="270"/>
      <c r="K45" s="270"/>
      <c r="L45" s="270"/>
      <c r="M45" s="253"/>
      <c r="N45" s="253"/>
      <c r="Q45" s="253"/>
    </row>
    <row r="46" spans="1:27" ht="15.75" customHeight="1">
      <c r="A46" s="530"/>
    </row>
    <row r="48" spans="1:27">
      <c r="C48" s="272"/>
      <c r="G48" s="271" t="s">
        <v>172</v>
      </c>
    </row>
    <row r="49" spans="2:12" ht="66" customHeight="1">
      <c r="D49" s="532"/>
      <c r="E49" s="532"/>
      <c r="F49" s="532"/>
      <c r="G49" s="273" t="s">
        <v>76</v>
      </c>
      <c r="H49" s="983" t="s">
        <v>494</v>
      </c>
      <c r="I49" s="983"/>
      <c r="J49" s="983"/>
      <c r="K49" s="511"/>
      <c r="L49" s="511"/>
    </row>
    <row r="50" spans="2:12">
      <c r="B50" s="273"/>
    </row>
  </sheetData>
  <mergeCells count="13">
    <mergeCell ref="L10:M10"/>
    <mergeCell ref="H49:J49"/>
    <mergeCell ref="P10:Q10"/>
    <mergeCell ref="N10:O10"/>
    <mergeCell ref="S7:V7"/>
    <mergeCell ref="B6:F6"/>
    <mergeCell ref="B7:F7"/>
    <mergeCell ref="G7:J7"/>
    <mergeCell ref="AK1:AL1"/>
    <mergeCell ref="L9:M9"/>
    <mergeCell ref="P9:Q9"/>
    <mergeCell ref="W7:AA7"/>
    <mergeCell ref="AA1:AB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zoomScale="80" zoomScaleNormal="80" workbookViewId="0">
      <selection activeCell="O21" sqref="O21"/>
    </sheetView>
  </sheetViews>
  <sheetFormatPr defaultColWidth="8.6328125" defaultRowHeight="13.2"/>
  <cols>
    <col min="1" max="1" width="5.08984375" style="250" customWidth="1"/>
    <col min="2" max="2" width="34.54296875" style="250" customWidth="1"/>
    <col min="3" max="3" width="29.54296875" style="250" customWidth="1"/>
    <col min="4" max="4" width="13.6328125" style="250" customWidth="1"/>
    <col min="5" max="5" width="14.6328125" style="250" customWidth="1"/>
    <col min="6" max="6" width="16.54296875" style="250" customWidth="1"/>
    <col min="7" max="7" width="3.08984375" style="250" customWidth="1"/>
    <col min="8" max="8" width="13.6328125" style="250" customWidth="1"/>
    <col min="9" max="9" width="11.08984375" style="250" customWidth="1"/>
    <col min="10" max="10" width="3.08984375" style="250" customWidth="1"/>
    <col min="11" max="11" width="14.08984375" style="250" customWidth="1"/>
    <col min="12" max="12" width="13.453125" style="250" customWidth="1"/>
    <col min="13" max="13" width="14.453125" style="250" bestFit="1" customWidth="1"/>
    <col min="14" max="14" width="13.08984375" style="250" customWidth="1"/>
    <col min="15" max="16384" width="8.6328125" style="250"/>
  </cols>
  <sheetData>
    <row r="1" spans="1:13">
      <c r="A1" s="988" t="s">
        <v>418</v>
      </c>
      <c r="B1" s="988"/>
      <c r="C1" s="988"/>
      <c r="D1" s="988"/>
      <c r="E1" s="988"/>
      <c r="F1" s="988"/>
    </row>
    <row r="2" spans="1:13">
      <c r="A2" s="988" t="s">
        <v>436</v>
      </c>
      <c r="B2" s="988"/>
      <c r="C2" s="988"/>
      <c r="D2" s="988"/>
      <c r="E2" s="988"/>
      <c r="F2" s="988"/>
    </row>
    <row r="3" spans="1:13">
      <c r="A3" s="988" t="str">
        <f>'Act Att-H'!C7</f>
        <v>Black Hills Colorado Electric, LLC</v>
      </c>
      <c r="B3" s="988"/>
      <c r="C3" s="988"/>
      <c r="D3" s="988"/>
      <c r="E3" s="988"/>
      <c r="F3" s="988"/>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1162</v>
      </c>
      <c r="D12" s="258">
        <f>'Act Att-H'!I66</f>
        <v>243344140.83055419</v>
      </c>
      <c r="E12" s="367"/>
      <c r="F12" s="270"/>
      <c r="G12" s="253"/>
      <c r="H12" s="253"/>
      <c r="I12" s="253"/>
      <c r="J12" s="253"/>
      <c r="K12" s="253"/>
      <c r="L12" s="253"/>
      <c r="M12" s="253"/>
    </row>
    <row r="13" spans="1:13">
      <c r="A13" s="368">
        <v>2</v>
      </c>
      <c r="B13" s="250" t="s">
        <v>392</v>
      </c>
      <c r="C13" s="270" t="s">
        <v>1163</v>
      </c>
      <c r="D13" s="270"/>
      <c r="E13" s="270"/>
      <c r="F13" s="258">
        <f>'Proj Att-H'!I60</f>
        <v>254663870.09752724</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1164</v>
      </c>
      <c r="D16" s="258">
        <f>'Act Att-H'!D106</f>
        <v>4593888</v>
      </c>
      <c r="E16" s="56">
        <f>IF($D$12=0,0,D16/$D$12)</f>
        <v>1.8878153319495061E-2</v>
      </c>
      <c r="F16" s="54">
        <f>E16*F$13</f>
        <v>4807583.5846370924</v>
      </c>
      <c r="G16" s="270"/>
      <c r="H16" s="253"/>
      <c r="I16" s="259"/>
    </row>
    <row r="17" spans="1:9">
      <c r="A17" s="277">
        <f>A16+1</f>
        <v>4</v>
      </c>
      <c r="B17" s="270" t="s">
        <v>129</v>
      </c>
      <c r="C17" s="270" t="s">
        <v>1165</v>
      </c>
      <c r="D17" s="258">
        <f>'Act Att-H'!D107</f>
        <v>824709</v>
      </c>
      <c r="E17" s="56">
        <f t="shared" ref="E17:E26" si="0">IF($D$12=0,0,D17/$D$12)</f>
        <v>3.3890645453192266E-3</v>
      </c>
      <c r="F17" s="54">
        <f t="shared" ref="F17:F26" si="1">E17*F$13</f>
        <v>863072.29312131077</v>
      </c>
      <c r="G17" s="270"/>
      <c r="H17" s="253"/>
      <c r="I17" s="370"/>
    </row>
    <row r="18" spans="1:9">
      <c r="A18" s="277">
        <f t="shared" ref="A18:A26" si="2">A17+1</f>
        <v>5</v>
      </c>
      <c r="B18" s="270" t="s">
        <v>38</v>
      </c>
      <c r="C18" s="270" t="s">
        <v>1166</v>
      </c>
      <c r="D18" s="258">
        <f>'Act Att-H'!D108</f>
        <v>931415</v>
      </c>
      <c r="E18" s="56">
        <f t="shared" si="0"/>
        <v>3.827562877910278E-3</v>
      </c>
      <c r="F18" s="54">
        <f t="shared" si="1"/>
        <v>974741.97553026048</v>
      </c>
      <c r="G18" s="270"/>
      <c r="H18" s="253"/>
      <c r="I18" s="370"/>
    </row>
    <row r="19" spans="1:9">
      <c r="A19" s="277">
        <f t="shared" si="2"/>
        <v>6</v>
      </c>
      <c r="B19" s="270" t="s">
        <v>39</v>
      </c>
      <c r="C19" s="270" t="s">
        <v>1167</v>
      </c>
      <c r="D19" s="258">
        <f>'Act Att-H'!D109</f>
        <v>27892381</v>
      </c>
      <c r="E19" s="56">
        <f t="shared" si="0"/>
        <v>0.11462113246203889</v>
      </c>
      <c r="F19" s="54">
        <f t="shared" si="1"/>
        <v>29189861.187744133</v>
      </c>
      <c r="G19" s="270"/>
      <c r="H19" s="253"/>
      <c r="I19" s="370"/>
    </row>
    <row r="20" spans="1:9">
      <c r="A20" s="277">
        <f t="shared" si="2"/>
        <v>7</v>
      </c>
      <c r="B20" s="62" t="s">
        <v>831</v>
      </c>
      <c r="C20" s="270"/>
      <c r="D20" s="270"/>
      <c r="E20" s="270"/>
      <c r="F20" s="270"/>
      <c r="G20" s="270"/>
      <c r="H20" s="253"/>
      <c r="I20" s="370"/>
    </row>
    <row r="21" spans="1:9">
      <c r="A21" s="277">
        <f t="shared" si="2"/>
        <v>8</v>
      </c>
      <c r="B21" s="270" t="s">
        <v>446</v>
      </c>
      <c r="C21" s="270" t="s">
        <v>1168</v>
      </c>
      <c r="D21" s="258">
        <f>'Act Att-H'!D111</f>
        <v>1426505</v>
      </c>
      <c r="E21" s="56">
        <f t="shared" si="0"/>
        <v>5.8620889540681662E-3</v>
      </c>
      <c r="F21" s="54">
        <f t="shared" si="1"/>
        <v>1492862.2598989648</v>
      </c>
      <c r="H21" s="253"/>
      <c r="I21" s="370"/>
    </row>
    <row r="22" spans="1:9">
      <c r="A22" s="277">
        <f t="shared" si="2"/>
        <v>9</v>
      </c>
      <c r="B22" s="270" t="s">
        <v>447</v>
      </c>
      <c r="C22" s="270" t="s">
        <v>784</v>
      </c>
      <c r="D22" s="791">
        <v>0</v>
      </c>
      <c r="E22" s="56"/>
      <c r="F22" s="54">
        <f>D22</f>
        <v>0</v>
      </c>
      <c r="G22" s="270"/>
      <c r="H22" s="256"/>
      <c r="I22" s="370"/>
    </row>
    <row r="23" spans="1:9">
      <c r="A23" s="277">
        <f t="shared" si="2"/>
        <v>10</v>
      </c>
      <c r="B23" s="270" t="s">
        <v>694</v>
      </c>
      <c r="C23" s="270" t="s">
        <v>1169</v>
      </c>
      <c r="D23" s="258">
        <f>'Act Att-H'!D113</f>
        <v>556648.06699999992</v>
      </c>
      <c r="E23" s="371"/>
      <c r="F23" s="258">
        <f>D23</f>
        <v>556648.06699999992</v>
      </c>
      <c r="H23" s="253"/>
      <c r="I23" s="370"/>
    </row>
    <row r="24" spans="1:9">
      <c r="A24" s="277">
        <f t="shared" si="2"/>
        <v>11</v>
      </c>
      <c r="B24" s="270" t="s">
        <v>695</v>
      </c>
      <c r="C24" s="270" t="s">
        <v>1170</v>
      </c>
      <c r="D24" s="258">
        <f>'Act Att-H'!D114</f>
        <v>294214.92239999998</v>
      </c>
      <c r="E24" s="56">
        <f t="shared" si="0"/>
        <v>1.2090487216820569E-3</v>
      </c>
      <c r="F24" s="54">
        <f t="shared" si="1"/>
        <v>307901.0266000207</v>
      </c>
      <c r="H24" s="253"/>
      <c r="I24" s="370"/>
    </row>
    <row r="25" spans="1:9">
      <c r="A25" s="277">
        <f t="shared" si="2"/>
        <v>12</v>
      </c>
      <c r="B25" s="270" t="s">
        <v>58</v>
      </c>
      <c r="C25" s="270" t="s">
        <v>1171</v>
      </c>
      <c r="D25" s="258">
        <f>'Act Att-H'!D115</f>
        <v>0</v>
      </c>
      <c r="E25" s="56">
        <f t="shared" si="0"/>
        <v>0</v>
      </c>
      <c r="F25" s="54">
        <f t="shared" si="1"/>
        <v>0</v>
      </c>
      <c r="G25" s="270"/>
      <c r="H25" s="253"/>
      <c r="I25" s="372"/>
    </row>
    <row r="26" spans="1:9" ht="13.8" thickBot="1">
      <c r="A26" s="277">
        <f t="shared" si="2"/>
        <v>13</v>
      </c>
      <c r="B26" s="270" t="s">
        <v>40</v>
      </c>
      <c r="C26" s="270" t="s">
        <v>1172</v>
      </c>
      <c r="D26" s="258">
        <f>'Act Att-H'!D116</f>
        <v>0</v>
      </c>
      <c r="E26" s="56">
        <f t="shared" si="0"/>
        <v>0</v>
      </c>
      <c r="F26" s="54">
        <f t="shared" si="1"/>
        <v>0</v>
      </c>
      <c r="G26" s="270"/>
      <c r="H26" s="253"/>
      <c r="I26" s="259"/>
    </row>
    <row r="27" spans="1:9">
      <c r="A27" s="277">
        <f>A26+1</f>
        <v>14</v>
      </c>
      <c r="B27" s="373" t="s">
        <v>448</v>
      </c>
      <c r="C27" s="373" t="s">
        <v>833</v>
      </c>
      <c r="D27" s="63">
        <f>+D16-D17-D18+D19-D21+D25+D26+D22+D23-D24</f>
        <v>29566073.1446</v>
      </c>
      <c r="E27" s="63"/>
      <c r="F27" s="63">
        <f>+F16-F17-F18+F19-F21+F25+F26+F22+F23-F24</f>
        <v>30915515.284230672</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1173</v>
      </c>
      <c r="D32" s="258">
        <f>'Act Att-H'!D128</f>
        <v>1742035</v>
      </c>
      <c r="E32" s="56">
        <f t="shared" ref="E32:E37" si="3">IF($D$12=0,0,D32/$D$12)</f>
        <v>7.1587299947074414E-3</v>
      </c>
      <c r="F32" s="54">
        <f t="shared" ref="F32:F37" si="4">E32*F$13</f>
        <v>1823069.8854354478</v>
      </c>
      <c r="H32" s="253"/>
    </row>
    <row r="33" spans="1:9">
      <c r="A33" s="368">
        <f>A32+1</f>
        <v>16</v>
      </c>
      <c r="B33" s="252" t="s">
        <v>43</v>
      </c>
      <c r="C33" s="270" t="s">
        <v>1174</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69" t="s">
        <v>45</v>
      </c>
      <c r="C35" s="270" t="s">
        <v>1175</v>
      </c>
      <c r="D35" s="258">
        <f>'Act Att-H'!D131</f>
        <v>10980443</v>
      </c>
      <c r="E35" s="56">
        <f t="shared" si="3"/>
        <v>4.5123104104840238E-2</v>
      </c>
      <c r="F35" s="54">
        <f t="shared" si="4"/>
        <v>11491224.322152233</v>
      </c>
      <c r="H35" s="253"/>
    </row>
    <row r="36" spans="1:9">
      <c r="A36" s="368">
        <f t="shared" si="5"/>
        <v>19</v>
      </c>
      <c r="B36" s="252" t="s">
        <v>46</v>
      </c>
      <c r="C36" s="270" t="s">
        <v>1176</v>
      </c>
      <c r="D36" s="258">
        <f>'Act Att-H'!D132</f>
        <v>-54845</v>
      </c>
      <c r="E36" s="56">
        <f t="shared" si="3"/>
        <v>-2.2538040082990848E-4</v>
      </c>
      <c r="F36" s="54">
        <f t="shared" si="4"/>
        <v>-57396.245119476429</v>
      </c>
      <c r="H36" s="253"/>
    </row>
    <row r="37" spans="1:9">
      <c r="A37" s="368">
        <f t="shared" si="5"/>
        <v>20</v>
      </c>
      <c r="B37" s="252" t="s">
        <v>47</v>
      </c>
      <c r="C37" s="270" t="s">
        <v>1177</v>
      </c>
      <c r="D37" s="258">
        <f>'Act Att-H'!D133</f>
        <v>0</v>
      </c>
      <c r="E37" s="56">
        <f t="shared" si="3"/>
        <v>0</v>
      </c>
      <c r="F37" s="54">
        <f t="shared" si="4"/>
        <v>0</v>
      </c>
      <c r="H37" s="253"/>
    </row>
    <row r="38" spans="1:9">
      <c r="A38" s="368">
        <f t="shared" si="5"/>
        <v>21</v>
      </c>
      <c r="B38" s="252" t="s">
        <v>1116</v>
      </c>
      <c r="C38" s="270"/>
      <c r="D38" s="270"/>
      <c r="E38" s="56"/>
      <c r="F38" s="54"/>
      <c r="H38" s="253"/>
    </row>
    <row r="39" spans="1:9">
      <c r="A39" s="368">
        <f t="shared" si="5"/>
        <v>22</v>
      </c>
      <c r="B39" s="377" t="s">
        <v>395</v>
      </c>
      <c r="C39" s="378" t="s">
        <v>451</v>
      </c>
      <c r="D39" s="379">
        <f>SUM(D32:D37)</f>
        <v>12667633</v>
      </c>
      <c r="E39" s="375"/>
      <c r="F39" s="374">
        <f>SUM(F32:F38)</f>
        <v>13256897.962468203</v>
      </c>
      <c r="H39" s="253"/>
    </row>
    <row r="40" spans="1:9">
      <c r="A40" s="252"/>
      <c r="D40" s="380"/>
      <c r="E40" s="270"/>
      <c r="F40" s="380"/>
      <c r="H40" s="253"/>
    </row>
    <row r="41" spans="1:9">
      <c r="A41" s="271" t="s">
        <v>155</v>
      </c>
      <c r="C41" s="381"/>
      <c r="D41" s="381"/>
      <c r="E41" s="381"/>
      <c r="F41" s="381"/>
      <c r="I41" s="382"/>
    </row>
    <row r="42" spans="1:9">
      <c r="A42" s="792" t="s">
        <v>76</v>
      </c>
      <c r="B42" s="250" t="s">
        <v>1024</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M10" sqref="M10"/>
    </sheetView>
  </sheetViews>
  <sheetFormatPr defaultColWidth="8.6328125" defaultRowHeight="13.2"/>
  <cols>
    <col min="1" max="1" width="5.089843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9.1796875" style="250" bestFit="1" customWidth="1"/>
    <col min="10" max="10" width="2.08984375" style="250" customWidth="1"/>
    <col min="11" max="11" width="6.6328125" style="250" customWidth="1"/>
    <col min="12" max="16384" width="8.6328125" style="250"/>
  </cols>
  <sheetData>
    <row r="1" spans="1:14">
      <c r="A1" s="988" t="s">
        <v>437</v>
      </c>
      <c r="B1" s="988"/>
      <c r="C1" s="988"/>
      <c r="D1" s="988"/>
      <c r="E1" s="988"/>
      <c r="F1" s="988"/>
      <c r="G1" s="988"/>
    </row>
    <row r="2" spans="1:14">
      <c r="A2" s="988" t="s">
        <v>1229</v>
      </c>
      <c r="B2" s="988"/>
      <c r="C2" s="988"/>
      <c r="D2" s="988"/>
      <c r="E2" s="988"/>
      <c r="F2" s="988"/>
      <c r="G2" s="988"/>
    </row>
    <row r="3" spans="1:14">
      <c r="A3" s="988" t="str">
        <f>'P1-Trans Plant'!B3</f>
        <v>Black Hills Colorado Electric, LLC</v>
      </c>
      <c r="B3" s="988"/>
      <c r="C3" s="988"/>
      <c r="D3" s="988"/>
      <c r="E3" s="988"/>
      <c r="F3" s="988"/>
      <c r="G3" s="988"/>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1223</v>
      </c>
      <c r="D10" s="279" t="s">
        <v>1224</v>
      </c>
      <c r="E10" s="279" t="s">
        <v>1225</v>
      </c>
      <c r="F10" s="278" t="s">
        <v>439</v>
      </c>
      <c r="G10" s="278" t="s">
        <v>1226</v>
      </c>
      <c r="H10" s="270"/>
    </row>
    <row r="11" spans="1:14">
      <c r="A11" s="277">
        <v>2</v>
      </c>
      <c r="B11" s="478" t="s">
        <v>146</v>
      </c>
      <c r="C11" s="479"/>
      <c r="D11" s="479"/>
      <c r="E11" s="480"/>
      <c r="F11" s="904">
        <f>(311+18+59)*1000</f>
        <v>388000</v>
      </c>
      <c r="G11" s="481">
        <f t="shared" ref="G11:G18" si="0">F11</f>
        <v>388000</v>
      </c>
      <c r="H11" s="270"/>
      <c r="I11" s="482"/>
    </row>
    <row r="12" spans="1:14">
      <c r="A12" s="277">
        <v>3</v>
      </c>
      <c r="B12" s="478" t="s">
        <v>147</v>
      </c>
      <c r="C12" s="483"/>
      <c r="D12" s="483"/>
      <c r="E12" s="484"/>
      <c r="F12" s="904">
        <f>(263+13+59)*1000</f>
        <v>335000</v>
      </c>
      <c r="G12" s="481">
        <f t="shared" si="0"/>
        <v>335000</v>
      </c>
      <c r="H12" s="270"/>
    </row>
    <row r="13" spans="1:14">
      <c r="A13" s="277">
        <v>4</v>
      </c>
      <c r="B13" s="478" t="s">
        <v>397</v>
      </c>
      <c r="C13" s="483"/>
      <c r="D13" s="483"/>
      <c r="E13" s="484"/>
      <c r="F13" s="904">
        <f>(248+12+59)*1000</f>
        <v>319000</v>
      </c>
      <c r="G13" s="481">
        <f t="shared" si="0"/>
        <v>319000</v>
      </c>
      <c r="H13" s="270"/>
    </row>
    <row r="14" spans="1:14">
      <c r="A14" s="277">
        <v>5</v>
      </c>
      <c r="B14" s="478" t="s">
        <v>148</v>
      </c>
      <c r="C14" s="483"/>
      <c r="D14" s="483"/>
      <c r="E14" s="484"/>
      <c r="F14" s="904">
        <f>(234+10+59)*1000</f>
        <v>303000</v>
      </c>
      <c r="G14" s="481">
        <f t="shared" si="0"/>
        <v>303000</v>
      </c>
      <c r="H14" s="270"/>
    </row>
    <row r="15" spans="1:14">
      <c r="A15" s="277">
        <v>6</v>
      </c>
      <c r="B15" s="478" t="s">
        <v>149</v>
      </c>
      <c r="C15" s="483"/>
      <c r="D15" s="483"/>
      <c r="E15" s="484"/>
      <c r="F15" s="904">
        <f>(264+11+59)*1000</f>
        <v>334000</v>
      </c>
      <c r="G15" s="481">
        <f t="shared" si="0"/>
        <v>334000</v>
      </c>
      <c r="H15" s="270"/>
    </row>
    <row r="16" spans="1:14">
      <c r="A16" s="277">
        <v>7</v>
      </c>
      <c r="B16" s="478" t="s">
        <v>150</v>
      </c>
      <c r="C16" s="483"/>
      <c r="D16" s="483"/>
      <c r="E16" s="484"/>
      <c r="F16" s="904">
        <f>(367+14+59)*1000</f>
        <v>440000</v>
      </c>
      <c r="G16" s="481">
        <f t="shared" si="0"/>
        <v>440000</v>
      </c>
      <c r="H16" s="270"/>
    </row>
    <row r="17" spans="1:15">
      <c r="A17" s="277">
        <v>8</v>
      </c>
      <c r="B17" s="478" t="s">
        <v>151</v>
      </c>
      <c r="C17" s="483"/>
      <c r="D17" s="483"/>
      <c r="E17" s="484"/>
      <c r="F17" s="904">
        <f>(387+16+58)*1000</f>
        <v>461000</v>
      </c>
      <c r="G17" s="481">
        <f t="shared" si="0"/>
        <v>461000</v>
      </c>
      <c r="H17" s="270"/>
    </row>
    <row r="18" spans="1:15">
      <c r="A18" s="277">
        <v>9</v>
      </c>
      <c r="B18" s="478" t="s">
        <v>398</v>
      </c>
      <c r="C18" s="485"/>
      <c r="D18" s="485"/>
      <c r="E18" s="486"/>
      <c r="F18" s="904">
        <f>(397+16+58)*1000</f>
        <v>471000</v>
      </c>
      <c r="G18" s="481">
        <f t="shared" si="0"/>
        <v>471000</v>
      </c>
      <c r="H18" s="270"/>
      <c r="I18" s="487"/>
    </row>
    <row r="19" spans="1:15">
      <c r="A19" s="277">
        <v>10</v>
      </c>
      <c r="B19" s="488" t="s">
        <v>152</v>
      </c>
      <c r="C19" s="489">
        <f>'A6-Divisor'!G16</f>
        <v>1.0953160825417623</v>
      </c>
      <c r="D19" s="490">
        <f>AVERAGE($F$11:$F$18)</f>
        <v>381375</v>
      </c>
      <c r="E19" s="491">
        <f>C19*D19</f>
        <v>417726.1709793646</v>
      </c>
      <c r="F19" s="480"/>
      <c r="G19" s="492">
        <f>E19</f>
        <v>417726.1709793646</v>
      </c>
      <c r="H19" s="507"/>
      <c r="I19" s="905"/>
    </row>
    <row r="20" spans="1:15">
      <c r="A20" s="277">
        <v>11</v>
      </c>
      <c r="B20" s="488" t="s">
        <v>153</v>
      </c>
      <c r="C20" s="489">
        <f>'A6-Divisor'!G17</f>
        <v>0.96429741238126432</v>
      </c>
      <c r="D20" s="490">
        <f>AVERAGE($F$11:$F$18)</f>
        <v>381375</v>
      </c>
      <c r="E20" s="491">
        <f>C20*D20</f>
        <v>367758.92564690468</v>
      </c>
      <c r="F20" s="484"/>
      <c r="G20" s="492">
        <f>E20</f>
        <v>367758.92564690468</v>
      </c>
      <c r="H20" s="905"/>
      <c r="I20" s="905"/>
    </row>
    <row r="21" spans="1:15">
      <c r="A21" s="277">
        <v>12</v>
      </c>
      <c r="B21" s="488" t="s">
        <v>154</v>
      </c>
      <c r="C21" s="489">
        <f>'A6-Divisor'!G18</f>
        <v>0.89616770389780542</v>
      </c>
      <c r="D21" s="490">
        <f>AVERAGE($F$11:$F$18)</f>
        <v>381375</v>
      </c>
      <c r="E21" s="491">
        <f>C21*D21</f>
        <v>341775.95807402552</v>
      </c>
      <c r="F21" s="484"/>
      <c r="G21" s="492">
        <f>E21</f>
        <v>341775.95807402552</v>
      </c>
      <c r="H21" s="905"/>
      <c r="I21" s="905"/>
    </row>
    <row r="22" spans="1:15">
      <c r="A22" s="277">
        <v>13</v>
      </c>
      <c r="B22" s="488" t="s">
        <v>399</v>
      </c>
      <c r="C22" s="489">
        <f>'A6-Divisor'!G19</f>
        <v>0.91451031772027513</v>
      </c>
      <c r="D22" s="490">
        <f>AVERAGE($F$11:$F$18)</f>
        <v>381375</v>
      </c>
      <c r="E22" s="491">
        <f>C22*D22</f>
        <v>348771.37242056994</v>
      </c>
      <c r="F22" s="484"/>
      <c r="G22" s="492">
        <f>E22</f>
        <v>348771.37242056994</v>
      </c>
      <c r="H22" s="905"/>
      <c r="I22" s="905"/>
    </row>
    <row r="23" spans="1:15">
      <c r="A23" s="277">
        <v>14</v>
      </c>
      <c r="B23" s="493" t="s">
        <v>9</v>
      </c>
      <c r="C23" s="494"/>
      <c r="D23" s="495"/>
      <c r="E23" s="495"/>
      <c r="F23" s="494"/>
      <c r="G23" s="496">
        <f>SUM(G11:G22)</f>
        <v>4527032.4271208653</v>
      </c>
      <c r="H23" s="905"/>
      <c r="I23" s="905"/>
      <c r="L23" s="252"/>
    </row>
    <row r="24" spans="1:15">
      <c r="A24" s="277">
        <v>15</v>
      </c>
      <c r="B24" s="493" t="s">
        <v>164</v>
      </c>
      <c r="C24" s="494"/>
      <c r="D24" s="495"/>
      <c r="E24" s="495"/>
      <c r="F24" s="494"/>
      <c r="G24" s="497">
        <f>G23/12</f>
        <v>377252.70226007211</v>
      </c>
      <c r="H24" s="905"/>
      <c r="I24" s="905"/>
    </row>
    <row r="25" spans="1:15">
      <c r="A25" s="270"/>
      <c r="B25" s="270"/>
      <c r="C25" s="270"/>
      <c r="D25" s="270"/>
      <c r="E25" s="270"/>
      <c r="F25" s="270"/>
      <c r="G25" s="270"/>
    </row>
    <row r="26" spans="1:15">
      <c r="A26" s="270"/>
      <c r="B26" s="270"/>
      <c r="C26" s="270"/>
      <c r="D26" s="270"/>
      <c r="E26" s="270"/>
      <c r="F26" s="270"/>
      <c r="G26" s="270"/>
    </row>
    <row r="27" spans="1:15" ht="30" customHeight="1">
      <c r="A27" s="498" t="s">
        <v>400</v>
      </c>
      <c r="B27" s="984" t="s">
        <v>1227</v>
      </c>
      <c r="C27" s="985"/>
      <c r="D27" s="985"/>
      <c r="E27" s="985"/>
      <c r="F27" s="985"/>
      <c r="G27" s="985"/>
      <c r="H27" s="499"/>
      <c r="I27" s="499"/>
      <c r="J27" s="499"/>
      <c r="K27" s="499"/>
      <c r="L27" s="499"/>
      <c r="M27" s="499"/>
      <c r="N27" s="499"/>
      <c r="O27" s="499"/>
    </row>
    <row r="28" spans="1:15">
      <c r="A28" s="270"/>
      <c r="B28" s="500" t="s">
        <v>1228</v>
      </c>
      <c r="C28" s="501"/>
      <c r="D28" s="501"/>
      <c r="E28" s="501"/>
      <c r="F28" s="501"/>
      <c r="G28" s="501"/>
      <c r="H28" s="502"/>
      <c r="I28" s="502"/>
    </row>
    <row r="29" spans="1:15">
      <c r="A29" s="270"/>
      <c r="B29" s="272" t="s">
        <v>988</v>
      </c>
      <c r="C29" s="501"/>
      <c r="D29" s="501"/>
      <c r="E29" s="501"/>
      <c r="F29" s="501"/>
      <c r="G29" s="501"/>
      <c r="H29" s="502"/>
      <c r="I29" s="502"/>
    </row>
    <row r="30" spans="1:15" ht="17.25" customHeight="1">
      <c r="A30" s="270"/>
      <c r="B30" s="986" t="s">
        <v>607</v>
      </c>
      <c r="C30" s="987"/>
      <c r="D30" s="987"/>
      <c r="E30" s="987"/>
      <c r="F30" s="987"/>
      <c r="G30" s="987"/>
    </row>
    <row r="35" spans="2:4" ht="13.8">
      <c r="B35" s="270"/>
      <c r="C35" s="503"/>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zoomScale="80" zoomScaleNormal="80" workbookViewId="0">
      <selection activeCell="O21" sqref="O21"/>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08984375" style="2" bestFit="1" customWidth="1"/>
    <col min="13" max="15" width="12.6328125" style="2" customWidth="1"/>
    <col min="16" max="16" width="10.6328125" style="2" customWidth="1"/>
    <col min="17" max="17" width="8.6328125" style="4"/>
    <col min="18" max="16384" width="8.6328125" style="2"/>
  </cols>
  <sheetData>
    <row r="1" spans="1:19">
      <c r="A1" s="931" t="s">
        <v>556</v>
      </c>
      <c r="B1" s="931"/>
      <c r="C1" s="931"/>
      <c r="D1" s="931"/>
      <c r="E1" s="931"/>
      <c r="F1" s="931"/>
      <c r="G1" s="931"/>
      <c r="H1" s="931"/>
      <c r="I1" s="931"/>
      <c r="J1" s="931"/>
      <c r="K1" s="931"/>
      <c r="L1" s="931"/>
      <c r="M1" s="931"/>
      <c r="N1" s="931"/>
      <c r="O1" s="931"/>
    </row>
    <row r="2" spans="1:19">
      <c r="A2" s="961" t="s">
        <v>547</v>
      </c>
      <c r="B2" s="961"/>
      <c r="C2" s="961"/>
      <c r="D2" s="961"/>
      <c r="E2" s="961"/>
      <c r="F2" s="961"/>
      <c r="G2" s="961"/>
      <c r="H2" s="961"/>
      <c r="I2" s="961"/>
      <c r="J2" s="961"/>
      <c r="K2" s="961"/>
      <c r="L2" s="961"/>
      <c r="M2" s="961"/>
      <c r="N2" s="961"/>
      <c r="O2" s="961"/>
    </row>
    <row r="3" spans="1:19">
      <c r="A3" s="962" t="str">
        <f>'Act Att-H'!C7</f>
        <v>Black Hills Colorado Electric, LLC</v>
      </c>
      <c r="B3" s="962"/>
      <c r="C3" s="962"/>
      <c r="D3" s="962"/>
      <c r="E3" s="962"/>
      <c r="F3" s="962"/>
      <c r="G3" s="962"/>
      <c r="H3" s="962"/>
      <c r="I3" s="962"/>
      <c r="J3" s="962"/>
      <c r="K3" s="962"/>
      <c r="L3" s="962"/>
      <c r="M3" s="962"/>
      <c r="N3" s="962"/>
      <c r="O3" s="962"/>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1" t="s">
        <v>750</v>
      </c>
      <c r="P6" s="2"/>
      <c r="Q6" s="4"/>
      <c r="R6" s="2"/>
      <c r="S6" s="2"/>
    </row>
    <row r="7" spans="1:19" s="287" customFormat="1">
      <c r="A7" s="319">
        <v>1</v>
      </c>
      <c r="B7" s="296"/>
      <c r="C7" s="989"/>
      <c r="D7" s="989"/>
      <c r="E7" s="989"/>
      <c r="F7" s="989"/>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89"/>
      <c r="D9" s="989"/>
      <c r="E9" s="989"/>
      <c r="F9" s="989"/>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89"/>
      <c r="D11" s="989"/>
      <c r="E11" s="989"/>
      <c r="F11" s="989"/>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89"/>
      <c r="D13" s="989"/>
      <c r="E13" s="989"/>
      <c r="F13" s="989"/>
      <c r="G13" s="296"/>
      <c r="H13" s="289"/>
      <c r="I13" s="3"/>
      <c r="J13" s="3"/>
      <c r="K13" s="290"/>
      <c r="L13" s="289"/>
      <c r="M13" s="3"/>
      <c r="N13" s="3"/>
      <c r="O13" s="290"/>
      <c r="P13" s="2"/>
      <c r="Q13" s="4"/>
      <c r="R13" s="2"/>
      <c r="S13" s="2"/>
    </row>
    <row r="14" spans="1:19" s="287" customFormat="1">
      <c r="A14" s="319">
        <f t="shared" si="0"/>
        <v>8</v>
      </c>
      <c r="B14" s="296"/>
      <c r="C14" s="960" t="s">
        <v>9</v>
      </c>
      <c r="D14" s="960"/>
      <c r="E14" s="960"/>
      <c r="F14" s="960"/>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871</v>
      </c>
      <c r="N17" s="293" t="s">
        <v>870</v>
      </c>
      <c r="O17" s="292" t="s">
        <v>928</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8">
        <f>'P1-Trans Plant'!B18</f>
        <v>45292</v>
      </c>
      <c r="C19" s="298">
        <f>+H19+L19</f>
        <v>0</v>
      </c>
      <c r="D19" s="298">
        <f t="shared" ref="D19:E19" si="1">+I19+M19</f>
        <v>0</v>
      </c>
      <c r="E19" s="298">
        <f t="shared" si="1"/>
        <v>0</v>
      </c>
      <c r="F19" s="328"/>
      <c r="G19" s="319"/>
      <c r="H19" s="314">
        <f>H18</f>
        <v>0</v>
      </c>
      <c r="I19" s="619">
        <f>H19*I$9</f>
        <v>0</v>
      </c>
      <c r="J19" s="619">
        <f>I19</f>
        <v>0</v>
      </c>
      <c r="K19" s="300">
        <f>+H19-J19</f>
        <v>0</v>
      </c>
      <c r="L19" s="314">
        <f>L18</f>
        <v>0</v>
      </c>
      <c r="M19" s="619">
        <f>L19*M$9</f>
        <v>0</v>
      </c>
      <c r="N19" s="619">
        <f>M19</f>
        <v>0</v>
      </c>
      <c r="O19" s="300">
        <f>+L19-N19</f>
        <v>0</v>
      </c>
      <c r="P19" s="2"/>
      <c r="Q19" s="4"/>
      <c r="R19" s="2"/>
      <c r="S19" s="2"/>
    </row>
    <row r="20" spans="1:19" s="287" customFormat="1">
      <c r="A20" s="319">
        <f t="shared" ref="A20:A42" si="2">A19+1</f>
        <v>10</v>
      </c>
      <c r="B20" s="718">
        <f>'P1-Trans Plant'!B19</f>
        <v>45323</v>
      </c>
      <c r="C20" s="298">
        <f t="shared" ref="C20:C42" si="3">+H20+L20</f>
        <v>0</v>
      </c>
      <c r="D20" s="298">
        <f t="shared" ref="D20:D42" si="4">+I20+M20</f>
        <v>0</v>
      </c>
      <c r="E20" s="298">
        <f t="shared" ref="E20:E42" si="5">+J20+N20</f>
        <v>0</v>
      </c>
      <c r="F20" s="328"/>
      <c r="G20" s="319"/>
      <c r="H20" s="314">
        <v>0</v>
      </c>
      <c r="I20" s="619">
        <f t="shared" ref="I20:I42" si="6">H20*I$9</f>
        <v>0</v>
      </c>
      <c r="J20" s="619">
        <f>J19+I20</f>
        <v>0</v>
      </c>
      <c r="K20" s="300">
        <f>+H20-J20</f>
        <v>0</v>
      </c>
      <c r="L20" s="314">
        <v>0</v>
      </c>
      <c r="M20" s="619">
        <f t="shared" ref="M20:M42" si="7">L20*M$9</f>
        <v>0</v>
      </c>
      <c r="N20" s="619">
        <f>N19+M20</f>
        <v>0</v>
      </c>
      <c r="O20" s="300">
        <f>+L20-N20</f>
        <v>0</v>
      </c>
      <c r="P20" s="2"/>
      <c r="Q20" s="4"/>
      <c r="R20" s="2"/>
      <c r="S20" s="2"/>
    </row>
    <row r="21" spans="1:19" s="287" customFormat="1">
      <c r="A21" s="319">
        <f t="shared" si="2"/>
        <v>11</v>
      </c>
      <c r="B21" s="718">
        <f>'P1-Trans Plant'!B20</f>
        <v>45352</v>
      </c>
      <c r="C21" s="298">
        <f t="shared" si="3"/>
        <v>0</v>
      </c>
      <c r="D21" s="298">
        <f t="shared" si="4"/>
        <v>0</v>
      </c>
      <c r="E21" s="298">
        <f t="shared" si="5"/>
        <v>0</v>
      </c>
      <c r="F21" s="328"/>
      <c r="G21" s="319"/>
      <c r="H21" s="314">
        <v>0</v>
      </c>
      <c r="I21" s="619">
        <f t="shared" si="6"/>
        <v>0</v>
      </c>
      <c r="J21" s="619">
        <f t="shared" ref="J21:J42" si="8">J20+I21</f>
        <v>0</v>
      </c>
      <c r="K21" s="300">
        <f t="shared" ref="K21:K42" si="9">+H21-J21</f>
        <v>0</v>
      </c>
      <c r="L21" s="314">
        <v>0</v>
      </c>
      <c r="M21" s="619">
        <f t="shared" si="7"/>
        <v>0</v>
      </c>
      <c r="N21" s="619">
        <f t="shared" ref="N21:N42" si="10">N20+M21</f>
        <v>0</v>
      </c>
      <c r="O21" s="300">
        <f t="shared" ref="O21:O42" si="11">+L21-N21</f>
        <v>0</v>
      </c>
      <c r="P21" s="2"/>
      <c r="Q21" s="4"/>
      <c r="R21" s="2"/>
      <c r="S21" s="2"/>
    </row>
    <row r="22" spans="1:19" s="287" customFormat="1">
      <c r="A22" s="319">
        <f t="shared" si="2"/>
        <v>12</v>
      </c>
      <c r="B22" s="718">
        <f>'P1-Trans Plant'!B21</f>
        <v>45383</v>
      </c>
      <c r="C22" s="298">
        <f t="shared" si="3"/>
        <v>0</v>
      </c>
      <c r="D22" s="298">
        <f t="shared" si="4"/>
        <v>0</v>
      </c>
      <c r="E22" s="298">
        <f t="shared" si="5"/>
        <v>0</v>
      </c>
      <c r="F22" s="328"/>
      <c r="G22" s="319"/>
      <c r="H22" s="314">
        <v>0</v>
      </c>
      <c r="I22" s="619">
        <f t="shared" si="6"/>
        <v>0</v>
      </c>
      <c r="J22" s="619">
        <f t="shared" si="8"/>
        <v>0</v>
      </c>
      <c r="K22" s="300">
        <f t="shared" si="9"/>
        <v>0</v>
      </c>
      <c r="L22" s="314">
        <v>0</v>
      </c>
      <c r="M22" s="619">
        <f t="shared" si="7"/>
        <v>0</v>
      </c>
      <c r="N22" s="619">
        <f t="shared" si="10"/>
        <v>0</v>
      </c>
      <c r="O22" s="300">
        <f t="shared" si="11"/>
        <v>0</v>
      </c>
      <c r="P22" s="2"/>
      <c r="Q22" s="4"/>
      <c r="R22" s="2"/>
      <c r="S22" s="2"/>
    </row>
    <row r="23" spans="1:19" s="287" customFormat="1">
      <c r="A23" s="319">
        <f t="shared" si="2"/>
        <v>13</v>
      </c>
      <c r="B23" s="718">
        <f>'P1-Trans Plant'!B22</f>
        <v>45413</v>
      </c>
      <c r="C23" s="298">
        <f t="shared" si="3"/>
        <v>0</v>
      </c>
      <c r="D23" s="298">
        <f t="shared" si="4"/>
        <v>0</v>
      </c>
      <c r="E23" s="298">
        <f t="shared" si="5"/>
        <v>0</v>
      </c>
      <c r="F23" s="328"/>
      <c r="G23" s="319"/>
      <c r="H23" s="314">
        <v>0</v>
      </c>
      <c r="I23" s="619">
        <f t="shared" si="6"/>
        <v>0</v>
      </c>
      <c r="J23" s="619">
        <f t="shared" si="8"/>
        <v>0</v>
      </c>
      <c r="K23" s="300">
        <f t="shared" si="9"/>
        <v>0</v>
      </c>
      <c r="L23" s="314">
        <v>0</v>
      </c>
      <c r="M23" s="619">
        <f t="shared" si="7"/>
        <v>0</v>
      </c>
      <c r="N23" s="619">
        <f t="shared" si="10"/>
        <v>0</v>
      </c>
      <c r="O23" s="300">
        <f t="shared" si="11"/>
        <v>0</v>
      </c>
      <c r="P23" s="2"/>
      <c r="Q23" s="4"/>
      <c r="R23" s="2"/>
      <c r="S23" s="2"/>
    </row>
    <row r="24" spans="1:19" s="287" customFormat="1">
      <c r="A24" s="319">
        <f t="shared" si="2"/>
        <v>14</v>
      </c>
      <c r="B24" s="718">
        <f>'P1-Trans Plant'!B23</f>
        <v>45444</v>
      </c>
      <c r="C24" s="298">
        <f t="shared" si="3"/>
        <v>0</v>
      </c>
      <c r="D24" s="298">
        <f t="shared" si="4"/>
        <v>0</v>
      </c>
      <c r="E24" s="298">
        <f t="shared" si="5"/>
        <v>0</v>
      </c>
      <c r="F24" s="328"/>
      <c r="G24" s="319"/>
      <c r="H24" s="314">
        <v>0</v>
      </c>
      <c r="I24" s="619">
        <f t="shared" si="6"/>
        <v>0</v>
      </c>
      <c r="J24" s="619">
        <f t="shared" si="8"/>
        <v>0</v>
      </c>
      <c r="K24" s="300">
        <f t="shared" si="9"/>
        <v>0</v>
      </c>
      <c r="L24" s="314">
        <v>0</v>
      </c>
      <c r="M24" s="619">
        <f t="shared" si="7"/>
        <v>0</v>
      </c>
      <c r="N24" s="619">
        <f t="shared" si="10"/>
        <v>0</v>
      </c>
      <c r="O24" s="300">
        <f t="shared" si="11"/>
        <v>0</v>
      </c>
      <c r="P24" s="2"/>
      <c r="Q24" s="4"/>
      <c r="R24" s="2"/>
      <c r="S24" s="2"/>
    </row>
    <row r="25" spans="1:19" s="287" customFormat="1">
      <c r="A25" s="319">
        <f t="shared" si="2"/>
        <v>15</v>
      </c>
      <c r="B25" s="718">
        <f>'P1-Trans Plant'!B24</f>
        <v>45474</v>
      </c>
      <c r="C25" s="298">
        <f t="shared" si="3"/>
        <v>0</v>
      </c>
      <c r="D25" s="298">
        <f t="shared" si="4"/>
        <v>0</v>
      </c>
      <c r="E25" s="298">
        <f t="shared" si="5"/>
        <v>0</v>
      </c>
      <c r="F25" s="328"/>
      <c r="G25" s="319"/>
      <c r="H25" s="314">
        <v>0</v>
      </c>
      <c r="I25" s="619">
        <f t="shared" si="6"/>
        <v>0</v>
      </c>
      <c r="J25" s="619">
        <f t="shared" si="8"/>
        <v>0</v>
      </c>
      <c r="K25" s="300">
        <f t="shared" si="9"/>
        <v>0</v>
      </c>
      <c r="L25" s="314">
        <v>0</v>
      </c>
      <c r="M25" s="619">
        <f t="shared" si="7"/>
        <v>0</v>
      </c>
      <c r="N25" s="619">
        <f t="shared" si="10"/>
        <v>0</v>
      </c>
      <c r="O25" s="300">
        <f t="shared" si="11"/>
        <v>0</v>
      </c>
      <c r="P25" s="2"/>
      <c r="Q25" s="4"/>
      <c r="R25" s="2"/>
      <c r="S25" s="2"/>
    </row>
    <row r="26" spans="1:19" s="287" customFormat="1">
      <c r="A26" s="319">
        <f t="shared" si="2"/>
        <v>16</v>
      </c>
      <c r="B26" s="718">
        <f>'P1-Trans Plant'!B25</f>
        <v>45505</v>
      </c>
      <c r="C26" s="298">
        <f t="shared" si="3"/>
        <v>0</v>
      </c>
      <c r="D26" s="298">
        <f t="shared" si="4"/>
        <v>0</v>
      </c>
      <c r="E26" s="298">
        <f t="shared" si="5"/>
        <v>0</v>
      </c>
      <c r="F26" s="328"/>
      <c r="G26" s="319"/>
      <c r="H26" s="314">
        <v>0</v>
      </c>
      <c r="I26" s="619">
        <f t="shared" si="6"/>
        <v>0</v>
      </c>
      <c r="J26" s="619">
        <f t="shared" si="8"/>
        <v>0</v>
      </c>
      <c r="K26" s="300">
        <f t="shared" si="9"/>
        <v>0</v>
      </c>
      <c r="L26" s="314">
        <v>0</v>
      </c>
      <c r="M26" s="619">
        <f t="shared" si="7"/>
        <v>0</v>
      </c>
      <c r="N26" s="619">
        <f t="shared" si="10"/>
        <v>0</v>
      </c>
      <c r="O26" s="300">
        <f t="shared" si="11"/>
        <v>0</v>
      </c>
      <c r="P26" s="2"/>
      <c r="Q26" s="4"/>
      <c r="R26" s="2"/>
      <c r="S26" s="2"/>
    </row>
    <row r="27" spans="1:19" s="287" customFormat="1">
      <c r="A27" s="319">
        <f t="shared" si="2"/>
        <v>17</v>
      </c>
      <c r="B27" s="718">
        <f>'P1-Trans Plant'!B26</f>
        <v>45536</v>
      </c>
      <c r="C27" s="298">
        <f t="shared" si="3"/>
        <v>0</v>
      </c>
      <c r="D27" s="298">
        <f t="shared" si="4"/>
        <v>0</v>
      </c>
      <c r="E27" s="298">
        <f t="shared" si="5"/>
        <v>0</v>
      </c>
      <c r="F27" s="328"/>
      <c r="G27" s="319"/>
      <c r="H27" s="314">
        <v>0</v>
      </c>
      <c r="I27" s="619">
        <f t="shared" si="6"/>
        <v>0</v>
      </c>
      <c r="J27" s="619">
        <f t="shared" si="8"/>
        <v>0</v>
      </c>
      <c r="K27" s="300">
        <f t="shared" si="9"/>
        <v>0</v>
      </c>
      <c r="L27" s="314">
        <v>0</v>
      </c>
      <c r="M27" s="619">
        <f t="shared" si="7"/>
        <v>0</v>
      </c>
      <c r="N27" s="619">
        <f t="shared" si="10"/>
        <v>0</v>
      </c>
      <c r="O27" s="300">
        <f t="shared" si="11"/>
        <v>0</v>
      </c>
      <c r="P27" s="2"/>
      <c r="Q27" s="4"/>
      <c r="R27" s="2"/>
      <c r="S27" s="2"/>
    </row>
    <row r="28" spans="1:19" s="287" customFormat="1">
      <c r="A28" s="319">
        <f t="shared" si="2"/>
        <v>18</v>
      </c>
      <c r="B28" s="718">
        <f>'P1-Trans Plant'!B27</f>
        <v>45566</v>
      </c>
      <c r="C28" s="298">
        <f t="shared" si="3"/>
        <v>0</v>
      </c>
      <c r="D28" s="298">
        <f t="shared" si="4"/>
        <v>0</v>
      </c>
      <c r="E28" s="298">
        <f t="shared" si="5"/>
        <v>0</v>
      </c>
      <c r="F28" s="328"/>
      <c r="G28" s="319"/>
      <c r="H28" s="314">
        <v>0</v>
      </c>
      <c r="I28" s="619">
        <f t="shared" si="6"/>
        <v>0</v>
      </c>
      <c r="J28" s="619">
        <f t="shared" si="8"/>
        <v>0</v>
      </c>
      <c r="K28" s="300">
        <f t="shared" si="9"/>
        <v>0</v>
      </c>
      <c r="L28" s="314">
        <v>0</v>
      </c>
      <c r="M28" s="619">
        <f t="shared" si="7"/>
        <v>0</v>
      </c>
      <c r="N28" s="619">
        <f t="shared" si="10"/>
        <v>0</v>
      </c>
      <c r="O28" s="300">
        <f t="shared" si="11"/>
        <v>0</v>
      </c>
      <c r="P28" s="2"/>
      <c r="Q28" s="4"/>
      <c r="R28" s="2"/>
      <c r="S28" s="2"/>
    </row>
    <row r="29" spans="1:19" s="287" customFormat="1">
      <c r="A29" s="319">
        <f t="shared" si="2"/>
        <v>19</v>
      </c>
      <c r="B29" s="718">
        <f>'P1-Trans Plant'!B28</f>
        <v>45597</v>
      </c>
      <c r="C29" s="298">
        <f t="shared" si="3"/>
        <v>0</v>
      </c>
      <c r="D29" s="298">
        <f t="shared" si="4"/>
        <v>0</v>
      </c>
      <c r="E29" s="298">
        <f t="shared" si="5"/>
        <v>0</v>
      </c>
      <c r="F29" s="328"/>
      <c r="G29" s="319"/>
      <c r="H29" s="314">
        <v>0</v>
      </c>
      <c r="I29" s="619">
        <f t="shared" si="6"/>
        <v>0</v>
      </c>
      <c r="J29" s="619">
        <f t="shared" si="8"/>
        <v>0</v>
      </c>
      <c r="K29" s="300">
        <f t="shared" si="9"/>
        <v>0</v>
      </c>
      <c r="L29" s="314">
        <v>0</v>
      </c>
      <c r="M29" s="619">
        <f t="shared" si="7"/>
        <v>0</v>
      </c>
      <c r="N29" s="619">
        <f t="shared" si="10"/>
        <v>0</v>
      </c>
      <c r="O29" s="300">
        <f t="shared" si="11"/>
        <v>0</v>
      </c>
      <c r="P29" s="2"/>
      <c r="Q29" s="4"/>
      <c r="R29" s="2"/>
      <c r="S29" s="2"/>
    </row>
    <row r="30" spans="1:19" s="287" customFormat="1">
      <c r="A30" s="319">
        <f t="shared" si="2"/>
        <v>20</v>
      </c>
      <c r="B30" s="718">
        <f>'P1-Trans Plant'!B29</f>
        <v>45627</v>
      </c>
      <c r="C30" s="298">
        <f t="shared" si="3"/>
        <v>0</v>
      </c>
      <c r="D30" s="298">
        <f t="shared" si="4"/>
        <v>0</v>
      </c>
      <c r="E30" s="298">
        <f t="shared" si="5"/>
        <v>0</v>
      </c>
      <c r="F30" s="328"/>
      <c r="G30" s="319"/>
      <c r="H30" s="314">
        <v>0</v>
      </c>
      <c r="I30" s="619">
        <f t="shared" si="6"/>
        <v>0</v>
      </c>
      <c r="J30" s="619">
        <f t="shared" si="8"/>
        <v>0</v>
      </c>
      <c r="K30" s="300">
        <f t="shared" si="9"/>
        <v>0</v>
      </c>
      <c r="L30" s="314">
        <v>0</v>
      </c>
      <c r="M30" s="619">
        <f t="shared" si="7"/>
        <v>0</v>
      </c>
      <c r="N30" s="619">
        <f t="shared" si="10"/>
        <v>0</v>
      </c>
      <c r="O30" s="300">
        <f t="shared" si="11"/>
        <v>0</v>
      </c>
      <c r="P30" s="2"/>
      <c r="Q30" s="4"/>
      <c r="R30" s="2"/>
      <c r="S30" s="2"/>
    </row>
    <row r="31" spans="1:19" s="287" customFormat="1">
      <c r="A31" s="319">
        <f t="shared" si="2"/>
        <v>21</v>
      </c>
      <c r="B31" s="718">
        <f>'P1-Trans Plant'!B30</f>
        <v>45658</v>
      </c>
      <c r="C31" s="298">
        <f t="shared" si="3"/>
        <v>0</v>
      </c>
      <c r="D31" s="298">
        <f t="shared" si="4"/>
        <v>0</v>
      </c>
      <c r="E31" s="298">
        <f t="shared" si="5"/>
        <v>0</v>
      </c>
      <c r="F31" s="328"/>
      <c r="G31" s="319"/>
      <c r="H31" s="314">
        <v>0</v>
      </c>
      <c r="I31" s="619">
        <f t="shared" si="6"/>
        <v>0</v>
      </c>
      <c r="J31" s="619">
        <f t="shared" si="8"/>
        <v>0</v>
      </c>
      <c r="K31" s="300">
        <f t="shared" si="9"/>
        <v>0</v>
      </c>
      <c r="L31" s="314">
        <v>0</v>
      </c>
      <c r="M31" s="619">
        <f t="shared" si="7"/>
        <v>0</v>
      </c>
      <c r="N31" s="619">
        <f t="shared" si="10"/>
        <v>0</v>
      </c>
      <c r="O31" s="300">
        <f t="shared" si="11"/>
        <v>0</v>
      </c>
      <c r="P31" s="2"/>
      <c r="Q31" s="4"/>
      <c r="R31" s="2"/>
      <c r="S31" s="2"/>
    </row>
    <row r="32" spans="1:19" s="287" customFormat="1">
      <c r="A32" s="319">
        <f t="shared" si="2"/>
        <v>22</v>
      </c>
      <c r="B32" s="718">
        <f>'P1-Trans Plant'!B31</f>
        <v>45689</v>
      </c>
      <c r="C32" s="298">
        <f t="shared" si="3"/>
        <v>0</v>
      </c>
      <c r="D32" s="298">
        <f t="shared" si="4"/>
        <v>0</v>
      </c>
      <c r="E32" s="298">
        <f t="shared" si="5"/>
        <v>0</v>
      </c>
      <c r="F32" s="328"/>
      <c r="G32" s="319"/>
      <c r="H32" s="314">
        <v>0</v>
      </c>
      <c r="I32" s="619">
        <f t="shared" si="6"/>
        <v>0</v>
      </c>
      <c r="J32" s="619">
        <f t="shared" si="8"/>
        <v>0</v>
      </c>
      <c r="K32" s="300">
        <f t="shared" si="9"/>
        <v>0</v>
      </c>
      <c r="L32" s="314">
        <v>0</v>
      </c>
      <c r="M32" s="619">
        <f t="shared" si="7"/>
        <v>0</v>
      </c>
      <c r="N32" s="619">
        <f t="shared" si="10"/>
        <v>0</v>
      </c>
      <c r="O32" s="300">
        <f t="shared" si="11"/>
        <v>0</v>
      </c>
      <c r="P32" s="2"/>
      <c r="Q32" s="4"/>
      <c r="R32" s="2"/>
      <c r="S32" s="2"/>
    </row>
    <row r="33" spans="1:19" s="287" customFormat="1">
      <c r="A33" s="319">
        <f t="shared" si="2"/>
        <v>23</v>
      </c>
      <c r="B33" s="718">
        <f>'P1-Trans Plant'!B32</f>
        <v>45717</v>
      </c>
      <c r="C33" s="298">
        <f t="shared" si="3"/>
        <v>0</v>
      </c>
      <c r="D33" s="298">
        <f t="shared" si="4"/>
        <v>0</v>
      </c>
      <c r="E33" s="298">
        <f t="shared" si="5"/>
        <v>0</v>
      </c>
      <c r="F33" s="328"/>
      <c r="G33" s="319"/>
      <c r="H33" s="314">
        <v>0</v>
      </c>
      <c r="I33" s="619">
        <f t="shared" si="6"/>
        <v>0</v>
      </c>
      <c r="J33" s="619">
        <f t="shared" si="8"/>
        <v>0</v>
      </c>
      <c r="K33" s="300">
        <f t="shared" si="9"/>
        <v>0</v>
      </c>
      <c r="L33" s="314">
        <v>0</v>
      </c>
      <c r="M33" s="619">
        <f t="shared" si="7"/>
        <v>0</v>
      </c>
      <c r="N33" s="619">
        <f t="shared" si="10"/>
        <v>0</v>
      </c>
      <c r="O33" s="300">
        <f t="shared" si="11"/>
        <v>0</v>
      </c>
      <c r="P33" s="2"/>
      <c r="Q33" s="4"/>
      <c r="R33" s="2"/>
      <c r="S33" s="2"/>
    </row>
    <row r="34" spans="1:19" s="287" customFormat="1">
      <c r="A34" s="319">
        <f t="shared" si="2"/>
        <v>24</v>
      </c>
      <c r="B34" s="718">
        <f>'P1-Trans Plant'!B33</f>
        <v>45748</v>
      </c>
      <c r="C34" s="298">
        <f t="shared" si="3"/>
        <v>0</v>
      </c>
      <c r="D34" s="298">
        <f t="shared" si="4"/>
        <v>0</v>
      </c>
      <c r="E34" s="298">
        <f t="shared" si="5"/>
        <v>0</v>
      </c>
      <c r="F34" s="328"/>
      <c r="G34" s="319"/>
      <c r="H34" s="314">
        <v>0</v>
      </c>
      <c r="I34" s="619">
        <f t="shared" si="6"/>
        <v>0</v>
      </c>
      <c r="J34" s="619">
        <f t="shared" si="8"/>
        <v>0</v>
      </c>
      <c r="K34" s="300">
        <f t="shared" si="9"/>
        <v>0</v>
      </c>
      <c r="L34" s="314">
        <v>0</v>
      </c>
      <c r="M34" s="619">
        <f t="shared" si="7"/>
        <v>0</v>
      </c>
      <c r="N34" s="619">
        <f t="shared" si="10"/>
        <v>0</v>
      </c>
      <c r="O34" s="300">
        <f t="shared" si="11"/>
        <v>0</v>
      </c>
      <c r="P34" s="2"/>
      <c r="Q34" s="4"/>
      <c r="R34" s="2"/>
      <c r="S34" s="2"/>
    </row>
    <row r="35" spans="1:19" s="287" customFormat="1">
      <c r="A35" s="319">
        <f t="shared" si="2"/>
        <v>25</v>
      </c>
      <c r="B35" s="718">
        <f>'P1-Trans Plant'!B34</f>
        <v>45778</v>
      </c>
      <c r="C35" s="298">
        <f t="shared" si="3"/>
        <v>0</v>
      </c>
      <c r="D35" s="298">
        <f t="shared" si="4"/>
        <v>0</v>
      </c>
      <c r="E35" s="298">
        <f t="shared" si="5"/>
        <v>0</v>
      </c>
      <c r="F35" s="328"/>
      <c r="G35" s="319"/>
      <c r="H35" s="314">
        <v>0</v>
      </c>
      <c r="I35" s="619">
        <f t="shared" si="6"/>
        <v>0</v>
      </c>
      <c r="J35" s="619">
        <f t="shared" si="8"/>
        <v>0</v>
      </c>
      <c r="K35" s="300">
        <f t="shared" si="9"/>
        <v>0</v>
      </c>
      <c r="L35" s="314">
        <v>0</v>
      </c>
      <c r="M35" s="619">
        <f t="shared" si="7"/>
        <v>0</v>
      </c>
      <c r="N35" s="619">
        <f t="shared" si="10"/>
        <v>0</v>
      </c>
      <c r="O35" s="300">
        <f t="shared" si="11"/>
        <v>0</v>
      </c>
      <c r="P35" s="2"/>
      <c r="Q35" s="4"/>
      <c r="R35" s="2"/>
      <c r="S35" s="2"/>
    </row>
    <row r="36" spans="1:19" s="287" customFormat="1">
      <c r="A36" s="319">
        <f t="shared" si="2"/>
        <v>26</v>
      </c>
      <c r="B36" s="718">
        <f>'P1-Trans Plant'!B35</f>
        <v>45809</v>
      </c>
      <c r="C36" s="298">
        <f t="shared" si="3"/>
        <v>0</v>
      </c>
      <c r="D36" s="298">
        <f t="shared" si="4"/>
        <v>0</v>
      </c>
      <c r="E36" s="298">
        <f t="shared" si="5"/>
        <v>0</v>
      </c>
      <c r="F36" s="328"/>
      <c r="G36" s="319"/>
      <c r="H36" s="314">
        <v>0</v>
      </c>
      <c r="I36" s="619">
        <f t="shared" si="6"/>
        <v>0</v>
      </c>
      <c r="J36" s="619">
        <f t="shared" si="8"/>
        <v>0</v>
      </c>
      <c r="K36" s="300">
        <f t="shared" si="9"/>
        <v>0</v>
      </c>
      <c r="L36" s="314">
        <v>0</v>
      </c>
      <c r="M36" s="619">
        <f t="shared" si="7"/>
        <v>0</v>
      </c>
      <c r="N36" s="619">
        <f t="shared" si="10"/>
        <v>0</v>
      </c>
      <c r="O36" s="300">
        <f t="shared" si="11"/>
        <v>0</v>
      </c>
      <c r="P36" s="2"/>
      <c r="Q36" s="4"/>
      <c r="R36" s="2"/>
      <c r="S36" s="2"/>
    </row>
    <row r="37" spans="1:19" s="287" customFormat="1">
      <c r="A37" s="319">
        <f t="shared" si="2"/>
        <v>27</v>
      </c>
      <c r="B37" s="718">
        <f>'P1-Trans Plant'!B36</f>
        <v>45839</v>
      </c>
      <c r="C37" s="298">
        <f t="shared" si="3"/>
        <v>0</v>
      </c>
      <c r="D37" s="298">
        <f t="shared" si="4"/>
        <v>0</v>
      </c>
      <c r="E37" s="298">
        <f t="shared" si="5"/>
        <v>0</v>
      </c>
      <c r="F37" s="328"/>
      <c r="G37" s="319"/>
      <c r="H37" s="314">
        <v>0</v>
      </c>
      <c r="I37" s="619">
        <f t="shared" si="6"/>
        <v>0</v>
      </c>
      <c r="J37" s="619">
        <f t="shared" si="8"/>
        <v>0</v>
      </c>
      <c r="K37" s="300">
        <f t="shared" si="9"/>
        <v>0</v>
      </c>
      <c r="L37" s="314">
        <v>0</v>
      </c>
      <c r="M37" s="619">
        <f t="shared" si="7"/>
        <v>0</v>
      </c>
      <c r="N37" s="619">
        <f t="shared" si="10"/>
        <v>0</v>
      </c>
      <c r="O37" s="300">
        <f t="shared" si="11"/>
        <v>0</v>
      </c>
      <c r="P37" s="2"/>
      <c r="Q37" s="4"/>
      <c r="R37" s="2"/>
      <c r="S37" s="2"/>
    </row>
    <row r="38" spans="1:19" s="287" customFormat="1">
      <c r="A38" s="319">
        <f t="shared" si="2"/>
        <v>28</v>
      </c>
      <c r="B38" s="718">
        <f>'P1-Trans Plant'!B37</f>
        <v>45870</v>
      </c>
      <c r="C38" s="298">
        <f t="shared" si="3"/>
        <v>0</v>
      </c>
      <c r="D38" s="298">
        <f t="shared" si="4"/>
        <v>0</v>
      </c>
      <c r="E38" s="298">
        <f t="shared" si="5"/>
        <v>0</v>
      </c>
      <c r="F38" s="328"/>
      <c r="G38" s="319"/>
      <c r="H38" s="314">
        <v>0</v>
      </c>
      <c r="I38" s="619">
        <f t="shared" si="6"/>
        <v>0</v>
      </c>
      <c r="J38" s="619">
        <f t="shared" si="8"/>
        <v>0</v>
      </c>
      <c r="K38" s="300">
        <f t="shared" si="9"/>
        <v>0</v>
      </c>
      <c r="L38" s="314">
        <v>0</v>
      </c>
      <c r="M38" s="619">
        <f t="shared" si="7"/>
        <v>0</v>
      </c>
      <c r="N38" s="619">
        <f t="shared" si="10"/>
        <v>0</v>
      </c>
      <c r="O38" s="300">
        <f t="shared" si="11"/>
        <v>0</v>
      </c>
      <c r="P38" s="2"/>
      <c r="Q38" s="4"/>
      <c r="R38" s="2"/>
      <c r="S38" s="2"/>
    </row>
    <row r="39" spans="1:19" s="287" customFormat="1">
      <c r="A39" s="319">
        <f t="shared" si="2"/>
        <v>29</v>
      </c>
      <c r="B39" s="718">
        <f>'P1-Trans Plant'!B38</f>
        <v>45901</v>
      </c>
      <c r="C39" s="298">
        <f t="shared" si="3"/>
        <v>0</v>
      </c>
      <c r="D39" s="298">
        <f t="shared" si="4"/>
        <v>0</v>
      </c>
      <c r="E39" s="298">
        <f t="shared" si="5"/>
        <v>0</v>
      </c>
      <c r="F39" s="328"/>
      <c r="G39" s="319"/>
      <c r="H39" s="314">
        <v>0</v>
      </c>
      <c r="I39" s="619">
        <f t="shared" si="6"/>
        <v>0</v>
      </c>
      <c r="J39" s="619">
        <f t="shared" si="8"/>
        <v>0</v>
      </c>
      <c r="K39" s="300">
        <f t="shared" si="9"/>
        <v>0</v>
      </c>
      <c r="L39" s="314">
        <v>0</v>
      </c>
      <c r="M39" s="619">
        <f t="shared" si="7"/>
        <v>0</v>
      </c>
      <c r="N39" s="619">
        <f t="shared" si="10"/>
        <v>0</v>
      </c>
      <c r="O39" s="300">
        <f t="shared" si="11"/>
        <v>0</v>
      </c>
      <c r="P39" s="2"/>
      <c r="Q39" s="4"/>
      <c r="R39" s="2"/>
      <c r="S39" s="2"/>
    </row>
    <row r="40" spans="1:19" s="287" customFormat="1">
      <c r="A40" s="319">
        <f t="shared" si="2"/>
        <v>30</v>
      </c>
      <c r="B40" s="718">
        <f>'P1-Trans Plant'!B39</f>
        <v>45931</v>
      </c>
      <c r="C40" s="298">
        <f t="shared" si="3"/>
        <v>0</v>
      </c>
      <c r="D40" s="298">
        <f t="shared" si="4"/>
        <v>0</v>
      </c>
      <c r="E40" s="298">
        <f t="shared" si="5"/>
        <v>0</v>
      </c>
      <c r="F40" s="328"/>
      <c r="G40" s="319"/>
      <c r="H40" s="314">
        <v>0</v>
      </c>
      <c r="I40" s="619">
        <f t="shared" si="6"/>
        <v>0</v>
      </c>
      <c r="J40" s="619">
        <f t="shared" si="8"/>
        <v>0</v>
      </c>
      <c r="K40" s="300">
        <f t="shared" si="9"/>
        <v>0</v>
      </c>
      <c r="L40" s="314">
        <v>0</v>
      </c>
      <c r="M40" s="619">
        <f t="shared" si="7"/>
        <v>0</v>
      </c>
      <c r="N40" s="619">
        <f t="shared" si="10"/>
        <v>0</v>
      </c>
      <c r="O40" s="300">
        <f t="shared" si="11"/>
        <v>0</v>
      </c>
      <c r="P40" s="2"/>
      <c r="Q40" s="4"/>
      <c r="R40" s="2"/>
      <c r="S40" s="2"/>
    </row>
    <row r="41" spans="1:19" s="287" customFormat="1">
      <c r="A41" s="319">
        <f t="shared" si="2"/>
        <v>31</v>
      </c>
      <c r="B41" s="718">
        <f>'P1-Trans Plant'!B40</f>
        <v>45962</v>
      </c>
      <c r="C41" s="298">
        <f t="shared" si="3"/>
        <v>0</v>
      </c>
      <c r="D41" s="298">
        <f t="shared" si="4"/>
        <v>0</v>
      </c>
      <c r="E41" s="298">
        <f t="shared" si="5"/>
        <v>0</v>
      </c>
      <c r="F41" s="328"/>
      <c r="G41" s="319"/>
      <c r="H41" s="314">
        <v>0</v>
      </c>
      <c r="I41" s="619">
        <f t="shared" si="6"/>
        <v>0</v>
      </c>
      <c r="J41" s="619">
        <f t="shared" si="8"/>
        <v>0</v>
      </c>
      <c r="K41" s="300">
        <f t="shared" si="9"/>
        <v>0</v>
      </c>
      <c r="L41" s="314">
        <v>0</v>
      </c>
      <c r="M41" s="619">
        <f t="shared" si="7"/>
        <v>0</v>
      </c>
      <c r="N41" s="619">
        <f t="shared" si="10"/>
        <v>0</v>
      </c>
      <c r="O41" s="300">
        <f t="shared" si="11"/>
        <v>0</v>
      </c>
      <c r="P41" s="2"/>
      <c r="Q41" s="4"/>
      <c r="R41" s="2"/>
      <c r="S41" s="2"/>
    </row>
    <row r="42" spans="1:19" s="287" customFormat="1">
      <c r="A42" s="319">
        <f t="shared" si="2"/>
        <v>32</v>
      </c>
      <c r="B42" s="718">
        <f>'P1-Trans Plant'!B41</f>
        <v>45992</v>
      </c>
      <c r="C42" s="298">
        <f t="shared" si="3"/>
        <v>0</v>
      </c>
      <c r="D42" s="298">
        <f t="shared" si="4"/>
        <v>0</v>
      </c>
      <c r="E42" s="298">
        <f t="shared" si="5"/>
        <v>0</v>
      </c>
      <c r="F42" s="328"/>
      <c r="G42" s="319"/>
      <c r="H42" s="314">
        <v>0</v>
      </c>
      <c r="I42" s="619">
        <f t="shared" si="6"/>
        <v>0</v>
      </c>
      <c r="J42" s="619">
        <f t="shared" si="8"/>
        <v>0</v>
      </c>
      <c r="K42" s="300">
        <f t="shared" si="9"/>
        <v>0</v>
      </c>
      <c r="L42" s="314">
        <v>0</v>
      </c>
      <c r="M42" s="619">
        <f t="shared" si="7"/>
        <v>0</v>
      </c>
      <c r="N42" s="619">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5"/>
      <c r="J48" s="257"/>
      <c r="K48" s="656" t="s">
        <v>704</v>
      </c>
      <c r="L48" s="657"/>
      <c r="N48" s="257"/>
      <c r="O48" s="658" t="s">
        <v>704</v>
      </c>
      <c r="P48" s="2"/>
      <c r="Q48" s="4"/>
      <c r="R48" s="2"/>
      <c r="S48" s="2"/>
    </row>
    <row r="49" spans="1:19" s="287" customFormat="1" ht="26.4" customHeight="1">
      <c r="A49" s="296"/>
      <c r="B49" s="319"/>
      <c r="G49" s="319"/>
      <c r="H49" s="301"/>
      <c r="I49" s="867" t="s">
        <v>1178</v>
      </c>
      <c r="J49" s="867" t="s">
        <v>1179</v>
      </c>
      <c r="K49" s="864" t="s">
        <v>1180</v>
      </c>
      <c r="L49" s="865"/>
      <c r="M49" s="867" t="s">
        <v>1181</v>
      </c>
      <c r="N49" s="867" t="s">
        <v>1182</v>
      </c>
      <c r="O49" s="866" t="s">
        <v>1183</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0" customHeight="1">
      <c r="A54" s="296" t="s">
        <v>79</v>
      </c>
      <c r="B54" s="963" t="s">
        <v>1261</v>
      </c>
      <c r="C54" s="963"/>
      <c r="D54" s="963"/>
      <c r="E54" s="963"/>
      <c r="F54" s="963"/>
      <c r="G54" s="963"/>
      <c r="H54" s="963"/>
      <c r="I54" s="963"/>
      <c r="J54" s="963"/>
      <c r="K54" s="963"/>
      <c r="L54" s="963"/>
      <c r="M54" s="963"/>
      <c r="N54" s="963"/>
      <c r="O54" s="963"/>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topLeftCell="A81" zoomScale="80" zoomScaleNormal="80" workbookViewId="0">
      <selection activeCell="H84" sqref="H84"/>
    </sheetView>
  </sheetViews>
  <sheetFormatPr defaultColWidth="8.6328125" defaultRowHeight="13.2"/>
  <cols>
    <col min="1" max="1" width="5.08984375" style="565" customWidth="1"/>
    <col min="2" max="2" width="9.08984375" style="565" customWidth="1"/>
    <col min="3" max="4" width="7.54296875" style="565" customWidth="1"/>
    <col min="5" max="5" width="8.6328125" style="565" customWidth="1"/>
    <col min="6" max="6" width="7.54296875" style="565" customWidth="1"/>
    <col min="7" max="7" width="2.08984375" style="565" customWidth="1"/>
    <col min="8" max="9" width="11.453125" style="565" customWidth="1"/>
    <col min="10" max="10" width="13.453125" style="565" customWidth="1"/>
    <col min="11" max="11" width="1.453125" style="567" customWidth="1"/>
    <col min="12" max="13" width="10.08984375" style="565" bestFit="1" customWidth="1"/>
    <col min="14" max="14" width="10.6328125" style="565" bestFit="1" customWidth="1"/>
    <col min="15" max="16384" width="8.6328125" style="565"/>
  </cols>
  <sheetData>
    <row r="1" spans="1:16" s="564" customFormat="1">
      <c r="A1" s="934" t="s">
        <v>649</v>
      </c>
      <c r="B1" s="934"/>
      <c r="C1" s="934"/>
      <c r="D1" s="934"/>
      <c r="E1" s="934"/>
      <c r="F1" s="934"/>
      <c r="G1" s="934"/>
      <c r="H1" s="934"/>
      <c r="I1" s="934"/>
      <c r="J1" s="934"/>
      <c r="K1" s="934"/>
    </row>
    <row r="2" spans="1:16" s="564" customFormat="1">
      <c r="A2" s="934" t="s">
        <v>171</v>
      </c>
      <c r="B2" s="934"/>
      <c r="C2" s="934"/>
      <c r="D2" s="934"/>
      <c r="E2" s="934"/>
      <c r="F2" s="934"/>
      <c r="G2" s="934"/>
      <c r="H2" s="934"/>
      <c r="I2" s="934"/>
      <c r="J2" s="934"/>
      <c r="K2" s="934"/>
    </row>
    <row r="3" spans="1:16" s="564" customFormat="1">
      <c r="A3" s="935" t="s">
        <v>911</v>
      </c>
      <c r="B3" s="935"/>
      <c r="C3" s="935"/>
      <c r="D3" s="935"/>
      <c r="E3" s="935"/>
      <c r="F3" s="935"/>
      <c r="G3" s="935"/>
      <c r="H3" s="935"/>
      <c r="I3" s="935"/>
      <c r="J3" s="935"/>
      <c r="K3" s="935"/>
    </row>
    <row r="4" spans="1:16" s="564" customFormat="1">
      <c r="A4" s="563"/>
      <c r="B4" s="563"/>
      <c r="C4" s="563"/>
      <c r="D4" s="563"/>
      <c r="E4" s="563"/>
      <c r="F4" s="563"/>
      <c r="G4" s="563"/>
      <c r="H4" s="563"/>
      <c r="I4" s="563"/>
      <c r="J4" s="518" t="s">
        <v>724</v>
      </c>
    </row>
    <row r="5" spans="1:16">
      <c r="I5" s="566" t="s">
        <v>627</v>
      </c>
      <c r="J5" s="670">
        <v>2025</v>
      </c>
    </row>
    <row r="6" spans="1:16">
      <c r="A6" s="565">
        <v>1</v>
      </c>
      <c r="B6" s="568" t="s">
        <v>628</v>
      </c>
      <c r="H6" s="569"/>
      <c r="I6" s="569"/>
      <c r="J6" s="569"/>
      <c r="K6" s="570"/>
    </row>
    <row r="7" spans="1:16">
      <c r="A7" s="565">
        <f>+A6+1</f>
        <v>2</v>
      </c>
      <c r="B7" s="991" t="s">
        <v>629</v>
      </c>
      <c r="C7" s="992"/>
      <c r="D7" s="992"/>
      <c r="E7" s="992"/>
      <c r="F7" s="993"/>
      <c r="G7" s="571"/>
      <c r="H7" s="991" t="s">
        <v>630</v>
      </c>
      <c r="I7" s="992"/>
      <c r="J7" s="993"/>
      <c r="K7" s="570"/>
    </row>
    <row r="8" spans="1:16">
      <c r="B8" s="572" t="s">
        <v>76</v>
      </c>
      <c r="C8" s="572" t="s">
        <v>77</v>
      </c>
      <c r="D8" s="572" t="s">
        <v>78</v>
      </c>
      <c r="E8" s="572" t="s">
        <v>79</v>
      </c>
      <c r="F8" s="572" t="s">
        <v>80</v>
      </c>
      <c r="G8" s="571"/>
      <c r="H8" s="572" t="s">
        <v>81</v>
      </c>
      <c r="I8" s="572" t="s">
        <v>82</v>
      </c>
      <c r="J8" s="572" t="s">
        <v>343</v>
      </c>
      <c r="K8" s="570"/>
    </row>
    <row r="9" spans="1:16" ht="52.8">
      <c r="A9" s="565">
        <f>+A7+1</f>
        <v>3</v>
      </c>
      <c r="B9" s="573" t="s">
        <v>219</v>
      </c>
      <c r="C9" s="573" t="s">
        <v>631</v>
      </c>
      <c r="D9" s="573" t="s">
        <v>632</v>
      </c>
      <c r="E9" s="573" t="s">
        <v>633</v>
      </c>
      <c r="F9" s="573" t="s">
        <v>634</v>
      </c>
      <c r="G9" s="574"/>
      <c r="H9" s="573" t="s">
        <v>635</v>
      </c>
      <c r="I9" s="573" t="s">
        <v>636</v>
      </c>
      <c r="J9" s="573" t="s">
        <v>637</v>
      </c>
      <c r="K9" s="574"/>
    </row>
    <row r="10" spans="1:16" ht="38.1" customHeight="1">
      <c r="A10" s="565">
        <f t="shared" ref="A10:A24" si="0">+A9+1</f>
        <v>4</v>
      </c>
      <c r="C10" s="574"/>
      <c r="D10" s="574"/>
      <c r="E10" s="574"/>
      <c r="F10" s="574"/>
      <c r="G10" s="574"/>
      <c r="H10" s="574" t="s">
        <v>1187</v>
      </c>
      <c r="I10" s="574"/>
      <c r="J10" s="574"/>
      <c r="K10" s="574"/>
    </row>
    <row r="11" spans="1:16">
      <c r="A11" s="565">
        <f t="shared" si="0"/>
        <v>5</v>
      </c>
      <c r="B11" s="575" t="s">
        <v>638</v>
      </c>
      <c r="C11" s="576"/>
      <c r="D11" s="577"/>
      <c r="E11" s="577"/>
      <c r="F11" s="577"/>
      <c r="G11" s="577"/>
      <c r="H11" s="578"/>
      <c r="I11" s="578"/>
      <c r="J11" s="582">
        <v>0</v>
      </c>
      <c r="K11" s="580"/>
    </row>
    <row r="12" spans="1:16">
      <c r="A12" s="565">
        <f t="shared" si="0"/>
        <v>6</v>
      </c>
      <c r="B12" s="576" t="s">
        <v>146</v>
      </c>
      <c r="C12" s="581">
        <v>31</v>
      </c>
      <c r="D12" s="545">
        <f>E12-C12</f>
        <v>334</v>
      </c>
      <c r="E12" s="671">
        <v>365</v>
      </c>
      <c r="F12" s="516">
        <f>IF(E12=0,0,D12/E12)</f>
        <v>0.91506849315068495</v>
      </c>
      <c r="G12" s="512"/>
      <c r="H12" s="160">
        <f>-H152*'Proj Att-H'!D239</f>
        <v>-24940.279396249247</v>
      </c>
      <c r="I12" s="543">
        <f>+H12*F12</f>
        <v>-22822.063885882872</v>
      </c>
      <c r="J12" s="543">
        <f t="shared" ref="J12:J23" si="1">+I12+J11</f>
        <v>-22822.063885882872</v>
      </c>
      <c r="K12" s="580"/>
      <c r="O12" s="601"/>
      <c r="P12" s="601"/>
    </row>
    <row r="13" spans="1:16">
      <c r="A13" s="565">
        <f t="shared" si="0"/>
        <v>7</v>
      </c>
      <c r="B13" s="576" t="s">
        <v>147</v>
      </c>
      <c r="C13" s="582">
        <v>28</v>
      </c>
      <c r="D13" s="545">
        <f>D12-C13</f>
        <v>306</v>
      </c>
      <c r="E13" s="545">
        <f>$E$12</f>
        <v>365</v>
      </c>
      <c r="F13" s="516">
        <f t="shared" ref="F13:F23" si="2">IF(E13=0,0,D13/E13)</f>
        <v>0.83835616438356164</v>
      </c>
      <c r="G13" s="512"/>
      <c r="H13" s="160">
        <f>-H153*'Proj Att-H'!D239</f>
        <v>-24940.279396249247</v>
      </c>
      <c r="I13" s="543">
        <f t="shared" ref="I13:I23" si="3">+H13*F13</f>
        <v>-20908.836973293888</v>
      </c>
      <c r="J13" s="543">
        <f t="shared" si="1"/>
        <v>-43730.900859176763</v>
      </c>
      <c r="K13" s="580"/>
      <c r="O13" s="601"/>
      <c r="P13" s="601"/>
    </row>
    <row r="14" spans="1:16">
      <c r="A14" s="565">
        <f t="shared" si="0"/>
        <v>8</v>
      </c>
      <c r="B14" s="576" t="s">
        <v>397</v>
      </c>
      <c r="C14" s="581">
        <v>31</v>
      </c>
      <c r="D14" s="545">
        <f t="shared" ref="D14:D22" si="4">D13-C14</f>
        <v>275</v>
      </c>
      <c r="E14" s="545">
        <f t="shared" ref="E14:E23" si="5">$E$12</f>
        <v>365</v>
      </c>
      <c r="F14" s="516">
        <f t="shared" si="2"/>
        <v>0.75342465753424659</v>
      </c>
      <c r="G14" s="512"/>
      <c r="H14" s="160">
        <f>-H154*'Proj Att-H'!D239</f>
        <v>-24940.279396249247</v>
      </c>
      <c r="I14" s="543">
        <f t="shared" si="3"/>
        <v>-18790.621462927516</v>
      </c>
      <c r="J14" s="543">
        <f t="shared" si="1"/>
        <v>-62521.522322104283</v>
      </c>
      <c r="K14" s="580"/>
      <c r="O14" s="601"/>
      <c r="P14" s="601"/>
    </row>
    <row r="15" spans="1:16">
      <c r="A15" s="565">
        <f t="shared" si="0"/>
        <v>9</v>
      </c>
      <c r="B15" s="576" t="s">
        <v>148</v>
      </c>
      <c r="C15" s="581">
        <v>30</v>
      </c>
      <c r="D15" s="545">
        <f t="shared" si="4"/>
        <v>245</v>
      </c>
      <c r="E15" s="545">
        <f t="shared" si="5"/>
        <v>365</v>
      </c>
      <c r="F15" s="516">
        <f t="shared" si="2"/>
        <v>0.67123287671232879</v>
      </c>
      <c r="G15" s="512"/>
      <c r="H15" s="160">
        <f>-H155*'Proj Att-H'!D239</f>
        <v>-24940.279396249247</v>
      </c>
      <c r="I15" s="543">
        <f t="shared" si="3"/>
        <v>-16740.735485153604</v>
      </c>
      <c r="J15" s="543">
        <f t="shared" si="1"/>
        <v>-79262.257807257891</v>
      </c>
      <c r="K15" s="580"/>
      <c r="O15" s="601"/>
      <c r="P15" s="601"/>
    </row>
    <row r="16" spans="1:16">
      <c r="A16" s="565">
        <f t="shared" si="0"/>
        <v>10</v>
      </c>
      <c r="B16" s="576" t="s">
        <v>149</v>
      </c>
      <c r="C16" s="581">
        <v>31</v>
      </c>
      <c r="D16" s="545">
        <f t="shared" si="4"/>
        <v>214</v>
      </c>
      <c r="E16" s="545">
        <f t="shared" si="5"/>
        <v>365</v>
      </c>
      <c r="F16" s="516">
        <f t="shared" si="2"/>
        <v>0.58630136986301373</v>
      </c>
      <c r="G16" s="512"/>
      <c r="H16" s="160">
        <f>-H156*'Proj Att-H'!D239</f>
        <v>-24940.279396249247</v>
      </c>
      <c r="I16" s="543">
        <f t="shared" si="3"/>
        <v>-14622.51997478723</v>
      </c>
      <c r="J16" s="543">
        <f t="shared" si="1"/>
        <v>-93884.777782045116</v>
      </c>
      <c r="K16" s="580"/>
      <c r="O16" s="601"/>
      <c r="P16" s="601"/>
    </row>
    <row r="17" spans="1:16">
      <c r="A17" s="565">
        <f t="shared" si="0"/>
        <v>11</v>
      </c>
      <c r="B17" s="576" t="s">
        <v>150</v>
      </c>
      <c r="C17" s="581">
        <v>30</v>
      </c>
      <c r="D17" s="545">
        <f t="shared" si="4"/>
        <v>184</v>
      </c>
      <c r="E17" s="545">
        <f t="shared" si="5"/>
        <v>365</v>
      </c>
      <c r="F17" s="516">
        <f t="shared" si="2"/>
        <v>0.50410958904109593</v>
      </c>
      <c r="G17" s="512"/>
      <c r="H17" s="160">
        <f>-H157*'Proj Att-H'!D239</f>
        <v>-24940.279396249247</v>
      </c>
      <c r="I17" s="543">
        <f t="shared" si="3"/>
        <v>-12572.633997013319</v>
      </c>
      <c r="J17" s="543">
        <f t="shared" si="1"/>
        <v>-106457.41177905843</v>
      </c>
      <c r="K17" s="580"/>
      <c r="O17" s="601"/>
      <c r="P17" s="601"/>
    </row>
    <row r="18" spans="1:16">
      <c r="A18" s="565">
        <f t="shared" si="0"/>
        <v>12</v>
      </c>
      <c r="B18" s="576" t="s">
        <v>151</v>
      </c>
      <c r="C18" s="581">
        <v>31</v>
      </c>
      <c r="D18" s="545">
        <f t="shared" si="4"/>
        <v>153</v>
      </c>
      <c r="E18" s="545">
        <f t="shared" si="5"/>
        <v>365</v>
      </c>
      <c r="F18" s="516">
        <f t="shared" si="2"/>
        <v>0.41917808219178082</v>
      </c>
      <c r="G18" s="512"/>
      <c r="H18" s="160">
        <f>-H158*'Proj Att-H'!D239</f>
        <v>-24940.279396249247</v>
      </c>
      <c r="I18" s="543">
        <f t="shared" si="3"/>
        <v>-10454.418486646944</v>
      </c>
      <c r="J18" s="543">
        <f t="shared" si="1"/>
        <v>-116911.83026570537</v>
      </c>
      <c r="K18" s="580"/>
      <c r="O18" s="601"/>
      <c r="P18" s="601"/>
    </row>
    <row r="19" spans="1:16">
      <c r="A19" s="565">
        <f t="shared" si="0"/>
        <v>13</v>
      </c>
      <c r="B19" s="576" t="s">
        <v>398</v>
      </c>
      <c r="C19" s="581">
        <v>31</v>
      </c>
      <c r="D19" s="545">
        <f t="shared" si="4"/>
        <v>122</v>
      </c>
      <c r="E19" s="545">
        <f t="shared" si="5"/>
        <v>365</v>
      </c>
      <c r="F19" s="516">
        <f t="shared" si="2"/>
        <v>0.33424657534246577</v>
      </c>
      <c r="G19" s="512"/>
      <c r="H19" s="160">
        <f>-H159*'Proj Att-H'!D239</f>
        <v>-24940.279396249247</v>
      </c>
      <c r="I19" s="543">
        <f t="shared" si="3"/>
        <v>-8336.2029762805705</v>
      </c>
      <c r="J19" s="543">
        <f t="shared" si="1"/>
        <v>-125248.03324198595</v>
      </c>
      <c r="K19" s="580"/>
      <c r="O19" s="601"/>
      <c r="P19" s="601"/>
    </row>
    <row r="20" spans="1:16">
      <c r="A20" s="565">
        <f t="shared" si="0"/>
        <v>14</v>
      </c>
      <c r="B20" s="576" t="s">
        <v>152</v>
      </c>
      <c r="C20" s="581">
        <v>30</v>
      </c>
      <c r="D20" s="545">
        <f t="shared" si="4"/>
        <v>92</v>
      </c>
      <c r="E20" s="545">
        <f t="shared" si="5"/>
        <v>365</v>
      </c>
      <c r="F20" s="516">
        <f t="shared" si="2"/>
        <v>0.25205479452054796</v>
      </c>
      <c r="G20" s="512"/>
      <c r="H20" s="160">
        <f>-H160*'Proj Att-H'!D239</f>
        <v>-24940.279396249247</v>
      </c>
      <c r="I20" s="543">
        <f t="shared" si="3"/>
        <v>-6286.3169985066597</v>
      </c>
      <c r="J20" s="543">
        <f t="shared" si="1"/>
        <v>-131534.35024049261</v>
      </c>
      <c r="K20" s="580"/>
      <c r="O20" s="601"/>
      <c r="P20" s="601"/>
    </row>
    <row r="21" spans="1:16">
      <c r="A21" s="565">
        <f t="shared" si="0"/>
        <v>15</v>
      </c>
      <c r="B21" s="576" t="s">
        <v>153</v>
      </c>
      <c r="C21" s="581">
        <v>31</v>
      </c>
      <c r="D21" s="545">
        <f t="shared" si="4"/>
        <v>61</v>
      </c>
      <c r="E21" s="545">
        <f t="shared" si="5"/>
        <v>365</v>
      </c>
      <c r="F21" s="516">
        <f t="shared" si="2"/>
        <v>0.16712328767123288</v>
      </c>
      <c r="G21" s="512"/>
      <c r="H21" s="160">
        <f>-H161*'Proj Att-H'!D239</f>
        <v>-24940.279396249247</v>
      </c>
      <c r="I21" s="543">
        <f t="shared" si="3"/>
        <v>-4168.1014881402853</v>
      </c>
      <c r="J21" s="543">
        <f t="shared" si="1"/>
        <v>-135702.45172863291</v>
      </c>
      <c r="K21" s="580"/>
      <c r="O21" s="601"/>
      <c r="P21" s="601"/>
    </row>
    <row r="22" spans="1:16">
      <c r="A22" s="565">
        <f t="shared" si="0"/>
        <v>16</v>
      </c>
      <c r="B22" s="576" t="s">
        <v>154</v>
      </c>
      <c r="C22" s="581">
        <v>30</v>
      </c>
      <c r="D22" s="545">
        <f t="shared" si="4"/>
        <v>31</v>
      </c>
      <c r="E22" s="545">
        <f t="shared" si="5"/>
        <v>365</v>
      </c>
      <c r="F22" s="516">
        <f t="shared" si="2"/>
        <v>8.4931506849315067E-2</v>
      </c>
      <c r="G22" s="512"/>
      <c r="H22" s="160">
        <f>-H162*'Proj Att-H'!D239</f>
        <v>-24940.279396249247</v>
      </c>
      <c r="I22" s="543">
        <f t="shared" si="3"/>
        <v>-2118.2155103663745</v>
      </c>
      <c r="J22" s="543">
        <f t="shared" si="1"/>
        <v>-137820.66723899927</v>
      </c>
      <c r="K22" s="580"/>
      <c r="O22" s="601"/>
      <c r="P22" s="601"/>
    </row>
    <row r="23" spans="1:16">
      <c r="A23" s="565">
        <f t="shared" si="0"/>
        <v>17</v>
      </c>
      <c r="B23" s="576" t="s">
        <v>399</v>
      </c>
      <c r="C23" s="581">
        <v>31</v>
      </c>
      <c r="D23" s="545">
        <v>1</v>
      </c>
      <c r="E23" s="545">
        <f t="shared" si="5"/>
        <v>365</v>
      </c>
      <c r="F23" s="516">
        <f t="shared" si="2"/>
        <v>2.7397260273972603E-3</v>
      </c>
      <c r="G23" s="512"/>
      <c r="H23" s="160">
        <f>-H163*'Proj Att-H'!D239</f>
        <v>-24940.279396249247</v>
      </c>
      <c r="I23" s="543">
        <f t="shared" si="3"/>
        <v>-68.329532592463693</v>
      </c>
      <c r="J23" s="543">
        <f t="shared" si="1"/>
        <v>-137888.99677159174</v>
      </c>
      <c r="K23" s="580"/>
      <c r="L23" s="599"/>
      <c r="M23" s="601"/>
      <c r="N23" s="599"/>
      <c r="O23" s="601"/>
      <c r="P23" s="601"/>
    </row>
    <row r="24" spans="1:16">
      <c r="A24" s="565">
        <f t="shared" si="0"/>
        <v>18</v>
      </c>
      <c r="B24" s="583"/>
      <c r="C24" s="583" t="s">
        <v>9</v>
      </c>
      <c r="D24" s="583"/>
      <c r="E24" s="583"/>
      <c r="F24" s="584"/>
      <c r="G24" s="577"/>
      <c r="H24" s="585">
        <f>SUM(H12:H23)</f>
        <v>-299283.35275499098</v>
      </c>
      <c r="I24" s="585">
        <f>SUM(I12:I23)</f>
        <v>-137888.99677159174</v>
      </c>
      <c r="J24" s="584"/>
      <c r="K24" s="574"/>
    </row>
    <row r="25" spans="1:16">
      <c r="B25" s="586"/>
      <c r="C25" s="586"/>
      <c r="D25" s="586"/>
      <c r="E25" s="586"/>
      <c r="F25" s="587"/>
      <c r="G25" s="587"/>
      <c r="I25" s="588"/>
      <c r="J25" s="587"/>
      <c r="K25" s="574"/>
      <c r="L25" s="599"/>
    </row>
    <row r="26" spans="1:16">
      <c r="A26" s="565">
        <f>+A24+1</f>
        <v>19</v>
      </c>
      <c r="B26" s="565" t="s">
        <v>737</v>
      </c>
      <c r="F26" s="565" t="s">
        <v>1056</v>
      </c>
      <c r="G26" s="587"/>
      <c r="I26" s="587"/>
      <c r="J26" s="160">
        <f>'A3-ADIT'!E15</f>
        <v>75736193</v>
      </c>
      <c r="N26" s="735"/>
    </row>
    <row r="27" spans="1:16">
      <c r="A27" s="565">
        <f>+A26+1</f>
        <v>20</v>
      </c>
      <c r="B27" s="565" t="s">
        <v>818</v>
      </c>
      <c r="F27" s="565" t="s">
        <v>906</v>
      </c>
      <c r="G27" s="587"/>
      <c r="I27" s="587"/>
      <c r="J27" s="600">
        <f>J166*-(('Proj Att-H'!D239*'Proj Att-H'!D240)+'Proj Att-H'!D240)</f>
        <v>2171223.7446900001</v>
      </c>
    </row>
    <row r="28" spans="1:16">
      <c r="A28" s="565">
        <f t="shared" ref="A28" si="6">+A27+1</f>
        <v>21</v>
      </c>
      <c r="B28" s="565" t="s">
        <v>819</v>
      </c>
      <c r="F28" s="565" t="s">
        <v>738</v>
      </c>
      <c r="G28" s="587"/>
      <c r="I28" s="587"/>
      <c r="J28" s="600">
        <f>J26-J27</f>
        <v>73564969.255309999</v>
      </c>
    </row>
    <row r="29" spans="1:16">
      <c r="A29" s="565">
        <f>+A28+1</f>
        <v>22</v>
      </c>
      <c r="B29" s="837" t="s">
        <v>820</v>
      </c>
      <c r="F29" s="565" t="s">
        <v>739</v>
      </c>
      <c r="G29" s="587"/>
      <c r="I29" s="587"/>
      <c r="J29" s="600">
        <f>J27</f>
        <v>2171223.7446900001</v>
      </c>
    </row>
    <row r="30" spans="1:16">
      <c r="A30" s="565">
        <f>+A29+1</f>
        <v>23</v>
      </c>
      <c r="B30" s="565" t="s">
        <v>673</v>
      </c>
      <c r="F30" s="565" t="s">
        <v>685</v>
      </c>
      <c r="G30" s="587"/>
      <c r="I30" s="587"/>
      <c r="J30" s="582">
        <v>0</v>
      </c>
    </row>
    <row r="31" spans="1:16">
      <c r="A31" s="565">
        <f>+A30+1</f>
        <v>24</v>
      </c>
      <c r="B31" s="837" t="s">
        <v>817</v>
      </c>
      <c r="F31" s="565" t="s">
        <v>965</v>
      </c>
      <c r="G31" s="587"/>
      <c r="I31" s="587"/>
      <c r="J31" s="589">
        <f>J29+J30</f>
        <v>2171223.7446900001</v>
      </c>
    </row>
    <row r="32" spans="1:16">
      <c r="A32" s="565">
        <v>25</v>
      </c>
      <c r="B32" s="565" t="s">
        <v>643</v>
      </c>
      <c r="F32" s="565" t="s">
        <v>1004</v>
      </c>
      <c r="G32" s="587"/>
      <c r="I32" s="574"/>
      <c r="J32" s="590">
        <f>J23</f>
        <v>-137888.99677159174</v>
      </c>
      <c r="N32" s="735"/>
    </row>
    <row r="33" spans="1:11">
      <c r="A33" s="565">
        <v>26</v>
      </c>
      <c r="B33" s="565" t="s">
        <v>735</v>
      </c>
      <c r="F33" s="565" t="s">
        <v>1040</v>
      </c>
      <c r="J33" s="601">
        <f>J31+J32</f>
        <v>2033334.7479184084</v>
      </c>
    </row>
    <row r="34" spans="1:11">
      <c r="A34" s="565">
        <v>27</v>
      </c>
      <c r="B34" s="836" t="s">
        <v>909</v>
      </c>
      <c r="F34" s="123" t="s">
        <v>907</v>
      </c>
      <c r="J34" s="838">
        <f>'A3.1-EDIT-DDIT'!O43</f>
        <v>0.2268081492677485</v>
      </c>
    </row>
    <row r="35" spans="1:11">
      <c r="A35" s="565">
        <v>28</v>
      </c>
      <c r="B35" s="568" t="s">
        <v>652</v>
      </c>
      <c r="F35" s="565" t="s">
        <v>1041</v>
      </c>
      <c r="J35" s="608">
        <f>J33*J34</f>
        <v>461176.89101717813</v>
      </c>
    </row>
    <row r="36" spans="1:11">
      <c r="J36" s="601"/>
    </row>
    <row r="37" spans="1:11">
      <c r="J37" s="601"/>
    </row>
    <row r="38" spans="1:11" ht="15">
      <c r="A38"/>
      <c r="B38"/>
      <c r="C38"/>
      <c r="D38"/>
      <c r="E38"/>
      <c r="F38"/>
      <c r="G38"/>
      <c r="H38"/>
      <c r="I38"/>
      <c r="J38"/>
    </row>
    <row r="39" spans="1:11">
      <c r="A39" s="990" t="str">
        <f>A1</f>
        <v>Worksheet P5</v>
      </c>
      <c r="B39" s="990"/>
      <c r="C39" s="990"/>
      <c r="D39" s="990"/>
      <c r="E39" s="990"/>
      <c r="F39" s="990"/>
      <c r="G39" s="990"/>
      <c r="H39" s="990"/>
      <c r="I39" s="990"/>
      <c r="J39" s="990"/>
      <c r="K39" s="990"/>
    </row>
    <row r="40" spans="1:11">
      <c r="A40" s="990" t="str">
        <f>A2</f>
        <v>Accumulated Deferred Income Taxes</v>
      </c>
      <c r="B40" s="990"/>
      <c r="C40" s="990"/>
      <c r="D40" s="990"/>
      <c r="E40" s="990"/>
      <c r="F40" s="990"/>
      <c r="G40" s="990"/>
      <c r="H40" s="990"/>
      <c r="I40" s="990"/>
      <c r="J40" s="990"/>
      <c r="K40" s="990"/>
    </row>
    <row r="41" spans="1:11">
      <c r="A41" s="994" t="str">
        <f>A3</f>
        <v>Black Hills Colorado Electric, LLC</v>
      </c>
      <c r="B41" s="994"/>
      <c r="C41" s="994"/>
      <c r="D41" s="994"/>
      <c r="E41" s="994"/>
      <c r="F41" s="994"/>
      <c r="G41" s="994"/>
      <c r="H41" s="994"/>
      <c r="I41" s="994"/>
      <c r="J41" s="994"/>
      <c r="K41" s="994"/>
    </row>
    <row r="42" spans="1:11">
      <c r="J42" s="567" t="s">
        <v>725</v>
      </c>
    </row>
    <row r="43" spans="1:11">
      <c r="B43" s="568"/>
      <c r="J43" s="566"/>
      <c r="K43" s="592"/>
    </row>
    <row r="44" spans="1:11">
      <c r="A44" s="565">
        <f>A35+1</f>
        <v>29</v>
      </c>
      <c r="B44" s="568" t="s">
        <v>646</v>
      </c>
      <c r="H44" s="569"/>
      <c r="I44" s="569"/>
      <c r="J44" s="569"/>
    </row>
    <row r="45" spans="1:11">
      <c r="A45" s="565">
        <f>+A44+1</f>
        <v>30</v>
      </c>
      <c r="B45" s="991" t="s">
        <v>629</v>
      </c>
      <c r="C45" s="992"/>
      <c r="D45" s="992"/>
      <c r="E45" s="992"/>
      <c r="F45" s="993"/>
      <c r="G45" s="571"/>
      <c r="H45" s="991" t="s">
        <v>630</v>
      </c>
      <c r="I45" s="992"/>
      <c r="J45" s="993"/>
    </row>
    <row r="46" spans="1:11">
      <c r="B46" s="572" t="s">
        <v>76</v>
      </c>
      <c r="C46" s="572" t="s">
        <v>77</v>
      </c>
      <c r="D46" s="572" t="s">
        <v>78</v>
      </c>
      <c r="E46" s="572" t="s">
        <v>79</v>
      </c>
      <c r="F46" s="572" t="s">
        <v>80</v>
      </c>
      <c r="G46" s="571"/>
      <c r="H46" s="572" t="s">
        <v>81</v>
      </c>
      <c r="I46" s="572" t="s">
        <v>82</v>
      </c>
      <c r="J46" s="572" t="s">
        <v>343</v>
      </c>
    </row>
    <row r="47" spans="1:11" ht="52.8">
      <c r="A47" s="565">
        <f>+A45+1</f>
        <v>31</v>
      </c>
      <c r="B47" s="573" t="s">
        <v>219</v>
      </c>
      <c r="C47" s="573" t="s">
        <v>631</v>
      </c>
      <c r="D47" s="573" t="s">
        <v>632</v>
      </c>
      <c r="E47" s="573" t="s">
        <v>633</v>
      </c>
      <c r="F47" s="573" t="s">
        <v>634</v>
      </c>
      <c r="G47" s="574"/>
      <c r="H47" s="573" t="s">
        <v>635</v>
      </c>
      <c r="I47" s="573" t="s">
        <v>636</v>
      </c>
      <c r="J47" s="573" t="s">
        <v>637</v>
      </c>
    </row>
    <row r="48" spans="1:11">
      <c r="A48" s="565">
        <f t="shared" ref="A48:A62" si="7">+A47+1</f>
        <v>32</v>
      </c>
      <c r="C48" s="574"/>
      <c r="D48" s="574"/>
      <c r="E48" s="574"/>
      <c r="F48" s="574"/>
      <c r="G48" s="574"/>
      <c r="H48" s="574"/>
      <c r="I48" s="574"/>
      <c r="J48" s="574"/>
    </row>
    <row r="49" spans="1:16">
      <c r="A49" s="565">
        <f t="shared" si="7"/>
        <v>33</v>
      </c>
      <c r="B49" s="575" t="s">
        <v>638</v>
      </c>
      <c r="C49" s="576"/>
      <c r="D49" s="577"/>
      <c r="E49" s="577"/>
      <c r="F49" s="577"/>
      <c r="G49" s="577"/>
      <c r="H49" s="578"/>
      <c r="I49" s="578"/>
      <c r="J49" s="582">
        <v>0</v>
      </c>
      <c r="K49" s="593"/>
    </row>
    <row r="50" spans="1:16">
      <c r="A50" s="565">
        <f t="shared" si="7"/>
        <v>34</v>
      </c>
      <c r="B50" s="576" t="s">
        <v>146</v>
      </c>
      <c r="C50" s="600">
        <v>31</v>
      </c>
      <c r="D50" s="545">
        <f>E50-C50</f>
        <v>334</v>
      </c>
      <c r="E50" s="545">
        <f t="shared" ref="E50:E61" si="8">$E$12</f>
        <v>365</v>
      </c>
      <c r="F50" s="516">
        <f>IF(E50=0,0,D50/E50)</f>
        <v>0.91506849315068495</v>
      </c>
      <c r="G50" s="512"/>
      <c r="H50" s="579"/>
      <c r="I50" s="513">
        <f>+H50*F50</f>
        <v>0</v>
      </c>
      <c r="J50" s="513">
        <f t="shared" ref="J50:J61" si="9">+I50+J49</f>
        <v>0</v>
      </c>
      <c r="N50" s="727"/>
      <c r="O50" s="601"/>
      <c r="P50" s="601"/>
    </row>
    <row r="51" spans="1:16">
      <c r="A51" s="565">
        <f t="shared" si="7"/>
        <v>35</v>
      </c>
      <c r="B51" s="576" t="s">
        <v>147</v>
      </c>
      <c r="C51" s="545">
        <f>C13</f>
        <v>28</v>
      </c>
      <c r="D51" s="545">
        <f>D50-C51</f>
        <v>306</v>
      </c>
      <c r="E51" s="545">
        <f t="shared" si="8"/>
        <v>365</v>
      </c>
      <c r="F51" s="516">
        <f t="shared" ref="F51:F61" si="10">IF(E51=0,0,D51/E51)</f>
        <v>0.83835616438356164</v>
      </c>
      <c r="G51" s="512"/>
      <c r="H51" s="579"/>
      <c r="I51" s="513">
        <f t="shared" ref="I51:I61" si="11">+H51*F51</f>
        <v>0</v>
      </c>
      <c r="J51" s="513">
        <f t="shared" si="9"/>
        <v>0</v>
      </c>
      <c r="N51" s="727"/>
      <c r="O51" s="601"/>
      <c r="P51" s="601"/>
    </row>
    <row r="52" spans="1:16">
      <c r="A52" s="565">
        <f t="shared" si="7"/>
        <v>36</v>
      </c>
      <c r="B52" s="576" t="s">
        <v>397</v>
      </c>
      <c r="C52" s="600">
        <v>31</v>
      </c>
      <c r="D52" s="545">
        <f t="shared" ref="D52:D60" si="12">D51-C52</f>
        <v>275</v>
      </c>
      <c r="E52" s="545">
        <f t="shared" si="8"/>
        <v>365</v>
      </c>
      <c r="F52" s="516">
        <f t="shared" si="10"/>
        <v>0.75342465753424659</v>
      </c>
      <c r="G52" s="512"/>
      <c r="H52" s="579"/>
      <c r="I52" s="513">
        <f t="shared" si="11"/>
        <v>0</v>
      </c>
      <c r="J52" s="513">
        <f t="shared" si="9"/>
        <v>0</v>
      </c>
      <c r="N52" s="727"/>
      <c r="O52" s="601"/>
      <c r="P52" s="601"/>
    </row>
    <row r="53" spans="1:16">
      <c r="A53" s="565">
        <f t="shared" si="7"/>
        <v>37</v>
      </c>
      <c r="B53" s="576" t="s">
        <v>148</v>
      </c>
      <c r="C53" s="600">
        <v>30</v>
      </c>
      <c r="D53" s="545">
        <f t="shared" si="12"/>
        <v>245</v>
      </c>
      <c r="E53" s="545">
        <f t="shared" si="8"/>
        <v>365</v>
      </c>
      <c r="F53" s="516">
        <f t="shared" si="10"/>
        <v>0.67123287671232879</v>
      </c>
      <c r="G53" s="512"/>
      <c r="H53" s="579"/>
      <c r="I53" s="513">
        <f t="shared" si="11"/>
        <v>0</v>
      </c>
      <c r="J53" s="513">
        <f t="shared" si="9"/>
        <v>0</v>
      </c>
      <c r="N53" s="727"/>
      <c r="O53" s="601"/>
      <c r="P53" s="601"/>
    </row>
    <row r="54" spans="1:16">
      <c r="A54" s="565">
        <f t="shared" si="7"/>
        <v>38</v>
      </c>
      <c r="B54" s="576" t="s">
        <v>149</v>
      </c>
      <c r="C54" s="600">
        <v>31</v>
      </c>
      <c r="D54" s="545">
        <f t="shared" si="12"/>
        <v>214</v>
      </c>
      <c r="E54" s="545">
        <f t="shared" si="8"/>
        <v>365</v>
      </c>
      <c r="F54" s="516">
        <f t="shared" si="10"/>
        <v>0.58630136986301373</v>
      </c>
      <c r="G54" s="512"/>
      <c r="H54" s="579"/>
      <c r="I54" s="513">
        <f t="shared" si="11"/>
        <v>0</v>
      </c>
      <c r="J54" s="513">
        <f t="shared" si="9"/>
        <v>0</v>
      </c>
      <c r="N54" s="727"/>
      <c r="O54" s="601"/>
      <c r="P54" s="601"/>
    </row>
    <row r="55" spans="1:16">
      <c r="A55" s="565">
        <f t="shared" si="7"/>
        <v>39</v>
      </c>
      <c r="B55" s="576" t="s">
        <v>150</v>
      </c>
      <c r="C55" s="600">
        <v>30</v>
      </c>
      <c r="D55" s="545">
        <f t="shared" si="12"/>
        <v>184</v>
      </c>
      <c r="E55" s="545">
        <f t="shared" si="8"/>
        <v>365</v>
      </c>
      <c r="F55" s="516">
        <f t="shared" si="10"/>
        <v>0.50410958904109593</v>
      </c>
      <c r="G55" s="512"/>
      <c r="H55" s="579"/>
      <c r="I55" s="513">
        <f t="shared" si="11"/>
        <v>0</v>
      </c>
      <c r="J55" s="513">
        <f t="shared" si="9"/>
        <v>0</v>
      </c>
      <c r="N55" s="727"/>
      <c r="O55" s="601"/>
      <c r="P55" s="601"/>
    </row>
    <row r="56" spans="1:16">
      <c r="A56" s="565">
        <f t="shared" si="7"/>
        <v>40</v>
      </c>
      <c r="B56" s="576" t="s">
        <v>151</v>
      </c>
      <c r="C56" s="600">
        <v>31</v>
      </c>
      <c r="D56" s="545">
        <f t="shared" si="12"/>
        <v>153</v>
      </c>
      <c r="E56" s="545">
        <f t="shared" si="8"/>
        <v>365</v>
      </c>
      <c r="F56" s="516">
        <f t="shared" si="10"/>
        <v>0.41917808219178082</v>
      </c>
      <c r="G56" s="512"/>
      <c r="H56" s="579"/>
      <c r="I56" s="513">
        <f t="shared" si="11"/>
        <v>0</v>
      </c>
      <c r="J56" s="513">
        <f t="shared" si="9"/>
        <v>0</v>
      </c>
      <c r="N56" s="727"/>
      <c r="O56" s="601"/>
      <c r="P56" s="601"/>
    </row>
    <row r="57" spans="1:16">
      <c r="A57" s="565">
        <f t="shared" si="7"/>
        <v>41</v>
      </c>
      <c r="B57" s="576" t="s">
        <v>398</v>
      </c>
      <c r="C57" s="600">
        <v>31</v>
      </c>
      <c r="D57" s="545">
        <f t="shared" si="12"/>
        <v>122</v>
      </c>
      <c r="E57" s="545">
        <f t="shared" si="8"/>
        <v>365</v>
      </c>
      <c r="F57" s="516">
        <f t="shared" si="10"/>
        <v>0.33424657534246577</v>
      </c>
      <c r="G57" s="512"/>
      <c r="H57" s="579"/>
      <c r="I57" s="513">
        <f t="shared" si="11"/>
        <v>0</v>
      </c>
      <c r="J57" s="513">
        <f t="shared" si="9"/>
        <v>0</v>
      </c>
      <c r="N57" s="727"/>
      <c r="O57" s="601"/>
      <c r="P57" s="601"/>
    </row>
    <row r="58" spans="1:16">
      <c r="A58" s="565">
        <f t="shared" si="7"/>
        <v>42</v>
      </c>
      <c r="B58" s="576" t="s">
        <v>152</v>
      </c>
      <c r="C58" s="600">
        <v>30</v>
      </c>
      <c r="D58" s="545">
        <f t="shared" si="12"/>
        <v>92</v>
      </c>
      <c r="E58" s="545">
        <f t="shared" si="8"/>
        <v>365</v>
      </c>
      <c r="F58" s="516">
        <f t="shared" si="10"/>
        <v>0.25205479452054796</v>
      </c>
      <c r="G58" s="512"/>
      <c r="H58" s="579"/>
      <c r="I58" s="513">
        <f t="shared" si="11"/>
        <v>0</v>
      </c>
      <c r="J58" s="513">
        <f t="shared" si="9"/>
        <v>0</v>
      </c>
      <c r="N58" s="727"/>
      <c r="O58" s="601"/>
      <c r="P58" s="601"/>
    </row>
    <row r="59" spans="1:16">
      <c r="A59" s="565">
        <f t="shared" si="7"/>
        <v>43</v>
      </c>
      <c r="B59" s="576" t="s">
        <v>153</v>
      </c>
      <c r="C59" s="600">
        <v>31</v>
      </c>
      <c r="D59" s="545">
        <f t="shared" si="12"/>
        <v>61</v>
      </c>
      <c r="E59" s="545">
        <f t="shared" si="8"/>
        <v>365</v>
      </c>
      <c r="F59" s="516">
        <f t="shared" si="10"/>
        <v>0.16712328767123288</v>
      </c>
      <c r="G59" s="512"/>
      <c r="H59" s="579"/>
      <c r="I59" s="513">
        <f t="shared" si="11"/>
        <v>0</v>
      </c>
      <c r="J59" s="513">
        <f t="shared" si="9"/>
        <v>0</v>
      </c>
      <c r="N59" s="727"/>
      <c r="O59" s="601"/>
      <c r="P59" s="601"/>
    </row>
    <row r="60" spans="1:16">
      <c r="A60" s="565">
        <f t="shared" si="7"/>
        <v>44</v>
      </c>
      <c r="B60" s="576" t="s">
        <v>154</v>
      </c>
      <c r="C60" s="600">
        <v>30</v>
      </c>
      <c r="D60" s="545">
        <f t="shared" si="12"/>
        <v>31</v>
      </c>
      <c r="E60" s="545">
        <f t="shared" si="8"/>
        <v>365</v>
      </c>
      <c r="F60" s="516">
        <f t="shared" si="10"/>
        <v>8.4931506849315067E-2</v>
      </c>
      <c r="G60" s="512"/>
      <c r="H60" s="579"/>
      <c r="I60" s="513">
        <f t="shared" si="11"/>
        <v>0</v>
      </c>
      <c r="J60" s="513">
        <f t="shared" si="9"/>
        <v>0</v>
      </c>
      <c r="N60" s="727"/>
      <c r="O60" s="601"/>
      <c r="P60" s="601"/>
    </row>
    <row r="61" spans="1:16">
      <c r="A61" s="565">
        <f t="shared" si="7"/>
        <v>45</v>
      </c>
      <c r="B61" s="576" t="s">
        <v>399</v>
      </c>
      <c r="C61" s="600">
        <v>31</v>
      </c>
      <c r="D61" s="545">
        <v>1</v>
      </c>
      <c r="E61" s="545">
        <f t="shared" si="8"/>
        <v>365</v>
      </c>
      <c r="F61" s="516">
        <f t="shared" si="10"/>
        <v>2.7397260273972603E-3</v>
      </c>
      <c r="G61" s="512"/>
      <c r="H61" s="579"/>
      <c r="I61" s="513">
        <f t="shared" si="11"/>
        <v>0</v>
      </c>
      <c r="J61" s="513">
        <f t="shared" si="9"/>
        <v>0</v>
      </c>
      <c r="N61" s="727"/>
      <c r="O61" s="601"/>
      <c r="P61" s="601"/>
    </row>
    <row r="62" spans="1:16">
      <c r="A62" s="565">
        <f t="shared" si="7"/>
        <v>46</v>
      </c>
      <c r="B62" s="583"/>
      <c r="C62" s="583" t="s">
        <v>9</v>
      </c>
      <c r="D62" s="583"/>
      <c r="E62" s="583"/>
      <c r="F62" s="584"/>
      <c r="G62" s="577"/>
      <c r="H62" s="585">
        <f>SUM(H50:H61)</f>
        <v>0</v>
      </c>
      <c r="I62" s="585">
        <f>SUM(I50:I61)</f>
        <v>0</v>
      </c>
      <c r="J62" s="584"/>
    </row>
    <row r="63" spans="1:16">
      <c r="B63" s="586"/>
      <c r="C63" s="586"/>
      <c r="D63" s="586"/>
      <c r="E63" s="586"/>
      <c r="F63" s="587"/>
      <c r="G63" s="587"/>
      <c r="I63" s="588"/>
      <c r="J63" s="587"/>
    </row>
    <row r="64" spans="1:16">
      <c r="A64" s="565">
        <f>+A62+1</f>
        <v>47</v>
      </c>
      <c r="B64" s="565" t="s">
        <v>779</v>
      </c>
      <c r="F64" s="565" t="s">
        <v>647</v>
      </c>
      <c r="G64" s="587"/>
      <c r="I64" s="587"/>
      <c r="J64" s="582">
        <v>0</v>
      </c>
    </row>
    <row r="65" spans="1:11">
      <c r="A65" s="565">
        <f>+A64+1</f>
        <v>48</v>
      </c>
      <c r="B65" s="565" t="s">
        <v>640</v>
      </c>
      <c r="F65" s="565" t="str">
        <f>"(Line "&amp;A64&amp;" less line "&amp;A66&amp;")"</f>
        <v>(Line 47 less line 49)</v>
      </c>
      <c r="G65" s="587"/>
      <c r="I65" s="587"/>
      <c r="J65" s="589">
        <f>+J64-J66</f>
        <v>0</v>
      </c>
    </row>
    <row r="66" spans="1:11">
      <c r="A66" s="565">
        <f t="shared" ref="A66:A72" si="13">+A65+1</f>
        <v>49</v>
      </c>
      <c r="B66" s="565" t="s">
        <v>641</v>
      </c>
      <c r="F66" s="565" t="str">
        <f>"(Line "&amp;A49&amp;", Col H)"</f>
        <v>(Line 33, Col H)</v>
      </c>
      <c r="G66" s="587"/>
      <c r="I66" s="587"/>
      <c r="J66" s="578">
        <f>+J49</f>
        <v>0</v>
      </c>
    </row>
    <row r="67" spans="1:11">
      <c r="A67" s="565">
        <f t="shared" si="13"/>
        <v>50</v>
      </c>
      <c r="B67" s="565" t="s">
        <v>642</v>
      </c>
      <c r="F67" s="565" t="s">
        <v>648</v>
      </c>
      <c r="G67" s="587"/>
      <c r="I67" s="587"/>
      <c r="J67" s="582">
        <v>0</v>
      </c>
    </row>
    <row r="68" spans="1:11">
      <c r="A68" s="565">
        <f t="shared" si="13"/>
        <v>51</v>
      </c>
      <c r="B68" s="565" t="str">
        <f>+B65</f>
        <v>Less non Prorated Items</v>
      </c>
      <c r="F68" s="565" t="str">
        <f>"(Line "&amp;A67&amp;" less line "&amp;A69&amp;")"</f>
        <v>(Line 50 less line 52)</v>
      </c>
      <c r="G68" s="587"/>
      <c r="I68" s="587"/>
      <c r="J68" s="589">
        <f>+J67-J69</f>
        <v>0</v>
      </c>
    </row>
    <row r="69" spans="1:11">
      <c r="A69" s="565">
        <f t="shared" si="13"/>
        <v>52</v>
      </c>
      <c r="B69" s="565" t="s">
        <v>643</v>
      </c>
      <c r="F69" s="565" t="str">
        <f>"(Line "&amp;A61&amp;", Col H)"</f>
        <v>(Line 45, Col H)</v>
      </c>
      <c r="G69" s="587"/>
      <c r="I69" s="587"/>
      <c r="J69" s="578">
        <f>+J61</f>
        <v>0</v>
      </c>
    </row>
    <row r="70" spans="1:11">
      <c r="A70" s="565">
        <f t="shared" si="13"/>
        <v>53</v>
      </c>
      <c r="B70" s="565" t="s">
        <v>588</v>
      </c>
      <c r="F70" s="565" t="str">
        <f>"([Lines "&amp;A66&amp;" + "&amp;A69&amp;"] /2)+([Lines "&amp;A65&amp;" +"&amp;A68&amp;")/2])"</f>
        <v>([Lines 49 + 52] /2)+([Lines 48 +51)/2])</v>
      </c>
      <c r="G70" s="587"/>
      <c r="I70" s="574"/>
      <c r="J70" s="590">
        <f>(J66+J69)/2+(J65+J68)/2</f>
        <v>0</v>
      </c>
    </row>
    <row r="71" spans="1:11">
      <c r="A71" s="565">
        <f t="shared" si="13"/>
        <v>54</v>
      </c>
      <c r="B71" s="565" t="s">
        <v>1042</v>
      </c>
      <c r="G71" s="587"/>
      <c r="I71" s="574"/>
      <c r="J71" s="600">
        <v>0</v>
      </c>
    </row>
    <row r="72" spans="1:11">
      <c r="A72" s="565">
        <f t="shared" si="13"/>
        <v>55</v>
      </c>
      <c r="B72" s="565" t="s">
        <v>652</v>
      </c>
      <c r="F72" s="565" t="s">
        <v>1043</v>
      </c>
      <c r="J72" s="591">
        <f>+J70</f>
        <v>0</v>
      </c>
    </row>
    <row r="73" spans="1:11">
      <c r="A73" s="990" t="str">
        <f>A1</f>
        <v>Worksheet P5</v>
      </c>
      <c r="B73" s="990"/>
      <c r="C73" s="990"/>
      <c r="D73" s="990"/>
      <c r="E73" s="990"/>
      <c r="F73" s="990"/>
      <c r="G73" s="990"/>
      <c r="H73" s="990"/>
      <c r="I73" s="990"/>
      <c r="J73" s="990"/>
      <c r="K73" s="990"/>
    </row>
    <row r="74" spans="1:11">
      <c r="A74" s="990" t="str">
        <f>A2</f>
        <v>Accumulated Deferred Income Taxes</v>
      </c>
      <c r="B74" s="990"/>
      <c r="C74" s="990"/>
      <c r="D74" s="990"/>
      <c r="E74" s="990"/>
      <c r="F74" s="990"/>
      <c r="G74" s="990"/>
      <c r="H74" s="990"/>
      <c r="I74" s="990"/>
      <c r="J74" s="990"/>
      <c r="K74" s="990"/>
    </row>
    <row r="75" spans="1:11">
      <c r="A75" s="990" t="str">
        <f>A3</f>
        <v>Black Hills Colorado Electric, LLC</v>
      </c>
      <c r="B75" s="990"/>
      <c r="C75" s="990"/>
      <c r="D75" s="990"/>
      <c r="E75" s="990"/>
      <c r="F75" s="990"/>
      <c r="G75" s="990"/>
      <c r="H75" s="990"/>
      <c r="I75" s="990"/>
      <c r="J75" s="990"/>
      <c r="K75" s="990"/>
    </row>
    <row r="76" spans="1:11">
      <c r="A76" s="594"/>
      <c r="B76" s="594"/>
      <c r="C76" s="594"/>
      <c r="D76" s="594"/>
      <c r="E76" s="594"/>
      <c r="F76" s="594"/>
      <c r="G76" s="594"/>
      <c r="H76" s="594"/>
      <c r="I76" s="594"/>
      <c r="J76" s="567" t="s">
        <v>726</v>
      </c>
      <c r="K76" s="594"/>
    </row>
    <row r="78" spans="1:11">
      <c r="A78" s="565">
        <f>+A72+1</f>
        <v>56</v>
      </c>
      <c r="B78" s="568" t="s">
        <v>644</v>
      </c>
      <c r="H78" s="569"/>
      <c r="I78" s="569"/>
      <c r="J78" s="569"/>
    </row>
    <row r="79" spans="1:11">
      <c r="A79" s="565">
        <f>+A78+1</f>
        <v>57</v>
      </c>
      <c r="B79" s="995" t="s">
        <v>629</v>
      </c>
      <c r="C79" s="996"/>
      <c r="D79" s="996"/>
      <c r="E79" s="996"/>
      <c r="F79" s="997"/>
      <c r="G79" s="571"/>
      <c r="H79" s="991" t="s">
        <v>630</v>
      </c>
      <c r="I79" s="992"/>
      <c r="J79" s="993"/>
    </row>
    <row r="80" spans="1:11">
      <c r="B80" s="572" t="s">
        <v>76</v>
      </c>
      <c r="C80" s="572" t="s">
        <v>77</v>
      </c>
      <c r="D80" s="572" t="s">
        <v>78</v>
      </c>
      <c r="E80" s="572" t="s">
        <v>79</v>
      </c>
      <c r="F80" s="572" t="s">
        <v>80</v>
      </c>
      <c r="G80" s="571"/>
      <c r="H80" s="572" t="s">
        <v>81</v>
      </c>
      <c r="I80" s="572" t="s">
        <v>82</v>
      </c>
      <c r="J80" s="572" t="s">
        <v>343</v>
      </c>
    </row>
    <row r="81" spans="1:16" ht="52.8">
      <c r="A81" s="565">
        <f>+A79+1</f>
        <v>58</v>
      </c>
      <c r="B81" s="573" t="s">
        <v>219</v>
      </c>
      <c r="C81" s="573" t="s">
        <v>631</v>
      </c>
      <c r="D81" s="573" t="s">
        <v>632</v>
      </c>
      <c r="E81" s="573" t="s">
        <v>633</v>
      </c>
      <c r="F81" s="573" t="s">
        <v>634</v>
      </c>
      <c r="G81" s="574"/>
      <c r="H81" s="573" t="s">
        <v>635</v>
      </c>
      <c r="I81" s="573" t="s">
        <v>636</v>
      </c>
      <c r="J81" s="573" t="s">
        <v>637</v>
      </c>
    </row>
    <row r="82" spans="1:16" ht="31.35" customHeight="1">
      <c r="A82" s="565">
        <f t="shared" ref="A82:A96" si="14">+A81+1</f>
        <v>59</v>
      </c>
      <c r="C82" s="574"/>
      <c r="D82" s="574"/>
      <c r="E82" s="574"/>
      <c r="F82" s="574"/>
      <c r="G82" s="574"/>
      <c r="H82" s="574" t="s">
        <v>1186</v>
      </c>
      <c r="I82" s="574"/>
      <c r="J82" s="574"/>
      <c r="L82" s="595"/>
      <c r="M82" s="595"/>
      <c r="N82" s="595"/>
      <c r="O82" s="595"/>
      <c r="P82" s="595"/>
    </row>
    <row r="83" spans="1:16">
      <c r="A83" s="565">
        <f>+A82+1</f>
        <v>60</v>
      </c>
      <c r="B83" s="565" t="s">
        <v>641</v>
      </c>
      <c r="C83" s="576"/>
      <c r="D83" s="577"/>
      <c r="E83" s="577"/>
      <c r="F83" s="577"/>
      <c r="G83" s="577"/>
      <c r="H83" s="578"/>
      <c r="I83" s="578"/>
      <c r="J83" s="582">
        <v>0</v>
      </c>
      <c r="L83" s="596"/>
      <c r="M83" s="595"/>
      <c r="N83" s="595"/>
      <c r="O83" s="595"/>
      <c r="P83" s="595"/>
    </row>
    <row r="84" spans="1:16">
      <c r="A84" s="565">
        <f t="shared" si="14"/>
        <v>61</v>
      </c>
      <c r="B84" s="576" t="s">
        <v>146</v>
      </c>
      <c r="C84" s="600">
        <v>31</v>
      </c>
      <c r="D84" s="545">
        <f>E84-C84</f>
        <v>334</v>
      </c>
      <c r="E84" s="545">
        <f t="shared" ref="E84:E95" si="15">$E$12</f>
        <v>365</v>
      </c>
      <c r="F84" s="533">
        <f>IF(E84=0,0,D84/E84)</f>
        <v>0.91506849315068495</v>
      </c>
      <c r="G84" s="597"/>
      <c r="H84" s="160">
        <f>'P1-Trans Plant'!AA30</f>
        <v>-43649.995942007372</v>
      </c>
      <c r="I84" s="543">
        <f>+H84*F84</f>
        <v>-39942.736012686197</v>
      </c>
      <c r="J84" s="543">
        <f>+I84+J83</f>
        <v>-39942.736012686197</v>
      </c>
      <c r="L84" s="514"/>
      <c r="M84" s="515"/>
      <c r="N84" s="735"/>
      <c r="O84" s="601"/>
      <c r="P84" s="601"/>
    </row>
    <row r="85" spans="1:16">
      <c r="A85" s="565">
        <f t="shared" si="14"/>
        <v>62</v>
      </c>
      <c r="B85" s="576" t="s">
        <v>147</v>
      </c>
      <c r="C85" s="545">
        <f>C13</f>
        <v>28</v>
      </c>
      <c r="D85" s="545">
        <f>D84-C85</f>
        <v>306</v>
      </c>
      <c r="E85" s="545">
        <f t="shared" si="15"/>
        <v>365</v>
      </c>
      <c r="F85" s="533">
        <f t="shared" ref="F85:F95" si="16">IF(E85=0,0,D85/E85)</f>
        <v>0.83835616438356164</v>
      </c>
      <c r="G85" s="517"/>
      <c r="H85" s="160">
        <f>'P1-Trans Plant'!AA31</f>
        <v>-43593.2117559049</v>
      </c>
      <c r="I85" s="543">
        <f t="shared" ref="I85:I95" si="17">+H85*F85</f>
        <v>-36546.637800840821</v>
      </c>
      <c r="J85" s="543">
        <f t="shared" ref="J85:J95" si="18">+I85+J84</f>
        <v>-76489.373813527025</v>
      </c>
      <c r="K85" s="598"/>
      <c r="L85" s="514"/>
      <c r="M85" s="514"/>
      <c r="N85" s="735"/>
      <c r="O85" s="601"/>
      <c r="P85" s="601"/>
    </row>
    <row r="86" spans="1:16">
      <c r="A86" s="565">
        <f t="shared" si="14"/>
        <v>63</v>
      </c>
      <c r="B86" s="576" t="s">
        <v>397</v>
      </c>
      <c r="C86" s="600">
        <v>31</v>
      </c>
      <c r="D86" s="545">
        <f t="shared" ref="D86:D94" si="19">D85-C86</f>
        <v>275</v>
      </c>
      <c r="E86" s="545">
        <f t="shared" si="15"/>
        <v>365</v>
      </c>
      <c r="F86" s="533">
        <f t="shared" si="16"/>
        <v>0.75342465753424659</v>
      </c>
      <c r="G86" s="517"/>
      <c r="H86" s="160">
        <f>'P1-Trans Plant'!AA32</f>
        <v>-43565.942372064383</v>
      </c>
      <c r="I86" s="543">
        <f t="shared" si="17"/>
        <v>-32823.655211829333</v>
      </c>
      <c r="J86" s="543">
        <f t="shared" si="18"/>
        <v>-109313.02902535636</v>
      </c>
      <c r="L86" s="514"/>
      <c r="M86" s="514"/>
      <c r="N86" s="735"/>
      <c r="O86" s="601"/>
      <c r="P86" s="601"/>
    </row>
    <row r="87" spans="1:16">
      <c r="A87" s="565">
        <f t="shared" si="14"/>
        <v>64</v>
      </c>
      <c r="B87" s="576" t="s">
        <v>148</v>
      </c>
      <c r="C87" s="600">
        <v>30</v>
      </c>
      <c r="D87" s="545">
        <f t="shared" si="19"/>
        <v>245</v>
      </c>
      <c r="E87" s="545">
        <f t="shared" si="15"/>
        <v>365</v>
      </c>
      <c r="F87" s="533">
        <f t="shared" si="16"/>
        <v>0.67123287671232879</v>
      </c>
      <c r="G87" s="517"/>
      <c r="H87" s="160">
        <f>'P1-Trans Plant'!AA33</f>
        <v>-43446.435599466124</v>
      </c>
      <c r="I87" s="543">
        <f t="shared" si="17"/>
        <v>-29162.675950326578</v>
      </c>
      <c r="J87" s="543">
        <f t="shared" si="18"/>
        <v>-138475.70497568295</v>
      </c>
      <c r="L87" s="514"/>
      <c r="M87" s="514"/>
      <c r="N87" s="735"/>
      <c r="O87" s="601"/>
      <c r="P87" s="601"/>
    </row>
    <row r="88" spans="1:16">
      <c r="A88" s="565">
        <f t="shared" si="14"/>
        <v>65</v>
      </c>
      <c r="B88" s="576" t="s">
        <v>149</v>
      </c>
      <c r="C88" s="600">
        <v>31</v>
      </c>
      <c r="D88" s="545">
        <f t="shared" si="19"/>
        <v>214</v>
      </c>
      <c r="E88" s="545">
        <f t="shared" si="15"/>
        <v>365</v>
      </c>
      <c r="F88" s="533">
        <f t="shared" si="16"/>
        <v>0.58630136986301373</v>
      </c>
      <c r="G88" s="517"/>
      <c r="H88" s="160">
        <f>'P1-Trans Plant'!AA34</f>
        <v>-43419.166215625599</v>
      </c>
      <c r="I88" s="543">
        <f t="shared" si="17"/>
        <v>-25456.716630531173</v>
      </c>
      <c r="J88" s="543">
        <f t="shared" si="18"/>
        <v>-163932.42160621413</v>
      </c>
      <c r="L88" s="514"/>
      <c r="M88" s="514"/>
      <c r="N88" s="735"/>
      <c r="O88" s="601"/>
      <c r="P88" s="601"/>
    </row>
    <row r="89" spans="1:16">
      <c r="A89" s="565">
        <f t="shared" si="14"/>
        <v>66</v>
      </c>
      <c r="B89" s="576" t="s">
        <v>150</v>
      </c>
      <c r="C89" s="600">
        <v>30</v>
      </c>
      <c r="D89" s="545">
        <f t="shared" si="19"/>
        <v>184</v>
      </c>
      <c r="E89" s="545">
        <f t="shared" si="15"/>
        <v>365</v>
      </c>
      <c r="F89" s="533">
        <f t="shared" si="16"/>
        <v>0.50410958904109593</v>
      </c>
      <c r="G89" s="517"/>
      <c r="H89" s="160">
        <f>'P1-Trans Plant'!AA35</f>
        <v>-40864.459720711762</v>
      </c>
      <c r="I89" s="543">
        <f t="shared" si="17"/>
        <v>-20600.165996194424</v>
      </c>
      <c r="J89" s="543">
        <f t="shared" si="18"/>
        <v>-184532.58760240854</v>
      </c>
      <c r="L89" s="514"/>
      <c r="M89" s="514"/>
      <c r="N89" s="735"/>
      <c r="O89" s="601"/>
      <c r="P89" s="601"/>
    </row>
    <row r="90" spans="1:16">
      <c r="A90" s="565">
        <f t="shared" si="14"/>
        <v>67</v>
      </c>
      <c r="B90" s="576" t="s">
        <v>151</v>
      </c>
      <c r="C90" s="600">
        <v>31</v>
      </c>
      <c r="D90" s="545">
        <f t="shared" si="19"/>
        <v>153</v>
      </c>
      <c r="E90" s="545">
        <f t="shared" si="15"/>
        <v>365</v>
      </c>
      <c r="F90" s="533">
        <f t="shared" si="16"/>
        <v>0.41917808219178082</v>
      </c>
      <c r="G90" s="517"/>
      <c r="H90" s="160">
        <f>'P1-Trans Plant'!AA36</f>
        <v>-40786.091081890707</v>
      </c>
      <c r="I90" s="543">
        <f t="shared" si="17"/>
        <v>-17096.635439806243</v>
      </c>
      <c r="J90" s="543">
        <f t="shared" si="18"/>
        <v>-201629.22304221478</v>
      </c>
      <c r="L90" s="514"/>
      <c r="M90" s="514"/>
      <c r="N90" s="735"/>
      <c r="O90" s="601"/>
      <c r="P90" s="601"/>
    </row>
    <row r="91" spans="1:16">
      <c r="A91" s="565">
        <f t="shared" si="14"/>
        <v>68</v>
      </c>
      <c r="B91" s="576" t="s">
        <v>398</v>
      </c>
      <c r="C91" s="600">
        <v>31</v>
      </c>
      <c r="D91" s="545">
        <f t="shared" si="19"/>
        <v>122</v>
      </c>
      <c r="E91" s="545">
        <f t="shared" si="15"/>
        <v>365</v>
      </c>
      <c r="F91" s="533">
        <f t="shared" si="16"/>
        <v>0.33424657534246577</v>
      </c>
      <c r="G91" s="517"/>
      <c r="H91" s="160">
        <f>'P1-Trans Plant'!AA37</f>
        <v>-40725.783694927261</v>
      </c>
      <c r="I91" s="543">
        <f t="shared" si="17"/>
        <v>-13612.453728167469</v>
      </c>
      <c r="J91" s="543">
        <f t="shared" si="18"/>
        <v>-215241.67677038224</v>
      </c>
      <c r="L91" s="514"/>
      <c r="M91" s="514"/>
      <c r="N91" s="735"/>
      <c r="O91" s="601"/>
      <c r="P91" s="601"/>
    </row>
    <row r="92" spans="1:16">
      <c r="A92" s="565">
        <f t="shared" si="14"/>
        <v>69</v>
      </c>
      <c r="B92" s="576" t="s">
        <v>152</v>
      </c>
      <c r="C92" s="600">
        <v>30</v>
      </c>
      <c r="D92" s="545">
        <f t="shared" si="19"/>
        <v>92</v>
      </c>
      <c r="E92" s="545">
        <f t="shared" si="15"/>
        <v>365</v>
      </c>
      <c r="F92" s="533">
        <f t="shared" si="16"/>
        <v>0.25205479452054796</v>
      </c>
      <c r="G92" s="517"/>
      <c r="H92" s="160">
        <f>'P1-Trans Plant'!AA38</f>
        <v>-40651.9303690706</v>
      </c>
      <c r="I92" s="543">
        <f t="shared" si="17"/>
        <v>-10246.513956039713</v>
      </c>
      <c r="J92" s="543">
        <f t="shared" si="18"/>
        <v>-225488.19072642195</v>
      </c>
      <c r="L92" s="514"/>
      <c r="M92" s="514"/>
      <c r="N92" s="735"/>
      <c r="O92" s="601"/>
      <c r="P92" s="601"/>
    </row>
    <row r="93" spans="1:16">
      <c r="A93" s="565">
        <f t="shared" si="14"/>
        <v>70</v>
      </c>
      <c r="B93" s="576" t="s">
        <v>153</v>
      </c>
      <c r="C93" s="600">
        <v>31</v>
      </c>
      <c r="D93" s="545">
        <f t="shared" si="19"/>
        <v>61</v>
      </c>
      <c r="E93" s="545">
        <f t="shared" si="15"/>
        <v>365</v>
      </c>
      <c r="F93" s="533">
        <f t="shared" si="16"/>
        <v>0.16712328767123288</v>
      </c>
      <c r="G93" s="517"/>
      <c r="H93" s="160">
        <f>'P1-Trans Plant'!AA39</f>
        <v>-40560.015791356389</v>
      </c>
      <c r="I93" s="543">
        <f t="shared" si="17"/>
        <v>-6778.5231870486023</v>
      </c>
      <c r="J93" s="543">
        <f t="shared" si="18"/>
        <v>-232266.71391347056</v>
      </c>
      <c r="L93" s="514"/>
      <c r="M93" s="514"/>
      <c r="N93" s="735"/>
      <c r="O93" s="601"/>
      <c r="P93" s="601"/>
    </row>
    <row r="94" spans="1:16">
      <c r="A94" s="565">
        <f t="shared" si="14"/>
        <v>71</v>
      </c>
      <c r="B94" s="576" t="s">
        <v>154</v>
      </c>
      <c r="C94" s="600">
        <v>30</v>
      </c>
      <c r="D94" s="545">
        <f t="shared" si="19"/>
        <v>31</v>
      </c>
      <c r="E94" s="545">
        <f t="shared" si="15"/>
        <v>365</v>
      </c>
      <c r="F94" s="533">
        <f t="shared" si="16"/>
        <v>8.4931506849315067E-2</v>
      </c>
      <c r="G94" s="517"/>
      <c r="H94" s="160">
        <f>'P1-Trans Plant'!AA40</f>
        <v>-40532.74640751585</v>
      </c>
      <c r="I94" s="543">
        <f t="shared" si="17"/>
        <v>-3442.5072291314832</v>
      </c>
      <c r="J94" s="543">
        <f t="shared" si="18"/>
        <v>-235709.22114260204</v>
      </c>
      <c r="L94" s="514"/>
      <c r="M94" s="514"/>
      <c r="N94" s="735"/>
      <c r="O94" s="601"/>
      <c r="P94" s="601"/>
    </row>
    <row r="95" spans="1:16">
      <c r="A95" s="565">
        <f t="shared" si="14"/>
        <v>72</v>
      </c>
      <c r="B95" s="576" t="s">
        <v>399</v>
      </c>
      <c r="C95" s="600">
        <v>31</v>
      </c>
      <c r="D95" s="545">
        <v>1</v>
      </c>
      <c r="E95" s="545">
        <f t="shared" si="15"/>
        <v>365</v>
      </c>
      <c r="F95" s="533">
        <f t="shared" si="16"/>
        <v>2.7397260273972603E-3</v>
      </c>
      <c r="G95" s="517"/>
      <c r="H95" s="160">
        <f>'P1-Trans Plant'!AA41</f>
        <v>-40505.47702367531</v>
      </c>
      <c r="I95" s="543">
        <f t="shared" si="17"/>
        <v>-110.97390965390495</v>
      </c>
      <c r="J95" s="543">
        <f t="shared" si="18"/>
        <v>-235820.19505225593</v>
      </c>
      <c r="L95" s="514"/>
      <c r="M95" s="514"/>
      <c r="N95" s="735"/>
      <c r="O95" s="601"/>
      <c r="P95" s="601"/>
    </row>
    <row r="96" spans="1:16">
      <c r="A96" s="565">
        <f t="shared" si="14"/>
        <v>73</v>
      </c>
      <c r="B96" s="583"/>
      <c r="C96" s="583" t="s">
        <v>9</v>
      </c>
      <c r="D96" s="583"/>
      <c r="E96" s="583"/>
      <c r="F96" s="584"/>
      <c r="G96" s="577"/>
      <c r="H96" s="585">
        <f>SUM(H84:H95)</f>
        <v>-502301.25597421615</v>
      </c>
      <c r="I96" s="585">
        <f>SUM(I84:I95)</f>
        <v>-235820.19505225593</v>
      </c>
      <c r="J96" s="584"/>
      <c r="L96" s="599"/>
    </row>
    <row r="97" spans="1:16">
      <c r="B97" s="586"/>
      <c r="C97" s="586"/>
      <c r="D97" s="586"/>
      <c r="E97" s="586"/>
      <c r="F97" s="587"/>
      <c r="G97" s="577"/>
      <c r="H97" s="578"/>
      <c r="I97" s="578"/>
      <c r="J97" s="587"/>
      <c r="L97" s="599"/>
    </row>
    <row r="98" spans="1:16">
      <c r="A98" s="565">
        <f>+A96+1</f>
        <v>74</v>
      </c>
      <c r="B98" s="575" t="s">
        <v>671</v>
      </c>
      <c r="C98" s="574"/>
      <c r="D98" s="574"/>
      <c r="E98" s="574"/>
      <c r="F98" s="575" t="s">
        <v>675</v>
      </c>
      <c r="G98" s="574"/>
      <c r="H98" s="574"/>
      <c r="I98" s="574"/>
      <c r="J98" s="160">
        <f>'A3-ADIT'!E13</f>
        <v>-137999967</v>
      </c>
      <c r="L98" s="595"/>
      <c r="M98" s="595"/>
      <c r="N98" s="595"/>
      <c r="O98" s="595"/>
      <c r="P98" s="595"/>
    </row>
    <row r="99" spans="1:16">
      <c r="A99" s="565">
        <f>A98+1</f>
        <v>75</v>
      </c>
      <c r="B99" s="565" t="s">
        <v>771</v>
      </c>
      <c r="C99" s="574"/>
      <c r="D99" s="574"/>
      <c r="E99" s="574"/>
      <c r="F99" s="575" t="s">
        <v>828</v>
      </c>
      <c r="G99" s="574"/>
      <c r="H99" s="574"/>
      <c r="I99" s="574"/>
      <c r="J99" s="839">
        <f>'Proj Att-H'!G222</f>
        <v>0.25168398225195288</v>
      </c>
      <c r="L99" s="595"/>
      <c r="M99" s="595"/>
      <c r="N99" s="595"/>
      <c r="O99" s="595"/>
      <c r="P99" s="595"/>
    </row>
    <row r="100" spans="1:16">
      <c r="A100" s="565">
        <f t="shared" ref="A100:A106" si="20">+A99+1</f>
        <v>76</v>
      </c>
      <c r="B100" s="565" t="s">
        <v>672</v>
      </c>
      <c r="C100" s="574"/>
      <c r="D100" s="574"/>
      <c r="E100" s="574"/>
      <c r="F100" s="575" t="s">
        <v>1093</v>
      </c>
      <c r="G100" s="574"/>
      <c r="H100" s="574"/>
      <c r="I100" s="574"/>
      <c r="J100" s="659">
        <f>J98*J99</f>
        <v>-34732381.245198086</v>
      </c>
      <c r="L100" s="595"/>
      <c r="M100" s="595"/>
      <c r="N100" s="595"/>
      <c r="O100" s="595"/>
      <c r="P100" s="595"/>
    </row>
    <row r="101" spans="1:16">
      <c r="A101" s="565">
        <f t="shared" si="20"/>
        <v>77</v>
      </c>
      <c r="B101" s="565" t="s">
        <v>673</v>
      </c>
      <c r="C101" s="574"/>
      <c r="D101" s="574"/>
      <c r="E101" s="574"/>
      <c r="F101" s="575" t="s">
        <v>827</v>
      </c>
      <c r="G101" s="574"/>
      <c r="H101" s="574"/>
      <c r="I101" s="574"/>
      <c r="J101" s="160">
        <f>'P1-Trans Plant'!V42</f>
        <v>-356035.38893438067</v>
      </c>
      <c r="L101" s="595"/>
      <c r="M101" s="595"/>
      <c r="N101" s="595"/>
      <c r="O101" s="595"/>
      <c r="P101" s="595"/>
    </row>
    <row r="102" spans="1:16">
      <c r="A102" s="565">
        <f t="shared" si="20"/>
        <v>78</v>
      </c>
      <c r="B102" s="565" t="s">
        <v>639</v>
      </c>
      <c r="F102" s="565" t="s">
        <v>1094</v>
      </c>
      <c r="G102" s="587"/>
      <c r="I102" s="587"/>
      <c r="J102" s="600">
        <f>J100+J101</f>
        <v>-35088416.634132467</v>
      </c>
    </row>
    <row r="103" spans="1:16">
      <c r="A103" s="565">
        <f t="shared" si="20"/>
        <v>79</v>
      </c>
      <c r="B103" s="565" t="s">
        <v>643</v>
      </c>
      <c r="F103" s="565" t="str">
        <f>"(Line "&amp;A95&amp;", Col H)"</f>
        <v>(Line 72, Col H)</v>
      </c>
      <c r="G103" s="587"/>
      <c r="I103" s="587"/>
      <c r="J103" s="578">
        <f>+J95</f>
        <v>-235820.19505225593</v>
      </c>
    </row>
    <row r="104" spans="1:16">
      <c r="A104" s="565">
        <f t="shared" si="20"/>
        <v>80</v>
      </c>
      <c r="B104" s="565" t="s">
        <v>674</v>
      </c>
      <c r="F104" s="565" t="s">
        <v>1095</v>
      </c>
      <c r="G104" s="587"/>
      <c r="I104" s="574"/>
      <c r="J104" s="590">
        <f>J102+J103</f>
        <v>-35324236.829184726</v>
      </c>
      <c r="L104" s="601"/>
    </row>
    <row r="105" spans="1:16">
      <c r="A105" s="565">
        <f t="shared" si="20"/>
        <v>81</v>
      </c>
      <c r="B105" s="565" t="s">
        <v>1042</v>
      </c>
      <c r="G105" s="587"/>
      <c r="I105" s="574"/>
      <c r="J105" s="600">
        <v>0</v>
      </c>
    </row>
    <row r="106" spans="1:16">
      <c r="A106" s="565">
        <f t="shared" si="20"/>
        <v>82</v>
      </c>
      <c r="B106" s="565" t="s">
        <v>652</v>
      </c>
      <c r="F106" s="565" t="s">
        <v>1044</v>
      </c>
      <c r="J106" s="591">
        <f>+J104</f>
        <v>-35324236.829184726</v>
      </c>
    </row>
    <row r="107" spans="1:16">
      <c r="A107" s="990" t="str">
        <f>A1</f>
        <v>Worksheet P5</v>
      </c>
      <c r="B107" s="990"/>
      <c r="C107" s="990"/>
      <c r="D107" s="990"/>
      <c r="E107" s="990"/>
      <c r="F107" s="990"/>
      <c r="G107" s="990"/>
      <c r="H107" s="990"/>
      <c r="I107" s="990"/>
      <c r="J107" s="990"/>
      <c r="K107" s="990"/>
    </row>
    <row r="108" spans="1:16">
      <c r="A108" s="990" t="str">
        <f>A2</f>
        <v>Accumulated Deferred Income Taxes</v>
      </c>
      <c r="B108" s="990"/>
      <c r="C108" s="990"/>
      <c r="D108" s="990"/>
      <c r="E108" s="990"/>
      <c r="F108" s="990"/>
      <c r="G108" s="990"/>
      <c r="H108" s="990"/>
      <c r="I108" s="990"/>
      <c r="J108" s="990"/>
      <c r="K108" s="990"/>
    </row>
    <row r="109" spans="1:16">
      <c r="A109" s="990" t="str">
        <f>A3</f>
        <v>Black Hills Colorado Electric, LLC</v>
      </c>
      <c r="B109" s="990"/>
      <c r="C109" s="990"/>
      <c r="D109" s="990"/>
      <c r="E109" s="990"/>
      <c r="F109" s="990"/>
      <c r="G109" s="990"/>
      <c r="H109" s="990"/>
      <c r="I109" s="990"/>
      <c r="J109" s="990"/>
      <c r="K109" s="990"/>
    </row>
    <row r="110" spans="1:16">
      <c r="J110" s="567" t="s">
        <v>727</v>
      </c>
    </row>
    <row r="111" spans="1:16">
      <c r="A111" s="602"/>
      <c r="B111" s="602"/>
      <c r="C111" s="602"/>
      <c r="D111" s="602"/>
      <c r="E111" s="602"/>
      <c r="F111" s="602"/>
      <c r="G111" s="602"/>
      <c r="H111" s="602"/>
    </row>
    <row r="112" spans="1:16">
      <c r="A112" s="565">
        <f>A106+1</f>
        <v>83</v>
      </c>
      <c r="B112" s="568" t="s">
        <v>645</v>
      </c>
      <c r="H112" s="569"/>
      <c r="I112" s="569"/>
      <c r="J112" s="569"/>
    </row>
    <row r="113" spans="1:16">
      <c r="A113" s="565">
        <f>+A112+1</f>
        <v>84</v>
      </c>
      <c r="B113" s="991" t="s">
        <v>629</v>
      </c>
      <c r="C113" s="992"/>
      <c r="D113" s="992"/>
      <c r="E113" s="992"/>
      <c r="F113" s="993"/>
      <c r="G113" s="571"/>
      <c r="H113" s="991" t="s">
        <v>630</v>
      </c>
      <c r="I113" s="992"/>
      <c r="J113" s="993"/>
    </row>
    <row r="114" spans="1:16">
      <c r="B114" s="572" t="s">
        <v>76</v>
      </c>
      <c r="C114" s="572" t="s">
        <v>77</v>
      </c>
      <c r="D114" s="572" t="s">
        <v>78</v>
      </c>
      <c r="E114" s="572" t="s">
        <v>79</v>
      </c>
      <c r="F114" s="572" t="s">
        <v>80</v>
      </c>
      <c r="G114" s="571"/>
      <c r="H114" s="572" t="s">
        <v>81</v>
      </c>
      <c r="I114" s="572" t="s">
        <v>82</v>
      </c>
      <c r="J114" s="572" t="s">
        <v>343</v>
      </c>
    </row>
    <row r="115" spans="1:16" ht="52.8">
      <c r="A115" s="565">
        <f>+A113+1</f>
        <v>85</v>
      </c>
      <c r="B115" s="573" t="s">
        <v>219</v>
      </c>
      <c r="C115" s="573" t="s">
        <v>631</v>
      </c>
      <c r="D115" s="573" t="s">
        <v>632</v>
      </c>
      <c r="E115" s="573" t="s">
        <v>633</v>
      </c>
      <c r="F115" s="573" t="s">
        <v>634</v>
      </c>
      <c r="G115" s="574"/>
      <c r="H115" s="573" t="s">
        <v>635</v>
      </c>
      <c r="I115" s="573" t="s">
        <v>636</v>
      </c>
      <c r="J115" s="573" t="s">
        <v>637</v>
      </c>
    </row>
    <row r="116" spans="1:16">
      <c r="A116" s="565">
        <f t="shared" ref="A116:A130" si="21">+A115+1</f>
        <v>86</v>
      </c>
      <c r="C116" s="574"/>
      <c r="D116" s="574"/>
      <c r="E116" s="574"/>
      <c r="F116" s="574"/>
      <c r="G116" s="574"/>
      <c r="H116" s="574"/>
      <c r="I116" s="574"/>
      <c r="J116" s="574"/>
    </row>
    <row r="117" spans="1:16">
      <c r="A117" s="565">
        <f t="shared" si="21"/>
        <v>87</v>
      </c>
      <c r="B117" s="575" t="s">
        <v>638</v>
      </c>
      <c r="C117" s="576"/>
      <c r="D117" s="577"/>
      <c r="E117" s="577"/>
      <c r="F117" s="577"/>
      <c r="G117" s="577"/>
      <c r="H117" s="578"/>
      <c r="I117" s="578"/>
      <c r="J117" s="582">
        <v>0</v>
      </c>
    </row>
    <row r="118" spans="1:16">
      <c r="A118" s="565">
        <f t="shared" si="21"/>
        <v>88</v>
      </c>
      <c r="B118" s="576" t="s">
        <v>146</v>
      </c>
      <c r="C118" s="600">
        <v>31</v>
      </c>
      <c r="D118" s="545">
        <f>E118-C118</f>
        <v>334</v>
      </c>
      <c r="E118" s="545">
        <f t="shared" ref="E118:E129" si="22">$E$12</f>
        <v>365</v>
      </c>
      <c r="F118" s="516">
        <f>IF(E118=0,0,D118/E118)</f>
        <v>0.91506849315068495</v>
      </c>
      <c r="G118" s="512"/>
      <c r="H118" s="579">
        <v>0</v>
      </c>
      <c r="I118" s="513">
        <f>+H118*F118</f>
        <v>0</v>
      </c>
      <c r="J118" s="513">
        <f t="shared" ref="J118:J129" si="23">+I118+J117</f>
        <v>0</v>
      </c>
      <c r="O118" s="601"/>
      <c r="P118" s="601"/>
    </row>
    <row r="119" spans="1:16">
      <c r="A119" s="565">
        <f t="shared" si="21"/>
        <v>89</v>
      </c>
      <c r="B119" s="576" t="s">
        <v>147</v>
      </c>
      <c r="C119" s="545">
        <f>C13</f>
        <v>28</v>
      </c>
      <c r="D119" s="545">
        <f>D118-C119</f>
        <v>306</v>
      </c>
      <c r="E119" s="545">
        <f t="shared" si="22"/>
        <v>365</v>
      </c>
      <c r="F119" s="516">
        <f t="shared" ref="F119:F129" si="24">IF(E119=0,0,D119/E119)</f>
        <v>0.83835616438356164</v>
      </c>
      <c r="G119" s="512"/>
      <c r="H119" s="579">
        <v>0</v>
      </c>
      <c r="I119" s="513">
        <f t="shared" ref="I119:I129" si="25">+H119*F119</f>
        <v>0</v>
      </c>
      <c r="J119" s="513">
        <f t="shared" si="23"/>
        <v>0</v>
      </c>
      <c r="O119" s="601"/>
      <c r="P119" s="601"/>
    </row>
    <row r="120" spans="1:16">
      <c r="A120" s="565">
        <f t="shared" si="21"/>
        <v>90</v>
      </c>
      <c r="B120" s="576" t="s">
        <v>397</v>
      </c>
      <c r="C120" s="600">
        <v>31</v>
      </c>
      <c r="D120" s="545">
        <f t="shared" ref="D120:D128" si="26">D119-C120</f>
        <v>275</v>
      </c>
      <c r="E120" s="545">
        <f t="shared" si="22"/>
        <v>365</v>
      </c>
      <c r="F120" s="516">
        <f t="shared" si="24"/>
        <v>0.75342465753424659</v>
      </c>
      <c r="G120" s="512"/>
      <c r="H120" s="579">
        <v>0</v>
      </c>
      <c r="I120" s="513">
        <f t="shared" si="25"/>
        <v>0</v>
      </c>
      <c r="J120" s="513">
        <f t="shared" si="23"/>
        <v>0</v>
      </c>
      <c r="O120" s="601"/>
      <c r="P120" s="601"/>
    </row>
    <row r="121" spans="1:16">
      <c r="A121" s="565">
        <f t="shared" si="21"/>
        <v>91</v>
      </c>
      <c r="B121" s="576" t="s">
        <v>148</v>
      </c>
      <c r="C121" s="600">
        <v>30</v>
      </c>
      <c r="D121" s="545">
        <f t="shared" si="26"/>
        <v>245</v>
      </c>
      <c r="E121" s="545">
        <f t="shared" si="22"/>
        <v>365</v>
      </c>
      <c r="F121" s="516">
        <f t="shared" si="24"/>
        <v>0.67123287671232879</v>
      </c>
      <c r="G121" s="512"/>
      <c r="H121" s="579">
        <v>0</v>
      </c>
      <c r="I121" s="513">
        <f t="shared" si="25"/>
        <v>0</v>
      </c>
      <c r="J121" s="513">
        <f t="shared" si="23"/>
        <v>0</v>
      </c>
      <c r="O121" s="601"/>
      <c r="P121" s="601"/>
    </row>
    <row r="122" spans="1:16">
      <c r="A122" s="565">
        <f t="shared" si="21"/>
        <v>92</v>
      </c>
      <c r="B122" s="576" t="s">
        <v>149</v>
      </c>
      <c r="C122" s="600">
        <v>31</v>
      </c>
      <c r="D122" s="545">
        <f t="shared" si="26"/>
        <v>214</v>
      </c>
      <c r="E122" s="545">
        <f t="shared" si="22"/>
        <v>365</v>
      </c>
      <c r="F122" s="516">
        <f t="shared" si="24"/>
        <v>0.58630136986301373</v>
      </c>
      <c r="G122" s="512"/>
      <c r="H122" s="579">
        <v>0</v>
      </c>
      <c r="I122" s="513">
        <f t="shared" si="25"/>
        <v>0</v>
      </c>
      <c r="J122" s="513">
        <f t="shared" si="23"/>
        <v>0</v>
      </c>
      <c r="O122" s="601"/>
      <c r="P122" s="601"/>
    </row>
    <row r="123" spans="1:16">
      <c r="A123" s="565">
        <f t="shared" si="21"/>
        <v>93</v>
      </c>
      <c r="B123" s="576" t="s">
        <v>150</v>
      </c>
      <c r="C123" s="600">
        <v>30</v>
      </c>
      <c r="D123" s="545">
        <f t="shared" si="26"/>
        <v>184</v>
      </c>
      <c r="E123" s="545">
        <f t="shared" si="22"/>
        <v>365</v>
      </c>
      <c r="F123" s="516">
        <f t="shared" si="24"/>
        <v>0.50410958904109593</v>
      </c>
      <c r="G123" s="512"/>
      <c r="H123" s="579">
        <v>0</v>
      </c>
      <c r="I123" s="513">
        <f t="shared" si="25"/>
        <v>0</v>
      </c>
      <c r="J123" s="513">
        <f t="shared" si="23"/>
        <v>0</v>
      </c>
      <c r="O123" s="601"/>
      <c r="P123" s="601"/>
    </row>
    <row r="124" spans="1:16">
      <c r="A124" s="565">
        <f t="shared" si="21"/>
        <v>94</v>
      </c>
      <c r="B124" s="576" t="s">
        <v>151</v>
      </c>
      <c r="C124" s="600">
        <v>31</v>
      </c>
      <c r="D124" s="545">
        <f t="shared" si="26"/>
        <v>153</v>
      </c>
      <c r="E124" s="545">
        <f t="shared" si="22"/>
        <v>365</v>
      </c>
      <c r="F124" s="516">
        <f t="shared" si="24"/>
        <v>0.41917808219178082</v>
      </c>
      <c r="G124" s="512"/>
      <c r="H124" s="579">
        <v>0</v>
      </c>
      <c r="I124" s="513">
        <f t="shared" si="25"/>
        <v>0</v>
      </c>
      <c r="J124" s="513">
        <f t="shared" si="23"/>
        <v>0</v>
      </c>
      <c r="O124" s="601"/>
      <c r="P124" s="601"/>
    </row>
    <row r="125" spans="1:16">
      <c r="A125" s="565">
        <f t="shared" si="21"/>
        <v>95</v>
      </c>
      <c r="B125" s="576" t="s">
        <v>398</v>
      </c>
      <c r="C125" s="600">
        <v>31</v>
      </c>
      <c r="D125" s="545">
        <f t="shared" si="26"/>
        <v>122</v>
      </c>
      <c r="E125" s="545">
        <f t="shared" si="22"/>
        <v>365</v>
      </c>
      <c r="F125" s="516">
        <f t="shared" si="24"/>
        <v>0.33424657534246577</v>
      </c>
      <c r="G125" s="512"/>
      <c r="H125" s="579">
        <v>0</v>
      </c>
      <c r="I125" s="513">
        <f t="shared" si="25"/>
        <v>0</v>
      </c>
      <c r="J125" s="513">
        <f t="shared" si="23"/>
        <v>0</v>
      </c>
      <c r="O125" s="601"/>
      <c r="P125" s="601"/>
    </row>
    <row r="126" spans="1:16">
      <c r="A126" s="565">
        <f t="shared" si="21"/>
        <v>96</v>
      </c>
      <c r="B126" s="576" t="s">
        <v>152</v>
      </c>
      <c r="C126" s="600">
        <v>30</v>
      </c>
      <c r="D126" s="545">
        <f t="shared" si="26"/>
        <v>92</v>
      </c>
      <c r="E126" s="545">
        <f t="shared" si="22"/>
        <v>365</v>
      </c>
      <c r="F126" s="516">
        <f t="shared" si="24"/>
        <v>0.25205479452054796</v>
      </c>
      <c r="G126" s="512"/>
      <c r="H126" s="579">
        <v>0</v>
      </c>
      <c r="I126" s="513">
        <f t="shared" si="25"/>
        <v>0</v>
      </c>
      <c r="J126" s="513">
        <f t="shared" si="23"/>
        <v>0</v>
      </c>
      <c r="O126" s="601"/>
      <c r="P126" s="601"/>
    </row>
    <row r="127" spans="1:16">
      <c r="A127" s="565">
        <f t="shared" si="21"/>
        <v>97</v>
      </c>
      <c r="B127" s="576" t="s">
        <v>153</v>
      </c>
      <c r="C127" s="600">
        <v>31</v>
      </c>
      <c r="D127" s="545">
        <f t="shared" si="26"/>
        <v>61</v>
      </c>
      <c r="E127" s="545">
        <f t="shared" si="22"/>
        <v>365</v>
      </c>
      <c r="F127" s="516">
        <f t="shared" si="24"/>
        <v>0.16712328767123288</v>
      </c>
      <c r="G127" s="512"/>
      <c r="H127" s="579">
        <v>0</v>
      </c>
      <c r="I127" s="513">
        <f t="shared" si="25"/>
        <v>0</v>
      </c>
      <c r="J127" s="513">
        <f t="shared" si="23"/>
        <v>0</v>
      </c>
      <c r="O127" s="601"/>
      <c r="P127" s="601"/>
    </row>
    <row r="128" spans="1:16">
      <c r="A128" s="565">
        <f t="shared" si="21"/>
        <v>98</v>
      </c>
      <c r="B128" s="576" t="s">
        <v>154</v>
      </c>
      <c r="C128" s="600">
        <v>30</v>
      </c>
      <c r="D128" s="545">
        <f t="shared" si="26"/>
        <v>31</v>
      </c>
      <c r="E128" s="545">
        <f t="shared" si="22"/>
        <v>365</v>
      </c>
      <c r="F128" s="516">
        <f t="shared" si="24"/>
        <v>8.4931506849315067E-2</v>
      </c>
      <c r="G128" s="512"/>
      <c r="H128" s="579">
        <v>0</v>
      </c>
      <c r="I128" s="513">
        <f t="shared" si="25"/>
        <v>0</v>
      </c>
      <c r="J128" s="513">
        <f t="shared" si="23"/>
        <v>0</v>
      </c>
      <c r="O128" s="601"/>
      <c r="P128" s="601"/>
    </row>
    <row r="129" spans="1:16">
      <c r="A129" s="565">
        <f t="shared" si="21"/>
        <v>99</v>
      </c>
      <c r="B129" s="576" t="s">
        <v>399</v>
      </c>
      <c r="C129" s="600">
        <v>31</v>
      </c>
      <c r="D129" s="545">
        <v>1</v>
      </c>
      <c r="E129" s="545">
        <f t="shared" si="22"/>
        <v>365</v>
      </c>
      <c r="F129" s="516">
        <f t="shared" si="24"/>
        <v>2.7397260273972603E-3</v>
      </c>
      <c r="G129" s="512"/>
      <c r="H129" s="579">
        <v>0</v>
      </c>
      <c r="I129" s="513">
        <f t="shared" si="25"/>
        <v>0</v>
      </c>
      <c r="J129" s="513">
        <f t="shared" si="23"/>
        <v>0</v>
      </c>
      <c r="O129" s="601"/>
      <c r="P129" s="601"/>
    </row>
    <row r="130" spans="1:16">
      <c r="A130" s="565">
        <f t="shared" si="21"/>
        <v>100</v>
      </c>
      <c r="B130" s="583"/>
      <c r="C130" s="583" t="s">
        <v>9</v>
      </c>
      <c r="D130" s="583"/>
      <c r="E130" s="583"/>
      <c r="F130" s="584"/>
      <c r="G130" s="577"/>
      <c r="H130" s="585">
        <f>SUM(H118:H129)</f>
        <v>0</v>
      </c>
      <c r="I130" s="585">
        <f>SUM(I118:I129)</f>
        <v>0</v>
      </c>
      <c r="J130" s="584"/>
    </row>
    <row r="131" spans="1:16">
      <c r="B131" s="586"/>
      <c r="C131" s="586"/>
      <c r="D131" s="586"/>
      <c r="E131" s="586"/>
      <c r="F131" s="587"/>
      <c r="G131" s="587"/>
      <c r="I131" s="588"/>
      <c r="J131" s="587"/>
    </row>
    <row r="132" spans="1:16">
      <c r="A132" s="565">
        <f>+A130+1</f>
        <v>101</v>
      </c>
      <c r="B132" s="565" t="s">
        <v>639</v>
      </c>
      <c r="F132" s="869" t="s">
        <v>1185</v>
      </c>
      <c r="G132" s="587"/>
      <c r="I132" s="587"/>
      <c r="J132" s="160">
        <f>'A3-ADIT'!D14</f>
        <v>-70683636</v>
      </c>
      <c r="N132" s="735"/>
    </row>
    <row r="133" spans="1:16">
      <c r="A133" s="565">
        <f>+A132+1</f>
        <v>102</v>
      </c>
      <c r="B133" s="565" t="s">
        <v>640</v>
      </c>
      <c r="F133" s="565" t="str">
        <f>"(Line "&amp;A132&amp;" less line "&amp;A134&amp;")"</f>
        <v>(Line 101 less line 103)</v>
      </c>
      <c r="G133" s="587"/>
      <c r="I133" s="587"/>
      <c r="J133" s="589">
        <f>+J132-J134</f>
        <v>-70683636</v>
      </c>
    </row>
    <row r="134" spans="1:16">
      <c r="A134" s="565">
        <f t="shared" ref="A134:A140" si="27">+A133+1</f>
        <v>103</v>
      </c>
      <c r="B134" s="565" t="s">
        <v>641</v>
      </c>
      <c r="F134" s="565" t="str">
        <f>"(Line "&amp;A117&amp;", Col H)"</f>
        <v>(Line 87, Col H)</v>
      </c>
      <c r="G134" s="587"/>
      <c r="I134" s="587"/>
      <c r="J134" s="578">
        <f>+J117</f>
        <v>0</v>
      </c>
    </row>
    <row r="135" spans="1:16">
      <c r="A135" s="565">
        <f t="shared" si="27"/>
        <v>104</v>
      </c>
      <c r="B135" s="565" t="s">
        <v>642</v>
      </c>
      <c r="F135" s="565" t="s">
        <v>1046</v>
      </c>
      <c r="G135" s="587"/>
      <c r="I135" s="587"/>
      <c r="J135" s="160">
        <f>'A3-ADIT'!E14</f>
        <v>-61775900</v>
      </c>
    </row>
    <row r="136" spans="1:16">
      <c r="A136" s="565">
        <f t="shared" si="27"/>
        <v>105</v>
      </c>
      <c r="B136" s="565" t="str">
        <f>+B133</f>
        <v>Less non Prorated Items</v>
      </c>
      <c r="F136" s="565" t="str">
        <f>"(Line "&amp;A135&amp;" less line "&amp;A137&amp;")"</f>
        <v>(Line 104 less line 106)</v>
      </c>
      <c r="G136" s="587"/>
      <c r="I136" s="587"/>
      <c r="J136" s="589">
        <f>+J135-J137</f>
        <v>-61775900</v>
      </c>
    </row>
    <row r="137" spans="1:16">
      <c r="A137" s="565">
        <f t="shared" si="27"/>
        <v>106</v>
      </c>
      <c r="B137" s="565" t="s">
        <v>643</v>
      </c>
      <c r="F137" s="565" t="str">
        <f>"(Line "&amp;A129&amp;", Col H)"</f>
        <v>(Line 99, Col H)</v>
      </c>
      <c r="G137" s="587"/>
      <c r="I137" s="587"/>
      <c r="J137" s="578">
        <f>+J129</f>
        <v>0</v>
      </c>
    </row>
    <row r="138" spans="1:16">
      <c r="A138" s="565">
        <f t="shared" si="27"/>
        <v>107</v>
      </c>
      <c r="B138" s="565" t="s">
        <v>588</v>
      </c>
      <c r="F138" s="565" t="str">
        <f>"([Lines "&amp;A134&amp;" + "&amp;A137&amp;"] /2)+([Lines "&amp;A133&amp;" +"&amp;A136&amp;")/2])"</f>
        <v>([Lines 103 + 106] /2)+([Lines 102 +105)/2])</v>
      </c>
      <c r="G138" s="587"/>
      <c r="I138" s="574"/>
      <c r="J138" s="590">
        <f>(J134+J137)/2+(J133+J136)/2</f>
        <v>-66229768</v>
      </c>
    </row>
    <row r="139" spans="1:16">
      <c r="A139" s="565">
        <f t="shared" si="27"/>
        <v>108</v>
      </c>
      <c r="B139" s="565" t="s">
        <v>1042</v>
      </c>
      <c r="G139" s="587"/>
      <c r="I139" s="574"/>
      <c r="J139" s="600">
        <v>0</v>
      </c>
    </row>
    <row r="140" spans="1:16">
      <c r="A140" s="565">
        <f t="shared" si="27"/>
        <v>109</v>
      </c>
      <c r="B140" s="565" t="s">
        <v>652</v>
      </c>
      <c r="F140" s="565" t="s">
        <v>1047</v>
      </c>
      <c r="J140" s="591">
        <f>+J138</f>
        <v>-66229768</v>
      </c>
    </row>
    <row r="141" spans="1:16">
      <c r="A141" s="990" t="str">
        <f>A39</f>
        <v>Worksheet P5</v>
      </c>
      <c r="B141" s="990"/>
      <c r="C141" s="990"/>
      <c r="D141" s="990"/>
      <c r="E141" s="990"/>
      <c r="F141" s="990"/>
      <c r="G141" s="990"/>
      <c r="H141" s="990"/>
      <c r="I141" s="990"/>
      <c r="J141" s="990"/>
      <c r="K141" s="990"/>
    </row>
    <row r="142" spans="1:16">
      <c r="A142" s="990" t="str">
        <f>"Excess "&amp;A40</f>
        <v>Excess Accumulated Deferred Income Taxes</v>
      </c>
      <c r="B142" s="990"/>
      <c r="C142" s="990"/>
      <c r="D142" s="990"/>
      <c r="E142" s="990"/>
      <c r="F142" s="990"/>
      <c r="G142" s="990"/>
      <c r="H142" s="990"/>
      <c r="I142" s="990"/>
      <c r="J142" s="990"/>
      <c r="K142" s="990"/>
    </row>
    <row r="143" spans="1:16">
      <c r="A143" s="990" t="str">
        <f>A41</f>
        <v>Black Hills Colorado Electric, LLC</v>
      </c>
      <c r="B143" s="990"/>
      <c r="C143" s="990"/>
      <c r="D143" s="990"/>
      <c r="E143" s="990"/>
      <c r="F143" s="990"/>
      <c r="G143" s="990"/>
      <c r="H143" s="990"/>
      <c r="I143" s="990"/>
      <c r="J143" s="990"/>
      <c r="K143" s="990"/>
    </row>
    <row r="144" spans="1:16">
      <c r="J144" s="567" t="s">
        <v>728</v>
      </c>
    </row>
    <row r="145" spans="1:16">
      <c r="A145" s="602"/>
      <c r="B145" s="602"/>
      <c r="C145" s="602"/>
      <c r="D145" s="602"/>
      <c r="E145" s="602"/>
      <c r="F145" s="602"/>
      <c r="G145" s="602"/>
      <c r="H145" s="602"/>
    </row>
    <row r="146" spans="1:16">
      <c r="A146" s="565">
        <f>A140+1</f>
        <v>110</v>
      </c>
      <c r="B146" s="568" t="s">
        <v>835</v>
      </c>
      <c r="H146" s="569"/>
      <c r="I146" s="569"/>
      <c r="J146" s="569"/>
    </row>
    <row r="147" spans="1:16">
      <c r="A147" s="565">
        <f>+A146+1</f>
        <v>111</v>
      </c>
      <c r="B147" s="991" t="s">
        <v>629</v>
      </c>
      <c r="C147" s="992"/>
      <c r="D147" s="992"/>
      <c r="E147" s="992"/>
      <c r="F147" s="993"/>
      <c r="G147" s="571"/>
      <c r="H147" s="991" t="s">
        <v>630</v>
      </c>
      <c r="I147" s="992"/>
      <c r="J147" s="993"/>
    </row>
    <row r="148" spans="1:16">
      <c r="B148" s="572" t="s">
        <v>76</v>
      </c>
      <c r="C148" s="572" t="s">
        <v>77</v>
      </c>
      <c r="D148" s="572" t="s">
        <v>78</v>
      </c>
      <c r="E148" s="572" t="s">
        <v>79</v>
      </c>
      <c r="F148" s="572" t="s">
        <v>80</v>
      </c>
      <c r="G148" s="571"/>
      <c r="H148" s="572" t="s">
        <v>81</v>
      </c>
      <c r="I148" s="572" t="s">
        <v>82</v>
      </c>
      <c r="J148" s="572" t="s">
        <v>343</v>
      </c>
    </row>
    <row r="149" spans="1:16" ht="52.8">
      <c r="A149" s="565">
        <f>+A147+1</f>
        <v>112</v>
      </c>
      <c r="B149" s="573" t="s">
        <v>219</v>
      </c>
      <c r="C149" s="573" t="s">
        <v>631</v>
      </c>
      <c r="D149" s="573" t="s">
        <v>632</v>
      </c>
      <c r="E149" s="573" t="s">
        <v>633</v>
      </c>
      <c r="F149" s="573" t="s">
        <v>634</v>
      </c>
      <c r="G149" s="574"/>
      <c r="H149" s="573" t="s">
        <v>635</v>
      </c>
      <c r="I149" s="573" t="s">
        <v>636</v>
      </c>
      <c r="J149" s="573" t="s">
        <v>637</v>
      </c>
    </row>
    <row r="150" spans="1:16" ht="39.6">
      <c r="A150" s="565">
        <f t="shared" ref="A150:A164" si="28">+A149+1</f>
        <v>113</v>
      </c>
      <c r="C150" s="574"/>
      <c r="D150" s="574"/>
      <c r="E150" s="574"/>
      <c r="F150" s="574"/>
      <c r="G150" s="574"/>
      <c r="H150" s="868" t="s">
        <v>1184</v>
      </c>
      <c r="I150" s="574"/>
      <c r="J150" s="574"/>
    </row>
    <row r="151" spans="1:16">
      <c r="A151" s="565">
        <f t="shared" si="28"/>
        <v>114</v>
      </c>
      <c r="B151" s="575" t="s">
        <v>638</v>
      </c>
      <c r="C151" s="576"/>
      <c r="D151" s="577"/>
      <c r="E151" s="577"/>
      <c r="F151" s="577"/>
      <c r="G151" s="577"/>
      <c r="H151" s="578"/>
      <c r="I151" s="578"/>
      <c r="J151" s="579"/>
    </row>
    <row r="152" spans="1:16">
      <c r="A152" s="565">
        <f t="shared" si="28"/>
        <v>115</v>
      </c>
      <c r="B152" s="576" t="s">
        <v>146</v>
      </c>
      <c r="C152" s="600">
        <v>31</v>
      </c>
      <c r="D152" s="545">
        <f>E152-C152</f>
        <v>334</v>
      </c>
      <c r="E152" s="545">
        <f t="shared" ref="E152:E163" si="29">$E$12</f>
        <v>365</v>
      </c>
      <c r="F152" s="516">
        <f>IF(E152=0,0,D152/E152)</f>
        <v>0.91506849315068495</v>
      </c>
      <c r="G152" s="512"/>
      <c r="H152" s="160">
        <f>'A3.1-EDIT-DDIT'!$G$39/12</f>
        <v>118763.23522023451</v>
      </c>
      <c r="I152" s="513">
        <f>+H152*F152</f>
        <v>108676.49469468034</v>
      </c>
      <c r="J152" s="543">
        <f t="shared" ref="J152:J163" si="30">+I152+J151</f>
        <v>108676.49469468034</v>
      </c>
      <c r="N152" s="735"/>
      <c r="O152" s="601"/>
      <c r="P152" s="601"/>
    </row>
    <row r="153" spans="1:16">
      <c r="A153" s="565">
        <f t="shared" si="28"/>
        <v>116</v>
      </c>
      <c r="B153" s="576" t="s">
        <v>147</v>
      </c>
      <c r="C153" s="545">
        <f>C13</f>
        <v>28</v>
      </c>
      <c r="D153" s="545">
        <f>D152-C153</f>
        <v>306</v>
      </c>
      <c r="E153" s="545">
        <f t="shared" si="29"/>
        <v>365</v>
      </c>
      <c r="F153" s="516">
        <f t="shared" ref="F153:F163" si="31">IF(E153=0,0,D153/E153)</f>
        <v>0.83835616438356164</v>
      </c>
      <c r="G153" s="512"/>
      <c r="H153" s="160">
        <f>'A3.1-EDIT-DDIT'!$G$39/12</f>
        <v>118763.23522023451</v>
      </c>
      <c r="I153" s="513">
        <f t="shared" ref="I153:I163" si="32">+H153*F153</f>
        <v>99565.890349018518</v>
      </c>
      <c r="J153" s="543">
        <f t="shared" si="30"/>
        <v>208242.38504369886</v>
      </c>
      <c r="N153" s="735"/>
      <c r="O153" s="601"/>
      <c r="P153" s="601"/>
    </row>
    <row r="154" spans="1:16">
      <c r="A154" s="565">
        <f t="shared" si="28"/>
        <v>117</v>
      </c>
      <c r="B154" s="576" t="s">
        <v>397</v>
      </c>
      <c r="C154" s="600">
        <v>31</v>
      </c>
      <c r="D154" s="545">
        <f t="shared" ref="D154:D162" si="33">D153-C154</f>
        <v>275</v>
      </c>
      <c r="E154" s="545">
        <f t="shared" si="29"/>
        <v>365</v>
      </c>
      <c r="F154" s="516">
        <f t="shared" si="31"/>
        <v>0.75342465753424659</v>
      </c>
      <c r="G154" s="512"/>
      <c r="H154" s="160">
        <f>'A3.1-EDIT-DDIT'!$G$39/12</f>
        <v>118763.23522023451</v>
      </c>
      <c r="I154" s="513">
        <f t="shared" si="32"/>
        <v>89479.149823464351</v>
      </c>
      <c r="J154" s="543">
        <f t="shared" si="30"/>
        <v>297721.53486716322</v>
      </c>
      <c r="N154" s="735"/>
      <c r="O154" s="601"/>
      <c r="P154" s="601"/>
    </row>
    <row r="155" spans="1:16">
      <c r="A155" s="565">
        <f t="shared" si="28"/>
        <v>118</v>
      </c>
      <c r="B155" s="576" t="s">
        <v>148</v>
      </c>
      <c r="C155" s="600">
        <v>30</v>
      </c>
      <c r="D155" s="545">
        <f t="shared" si="33"/>
        <v>245</v>
      </c>
      <c r="E155" s="545">
        <f t="shared" si="29"/>
        <v>365</v>
      </c>
      <c r="F155" s="516">
        <f t="shared" si="31"/>
        <v>0.67123287671232879</v>
      </c>
      <c r="G155" s="512"/>
      <c r="H155" s="160">
        <f>'A3.1-EDIT-DDIT'!$G$39/12</f>
        <v>118763.23522023451</v>
      </c>
      <c r="I155" s="513">
        <f t="shared" si="32"/>
        <v>79717.788024540976</v>
      </c>
      <c r="J155" s="543">
        <f t="shared" si="30"/>
        <v>377439.32289170421</v>
      </c>
      <c r="N155" s="735"/>
      <c r="O155" s="601"/>
      <c r="P155" s="601"/>
    </row>
    <row r="156" spans="1:16">
      <c r="A156" s="565">
        <f t="shared" si="28"/>
        <v>119</v>
      </c>
      <c r="B156" s="576" t="s">
        <v>149</v>
      </c>
      <c r="C156" s="600">
        <v>31</v>
      </c>
      <c r="D156" s="545">
        <f t="shared" si="33"/>
        <v>214</v>
      </c>
      <c r="E156" s="545">
        <f t="shared" si="29"/>
        <v>365</v>
      </c>
      <c r="F156" s="516">
        <f t="shared" si="31"/>
        <v>0.58630136986301373</v>
      </c>
      <c r="G156" s="512"/>
      <c r="H156" s="160">
        <f>'A3.1-EDIT-DDIT'!$G$39/12</f>
        <v>118763.23522023451</v>
      </c>
      <c r="I156" s="513">
        <f t="shared" si="32"/>
        <v>69631.047498986809</v>
      </c>
      <c r="J156" s="543">
        <f t="shared" si="30"/>
        <v>447070.37039069104</v>
      </c>
      <c r="N156" s="735"/>
      <c r="O156" s="601"/>
      <c r="P156" s="601"/>
    </row>
    <row r="157" spans="1:16">
      <c r="A157" s="565">
        <f t="shared" si="28"/>
        <v>120</v>
      </c>
      <c r="B157" s="576" t="s">
        <v>150</v>
      </c>
      <c r="C157" s="600">
        <v>30</v>
      </c>
      <c r="D157" s="545">
        <f t="shared" si="33"/>
        <v>184</v>
      </c>
      <c r="E157" s="545">
        <f t="shared" si="29"/>
        <v>365</v>
      </c>
      <c r="F157" s="516">
        <f t="shared" si="31"/>
        <v>0.50410958904109593</v>
      </c>
      <c r="G157" s="512"/>
      <c r="H157" s="160">
        <f>'A3.1-EDIT-DDIT'!$G$39/12</f>
        <v>118763.23522023451</v>
      </c>
      <c r="I157" s="513">
        <f t="shared" si="32"/>
        <v>59869.685700063426</v>
      </c>
      <c r="J157" s="543">
        <f t="shared" si="30"/>
        <v>506940.05609075446</v>
      </c>
      <c r="N157" s="735"/>
      <c r="O157" s="601"/>
      <c r="P157" s="601"/>
    </row>
    <row r="158" spans="1:16">
      <c r="A158" s="565">
        <f t="shared" si="28"/>
        <v>121</v>
      </c>
      <c r="B158" s="576" t="s">
        <v>151</v>
      </c>
      <c r="C158" s="600">
        <v>31</v>
      </c>
      <c r="D158" s="545">
        <f t="shared" si="33"/>
        <v>153</v>
      </c>
      <c r="E158" s="545">
        <f t="shared" si="29"/>
        <v>365</v>
      </c>
      <c r="F158" s="516">
        <f t="shared" si="31"/>
        <v>0.41917808219178082</v>
      </c>
      <c r="G158" s="512"/>
      <c r="H158" s="160">
        <f>'A3.1-EDIT-DDIT'!$G$39/12</f>
        <v>118763.23522023451</v>
      </c>
      <c r="I158" s="513">
        <f t="shared" si="32"/>
        <v>49782.945174509259</v>
      </c>
      <c r="J158" s="543">
        <f t="shared" si="30"/>
        <v>556723.00126526377</v>
      </c>
      <c r="N158" s="735"/>
      <c r="O158" s="601"/>
      <c r="P158" s="601"/>
    </row>
    <row r="159" spans="1:16">
      <c r="A159" s="565">
        <f t="shared" si="28"/>
        <v>122</v>
      </c>
      <c r="B159" s="576" t="s">
        <v>398</v>
      </c>
      <c r="C159" s="600">
        <v>31</v>
      </c>
      <c r="D159" s="545">
        <f t="shared" si="33"/>
        <v>122</v>
      </c>
      <c r="E159" s="545">
        <f t="shared" si="29"/>
        <v>365</v>
      </c>
      <c r="F159" s="516">
        <f t="shared" si="31"/>
        <v>0.33424657534246577</v>
      </c>
      <c r="G159" s="512"/>
      <c r="H159" s="160">
        <f>'A3.1-EDIT-DDIT'!$G$39/12</f>
        <v>118763.23522023451</v>
      </c>
      <c r="I159" s="513">
        <f t="shared" si="32"/>
        <v>39696.204648955099</v>
      </c>
      <c r="J159" s="543">
        <f t="shared" si="30"/>
        <v>596419.20591421891</v>
      </c>
      <c r="N159" s="735"/>
      <c r="O159" s="601"/>
      <c r="P159" s="601"/>
    </row>
    <row r="160" spans="1:16">
      <c r="A160" s="565">
        <f t="shared" si="28"/>
        <v>123</v>
      </c>
      <c r="B160" s="576" t="s">
        <v>152</v>
      </c>
      <c r="C160" s="600">
        <v>30</v>
      </c>
      <c r="D160" s="545">
        <f t="shared" si="33"/>
        <v>92</v>
      </c>
      <c r="E160" s="545">
        <f t="shared" si="29"/>
        <v>365</v>
      </c>
      <c r="F160" s="516">
        <f t="shared" si="31"/>
        <v>0.25205479452054796</v>
      </c>
      <c r="G160" s="512"/>
      <c r="H160" s="160">
        <f>'A3.1-EDIT-DDIT'!$G$39/12</f>
        <v>118763.23522023451</v>
      </c>
      <c r="I160" s="513">
        <f t="shared" si="32"/>
        <v>29934.842850031713</v>
      </c>
      <c r="J160" s="543">
        <f t="shared" si="30"/>
        <v>626354.04876425059</v>
      </c>
      <c r="N160" s="735"/>
      <c r="O160" s="601"/>
      <c r="P160" s="601"/>
    </row>
    <row r="161" spans="1:16">
      <c r="A161" s="565">
        <f t="shared" si="28"/>
        <v>124</v>
      </c>
      <c r="B161" s="576" t="s">
        <v>153</v>
      </c>
      <c r="C161" s="600">
        <v>31</v>
      </c>
      <c r="D161" s="545">
        <f t="shared" si="33"/>
        <v>61</v>
      </c>
      <c r="E161" s="545">
        <f t="shared" si="29"/>
        <v>365</v>
      </c>
      <c r="F161" s="516">
        <f t="shared" si="31"/>
        <v>0.16712328767123288</v>
      </c>
      <c r="G161" s="512"/>
      <c r="H161" s="160">
        <f>'A3.1-EDIT-DDIT'!$G$39/12</f>
        <v>118763.23522023451</v>
      </c>
      <c r="I161" s="513">
        <f t="shared" si="32"/>
        <v>19848.10232447755</v>
      </c>
      <c r="J161" s="543">
        <f t="shared" si="30"/>
        <v>646202.1510887281</v>
      </c>
      <c r="N161" s="735"/>
      <c r="O161" s="601"/>
      <c r="P161" s="601"/>
    </row>
    <row r="162" spans="1:16">
      <c r="A162" s="565">
        <f t="shared" si="28"/>
        <v>125</v>
      </c>
      <c r="B162" s="576" t="s">
        <v>154</v>
      </c>
      <c r="C162" s="600">
        <v>30</v>
      </c>
      <c r="D162" s="545">
        <f t="shared" si="33"/>
        <v>31</v>
      </c>
      <c r="E162" s="545">
        <f t="shared" si="29"/>
        <v>365</v>
      </c>
      <c r="F162" s="516">
        <f t="shared" si="31"/>
        <v>8.4931506849315067E-2</v>
      </c>
      <c r="G162" s="512"/>
      <c r="H162" s="160">
        <f>'A3.1-EDIT-DDIT'!$G$39/12</f>
        <v>118763.23522023451</v>
      </c>
      <c r="I162" s="513">
        <f t="shared" si="32"/>
        <v>10086.740525554163</v>
      </c>
      <c r="J162" s="543">
        <f t="shared" si="30"/>
        <v>656288.89161428227</v>
      </c>
      <c r="N162" s="735"/>
      <c r="O162" s="601"/>
      <c r="P162" s="601"/>
    </row>
    <row r="163" spans="1:16">
      <c r="A163" s="565">
        <f t="shared" si="28"/>
        <v>126</v>
      </c>
      <c r="B163" s="576" t="s">
        <v>399</v>
      </c>
      <c r="C163" s="600">
        <v>31</v>
      </c>
      <c r="D163" s="545">
        <v>1</v>
      </c>
      <c r="E163" s="545">
        <f t="shared" si="29"/>
        <v>365</v>
      </c>
      <c r="F163" s="516">
        <f t="shared" si="31"/>
        <v>2.7397260273972603E-3</v>
      </c>
      <c r="G163" s="512"/>
      <c r="H163" s="160">
        <f>'A3.1-EDIT-DDIT'!$G$39/12</f>
        <v>118763.23522023451</v>
      </c>
      <c r="I163" s="513">
        <f t="shared" si="32"/>
        <v>325.37872663077945</v>
      </c>
      <c r="J163" s="543">
        <f t="shared" si="30"/>
        <v>656614.27034091309</v>
      </c>
      <c r="L163" s="599"/>
      <c r="N163" s="735"/>
      <c r="O163" s="601"/>
      <c r="P163" s="601"/>
    </row>
    <row r="164" spans="1:16">
      <c r="A164" s="565">
        <f t="shared" si="28"/>
        <v>127</v>
      </c>
      <c r="B164" s="583"/>
      <c r="C164" s="583" t="s">
        <v>9</v>
      </c>
      <c r="D164" s="583"/>
      <c r="E164" s="583"/>
      <c r="F164" s="584"/>
      <c r="G164" s="577"/>
      <c r="H164" s="585">
        <f>SUM(H152:H163)</f>
        <v>1425158.8226428144</v>
      </c>
      <c r="I164" s="585">
        <f>SUM(I152:I163)</f>
        <v>656614.27034091309</v>
      </c>
      <c r="J164" s="584"/>
    </row>
    <row r="165" spans="1:16">
      <c r="B165" s="586"/>
      <c r="C165" s="586"/>
      <c r="D165" s="586"/>
      <c r="E165" s="586"/>
      <c r="F165" s="587"/>
      <c r="G165" s="587"/>
      <c r="I165" s="606"/>
      <c r="J165" s="587"/>
    </row>
    <row r="166" spans="1:16">
      <c r="A166" s="565">
        <f>+A164+1</f>
        <v>128</v>
      </c>
      <c r="B166" s="565" t="s">
        <v>729</v>
      </c>
      <c r="F166" s="565" t="s">
        <v>1005</v>
      </c>
      <c r="G166" s="587"/>
      <c r="I166" s="587"/>
      <c r="J166" s="160">
        <f>'A3.1-EDIT-DDIT'!I39</f>
        <v>-39437358</v>
      </c>
      <c r="M166" s="599"/>
      <c r="N166" s="735"/>
    </row>
    <row r="167" spans="1:16">
      <c r="A167" s="565">
        <f t="shared" ref="A167:A175" si="34">+A166+1</f>
        <v>129</v>
      </c>
      <c r="B167" s="565" t="s">
        <v>673</v>
      </c>
      <c r="F167" s="565" t="s">
        <v>1006</v>
      </c>
      <c r="G167" s="587"/>
      <c r="I167" s="587"/>
      <c r="J167" s="160">
        <f>'A3.1-EDIT-DDIT'!G39</f>
        <v>1425158.8226428141</v>
      </c>
      <c r="N167" s="735"/>
    </row>
    <row r="168" spans="1:16">
      <c r="A168" s="565">
        <f t="shared" si="34"/>
        <v>130</v>
      </c>
      <c r="B168" s="565" t="s">
        <v>730</v>
      </c>
      <c r="F168" s="565" t="s">
        <v>1096</v>
      </c>
      <c r="G168" s="587"/>
      <c r="I168" s="587"/>
      <c r="J168" s="600">
        <f>J166+J167</f>
        <v>-38012199.177357189</v>
      </c>
    </row>
    <row r="169" spans="1:16">
      <c r="A169" s="565">
        <f t="shared" si="34"/>
        <v>131</v>
      </c>
      <c r="B169" s="565" t="s">
        <v>731</v>
      </c>
      <c r="F169" s="575" t="s">
        <v>1097</v>
      </c>
      <c r="G169" s="587"/>
      <c r="I169" s="587"/>
      <c r="J169" s="589">
        <f>J168</f>
        <v>-38012199.177357189</v>
      </c>
      <c r="L169" s="575"/>
    </row>
    <row r="170" spans="1:16">
      <c r="A170" s="565">
        <f t="shared" si="34"/>
        <v>132</v>
      </c>
      <c r="B170" s="565" t="s">
        <v>643</v>
      </c>
      <c r="F170" s="565" t="s">
        <v>1098</v>
      </c>
      <c r="G170" s="587"/>
      <c r="I170" s="574"/>
      <c r="J170" s="590">
        <f>J163</f>
        <v>656614.27034091309</v>
      </c>
    </row>
    <row r="171" spans="1:16">
      <c r="A171" s="565">
        <f t="shared" si="34"/>
        <v>133</v>
      </c>
      <c r="B171" s="565" t="s">
        <v>674</v>
      </c>
      <c r="F171" s="565" t="s">
        <v>1099</v>
      </c>
      <c r="G171" s="587"/>
      <c r="I171" s="574"/>
      <c r="J171" s="600">
        <f>J169+J170</f>
        <v>-37355584.907016277</v>
      </c>
    </row>
    <row r="172" spans="1:16">
      <c r="A172" s="565">
        <f t="shared" si="34"/>
        <v>134</v>
      </c>
      <c r="B172" s="565" t="s">
        <v>1042</v>
      </c>
      <c r="G172" s="587"/>
      <c r="I172" s="574"/>
      <c r="J172" s="600">
        <v>0</v>
      </c>
    </row>
    <row r="173" spans="1:16">
      <c r="A173" s="565">
        <f t="shared" si="34"/>
        <v>135</v>
      </c>
      <c r="B173" s="565" t="s">
        <v>735</v>
      </c>
      <c r="F173" s="565" t="s">
        <v>1100</v>
      </c>
      <c r="J173" s="601">
        <f>J171</f>
        <v>-37355584.907016277</v>
      </c>
    </row>
    <row r="174" spans="1:16">
      <c r="A174" s="565">
        <f t="shared" si="34"/>
        <v>136</v>
      </c>
      <c r="B174" s="836" t="s">
        <v>909</v>
      </c>
      <c r="F174" s="123" t="s">
        <v>907</v>
      </c>
      <c r="J174" s="838">
        <f>'A3.1-EDIT-DDIT'!O43</f>
        <v>0.2268081492677485</v>
      </c>
    </row>
    <row r="175" spans="1:16">
      <c r="A175" s="565">
        <f t="shared" si="34"/>
        <v>137</v>
      </c>
      <c r="B175" s="568" t="s">
        <v>652</v>
      </c>
      <c r="F175" s="565" t="s">
        <v>1048</v>
      </c>
      <c r="J175" s="591">
        <f>J173*J174</f>
        <v>-8472551.0775746014</v>
      </c>
      <c r="L175" s="599"/>
      <c r="M175" s="601"/>
      <c r="N175" s="599"/>
    </row>
    <row r="176" spans="1:16">
      <c r="J176" s="604"/>
      <c r="M176" s="599"/>
      <c r="N176" s="599"/>
    </row>
    <row r="177" spans="10:12">
      <c r="J177" s="605"/>
      <c r="L177" s="605"/>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zoomScale="80" zoomScaleNormal="80" workbookViewId="0">
      <selection activeCell="I22" sqref="I22"/>
    </sheetView>
  </sheetViews>
  <sheetFormatPr defaultColWidth="8.6328125" defaultRowHeight="13.2"/>
  <cols>
    <col min="1" max="1" width="4.089843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08984375" style="93" bestFit="1" customWidth="1"/>
    <col min="9" max="9" width="10.6328125" style="93" customWidth="1"/>
    <col min="10" max="10" width="1.453125" style="93" customWidth="1"/>
    <col min="11" max="11" width="6.54296875" style="93" customWidth="1"/>
    <col min="12" max="12" width="10.08984375" style="93" bestFit="1" customWidth="1"/>
    <col min="13" max="14" width="10.6328125" style="93" customWidth="1"/>
    <col min="15" max="15" width="9.08984375" style="93" bestFit="1" customWidth="1"/>
    <col min="16"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3" t="s">
        <v>369</v>
      </c>
      <c r="J1" s="913"/>
      <c r="K1" s="913"/>
    </row>
    <row r="2" spans="1:11">
      <c r="B2" s="62"/>
      <c r="C2" s="62"/>
      <c r="D2" s="94"/>
      <c r="E2" s="62"/>
      <c r="F2" s="62"/>
      <c r="G2" s="62"/>
      <c r="H2" s="62"/>
      <c r="I2" s="62"/>
      <c r="J2" s="912" t="s">
        <v>193</v>
      </c>
      <c r="K2" s="912"/>
    </row>
    <row r="3" spans="1:11">
      <c r="B3" s="62"/>
      <c r="D3" s="94"/>
      <c r="E3" s="62"/>
      <c r="F3" s="62"/>
      <c r="G3" s="62"/>
      <c r="H3" s="62"/>
      <c r="I3" s="62"/>
      <c r="J3" s="62"/>
      <c r="K3" s="95"/>
    </row>
    <row r="4" spans="1:11">
      <c r="B4" s="94" t="s">
        <v>0</v>
      </c>
      <c r="C4" s="68" t="s">
        <v>112</v>
      </c>
      <c r="E4" s="62"/>
      <c r="F4" s="62"/>
      <c r="G4" s="62"/>
      <c r="H4" s="62"/>
      <c r="I4" s="62"/>
      <c r="J4" s="62"/>
      <c r="K4" s="96" t="s">
        <v>1262</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30980413.184775826</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22" t="s">
        <v>10</v>
      </c>
      <c r="G12" s="922"/>
      <c r="H12" s="62"/>
      <c r="I12" s="97"/>
      <c r="J12" s="62"/>
      <c r="K12" s="62"/>
    </row>
    <row r="13" spans="1:11">
      <c r="A13" s="68">
        <v>2</v>
      </c>
      <c r="B13" s="62" t="s">
        <v>12</v>
      </c>
      <c r="C13" s="97" t="s">
        <v>496</v>
      </c>
      <c r="D13" s="160">
        <f>'A1-RevCred'!J14</f>
        <v>661.59457261062767</v>
      </c>
      <c r="E13" s="97"/>
      <c r="F13" s="105" t="s">
        <v>290</v>
      </c>
      <c r="G13" s="104">
        <v>1</v>
      </c>
      <c r="H13" s="97"/>
      <c r="I13" s="54">
        <f>+G13*D13</f>
        <v>661.59457261062767</v>
      </c>
      <c r="J13" s="62"/>
      <c r="K13" s="62"/>
    </row>
    <row r="14" spans="1:11">
      <c r="A14" s="68">
        <v>3</v>
      </c>
      <c r="B14" s="62" t="s">
        <v>102</v>
      </c>
      <c r="C14" s="97" t="s">
        <v>609</v>
      </c>
      <c r="D14" s="160">
        <f>'A1-RevCred'!F50</f>
        <v>908954</v>
      </c>
      <c r="E14" s="97"/>
      <c r="F14" s="105" t="s">
        <v>290</v>
      </c>
      <c r="G14" s="104">
        <v>1</v>
      </c>
      <c r="H14" s="97"/>
      <c r="I14" s="54">
        <f>+G14*D14</f>
        <v>908954</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909615.59457261057</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30070797.590203214</v>
      </c>
      <c r="J19" s="62"/>
      <c r="K19" s="62"/>
    </row>
    <row r="20" spans="1:11" ht="13.8" thickTop="1">
      <c r="A20" s="68"/>
      <c r="B20" s="62"/>
      <c r="C20" s="62"/>
      <c r="D20" s="107"/>
      <c r="E20" s="97"/>
      <c r="F20" s="97"/>
      <c r="G20" s="97"/>
      <c r="H20" s="97"/>
      <c r="I20" s="395"/>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377500</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2">
        <f>ROUND(I19/I22,2)</f>
        <v>79.66</v>
      </c>
      <c r="E25" s="62" t="s">
        <v>197</v>
      </c>
      <c r="F25" s="97"/>
      <c r="G25" s="97"/>
      <c r="H25" s="97"/>
      <c r="I25" s="97"/>
      <c r="J25" s="97"/>
      <c r="K25" s="62"/>
    </row>
    <row r="26" spans="1:11">
      <c r="A26" s="68">
        <v>12</v>
      </c>
      <c r="B26" s="62" t="s">
        <v>208</v>
      </c>
      <c r="C26" s="62" t="s">
        <v>603</v>
      </c>
      <c r="D26" s="712">
        <f>ROUND(D25/12,2)</f>
        <v>6.64</v>
      </c>
      <c r="E26" s="62" t="s">
        <v>198</v>
      </c>
      <c r="F26" s="97"/>
      <c r="G26" s="97"/>
      <c r="H26" s="97"/>
      <c r="I26" s="97"/>
      <c r="J26" s="97"/>
      <c r="K26" s="62"/>
    </row>
    <row r="27" spans="1:11">
      <c r="A27" s="68">
        <v>13</v>
      </c>
      <c r="B27" s="62" t="s">
        <v>209</v>
      </c>
      <c r="C27" s="62" t="s">
        <v>604</v>
      </c>
      <c r="D27" s="712">
        <f>ROUND(D25/52,2)</f>
        <v>1.53</v>
      </c>
      <c r="E27" s="62" t="s">
        <v>199</v>
      </c>
      <c r="F27" s="97"/>
      <c r="G27" s="97"/>
      <c r="H27" s="97"/>
      <c r="I27" s="97"/>
      <c r="J27" s="97"/>
      <c r="K27" s="62"/>
    </row>
    <row r="28" spans="1:11">
      <c r="A28" s="68">
        <v>14</v>
      </c>
      <c r="B28" s="62" t="s">
        <v>210</v>
      </c>
      <c r="C28" s="62" t="s">
        <v>200</v>
      </c>
      <c r="D28" s="713">
        <f>+D27/6</f>
        <v>0.255</v>
      </c>
      <c r="E28" s="62" t="s">
        <v>201</v>
      </c>
      <c r="F28" s="97"/>
      <c r="G28" s="97"/>
      <c r="H28" s="97"/>
      <c r="I28" s="97"/>
      <c r="J28" s="97"/>
      <c r="K28" s="62"/>
    </row>
    <row r="29" spans="1:11">
      <c r="A29" s="68">
        <v>15</v>
      </c>
      <c r="B29" s="62" t="s">
        <v>211</v>
      </c>
      <c r="C29" s="62" t="s">
        <v>202</v>
      </c>
      <c r="D29" s="713">
        <f>+D27/7</f>
        <v>0.21857142857142858</v>
      </c>
      <c r="E29" s="62" t="s">
        <v>201</v>
      </c>
      <c r="F29" s="97"/>
      <c r="G29" s="97"/>
      <c r="H29" s="97"/>
      <c r="I29" s="97"/>
      <c r="J29" s="97"/>
      <c r="K29" s="62"/>
    </row>
    <row r="30" spans="1:11">
      <c r="A30" s="68">
        <v>16</v>
      </c>
      <c r="B30" s="62" t="s">
        <v>212</v>
      </c>
      <c r="C30" s="62" t="s">
        <v>203</v>
      </c>
      <c r="D30" s="712">
        <f>+D28/16*1000</f>
        <v>15.9375</v>
      </c>
      <c r="E30" s="62" t="s">
        <v>668</v>
      </c>
      <c r="F30" s="97"/>
      <c r="G30" s="97"/>
      <c r="H30" s="97"/>
      <c r="I30" s="97"/>
      <c r="J30" s="97"/>
      <c r="K30" s="62"/>
    </row>
    <row r="31" spans="1:11">
      <c r="A31" s="68">
        <v>17</v>
      </c>
      <c r="B31" s="62" t="s">
        <v>213</v>
      </c>
      <c r="C31" s="62" t="s">
        <v>204</v>
      </c>
      <c r="D31" s="712">
        <f>+D29/24*1000</f>
        <v>9.1071428571428577</v>
      </c>
      <c r="E31" s="62" t="s">
        <v>668</v>
      </c>
      <c r="F31" s="97"/>
      <c r="G31" s="97"/>
      <c r="H31" s="97"/>
      <c r="I31" s="97"/>
      <c r="J31" s="97"/>
      <c r="K31" s="62"/>
    </row>
    <row r="32" spans="1:11">
      <c r="B32" s="62"/>
      <c r="C32" s="62"/>
      <c r="D32" s="94"/>
      <c r="E32" s="62"/>
      <c r="F32" s="62"/>
      <c r="G32" s="62"/>
      <c r="H32" s="62"/>
      <c r="I32" s="913" t="str">
        <f>I1</f>
        <v>Actual Attachment H</v>
      </c>
      <c r="J32" s="913"/>
      <c r="K32" s="913"/>
    </row>
    <row r="33" spans="1:11">
      <c r="B33" s="62"/>
      <c r="C33" s="62"/>
      <c r="D33" s="94"/>
      <c r="E33" s="62"/>
      <c r="F33" s="62"/>
      <c r="G33" s="62"/>
      <c r="H33" s="62"/>
      <c r="I33" s="62"/>
      <c r="J33" s="912" t="s">
        <v>194</v>
      </c>
      <c r="K33" s="912"/>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12/31/2023</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425876517.23846155</v>
      </c>
      <c r="E45" s="97"/>
      <c r="F45" s="97" t="s">
        <v>27</v>
      </c>
      <c r="G45" s="119" t="s">
        <v>2</v>
      </c>
      <c r="H45" s="97"/>
      <c r="I45" s="54">
        <v>0</v>
      </c>
      <c r="J45" s="97"/>
      <c r="K45" s="97"/>
    </row>
    <row r="46" spans="1:11">
      <c r="A46" s="68">
        <v>2</v>
      </c>
      <c r="B46" s="62" t="s">
        <v>28</v>
      </c>
      <c r="C46" s="42" t="s">
        <v>502</v>
      </c>
      <c r="D46" s="160">
        <f>'A4-Rate Base'!D23</f>
        <v>306658674.61923081</v>
      </c>
      <c r="E46" s="97"/>
      <c r="F46" s="97" t="s">
        <v>11</v>
      </c>
      <c r="G46" s="104">
        <f>$I$175</f>
        <v>0.92887970882503001</v>
      </c>
      <c r="H46" s="97"/>
      <c r="I46" s="54">
        <f>+G46*D46</f>
        <v>284849020.38898075</v>
      </c>
      <c r="J46" s="97"/>
      <c r="K46" s="97"/>
    </row>
    <row r="47" spans="1:11">
      <c r="A47" s="68">
        <v>3</v>
      </c>
      <c r="B47" s="62" t="s">
        <v>29</v>
      </c>
      <c r="C47" s="42" t="s">
        <v>503</v>
      </c>
      <c r="D47" s="160">
        <f>'A4-Rate Base'!E23</f>
        <v>426878280.09075266</v>
      </c>
      <c r="E47" s="97"/>
      <c r="F47" s="97" t="s">
        <v>27</v>
      </c>
      <c r="G47" s="119" t="s">
        <v>2</v>
      </c>
      <c r="H47" s="97"/>
      <c r="I47" s="54">
        <v>0</v>
      </c>
      <c r="J47" s="97"/>
      <c r="K47" s="97"/>
    </row>
    <row r="48" spans="1:11">
      <c r="A48" s="68">
        <v>4</v>
      </c>
      <c r="B48" s="62" t="s">
        <v>30</v>
      </c>
      <c r="C48" s="42" t="s">
        <v>1078</v>
      </c>
      <c r="D48" s="160">
        <f>'A4-Rate Base'!F23</f>
        <v>45067030.808461539</v>
      </c>
      <c r="E48" s="97"/>
      <c r="F48" s="97" t="s">
        <v>31</v>
      </c>
      <c r="G48" s="120">
        <f>$I$192</f>
        <v>0.13228055028384053</v>
      </c>
      <c r="H48" s="97"/>
      <c r="I48" s="54">
        <f>+G48*D48</f>
        <v>5961491.6350020869</v>
      </c>
      <c r="J48" s="97"/>
      <c r="K48" s="97"/>
    </row>
    <row r="49" spans="1:11">
      <c r="A49" s="68">
        <v>5</v>
      </c>
      <c r="B49" s="62" t="s">
        <v>58</v>
      </c>
      <c r="C49" s="42" t="s">
        <v>504</v>
      </c>
      <c r="D49" s="160">
        <f>'A4-Rate Base'!G23</f>
        <v>23578472.230769232</v>
      </c>
      <c r="E49" s="97"/>
      <c r="F49" s="97" t="s">
        <v>1251</v>
      </c>
      <c r="G49" s="120">
        <f>$K$196</f>
        <v>0.12947946442867816</v>
      </c>
      <c r="H49" s="97"/>
      <c r="I49" s="54">
        <f>+G49*D49</f>
        <v>3052927.9564864608</v>
      </c>
      <c r="J49" s="97"/>
      <c r="K49" s="97"/>
    </row>
    <row r="50" spans="1:11">
      <c r="A50" s="68">
        <v>6</v>
      </c>
      <c r="B50" s="62" t="s">
        <v>281</v>
      </c>
      <c r="C50" s="43" t="s">
        <v>280</v>
      </c>
      <c r="D50" s="170">
        <f>SUM(D45:D49)</f>
        <v>1228058974.9876757</v>
      </c>
      <c r="E50" s="97"/>
      <c r="F50" s="97" t="s">
        <v>32</v>
      </c>
      <c r="G50" s="104">
        <f>IF(I50&gt;0,I50/D50,0)</f>
        <v>0.23929098354858599</v>
      </c>
      <c r="H50" s="97"/>
      <c r="I50" s="170">
        <f>SUM(I45:I49)</f>
        <v>293863439.98046929</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134941928.75911841</v>
      </c>
      <c r="E53" s="97"/>
      <c r="F53" s="105" t="str">
        <f>+F45</f>
        <v>NA</v>
      </c>
      <c r="G53" s="120"/>
      <c r="H53" s="97"/>
      <c r="I53" s="54">
        <v>0</v>
      </c>
      <c r="J53" s="97"/>
      <c r="K53" s="97"/>
    </row>
    <row r="54" spans="1:11">
      <c r="A54" s="68">
        <v>8</v>
      </c>
      <c r="B54" s="123" t="str">
        <f>+B46</f>
        <v xml:space="preserve">  Transmission</v>
      </c>
      <c r="C54" s="42" t="s">
        <v>506</v>
      </c>
      <c r="D54" s="160">
        <f>'A4-Rate Base'!F46</f>
        <v>49945912.899896547</v>
      </c>
      <c r="E54" s="97"/>
      <c r="F54" s="105" t="str">
        <f t="shared" ref="F54:F57" si="0">+F46</f>
        <v>TP</v>
      </c>
      <c r="G54" s="104">
        <f>$I$175</f>
        <v>0.92887970882503001</v>
      </c>
      <c r="H54" s="97"/>
      <c r="I54" s="54">
        <f>+G54*D54</f>
        <v>46393745.031456217</v>
      </c>
      <c r="J54" s="97"/>
      <c r="K54" s="97"/>
    </row>
    <row r="55" spans="1:11">
      <c r="A55" s="68">
        <v>9</v>
      </c>
      <c r="B55" s="123" t="str">
        <f>+B47</f>
        <v xml:space="preserve">  Distribution</v>
      </c>
      <c r="C55" s="42" t="s">
        <v>507</v>
      </c>
      <c r="D55" s="160">
        <f>'A4-Rate Base'!G46</f>
        <v>160623554.79531392</v>
      </c>
      <c r="E55" s="97"/>
      <c r="F55" s="105" t="str">
        <f t="shared" si="0"/>
        <v>NA</v>
      </c>
      <c r="G55" s="120"/>
      <c r="H55" s="97"/>
      <c r="I55" s="54">
        <v>0</v>
      </c>
      <c r="J55" s="97"/>
      <c r="K55" s="97"/>
    </row>
    <row r="56" spans="1:11">
      <c r="A56" s="68">
        <v>10</v>
      </c>
      <c r="B56" s="123" t="str">
        <f>+B48</f>
        <v xml:space="preserve">  General &amp; Intangible</v>
      </c>
      <c r="C56" s="42" t="s">
        <v>508</v>
      </c>
      <c r="D56" s="160">
        <f>'A4-Rate Base'!H46</f>
        <v>23506343.925654646</v>
      </c>
      <c r="E56" s="97"/>
      <c r="F56" s="105" t="str">
        <f t="shared" si="0"/>
        <v>W/S</v>
      </c>
      <c r="G56" s="120">
        <f>$I$192</f>
        <v>0.13228055028384053</v>
      </c>
      <c r="H56" s="97"/>
      <c r="I56" s="54">
        <f>+G56*D56</f>
        <v>3109432.1096468088</v>
      </c>
      <c r="J56" s="97"/>
      <c r="K56" s="97"/>
    </row>
    <row r="57" spans="1:11">
      <c r="A57" s="68">
        <v>11</v>
      </c>
      <c r="B57" s="123" t="str">
        <f>+B49</f>
        <v xml:space="preserve">  Other</v>
      </c>
      <c r="C57" s="42" t="s">
        <v>509</v>
      </c>
      <c r="D57" s="160">
        <f>'A4-Rate Base'!I46</f>
        <v>7847746.461538462</v>
      </c>
      <c r="E57" s="97"/>
      <c r="F57" s="105" t="str">
        <f t="shared" si="0"/>
        <v>OE</v>
      </c>
      <c r="G57" s="120">
        <f>$K$196</f>
        <v>0.12947946442867816</v>
      </c>
      <c r="H57" s="97"/>
      <c r="I57" s="50">
        <f>+G57*D57</f>
        <v>1016122.0088120542</v>
      </c>
      <c r="J57" s="97"/>
      <c r="K57" s="97"/>
    </row>
    <row r="58" spans="1:11">
      <c r="A58" s="68">
        <v>12</v>
      </c>
      <c r="B58" s="62" t="s">
        <v>283</v>
      </c>
      <c r="C58" s="43" t="s">
        <v>282</v>
      </c>
      <c r="D58" s="170">
        <f>SUM(D53:D57)</f>
        <v>376865486.84152198</v>
      </c>
      <c r="E58" s="97"/>
      <c r="F58" s="97"/>
      <c r="G58" s="97"/>
      <c r="H58" s="97"/>
      <c r="I58" s="170">
        <f>SUM(I53:I57)</f>
        <v>50519299.149915084</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290934588.47934318</v>
      </c>
      <c r="E61" s="97"/>
      <c r="F61" s="97"/>
      <c r="G61" s="122"/>
      <c r="H61" s="97"/>
      <c r="I61" s="97" t="s">
        <v>2</v>
      </c>
      <c r="J61" s="97"/>
      <c r="K61" s="122"/>
    </row>
    <row r="62" spans="1:11">
      <c r="A62" s="68">
        <v>14</v>
      </c>
      <c r="B62" s="123" t="str">
        <f>+B54</f>
        <v xml:space="preserve">  Transmission</v>
      </c>
      <c r="C62" s="43" t="str">
        <f>"(Line "&amp;A46&amp;" - Line "&amp;A54&amp;")"</f>
        <v>(Line 2 - Line 8)</v>
      </c>
      <c r="D62" s="54">
        <f>D46-D54</f>
        <v>256712761.71933424</v>
      </c>
      <c r="E62" s="97"/>
      <c r="F62" s="97"/>
      <c r="G62" s="119"/>
      <c r="H62" s="97"/>
      <c r="I62" s="54">
        <f>I46-I54</f>
        <v>238455275.35752451</v>
      </c>
      <c r="J62" s="97"/>
      <c r="K62" s="122"/>
    </row>
    <row r="63" spans="1:11">
      <c r="A63" s="68">
        <v>15</v>
      </c>
      <c r="B63" s="123" t="str">
        <f>+B55</f>
        <v xml:space="preserve">  Distribution</v>
      </c>
      <c r="C63" s="43" t="str">
        <f>"(Line "&amp;A47&amp;" - Line "&amp;A55&amp;")"</f>
        <v>(Line 3 - Line 9)</v>
      </c>
      <c r="D63" s="54">
        <f>D47-D55</f>
        <v>266254725.29543874</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21560686.882806893</v>
      </c>
      <c r="E64" s="97"/>
      <c r="F64" s="97"/>
      <c r="G64" s="122"/>
      <c r="H64" s="97"/>
      <c r="I64" s="54">
        <f>I48-I56</f>
        <v>2852059.525355278</v>
      </c>
      <c r="J64" s="97"/>
      <c r="K64" s="122"/>
    </row>
    <row r="65" spans="1:11" ht="13.8" thickBot="1">
      <c r="A65" s="68">
        <v>17</v>
      </c>
      <c r="B65" s="123" t="str">
        <f>+B57</f>
        <v xml:space="preserve">  Other</v>
      </c>
      <c r="C65" s="43" t="str">
        <f>"(Line "&amp;A49&amp;" - Line "&amp;A57&amp;")"</f>
        <v>(Line 5 - Line 11)</v>
      </c>
      <c r="D65" s="55">
        <f>D49-D57</f>
        <v>15730725.76923077</v>
      </c>
      <c r="E65" s="97"/>
      <c r="F65" s="97"/>
      <c r="G65" s="122"/>
      <c r="H65" s="97"/>
      <c r="I65" s="50">
        <f>I49-I57</f>
        <v>2036805.9476744067</v>
      </c>
      <c r="J65" s="97"/>
      <c r="K65" s="122"/>
    </row>
    <row r="66" spans="1:11">
      <c r="A66" s="68">
        <v>18</v>
      </c>
      <c r="B66" s="62" t="s">
        <v>285</v>
      </c>
      <c r="C66" s="43" t="s">
        <v>284</v>
      </c>
      <c r="D66" s="54">
        <f>SUM(D61:D65)</f>
        <v>851193488.14615381</v>
      </c>
      <c r="E66" s="97"/>
      <c r="F66" s="97" t="s">
        <v>33</v>
      </c>
      <c r="G66" s="104">
        <f>IF(I66&gt;0,I66/D66,0)</f>
        <v>0.28588581118088968</v>
      </c>
      <c r="H66" s="97"/>
      <c r="I66" s="170">
        <f>SUM(I61:I65)</f>
        <v>243344140.83055419</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1118</v>
      </c>
      <c r="D68" s="160">
        <f>'A4-Rate Base'!H23</f>
        <v>0</v>
      </c>
      <c r="E68" s="49"/>
      <c r="F68" s="64"/>
      <c r="G68" s="620">
        <v>0</v>
      </c>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0.23929098354858599</v>
      </c>
      <c r="H71" s="42"/>
      <c r="I71" s="46">
        <f t="shared" ref="I71:I78" si="1">D71*G71</f>
        <v>0</v>
      </c>
      <c r="J71" s="97"/>
      <c r="K71" s="122"/>
    </row>
    <row r="72" spans="1:11">
      <c r="A72" s="44">
        <f t="shared" ref="A72:A75" si="2">+A71+1</f>
        <v>20</v>
      </c>
      <c r="B72" s="45" t="s">
        <v>774</v>
      </c>
      <c r="C72" s="43" t="s">
        <v>511</v>
      </c>
      <c r="D72" s="160">
        <f>'A4-Rate Base'!F89</f>
        <v>-135454622</v>
      </c>
      <c r="E72" s="43"/>
      <c r="F72" s="93" t="s">
        <v>36</v>
      </c>
      <c r="G72" s="56">
        <f>GP</f>
        <v>0.23929098354858599</v>
      </c>
      <c r="H72" s="42"/>
      <c r="I72" s="46">
        <f t="shared" si="1"/>
        <v>-32413069.724581935</v>
      </c>
      <c r="J72" s="97"/>
      <c r="K72" s="122"/>
    </row>
    <row r="73" spans="1:11">
      <c r="A73" s="44">
        <f t="shared" si="2"/>
        <v>21</v>
      </c>
      <c r="B73" s="45" t="s">
        <v>773</v>
      </c>
      <c r="C73" s="43" t="s">
        <v>512</v>
      </c>
      <c r="D73" s="160">
        <f>'A4-Rate Base'!G89</f>
        <v>-66229768</v>
      </c>
      <c r="E73" s="43"/>
      <c r="F73" s="93" t="s">
        <v>36</v>
      </c>
      <c r="G73" s="56">
        <f>GP</f>
        <v>0.23929098354858599</v>
      </c>
      <c r="H73" s="42"/>
      <c r="I73" s="46">
        <f t="shared" si="1"/>
        <v>-15848186.324914668</v>
      </c>
      <c r="J73" s="97"/>
      <c r="K73" s="122"/>
    </row>
    <row r="74" spans="1:11">
      <c r="A74" s="44">
        <f t="shared" si="2"/>
        <v>22</v>
      </c>
      <c r="B74" s="45" t="s">
        <v>121</v>
      </c>
      <c r="C74" s="43" t="s">
        <v>513</v>
      </c>
      <c r="D74" s="160">
        <f>'A4-Rate Base'!H89</f>
        <v>74433279.5</v>
      </c>
      <c r="E74" s="43"/>
      <c r="F74" s="93" t="s">
        <v>36</v>
      </c>
      <c r="G74" s="56">
        <f>GP</f>
        <v>0.23929098354858599</v>
      </c>
      <c r="H74" s="42"/>
      <c r="I74" s="46">
        <f t="shared" si="1"/>
        <v>17811212.660301805</v>
      </c>
      <c r="J74" s="97"/>
      <c r="K74" s="122"/>
    </row>
    <row r="75" spans="1:11">
      <c r="A75" s="44">
        <f t="shared" si="2"/>
        <v>23</v>
      </c>
      <c r="B75" s="52" t="s">
        <v>732</v>
      </c>
      <c r="C75" s="52" t="s">
        <v>747</v>
      </c>
      <c r="D75" s="507">
        <v>0</v>
      </c>
      <c r="E75" s="43"/>
      <c r="F75" s="43"/>
      <c r="G75" s="57">
        <v>0</v>
      </c>
      <c r="H75" s="42"/>
      <c r="I75" s="51">
        <f t="shared" si="1"/>
        <v>0</v>
      </c>
      <c r="J75" s="97"/>
      <c r="K75" s="122"/>
    </row>
    <row r="76" spans="1:11">
      <c r="A76" s="44" t="s">
        <v>292</v>
      </c>
      <c r="B76" s="48" t="s">
        <v>288</v>
      </c>
      <c r="C76" s="49" t="s">
        <v>1119</v>
      </c>
      <c r="D76" s="160">
        <f>'A4-Rate Base'!C89</f>
        <v>0</v>
      </c>
      <c r="E76" s="49"/>
      <c r="F76" s="64"/>
      <c r="G76" s="620"/>
      <c r="H76" s="49"/>
      <c r="I76" s="51">
        <f t="shared" si="1"/>
        <v>0</v>
      </c>
      <c r="J76" s="97"/>
      <c r="K76" s="122"/>
    </row>
    <row r="77" spans="1:11">
      <c r="A77" s="44" t="s">
        <v>1125</v>
      </c>
      <c r="B77" s="48" t="s">
        <v>1124</v>
      </c>
      <c r="C77" s="49" t="s">
        <v>1128</v>
      </c>
      <c r="D77" s="160">
        <f>'A4-Rate Base'!I66</f>
        <v>0</v>
      </c>
      <c r="E77" s="49"/>
      <c r="F77" s="64"/>
      <c r="G77" s="620"/>
      <c r="H77" s="49"/>
      <c r="I77" s="51">
        <f t="shared" ref="I77" si="3">D77*G77</f>
        <v>0</v>
      </c>
      <c r="J77" s="97"/>
      <c r="K77" s="122"/>
    </row>
    <row r="78" spans="1:11">
      <c r="A78" s="44" t="s">
        <v>293</v>
      </c>
      <c r="B78" s="48" t="s">
        <v>289</v>
      </c>
      <c r="C78" s="49" t="s">
        <v>1120</v>
      </c>
      <c r="D78" s="160">
        <f>'A4-Rate Base'!D89</f>
        <v>0</v>
      </c>
      <c r="E78" s="49"/>
      <c r="F78" s="64"/>
      <c r="G78" s="620"/>
      <c r="H78" s="49"/>
      <c r="I78" s="51">
        <f t="shared" si="1"/>
        <v>0</v>
      </c>
      <c r="J78" s="97"/>
      <c r="K78" s="122"/>
    </row>
    <row r="79" spans="1:11">
      <c r="A79" s="44" t="s">
        <v>294</v>
      </c>
      <c r="B79" s="48" t="s">
        <v>686</v>
      </c>
      <c r="C79" s="49" t="s">
        <v>1141</v>
      </c>
      <c r="D79" s="160">
        <f>'A4-Rate Base'!F104</f>
        <v>-906060.95091745793</v>
      </c>
      <c r="E79" s="49"/>
      <c r="F79" s="49"/>
      <c r="G79" s="58"/>
      <c r="H79" s="49"/>
      <c r="I79" s="51">
        <f t="shared" ref="I79" si="4">D79</f>
        <v>-906060.95091745793</v>
      </c>
      <c r="J79" s="97"/>
      <c r="K79" s="122"/>
    </row>
    <row r="80" spans="1:11">
      <c r="A80" s="44">
        <v>24</v>
      </c>
      <c r="B80" s="123" t="s">
        <v>122</v>
      </c>
      <c r="C80" s="123" t="s">
        <v>1216</v>
      </c>
      <c r="D80" s="160">
        <f>'A3-ADIT'!F48</f>
        <v>7178090.1400000006</v>
      </c>
      <c r="E80" s="97"/>
      <c r="F80" s="93" t="s">
        <v>36</v>
      </c>
      <c r="G80" s="56">
        <f>GP</f>
        <v>0.23929098354858599</v>
      </c>
      <c r="H80" s="97"/>
      <c r="I80" s="51">
        <f t="shared" ref="I80" si="5">D80*G80</f>
        <v>1717652.2496010074</v>
      </c>
      <c r="J80" s="97"/>
      <c r="K80" s="122"/>
    </row>
    <row r="81" spans="1:11" ht="13.8" thickBot="1">
      <c r="A81" s="68">
        <v>25</v>
      </c>
      <c r="B81" s="123" t="s">
        <v>1029</v>
      </c>
      <c r="C81" s="123" t="s">
        <v>902</v>
      </c>
      <c r="D81" s="805">
        <f>'A3.1-EDIT-DDIT'!I42</f>
        <v>-39831667.5</v>
      </c>
      <c r="E81" s="97"/>
      <c r="F81" s="97"/>
      <c r="G81" s="97"/>
      <c r="H81" s="97"/>
      <c r="I81" s="805">
        <f>'A3.1-EDIT-DDIT'!O42</f>
        <v>-9034146.7879233286</v>
      </c>
      <c r="J81" s="97"/>
      <c r="K81" s="122"/>
    </row>
    <row r="82" spans="1:11">
      <c r="A82" s="68">
        <v>26</v>
      </c>
      <c r="B82" s="62" t="s">
        <v>297</v>
      </c>
      <c r="C82" s="43" t="s">
        <v>762</v>
      </c>
      <c r="D82" s="54">
        <f>SUM(D71:D81)</f>
        <v>-160810748.81091744</v>
      </c>
      <c r="E82" s="97"/>
      <c r="F82" s="97"/>
      <c r="G82" s="97"/>
      <c r="H82" s="97"/>
      <c r="I82" s="54">
        <f>SUM(I71:I81)</f>
        <v>-38672598.878434584</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0.92887970882503001</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3707321.018075</v>
      </c>
      <c r="E87" s="97"/>
      <c r="F87" s="97"/>
      <c r="G87" s="122"/>
      <c r="H87" s="97"/>
      <c r="I87" s="54">
        <f>+I117/8</f>
        <v>782186.69606327743</v>
      </c>
      <c r="J87" s="62"/>
      <c r="K87" s="122"/>
    </row>
    <row r="88" spans="1:11">
      <c r="A88" s="68">
        <v>29</v>
      </c>
      <c r="B88" s="62" t="s">
        <v>128</v>
      </c>
      <c r="C88" s="60" t="s">
        <v>1079</v>
      </c>
      <c r="D88" s="160">
        <f>'A4-Rate Base'!F129</f>
        <v>172152.01365830802</v>
      </c>
      <c r="E88" s="97"/>
      <c r="F88" s="97" t="s">
        <v>35</v>
      </c>
      <c r="G88" s="120">
        <f>$I$184</f>
        <v>0.92887970882503001</v>
      </c>
      <c r="H88" s="97"/>
      <c r="I88" s="54">
        <f>+G88*D88</f>
        <v>159908.51232057175</v>
      </c>
      <c r="J88" s="97" t="s">
        <v>2</v>
      </c>
      <c r="K88" s="122"/>
    </row>
    <row r="89" spans="1:11" ht="13.8" thickBot="1">
      <c r="A89" s="68">
        <v>30</v>
      </c>
      <c r="B89" s="62" t="s">
        <v>123</v>
      </c>
      <c r="C89" s="42" t="s">
        <v>950</v>
      </c>
      <c r="D89" s="160">
        <f>'A8-Prepmts'!H16</f>
        <v>223437.45176402596</v>
      </c>
      <c r="E89" s="97"/>
      <c r="F89" s="97"/>
      <c r="G89" s="120"/>
      <c r="H89" s="97"/>
      <c r="I89" s="55">
        <f>D89</f>
        <v>223437.45176402596</v>
      </c>
      <c r="J89" s="97"/>
      <c r="K89" s="122"/>
    </row>
    <row r="90" spans="1:11">
      <c r="A90" s="68">
        <v>31</v>
      </c>
      <c r="B90" s="62" t="s">
        <v>295</v>
      </c>
      <c r="C90" s="43" t="s">
        <v>296</v>
      </c>
      <c r="D90" s="170">
        <f>D87+D88+D89</f>
        <v>4102910.4834973337</v>
      </c>
      <c r="E90" s="62"/>
      <c r="F90" s="62"/>
      <c r="G90" s="62"/>
      <c r="H90" s="62"/>
      <c r="I90" s="54">
        <f>I87+I88+I89</f>
        <v>1165532.6601478751</v>
      </c>
      <c r="J90" s="62"/>
      <c r="K90" s="62"/>
    </row>
    <row r="91" spans="1:11" ht="13.8" thickBot="1">
      <c r="C91" s="97"/>
      <c r="E91" s="97"/>
      <c r="F91" s="97"/>
      <c r="G91" s="97"/>
      <c r="H91" s="97"/>
      <c r="I91" s="124"/>
      <c r="J91" s="97"/>
      <c r="K91" s="97"/>
    </row>
    <row r="92" spans="1:11" ht="13.8" thickBot="1">
      <c r="A92" s="68">
        <v>32</v>
      </c>
      <c r="B92" s="62" t="s">
        <v>443</v>
      </c>
      <c r="C92" s="62" t="s">
        <v>444</v>
      </c>
      <c r="D92" s="61">
        <f>+D90+D84+D82+D66</f>
        <v>694485649.81873369</v>
      </c>
      <c r="E92" s="97"/>
      <c r="F92" s="97"/>
      <c r="G92" s="122"/>
      <c r="H92" s="97"/>
      <c r="I92" s="61">
        <f>+I90+I84+I82+I66</f>
        <v>205837074.61226749</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3" t="str">
        <f>I1</f>
        <v>Actual Attachment H</v>
      </c>
      <c r="J94" s="913"/>
      <c r="K94" s="913"/>
    </row>
    <row r="95" spans="1:11">
      <c r="B95" s="62"/>
      <c r="C95" s="62"/>
      <c r="D95" s="94"/>
      <c r="E95" s="62"/>
      <c r="F95" s="62"/>
      <c r="G95" s="62"/>
      <c r="H95" s="62"/>
      <c r="I95" s="62"/>
      <c r="J95" s="912" t="s">
        <v>195</v>
      </c>
      <c r="K95" s="912"/>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12/31/2023</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4593888</v>
      </c>
      <c r="E106" s="97"/>
      <c r="F106" s="97" t="s">
        <v>35</v>
      </c>
      <c r="G106" s="120">
        <f>$I$184</f>
        <v>0.92887970882503001</v>
      </c>
      <c r="H106" s="97"/>
      <c r="I106" s="54">
        <f>+G106*D106</f>
        <v>4267169.3478147993</v>
      </c>
      <c r="J106" s="62"/>
      <c r="K106" s="97"/>
    </row>
    <row r="107" spans="1:11">
      <c r="A107" s="68">
        <v>2</v>
      </c>
      <c r="B107" s="62" t="s">
        <v>600</v>
      </c>
      <c r="C107" s="97" t="s">
        <v>601</v>
      </c>
      <c r="D107" s="64">
        <f>739493+85216</f>
        <v>824709</v>
      </c>
      <c r="E107" s="97"/>
      <c r="F107" s="97" t="s">
        <v>35</v>
      </c>
      <c r="G107" s="120">
        <f>$I$184</f>
        <v>0.92887970882503001</v>
      </c>
      <c r="H107" s="97"/>
      <c r="I107" s="46">
        <f t="shared" ref="I107:I116" si="6">+G107*D107</f>
        <v>766055.45578538172</v>
      </c>
      <c r="J107" s="62"/>
      <c r="K107" s="97"/>
    </row>
    <row r="108" spans="1:11">
      <c r="A108" s="68" t="s">
        <v>130</v>
      </c>
      <c r="B108" s="62" t="s">
        <v>38</v>
      </c>
      <c r="C108" s="97" t="s">
        <v>104</v>
      </c>
      <c r="D108" s="64">
        <v>931415</v>
      </c>
      <c r="E108" s="97"/>
      <c r="F108" s="97" t="s">
        <v>35</v>
      </c>
      <c r="G108" s="120">
        <f>$I$184</f>
        <v>0.92887970882503001</v>
      </c>
      <c r="H108" s="97"/>
      <c r="I108" s="46">
        <f t="shared" ref="I108" si="7">+G108*D108</f>
        <v>865172.49399526534</v>
      </c>
      <c r="J108" s="62"/>
      <c r="K108" s="97"/>
    </row>
    <row r="109" spans="1:11">
      <c r="A109" s="68">
        <v>3</v>
      </c>
      <c r="B109" s="62" t="s">
        <v>39</v>
      </c>
      <c r="C109" s="97" t="s">
        <v>105</v>
      </c>
      <c r="D109" s="64">
        <v>27892381</v>
      </c>
      <c r="E109" s="97"/>
      <c r="F109" s="97" t="s">
        <v>31</v>
      </c>
      <c r="G109" s="120">
        <f>$I$192</f>
        <v>0.13228055028384053</v>
      </c>
      <c r="H109" s="97"/>
      <c r="I109" s="54">
        <f t="shared" si="6"/>
        <v>3689619.5074065384</v>
      </c>
      <c r="J109" s="97"/>
      <c r="K109" s="97" t="s">
        <v>2</v>
      </c>
    </row>
    <row r="110" spans="1:11">
      <c r="A110" s="68">
        <v>4</v>
      </c>
      <c r="B110" s="62" t="s">
        <v>831</v>
      </c>
      <c r="C110" s="97"/>
      <c r="D110" s="97"/>
      <c r="E110" s="97"/>
      <c r="F110" s="105"/>
      <c r="G110" s="120"/>
      <c r="H110" s="97"/>
      <c r="I110" s="54"/>
      <c r="J110" s="97"/>
      <c r="K110" s="97"/>
    </row>
    <row r="111" spans="1:11">
      <c r="A111" s="68">
        <v>5</v>
      </c>
      <c r="B111" s="62" t="s">
        <v>357</v>
      </c>
      <c r="C111" s="97" t="s">
        <v>495</v>
      </c>
      <c r="D111" s="160">
        <f>'A2-A&amp;G'!D14</f>
        <v>1426505</v>
      </c>
      <c r="E111" s="97"/>
      <c r="F111" s="105" t="str">
        <f>F109</f>
        <v>W/S</v>
      </c>
      <c r="G111" s="120">
        <f>$I$192</f>
        <v>0.13228055028384053</v>
      </c>
      <c r="H111" s="97"/>
      <c r="I111" s="46">
        <f t="shared" si="6"/>
        <v>188698.86638264993</v>
      </c>
      <c r="J111" s="97"/>
      <c r="K111" s="97"/>
    </row>
    <row r="112" spans="1:11">
      <c r="A112" s="68" t="s">
        <v>99</v>
      </c>
      <c r="B112" s="62" t="s">
        <v>489</v>
      </c>
      <c r="C112" s="97" t="s">
        <v>682</v>
      </c>
      <c r="D112" s="160">
        <f>'A2-A&amp;G'!D23</f>
        <v>92495</v>
      </c>
      <c r="E112" s="97"/>
      <c r="F112" s="126" t="str">
        <f>+F106</f>
        <v>TE</v>
      </c>
      <c r="G112" s="120">
        <f>$I$184</f>
        <v>0.92887970882503001</v>
      </c>
      <c r="H112" s="97"/>
      <c r="I112" s="46">
        <f>+G112*D112</f>
        <v>85916.728667771153</v>
      </c>
      <c r="J112" s="97"/>
      <c r="K112" s="97"/>
    </row>
    <row r="113" spans="1:12">
      <c r="A113" s="68" t="s">
        <v>133</v>
      </c>
      <c r="B113" s="62" t="s">
        <v>694</v>
      </c>
      <c r="C113" s="97" t="s">
        <v>1147</v>
      </c>
      <c r="D113" s="661">
        <v>556648.06699999992</v>
      </c>
      <c r="E113" s="97"/>
      <c r="F113" s="105" t="s">
        <v>31</v>
      </c>
      <c r="G113" s="120">
        <f>$I$192</f>
        <v>0.13228055028384053</v>
      </c>
      <c r="H113" s="97"/>
      <c r="I113" s="51">
        <f t="shared" ref="I113:I114" si="8">+G113*D113</f>
        <v>73633.712617196128</v>
      </c>
      <c r="J113" s="97"/>
      <c r="K113" s="97"/>
    </row>
    <row r="114" spans="1:12">
      <c r="A114" s="68" t="s">
        <v>134</v>
      </c>
      <c r="B114" s="62" t="s">
        <v>695</v>
      </c>
      <c r="C114" s="97" t="s">
        <v>518</v>
      </c>
      <c r="D114" s="160">
        <f>'A2-A&amp;G'!D31</f>
        <v>294214.92239999998</v>
      </c>
      <c r="E114" s="97"/>
      <c r="F114" s="105" t="str">
        <f>+F113</f>
        <v>W/S</v>
      </c>
      <c r="G114" s="120">
        <f>$I$192</f>
        <v>0.13228055028384053</v>
      </c>
      <c r="H114" s="97"/>
      <c r="I114" s="51">
        <f t="shared" si="8"/>
        <v>38918.911836789441</v>
      </c>
      <c r="J114" s="97"/>
      <c r="K114" s="97"/>
    </row>
    <row r="115" spans="1:12">
      <c r="A115" s="68">
        <v>6</v>
      </c>
      <c r="B115" s="62" t="s">
        <v>58</v>
      </c>
      <c r="C115" s="549" t="s">
        <v>683</v>
      </c>
      <c r="D115" s="64">
        <v>0</v>
      </c>
      <c r="E115" s="97"/>
      <c r="F115" s="97" t="s">
        <v>1251</v>
      </c>
      <c r="G115" s="120">
        <f>$K$196</f>
        <v>0.12947946442867816</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832</v>
      </c>
      <c r="C117" s="97"/>
      <c r="D117" s="63">
        <f>+D106-D107-D108+D109-D111+D115+D116+D112+D113-D114</f>
        <v>29658568.1446</v>
      </c>
      <c r="E117" s="97"/>
      <c r="F117" s="97"/>
      <c r="G117" s="97"/>
      <c r="H117" s="97"/>
      <c r="I117" s="63">
        <f>+I106-I107-I108+I109-I111+I115+I116+I112+I113-I114</f>
        <v>6257493.5685062194</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1062</v>
      </c>
      <c r="D120" s="806">
        <v>5381917</v>
      </c>
      <c r="E120" s="97"/>
      <c r="F120" s="97" t="s">
        <v>11</v>
      </c>
      <c r="G120" s="104">
        <f>$I$175</f>
        <v>0.92887970882503001</v>
      </c>
      <c r="H120" s="97"/>
      <c r="I120" s="54">
        <f>+G120*D120</f>
        <v>4999153.495880479</v>
      </c>
      <c r="J120" s="97"/>
      <c r="K120" s="122"/>
      <c r="L120" s="721"/>
    </row>
    <row r="121" spans="1:12">
      <c r="A121" s="68">
        <v>10</v>
      </c>
      <c r="B121" s="62" t="s">
        <v>114</v>
      </c>
      <c r="C121" s="97" t="s">
        <v>1063</v>
      </c>
      <c r="D121" s="806">
        <f>4718319+6895</f>
        <v>4725214</v>
      </c>
      <c r="E121" s="97"/>
      <c r="F121" s="97" t="s">
        <v>31</v>
      </c>
      <c r="G121" s="120">
        <f>$I$192</f>
        <v>0.13228055028384053</v>
      </c>
      <c r="H121" s="97"/>
      <c r="I121" s="54">
        <f>+G121*D121</f>
        <v>625053.90812890721</v>
      </c>
      <c r="J121" s="97"/>
      <c r="K121" s="122"/>
      <c r="L121" s="721"/>
    </row>
    <row r="122" spans="1:12">
      <c r="A122" s="68">
        <v>11</v>
      </c>
      <c r="B122" s="123" t="str">
        <f>+B115</f>
        <v xml:space="preserve">  Other</v>
      </c>
      <c r="C122" s="97" t="s">
        <v>1064</v>
      </c>
      <c r="D122" s="64">
        <v>0</v>
      </c>
      <c r="E122" s="97"/>
      <c r="F122" s="97" t="s">
        <v>1251</v>
      </c>
      <c r="G122" s="120">
        <f>$K$196</f>
        <v>0.12947946442867816</v>
      </c>
      <c r="H122" s="97"/>
      <c r="I122" s="54">
        <f>+G122*D122</f>
        <v>0</v>
      </c>
      <c r="J122" s="97"/>
      <c r="K122" s="122"/>
      <c r="L122" s="721"/>
    </row>
    <row r="123" spans="1:12" s="2" customFormat="1" ht="13.8" thickBot="1">
      <c r="A123" s="65" t="s">
        <v>299</v>
      </c>
      <c r="B123" s="48" t="s">
        <v>303</v>
      </c>
      <c r="C123" s="803" t="s">
        <v>1121</v>
      </c>
      <c r="D123" s="64">
        <v>0</v>
      </c>
      <c r="E123" s="46"/>
      <c r="F123" s="64"/>
      <c r="G123" s="620"/>
      <c r="H123" s="46"/>
      <c r="I123" s="59">
        <f>+G123*D123</f>
        <v>0</v>
      </c>
      <c r="J123" s="43"/>
      <c r="K123" s="53"/>
    </row>
    <row r="124" spans="1:12">
      <c r="A124" s="68">
        <v>12</v>
      </c>
      <c r="B124" s="62" t="s">
        <v>304</v>
      </c>
      <c r="C124" s="43" t="s">
        <v>305</v>
      </c>
      <c r="D124" s="63">
        <f>SUM(D120:D123)</f>
        <v>10107131</v>
      </c>
      <c r="E124" s="97"/>
      <c r="F124" s="97"/>
      <c r="G124" s="97"/>
      <c r="H124" s="97"/>
      <c r="I124" s="54">
        <f>SUM(I120:I123)</f>
        <v>5624207.404009386</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1218</v>
      </c>
      <c r="D128" s="64">
        <f>1683661+8624+49750</f>
        <v>1742035</v>
      </c>
      <c r="E128" s="97"/>
      <c r="F128" s="97" t="s">
        <v>31</v>
      </c>
      <c r="G128" s="120">
        <f>$I$192</f>
        <v>0.13228055028384053</v>
      </c>
      <c r="H128" s="97"/>
      <c r="I128" s="54">
        <f>+G128*D128</f>
        <v>230437.34841371013</v>
      </c>
      <c r="J128" s="97"/>
      <c r="K128" s="122"/>
    </row>
    <row r="129" spans="1:12">
      <c r="A129" s="68">
        <v>14</v>
      </c>
      <c r="B129" s="62" t="s">
        <v>43</v>
      </c>
      <c r="C129" s="97" t="s">
        <v>100</v>
      </c>
      <c r="D129" s="64">
        <v>0</v>
      </c>
      <c r="E129" s="97"/>
      <c r="F129" s="105" t="str">
        <f>+F128</f>
        <v>W/S</v>
      </c>
      <c r="G129" s="120">
        <f>$I$192</f>
        <v>0.13228055028384053</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1219</v>
      </c>
      <c r="D131" s="64">
        <v>10980443</v>
      </c>
      <c r="E131" s="97"/>
      <c r="F131" s="97" t="s">
        <v>36</v>
      </c>
      <c r="G131" s="120">
        <f>+$G$50</f>
        <v>0.23929098354858599</v>
      </c>
      <c r="H131" s="97"/>
      <c r="I131" s="54">
        <f>+G131*D131</f>
        <v>2627521.0052691861</v>
      </c>
      <c r="J131" s="97"/>
      <c r="K131" s="122"/>
    </row>
    <row r="132" spans="1:12">
      <c r="A132" s="68">
        <v>17</v>
      </c>
      <c r="B132" s="62" t="s">
        <v>46</v>
      </c>
      <c r="C132" s="97" t="s">
        <v>1220</v>
      </c>
      <c r="D132" s="64">
        <v>-54845</v>
      </c>
      <c r="E132" s="97"/>
      <c r="F132" s="105" t="s">
        <v>27</v>
      </c>
      <c r="G132" s="127">
        <v>0</v>
      </c>
      <c r="H132" s="97"/>
      <c r="I132" s="54">
        <v>0</v>
      </c>
      <c r="J132" s="97"/>
      <c r="K132" s="122"/>
    </row>
    <row r="133" spans="1:12">
      <c r="A133" s="68">
        <v>18</v>
      </c>
      <c r="B133" s="62" t="s">
        <v>789</v>
      </c>
      <c r="C133" s="97" t="s">
        <v>100</v>
      </c>
      <c r="D133" s="64">
        <v>0</v>
      </c>
      <c r="E133" s="97"/>
      <c r="F133" s="64"/>
      <c r="G133" s="620"/>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12667633</v>
      </c>
      <c r="E135" s="97"/>
      <c r="F135" s="97"/>
      <c r="G135" s="108"/>
      <c r="H135" s="97"/>
      <c r="I135" s="63">
        <f>SUM(I128:I134)</f>
        <v>2857958.3536828961</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0.22656905744241476</v>
      </c>
      <c r="E139" s="97"/>
      <c r="G139" s="128"/>
      <c r="H139" s="97"/>
      <c r="J139" s="97"/>
    </row>
    <row r="140" spans="1:12">
      <c r="A140" s="68"/>
      <c r="B140" s="62" t="s">
        <v>1082</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252794</v>
      </c>
      <c r="E143" s="97"/>
      <c r="G143" s="128"/>
      <c r="H143" s="97"/>
      <c r="J143" s="97"/>
      <c r="L143"/>
    </row>
    <row r="144" spans="1:12" ht="26.4">
      <c r="A144" s="68" t="s">
        <v>300</v>
      </c>
      <c r="B144" s="807" t="s">
        <v>1030</v>
      </c>
      <c r="C144" s="123" t="s">
        <v>1031</v>
      </c>
      <c r="D144" s="160">
        <f>'A3.1-EDIT-DDIT'!M41</f>
        <v>244121.99143944043</v>
      </c>
      <c r="E144" s="97"/>
      <c r="G144" s="128"/>
      <c r="H144" s="97"/>
      <c r="J144" s="97"/>
      <c r="L144"/>
    </row>
    <row r="145" spans="1:12" ht="15">
      <c r="A145" s="68" t="s">
        <v>625</v>
      </c>
      <c r="B145" s="45" t="s">
        <v>1191</v>
      </c>
      <c r="C145" s="43" t="s">
        <v>1192</v>
      </c>
      <c r="D145" s="64">
        <v>31396</v>
      </c>
      <c r="E145" s="97"/>
      <c r="G145" s="128"/>
      <c r="H145" s="97"/>
      <c r="J145" s="97"/>
      <c r="L145"/>
    </row>
    <row r="146" spans="1:12" ht="15">
      <c r="A146" s="68" t="s">
        <v>301</v>
      </c>
      <c r="B146" s="45" t="s">
        <v>298</v>
      </c>
      <c r="C146" s="43" t="s">
        <v>705</v>
      </c>
      <c r="D146" s="54">
        <f>D145*D138</f>
        <v>7684.4849599999989</v>
      </c>
      <c r="E146" s="97"/>
      <c r="G146" s="128"/>
      <c r="H146" s="97"/>
      <c r="J146" s="97"/>
      <c r="L146"/>
    </row>
    <row r="147" spans="1:12" ht="15">
      <c r="A147" s="68">
        <v>25</v>
      </c>
      <c r="B147" s="129" t="s">
        <v>310</v>
      </c>
      <c r="C147" s="131" t="s">
        <v>308</v>
      </c>
      <c r="D147" s="54">
        <f>D139*D154</f>
        <v>10366751.086200556</v>
      </c>
      <c r="E147" s="97"/>
      <c r="F147" s="97"/>
      <c r="G147" s="108"/>
      <c r="H147" s="97"/>
      <c r="I147" s="54">
        <f>D139*I154</f>
        <v>3072578.5584972473</v>
      </c>
      <c r="J147" s="97"/>
      <c r="K147" s="132" t="s">
        <v>2</v>
      </c>
      <c r="L147"/>
    </row>
    <row r="148" spans="1:12" ht="15">
      <c r="A148" s="68">
        <v>26</v>
      </c>
      <c r="B148" s="93" t="s">
        <v>311</v>
      </c>
      <c r="C148" s="131" t="s">
        <v>309</v>
      </c>
      <c r="D148" s="54">
        <f>D142*D143</f>
        <v>334720.088978338</v>
      </c>
      <c r="E148" s="97"/>
      <c r="F148" s="93" t="s">
        <v>36</v>
      </c>
      <c r="G148" s="56">
        <f>GP</f>
        <v>0.23929098354858599</v>
      </c>
      <c r="H148" s="97"/>
      <c r="I148" s="54">
        <f>G148*D148</f>
        <v>80095.499305096717</v>
      </c>
      <c r="J148" s="97"/>
      <c r="K148" s="132"/>
      <c r="L148"/>
    </row>
    <row r="149" spans="1:12" ht="15">
      <c r="A149" s="68" t="s">
        <v>312</v>
      </c>
      <c r="B149" s="52" t="s">
        <v>834</v>
      </c>
      <c r="C149" s="66" t="s">
        <v>315</v>
      </c>
      <c r="D149" s="54">
        <f>D142*D144</f>
        <v>323237.63497622003</v>
      </c>
      <c r="E149" s="97"/>
      <c r="G149" s="57"/>
      <c r="H149" s="97"/>
      <c r="I149" s="54">
        <f>D149</f>
        <v>323237.63497622003</v>
      </c>
      <c r="J149" s="97"/>
      <c r="K149" s="132"/>
      <c r="L149"/>
    </row>
    <row r="150" spans="1:12" ht="15.6" thickBot="1">
      <c r="A150" s="68" t="s">
        <v>313</v>
      </c>
      <c r="B150" s="52" t="s">
        <v>314</v>
      </c>
      <c r="C150" s="66" t="s">
        <v>316</v>
      </c>
      <c r="D150" s="54">
        <f>D142*D146</f>
        <v>10174.891372279009</v>
      </c>
      <c r="E150" s="97"/>
      <c r="G150" s="57"/>
      <c r="H150" s="97"/>
      <c r="I150" s="54">
        <f>D150</f>
        <v>10174.891372279009</v>
      </c>
      <c r="J150" s="97"/>
      <c r="K150" s="132"/>
      <c r="L150"/>
    </row>
    <row r="151" spans="1:12" ht="15">
      <c r="A151" s="68">
        <v>27</v>
      </c>
      <c r="B151" s="129" t="s">
        <v>89</v>
      </c>
      <c r="C151" s="52" t="s">
        <v>702</v>
      </c>
      <c r="D151" s="63">
        <f>D147+D150-D148-D149</f>
        <v>9718968.2536182776</v>
      </c>
      <c r="E151" s="97"/>
      <c r="F151" s="97" t="s">
        <v>2</v>
      </c>
      <c r="G151" s="108" t="s">
        <v>2</v>
      </c>
      <c r="H151" s="97"/>
      <c r="I151" s="63">
        <f>I147+I150-I148-I149</f>
        <v>2679420.3155882093</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5" t="s">
        <v>769</v>
      </c>
      <c r="D154" s="160">
        <f>+$I205*D92+I208</f>
        <v>45755370.142877474</v>
      </c>
      <c r="E154" s="97"/>
      <c r="F154" s="97"/>
      <c r="G154" s="128"/>
      <c r="H154" s="97"/>
      <c r="I154" s="54">
        <f>+$I205*I92+I208</f>
        <v>13561333.542989116</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107907670.54109576</v>
      </c>
      <c r="E156" s="97"/>
      <c r="F156" s="97"/>
      <c r="G156" s="97"/>
      <c r="H156" s="97"/>
      <c r="I156" s="67">
        <f>+I117+I124+I135+I151+I154</f>
        <v>30980413.184775826</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2"/>
      <c r="G158" s="912"/>
      <c r="H158" s="912"/>
      <c r="I158" s="912"/>
      <c r="J158" s="912"/>
      <c r="K158" s="912"/>
    </row>
    <row r="159" spans="1:12">
      <c r="B159" s="62"/>
      <c r="C159" s="62"/>
      <c r="D159" s="94"/>
      <c r="E159" s="62"/>
      <c r="F159" s="62"/>
      <c r="G159" s="62"/>
      <c r="H159" s="62"/>
      <c r="I159" s="913" t="str">
        <f>I1</f>
        <v>Actual Attachment H</v>
      </c>
      <c r="J159" s="913"/>
      <c r="K159" s="913"/>
    </row>
    <row r="160" spans="1:12">
      <c r="B160" s="62"/>
      <c r="C160" s="62"/>
      <c r="D160" s="94"/>
      <c r="E160" s="62"/>
      <c r="F160" s="62"/>
      <c r="G160" s="62"/>
      <c r="H160" s="62"/>
      <c r="I160" s="62"/>
      <c r="J160" s="912" t="s">
        <v>196</v>
      </c>
      <c r="K160" s="912"/>
    </row>
    <row r="161" spans="1:17">
      <c r="B161" s="62"/>
      <c r="C161" s="62"/>
      <c r="D161" s="94"/>
      <c r="E161" s="62"/>
      <c r="F161" s="62"/>
      <c r="G161" s="62"/>
      <c r="H161" s="62"/>
      <c r="I161" s="62"/>
      <c r="J161" s="95"/>
      <c r="K161" s="95"/>
    </row>
    <row r="162" spans="1:17">
      <c r="B162" s="94" t="s">
        <v>0</v>
      </c>
      <c r="C162" s="68" t="s">
        <v>1</v>
      </c>
      <c r="E162" s="62"/>
      <c r="F162" s="62"/>
      <c r="G162" s="918" t="str">
        <f>K4</f>
        <v>Actuals - For the 12 months ended 12/31/2023</v>
      </c>
      <c r="H162" s="918"/>
      <c r="I162" s="918"/>
      <c r="J162" s="918"/>
      <c r="K162" s="918"/>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306658674.61923081</v>
      </c>
      <c r="J170" s="97"/>
      <c r="K170" s="97"/>
    </row>
    <row r="171" spans="1:17">
      <c r="A171" s="68">
        <v>2</v>
      </c>
      <c r="B171" s="62" t="s">
        <v>321</v>
      </c>
      <c r="C171" s="93" t="s">
        <v>359</v>
      </c>
      <c r="I171" s="106">
        <v>13559737.015250061</v>
      </c>
      <c r="J171" s="97"/>
      <c r="K171" s="97"/>
    </row>
    <row r="172" spans="1:17" ht="27" thickBot="1">
      <c r="A172" s="68">
        <v>3</v>
      </c>
      <c r="B172" s="720" t="s">
        <v>930</v>
      </c>
      <c r="C172" s="134" t="s">
        <v>278</v>
      </c>
      <c r="D172" s="97"/>
      <c r="E172" s="97"/>
      <c r="F172" s="97"/>
      <c r="G172" s="98"/>
      <c r="H172" s="97"/>
      <c r="I172" s="135">
        <v>8249917.2150000008</v>
      </c>
      <c r="J172" s="97"/>
      <c r="K172" s="97"/>
    </row>
    <row r="173" spans="1:17">
      <c r="A173" s="68">
        <v>4</v>
      </c>
      <c r="B173" s="62" t="s">
        <v>323</v>
      </c>
      <c r="C173" s="62" t="s">
        <v>324</v>
      </c>
      <c r="D173" s="97"/>
      <c r="E173" s="97"/>
      <c r="F173" s="97"/>
      <c r="G173" s="98"/>
      <c r="H173" s="97"/>
      <c r="I173" s="105">
        <f>I170-I171-I172</f>
        <v>284849020.38898075</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0.92887970882503001</v>
      </c>
      <c r="J175" s="97"/>
      <c r="K175" s="97"/>
      <c r="N175" s="137"/>
      <c r="O175" s="137"/>
      <c r="P175" s="137"/>
    </row>
    <row r="176" spans="1:17" ht="9" customHeight="1">
      <c r="A176" s="68"/>
      <c r="J176" s="97"/>
      <c r="K176" s="97"/>
      <c r="N176" s="62"/>
      <c r="P176" s="97"/>
      <c r="Q176" s="62"/>
    </row>
    <row r="177" spans="1:19">
      <c r="A177" s="68"/>
      <c r="B177" s="62" t="s">
        <v>50</v>
      </c>
      <c r="J177" s="97"/>
      <c r="K177" s="97"/>
      <c r="N177" s="919"/>
      <c r="O177" s="919"/>
      <c r="P177" s="919"/>
      <c r="Q177" s="919"/>
      <c r="R177" s="919"/>
      <c r="S177" s="919"/>
    </row>
    <row r="178" spans="1:19">
      <c r="A178" s="68">
        <v>6</v>
      </c>
      <c r="B178" s="93" t="s">
        <v>327</v>
      </c>
      <c r="C178" s="93" t="s">
        <v>337</v>
      </c>
      <c r="D178" s="62"/>
      <c r="E178" s="62"/>
      <c r="F178" s="62"/>
      <c r="G178" s="68"/>
      <c r="H178" s="62"/>
      <c r="I178" s="160">
        <f>D106</f>
        <v>4593888</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4593888</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0.92887970882503001</v>
      </c>
      <c r="N183" s="139"/>
      <c r="O183" s="142"/>
      <c r="Q183" s="142"/>
    </row>
    <row r="184" spans="1:19">
      <c r="A184" s="68">
        <v>11</v>
      </c>
      <c r="B184" s="62" t="s">
        <v>431</v>
      </c>
      <c r="C184" s="62" t="s">
        <v>333</v>
      </c>
      <c r="D184" s="62"/>
      <c r="E184" s="62"/>
      <c r="F184" s="62"/>
      <c r="G184" s="62"/>
      <c r="H184" s="62" t="s">
        <v>51</v>
      </c>
      <c r="I184" s="104">
        <f>+I183*I182</f>
        <v>0.92887970882503001</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898">
        <v>2363162</v>
      </c>
      <c r="E188" s="148">
        <v>0</v>
      </c>
      <c r="F188" s="148"/>
      <c r="G188" s="105">
        <f>D188*E188</f>
        <v>0</v>
      </c>
      <c r="H188" s="97"/>
      <c r="I188" s="97"/>
      <c r="J188" s="97"/>
      <c r="K188" s="97"/>
    </row>
    <row r="189" spans="1:19">
      <c r="A189" s="68">
        <v>13</v>
      </c>
      <c r="B189" s="62" t="s">
        <v>28</v>
      </c>
      <c r="C189" s="97" t="s">
        <v>107</v>
      </c>
      <c r="D189" s="898">
        <v>1780159</v>
      </c>
      <c r="E189" s="509">
        <f>$I$175</f>
        <v>0.92887970882503001</v>
      </c>
      <c r="F189" s="148"/>
      <c r="G189" s="105">
        <f>D189*E189</f>
        <v>1653553.5735822567</v>
      </c>
      <c r="H189" s="97"/>
      <c r="I189" s="97"/>
      <c r="J189" s="97"/>
      <c r="K189" s="97"/>
    </row>
    <row r="190" spans="1:19">
      <c r="A190" s="68">
        <v>14</v>
      </c>
      <c r="B190" s="62" t="s">
        <v>29</v>
      </c>
      <c r="C190" s="97" t="s">
        <v>108</v>
      </c>
      <c r="D190" s="898">
        <v>6937934</v>
      </c>
      <c r="E190" s="148">
        <v>0</v>
      </c>
      <c r="F190" s="148"/>
      <c r="G190" s="105">
        <f>D190*E190</f>
        <v>0</v>
      </c>
      <c r="H190" s="97"/>
      <c r="I190" s="98" t="s">
        <v>57</v>
      </c>
      <c r="J190" s="97"/>
      <c r="K190" s="97"/>
    </row>
    <row r="191" spans="1:19" ht="13.8" thickBot="1">
      <c r="A191" s="68">
        <v>15</v>
      </c>
      <c r="B191" s="62" t="s">
        <v>58</v>
      </c>
      <c r="C191" s="97" t="s">
        <v>111</v>
      </c>
      <c r="D191" s="899">
        <f>1128610+290488</f>
        <v>1419098</v>
      </c>
      <c r="E191" s="148">
        <v>0</v>
      </c>
      <c r="F191" s="148"/>
      <c r="G191" s="150">
        <f>D191*E191</f>
        <v>0</v>
      </c>
      <c r="H191" s="97"/>
      <c r="I191" s="101" t="s">
        <v>59</v>
      </c>
      <c r="J191" s="97"/>
      <c r="K191" s="97"/>
    </row>
    <row r="192" spans="1:19">
      <c r="A192" s="68">
        <v>16</v>
      </c>
      <c r="B192" s="62" t="s">
        <v>339</v>
      </c>
      <c r="C192" s="97" t="s">
        <v>966</v>
      </c>
      <c r="D192" s="105">
        <f>SUM(D188:D191)</f>
        <v>12500353</v>
      </c>
      <c r="E192" s="97"/>
      <c r="F192" s="97"/>
      <c r="G192" s="105">
        <f>SUM(G188:G191)</f>
        <v>1653553.5735822567</v>
      </c>
      <c r="H192" s="68" t="s">
        <v>60</v>
      </c>
      <c r="I192" s="120">
        <f>IF(G192&gt;0,G192/D192,0)</f>
        <v>0.13228055028384053</v>
      </c>
      <c r="J192" s="98" t="s">
        <v>60</v>
      </c>
      <c r="K192" s="132" t="s">
        <v>31</v>
      </c>
    </row>
    <row r="193" spans="1:11" ht="9" customHeight="1">
      <c r="A193" s="68"/>
      <c r="B193" s="62"/>
      <c r="C193" s="97"/>
      <c r="D193" s="97"/>
      <c r="E193" s="97"/>
      <c r="F193" s="97"/>
      <c r="G193" s="97"/>
      <c r="H193" s="97"/>
      <c r="I193" s="97"/>
      <c r="J193" s="97"/>
      <c r="K193" s="97"/>
    </row>
    <row r="194" spans="1:11">
      <c r="A194" s="68"/>
      <c r="B194" s="62" t="s">
        <v>1252</v>
      </c>
      <c r="C194" s="97"/>
      <c r="D194" s="114" t="s">
        <v>55</v>
      </c>
      <c r="E194" s="97"/>
      <c r="F194" s="97"/>
      <c r="G194" s="98" t="s">
        <v>61</v>
      </c>
      <c r="H194" s="128" t="s">
        <v>2</v>
      </c>
      <c r="I194" s="121" t="str">
        <f>+I190</f>
        <v>W&amp;S Allocator</v>
      </c>
      <c r="J194" s="97"/>
      <c r="K194" s="97"/>
    </row>
    <row r="195" spans="1:11">
      <c r="A195" s="68">
        <v>17</v>
      </c>
      <c r="B195" s="62" t="s">
        <v>62</v>
      </c>
      <c r="C195" s="97" t="s">
        <v>63</v>
      </c>
      <c r="D195" s="898">
        <v>1203958614</v>
      </c>
      <c r="E195" s="97"/>
      <c r="G195" s="68" t="s">
        <v>64</v>
      </c>
      <c r="H195" s="128"/>
      <c r="I195" s="68" t="s">
        <v>65</v>
      </c>
      <c r="J195" s="97"/>
      <c r="K195" s="68" t="s">
        <v>1251</v>
      </c>
    </row>
    <row r="196" spans="1:11">
      <c r="A196" s="68">
        <v>18</v>
      </c>
      <c r="B196" s="62" t="s">
        <v>66</v>
      </c>
      <c r="C196" s="97" t="s">
        <v>101</v>
      </c>
      <c r="D196" s="898">
        <v>0</v>
      </c>
      <c r="E196" s="97"/>
      <c r="G196" s="104">
        <f>IF(D198&gt;0,D195/D198,0)</f>
        <v>0.97882465828005749</v>
      </c>
      <c r="H196" s="98" t="s">
        <v>67</v>
      </c>
      <c r="I196" s="104">
        <f>I192</f>
        <v>0.13228055028384053</v>
      </c>
      <c r="J196" s="128" t="s">
        <v>60</v>
      </c>
      <c r="K196" s="151">
        <f>I196*G196</f>
        <v>0.12947946442867816</v>
      </c>
    </row>
    <row r="197" spans="1:11" ht="13.8" thickBot="1">
      <c r="A197" s="68">
        <v>19</v>
      </c>
      <c r="B197" s="134" t="s">
        <v>58</v>
      </c>
      <c r="C197" s="146" t="s">
        <v>571</v>
      </c>
      <c r="D197" s="899">
        <v>26045763</v>
      </c>
      <c r="E197" s="97"/>
      <c r="F197" s="97"/>
      <c r="G197" s="97" t="s">
        <v>2</v>
      </c>
      <c r="H197" s="97"/>
      <c r="I197" s="97"/>
      <c r="J197" s="97"/>
      <c r="K197" s="97"/>
    </row>
    <row r="198" spans="1:11">
      <c r="A198" s="68">
        <v>20</v>
      </c>
      <c r="B198" s="62" t="s">
        <v>339</v>
      </c>
      <c r="C198" s="97" t="s">
        <v>340</v>
      </c>
      <c r="D198" s="105">
        <f>D195+D196+D197</f>
        <v>1230004377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1053</v>
      </c>
      <c r="H202" s="97"/>
      <c r="I202" s="101" t="s">
        <v>71</v>
      </c>
      <c r="J202" s="97"/>
      <c r="K202" s="97"/>
    </row>
    <row r="203" spans="1:11" s="798" customFormat="1">
      <c r="A203" s="69">
        <v>21</v>
      </c>
      <c r="B203" s="794" t="s">
        <v>341</v>
      </c>
      <c r="C203" s="413" t="s">
        <v>1053</v>
      </c>
      <c r="D203" s="97"/>
      <c r="E203" s="795">
        <v>0.53</v>
      </c>
      <c r="F203" s="796"/>
      <c r="G203" s="897">
        <v>3.7403441019576086E-2</v>
      </c>
      <c r="I203" s="797">
        <f>G203*E203</f>
        <v>1.9823823740375328E-2</v>
      </c>
      <c r="J203" s="799" t="s">
        <v>72</v>
      </c>
    </row>
    <row r="204" spans="1:11" ht="13.8" thickBot="1">
      <c r="A204" s="68">
        <v>22</v>
      </c>
      <c r="B204" s="134" t="s">
        <v>342</v>
      </c>
      <c r="C204" s="134" t="s">
        <v>1053</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6.5883823740375325E-2</v>
      </c>
      <c r="J205" s="156" t="s">
        <v>73</v>
      </c>
    </row>
    <row r="206" spans="1:11" ht="9" customHeight="1">
      <c r="D206" s="97"/>
      <c r="E206" s="97"/>
      <c r="F206" s="97"/>
      <c r="G206" s="97"/>
      <c r="H206" s="97"/>
    </row>
    <row r="207" spans="1:11">
      <c r="A207" s="920"/>
      <c r="B207" s="920"/>
      <c r="C207" s="920"/>
      <c r="D207" s="97"/>
      <c r="E207" s="97"/>
      <c r="F207" s="122"/>
      <c r="G207" s="921"/>
      <c r="H207" s="921"/>
      <c r="I207" s="921"/>
      <c r="J207" s="921"/>
      <c r="K207" s="921"/>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12"/>
      <c r="H209" s="912"/>
      <c r="I209" s="912"/>
      <c r="J209" s="912"/>
      <c r="K209" s="912"/>
    </row>
    <row r="210" spans="1:11">
      <c r="B210" s="62"/>
      <c r="C210" s="62"/>
      <c r="D210" s="94"/>
      <c r="E210" s="62"/>
      <c r="F210" s="62"/>
      <c r="G210" s="62"/>
      <c r="H210" s="62"/>
      <c r="I210" s="913" t="str">
        <f>I1</f>
        <v>Actual Attachment H</v>
      </c>
      <c r="J210" s="913"/>
      <c r="K210" s="913"/>
    </row>
    <row r="211" spans="1:11">
      <c r="B211" s="62"/>
      <c r="C211" s="62"/>
      <c r="D211" s="94"/>
      <c r="E211" s="62"/>
      <c r="F211" s="62"/>
      <c r="G211" s="62"/>
      <c r="H211" s="62"/>
      <c r="I211" s="62"/>
      <c r="J211" s="912" t="s">
        <v>276</v>
      </c>
      <c r="K211" s="912"/>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12/31/2023</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17" t="s">
        <v>746</v>
      </c>
      <c r="C223" s="917"/>
      <c r="D223" s="917"/>
      <c r="E223" s="917"/>
      <c r="F223" s="917"/>
      <c r="G223" s="917"/>
      <c r="H223" s="917"/>
      <c r="I223" s="917"/>
      <c r="J223" s="917"/>
      <c r="K223" s="917"/>
    </row>
    <row r="224" spans="1:11" ht="76.650000000000006" customHeight="1">
      <c r="A224" s="69" t="s">
        <v>78</v>
      </c>
      <c r="B224" s="914" t="s">
        <v>1243</v>
      </c>
      <c r="C224" s="914"/>
      <c r="D224" s="914"/>
      <c r="E224" s="914"/>
      <c r="F224" s="914"/>
      <c r="G224" s="914"/>
      <c r="H224" s="914"/>
      <c r="I224" s="914"/>
      <c r="J224" s="914"/>
      <c r="K224" s="914"/>
    </row>
    <row r="225" spans="1:11" ht="27" customHeight="1">
      <c r="A225" s="69" t="s">
        <v>79</v>
      </c>
      <c r="B225" s="916" t="s">
        <v>791</v>
      </c>
      <c r="C225" s="916"/>
      <c r="D225" s="916"/>
      <c r="E225" s="916"/>
      <c r="F225" s="916"/>
      <c r="G225" s="916"/>
      <c r="H225" s="916"/>
      <c r="I225" s="916"/>
      <c r="J225" s="73"/>
      <c r="K225" s="73"/>
    </row>
    <row r="226" spans="1:11">
      <c r="A226" s="69" t="s">
        <v>80</v>
      </c>
      <c r="B226" s="914" t="s">
        <v>1052</v>
      </c>
      <c r="C226" s="914"/>
      <c r="D226" s="914"/>
      <c r="E226" s="914"/>
      <c r="F226" s="914"/>
      <c r="G226" s="914"/>
      <c r="H226" s="914"/>
      <c r="I226" s="914"/>
      <c r="J226" s="914"/>
      <c r="K226" s="914"/>
    </row>
    <row r="227" spans="1:11" ht="28.5" customHeight="1">
      <c r="A227" s="69" t="s">
        <v>81</v>
      </c>
      <c r="B227" s="915" t="s">
        <v>972</v>
      </c>
      <c r="C227" s="915"/>
      <c r="D227" s="915"/>
      <c r="E227" s="915"/>
      <c r="F227" s="915"/>
      <c r="G227" s="915"/>
      <c r="H227" s="915"/>
      <c r="I227" s="915"/>
      <c r="J227" s="76"/>
      <c r="K227" s="76"/>
    </row>
    <row r="228" spans="1:11">
      <c r="A228" s="69" t="s">
        <v>82</v>
      </c>
      <c r="B228" s="70" t="s">
        <v>687</v>
      </c>
      <c r="C228" s="62"/>
      <c r="D228" s="62"/>
      <c r="E228" s="62"/>
      <c r="F228" s="62"/>
      <c r="G228" s="62"/>
      <c r="H228" s="62"/>
      <c r="I228" s="62"/>
      <c r="J228" s="73"/>
      <c r="K228" s="73"/>
    </row>
    <row r="229" spans="1:11" ht="29.25" customHeight="1">
      <c r="A229" s="69" t="s">
        <v>343</v>
      </c>
      <c r="B229" s="916" t="s">
        <v>688</v>
      </c>
      <c r="C229" s="916"/>
      <c r="D229" s="916"/>
      <c r="E229" s="916"/>
      <c r="F229" s="916"/>
      <c r="G229" s="916"/>
      <c r="H229" s="916"/>
      <c r="I229" s="916"/>
      <c r="J229" s="77"/>
      <c r="K229" s="73"/>
    </row>
    <row r="230" spans="1:11">
      <c r="A230" s="69" t="s">
        <v>83</v>
      </c>
      <c r="B230" s="916" t="s">
        <v>689</v>
      </c>
      <c r="C230" s="916"/>
      <c r="D230" s="916"/>
      <c r="E230" s="916"/>
      <c r="F230" s="916"/>
      <c r="G230" s="916"/>
      <c r="H230" s="916"/>
      <c r="I230" s="916"/>
      <c r="J230" s="73"/>
      <c r="K230" s="73"/>
    </row>
    <row r="231" spans="1:11">
      <c r="A231" s="69" t="s">
        <v>84</v>
      </c>
      <c r="B231" s="916" t="s">
        <v>1049</v>
      </c>
      <c r="C231" s="916"/>
      <c r="D231" s="916"/>
      <c r="E231" s="916"/>
      <c r="F231" s="916"/>
      <c r="G231" s="916"/>
      <c r="H231" s="916"/>
      <c r="I231" s="916"/>
      <c r="J231" s="73"/>
      <c r="K231" s="73"/>
    </row>
    <row r="232" spans="1:11" ht="53.25" customHeight="1">
      <c r="A232" s="69" t="s">
        <v>85</v>
      </c>
      <c r="B232" s="914" t="s">
        <v>690</v>
      </c>
      <c r="C232" s="914"/>
      <c r="D232" s="914"/>
      <c r="E232" s="914"/>
      <c r="F232" s="914"/>
      <c r="G232" s="914"/>
      <c r="H232" s="914"/>
      <c r="I232" s="914"/>
      <c r="J232" s="914"/>
      <c r="K232" s="914"/>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16" t="s">
        <v>1050</v>
      </c>
      <c r="C236" s="916"/>
      <c r="D236" s="916"/>
      <c r="E236" s="916"/>
      <c r="F236" s="916"/>
      <c r="G236" s="916"/>
      <c r="H236" s="916"/>
      <c r="I236" s="916"/>
      <c r="J236" s="73"/>
      <c r="K236" s="73"/>
    </row>
    <row r="237" spans="1:11" ht="27" customHeight="1">
      <c r="A237" s="69" t="s">
        <v>277</v>
      </c>
      <c r="B237" s="916" t="s">
        <v>1051</v>
      </c>
      <c r="C237" s="916"/>
      <c r="D237" s="916"/>
      <c r="E237" s="916"/>
      <c r="F237" s="916"/>
      <c r="G237" s="916"/>
      <c r="H237" s="916"/>
      <c r="I237" s="916"/>
      <c r="J237" s="78"/>
      <c r="K237" s="73"/>
    </row>
    <row r="238" spans="1:11" ht="53.4" customHeight="1">
      <c r="A238" s="69" t="s">
        <v>347</v>
      </c>
      <c r="B238" s="926" t="s">
        <v>1188</v>
      </c>
      <c r="C238" s="926"/>
      <c r="D238" s="926"/>
      <c r="E238" s="926"/>
      <c r="F238" s="926"/>
      <c r="G238" s="926"/>
      <c r="H238" s="926"/>
      <c r="I238" s="926"/>
      <c r="J238" s="926"/>
      <c r="K238" s="926"/>
    </row>
    <row r="239" spans="1:11" ht="50.1" customHeight="1">
      <c r="A239" s="69" t="s">
        <v>348</v>
      </c>
      <c r="B239" s="915" t="s">
        <v>1232</v>
      </c>
      <c r="C239" s="915"/>
      <c r="D239" s="915"/>
      <c r="E239" s="915"/>
      <c r="F239" s="915"/>
      <c r="G239" s="915"/>
      <c r="H239" s="915"/>
      <c r="I239" s="915"/>
      <c r="J239" s="76"/>
      <c r="K239" s="76"/>
    </row>
    <row r="240" spans="1:11" ht="29.4" customHeight="1">
      <c r="A240" s="69" t="s">
        <v>349</v>
      </c>
      <c r="B240" s="911" t="s">
        <v>1189</v>
      </c>
      <c r="C240" s="911"/>
      <c r="D240" s="911"/>
      <c r="E240" s="911"/>
      <c r="F240" s="911"/>
      <c r="G240" s="911"/>
      <c r="H240" s="911"/>
      <c r="I240" s="911"/>
      <c r="J240" s="911"/>
      <c r="K240" s="911"/>
    </row>
    <row r="241" spans="1:11" ht="29.4" customHeight="1">
      <c r="A241" s="69" t="s">
        <v>350</v>
      </c>
      <c r="B241" s="911" t="s">
        <v>1190</v>
      </c>
      <c r="C241" s="911"/>
      <c r="D241" s="911"/>
      <c r="E241" s="911"/>
      <c r="F241" s="911"/>
      <c r="G241" s="911"/>
      <c r="H241" s="911"/>
      <c r="I241" s="911"/>
      <c r="J241" s="73"/>
      <c r="K241" s="73"/>
    </row>
    <row r="242" spans="1:11" ht="15.75" customHeight="1">
      <c r="A242" s="69" t="s">
        <v>86</v>
      </c>
      <c r="B242" s="928" t="s">
        <v>1146</v>
      </c>
      <c r="C242" s="928"/>
      <c r="D242" s="928"/>
      <c r="E242" s="928"/>
      <c r="F242" s="928"/>
      <c r="G242" s="928"/>
      <c r="H242" s="928"/>
      <c r="I242" s="928"/>
      <c r="J242" s="79"/>
      <c r="K242" s="79"/>
    </row>
    <row r="243" spans="1:11" ht="29.25" customHeight="1">
      <c r="A243" s="69" t="s">
        <v>351</v>
      </c>
      <c r="B243" s="927" t="s">
        <v>691</v>
      </c>
      <c r="C243" s="927"/>
      <c r="D243" s="927"/>
      <c r="E243" s="927"/>
      <c r="F243" s="927"/>
      <c r="G243" s="927"/>
      <c r="H243" s="927"/>
      <c r="I243" s="927"/>
      <c r="J243" s="73"/>
      <c r="K243" s="73"/>
    </row>
    <row r="244" spans="1:11" ht="30" customHeight="1">
      <c r="A244" s="71" t="s">
        <v>352</v>
      </c>
      <c r="B244" s="911" t="s">
        <v>1256</v>
      </c>
      <c r="C244" s="911"/>
      <c r="D244" s="911"/>
      <c r="E244" s="911"/>
      <c r="F244" s="911"/>
      <c r="G244" s="911"/>
      <c r="H244" s="911"/>
      <c r="I244" s="911"/>
      <c r="J244" s="81"/>
      <c r="K244" s="81"/>
    </row>
    <row r="245" spans="1:11" ht="13.35" customHeight="1">
      <c r="A245" s="71" t="s">
        <v>353</v>
      </c>
      <c r="B245" s="924" t="s">
        <v>1146</v>
      </c>
      <c r="C245" s="924"/>
      <c r="D245" s="924"/>
      <c r="E245" s="924"/>
      <c r="F245" s="924"/>
      <c r="G245" s="924"/>
      <c r="H245" s="924"/>
      <c r="I245" s="924"/>
      <c r="J245" s="82"/>
      <c r="K245" s="82"/>
    </row>
    <row r="246" spans="1:11" ht="13.35" customHeight="1">
      <c r="A246" s="71" t="s">
        <v>354</v>
      </c>
      <c r="B246" s="911" t="s">
        <v>1054</v>
      </c>
      <c r="C246" s="911"/>
      <c r="D246" s="911"/>
      <c r="E246" s="911"/>
      <c r="F246" s="911"/>
      <c r="G246" s="911"/>
      <c r="H246" s="911"/>
      <c r="I246" s="911"/>
      <c r="J246" s="82"/>
      <c r="K246" s="82"/>
    </row>
    <row r="247" spans="1:11" ht="12.75" customHeight="1">
      <c r="A247" s="71" t="s">
        <v>499</v>
      </c>
      <c r="B247" s="911" t="s">
        <v>500</v>
      </c>
      <c r="C247" s="911"/>
      <c r="D247" s="911"/>
      <c r="E247" s="911"/>
      <c r="F247" s="911"/>
      <c r="G247" s="911"/>
      <c r="H247" s="911"/>
      <c r="I247" s="911"/>
      <c r="J247" s="82"/>
      <c r="K247" s="82"/>
    </row>
    <row r="248" spans="1:11" ht="27.75" customHeight="1">
      <c r="A248" s="71" t="s">
        <v>573</v>
      </c>
      <c r="B248" s="911" t="s">
        <v>692</v>
      </c>
      <c r="C248" s="911"/>
      <c r="D248" s="911"/>
      <c r="E248" s="911"/>
      <c r="F248" s="911"/>
      <c r="G248" s="911"/>
      <c r="H248" s="911"/>
      <c r="I248" s="911"/>
      <c r="J248" s="82"/>
      <c r="K248" s="82"/>
    </row>
    <row r="249" spans="1:11" ht="69.599999999999994" customHeight="1">
      <c r="A249" s="71" t="s">
        <v>574</v>
      </c>
      <c r="B249" s="911" t="s">
        <v>1142</v>
      </c>
      <c r="C249" s="911"/>
      <c r="D249" s="911"/>
      <c r="E249" s="911"/>
      <c r="F249" s="911"/>
      <c r="G249" s="911"/>
      <c r="H249" s="911"/>
      <c r="I249" s="911"/>
      <c r="J249" s="82"/>
      <c r="K249" s="82"/>
    </row>
    <row r="250" spans="1:11" ht="13.35" customHeight="1">
      <c r="A250" s="71" t="s">
        <v>748</v>
      </c>
      <c r="B250" s="924" t="s">
        <v>1146</v>
      </c>
      <c r="C250" s="924"/>
      <c r="D250" s="924"/>
      <c r="E250" s="924"/>
      <c r="F250" s="924"/>
      <c r="G250" s="924"/>
      <c r="H250" s="924"/>
      <c r="I250" s="924"/>
      <c r="J250" s="82"/>
      <c r="K250" s="82"/>
    </row>
    <row r="251" spans="1:11" ht="114" customHeight="1">
      <c r="A251" s="71" t="s">
        <v>788</v>
      </c>
      <c r="B251" s="924" t="s">
        <v>1081</v>
      </c>
      <c r="C251" s="924"/>
      <c r="D251" s="924"/>
      <c r="E251" s="924"/>
      <c r="F251" s="924"/>
      <c r="G251" s="924"/>
      <c r="H251" s="924"/>
      <c r="I251" s="924"/>
      <c r="J251" s="82"/>
      <c r="K251" s="82"/>
    </row>
    <row r="252" spans="1:11" ht="16.5" customHeight="1">
      <c r="A252" s="71"/>
      <c r="B252" s="910"/>
      <c r="C252" s="910"/>
      <c r="D252" s="910"/>
      <c r="E252" s="910"/>
      <c r="F252" s="910"/>
      <c r="G252" s="910"/>
      <c r="H252" s="910"/>
      <c r="I252" s="910"/>
      <c r="J252" s="82"/>
      <c r="K252" s="82"/>
    </row>
    <row r="253" spans="1:11" ht="14.25" customHeight="1">
      <c r="A253" s="71"/>
      <c r="B253" s="910"/>
      <c r="C253" s="910"/>
      <c r="D253" s="910"/>
      <c r="E253" s="910"/>
      <c r="F253" s="910"/>
      <c r="G253" s="910"/>
      <c r="H253" s="910"/>
      <c r="I253" s="910"/>
      <c r="J253" s="79"/>
      <c r="K253" s="79"/>
    </row>
    <row r="254" spans="1:11" ht="30.75" customHeight="1">
      <c r="A254" s="71"/>
      <c r="B254" s="910"/>
      <c r="C254" s="910"/>
      <c r="D254" s="910"/>
      <c r="E254" s="910"/>
      <c r="F254" s="910"/>
      <c r="G254" s="910"/>
      <c r="H254" s="910"/>
      <c r="I254" s="910"/>
      <c r="J254" s="79"/>
      <c r="K254" s="79"/>
    </row>
    <row r="255" spans="1:11">
      <c r="A255" s="83"/>
      <c r="B255" s="925"/>
      <c r="C255" s="925"/>
      <c r="D255" s="925"/>
      <c r="E255" s="925"/>
      <c r="F255" s="925"/>
      <c r="G255" s="925"/>
      <c r="H255" s="925"/>
      <c r="I255" s="925"/>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23"/>
      <c r="C263" s="923"/>
      <c r="D263" s="923"/>
      <c r="E263" s="923"/>
      <c r="F263" s="923"/>
      <c r="G263" s="923"/>
      <c r="H263" s="923"/>
      <c r="I263" s="923"/>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 ref="F158:K158"/>
    <mergeCell ref="I1:K1"/>
    <mergeCell ref="J2:K2"/>
    <mergeCell ref="I159:K159"/>
    <mergeCell ref="I94:K94"/>
    <mergeCell ref="J95:K95"/>
    <mergeCell ref="I32:K32"/>
    <mergeCell ref="J33:K33"/>
    <mergeCell ref="F12:G12"/>
    <mergeCell ref="J160:K160"/>
    <mergeCell ref="G162:K162"/>
    <mergeCell ref="N177:S177"/>
    <mergeCell ref="A207:C207"/>
    <mergeCell ref="G207:K207"/>
    <mergeCell ref="G209:K209"/>
    <mergeCell ref="I210:K210"/>
    <mergeCell ref="J211:K211"/>
    <mergeCell ref="B232:K232"/>
    <mergeCell ref="B224:K224"/>
    <mergeCell ref="B227:I227"/>
    <mergeCell ref="B229:I229"/>
    <mergeCell ref="B230:I230"/>
    <mergeCell ref="B231:I231"/>
    <mergeCell ref="B223:K223"/>
    <mergeCell ref="B252:I252"/>
    <mergeCell ref="B253:I253"/>
    <mergeCell ref="B254:I254"/>
    <mergeCell ref="B249:I249"/>
    <mergeCell ref="B240:K240"/>
    <mergeCell ref="B244:I244"/>
    <mergeCell ref="B241:I241"/>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80" zoomScaleNormal="80" workbookViewId="0">
      <selection activeCell="I15" sqref="I15"/>
    </sheetView>
  </sheetViews>
  <sheetFormatPr defaultColWidth="8.6328125" defaultRowHeight="13.2"/>
  <cols>
    <col min="1" max="1" width="5.6328125" style="340" bestFit="1" customWidth="1"/>
    <col min="2" max="2" width="52.36328125" style="340" customWidth="1"/>
    <col min="3" max="3" width="19.54296875" style="342" bestFit="1" customWidth="1"/>
    <col min="4" max="4" width="12.08984375" style="345" customWidth="1"/>
    <col min="5" max="5" width="7.54296875" style="340" bestFit="1" customWidth="1"/>
    <col min="6" max="16384" width="8.6328125" style="340"/>
  </cols>
  <sheetData>
    <row r="1" spans="1:7">
      <c r="A1" s="934" t="s">
        <v>564</v>
      </c>
      <c r="B1" s="934"/>
      <c r="C1" s="934"/>
      <c r="D1" s="934"/>
      <c r="E1" s="934"/>
      <c r="F1" s="206"/>
      <c r="G1" s="206"/>
    </row>
    <row r="2" spans="1:7">
      <c r="A2" s="934" t="s">
        <v>565</v>
      </c>
      <c r="B2" s="934"/>
      <c r="C2" s="934"/>
      <c r="D2" s="934"/>
      <c r="E2" s="934"/>
      <c r="F2" s="206"/>
      <c r="G2" s="206"/>
    </row>
    <row r="3" spans="1:7">
      <c r="A3" s="935" t="str">
        <f>'Act Att-H'!C7</f>
        <v>Black Hills Colorado Electric, LLC</v>
      </c>
      <c r="B3" s="935"/>
      <c r="C3" s="935"/>
      <c r="D3" s="935"/>
      <c r="E3" s="935"/>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2">
        <f>739493+85216+875765+45744+217657</f>
        <v>1963875</v>
      </c>
    </row>
    <row r="10" spans="1:7">
      <c r="A10" s="342">
        <f t="shared" ref="A10:A32" si="0">A9+1</f>
        <v>3</v>
      </c>
      <c r="B10" s="348" t="s">
        <v>562</v>
      </c>
      <c r="C10" s="410" t="s">
        <v>566</v>
      </c>
      <c r="D10" s="672">
        <v>0</v>
      </c>
    </row>
    <row r="11" spans="1:7">
      <c r="A11" s="342">
        <f t="shared" si="0"/>
        <v>4</v>
      </c>
      <c r="B11" s="349" t="s">
        <v>561</v>
      </c>
      <c r="C11" s="410" t="s">
        <v>567</v>
      </c>
      <c r="D11" s="672">
        <v>875765</v>
      </c>
    </row>
    <row r="12" spans="1:7">
      <c r="A12" s="342">
        <f t="shared" si="0"/>
        <v>5</v>
      </c>
      <c r="B12" s="349" t="s">
        <v>560</v>
      </c>
      <c r="C12" s="410" t="s">
        <v>568</v>
      </c>
      <c r="D12" s="672">
        <v>0</v>
      </c>
    </row>
    <row r="13" spans="1:7">
      <c r="A13" s="342">
        <f t="shared" si="0"/>
        <v>6</v>
      </c>
      <c r="B13" s="349" t="s">
        <v>559</v>
      </c>
      <c r="C13" s="410" t="s">
        <v>569</v>
      </c>
      <c r="D13" s="672">
        <v>45744</v>
      </c>
    </row>
    <row r="14" spans="1:7">
      <c r="A14" s="342">
        <f t="shared" si="0"/>
        <v>7</v>
      </c>
      <c r="B14" s="349" t="s">
        <v>558</v>
      </c>
      <c r="C14" s="410" t="s">
        <v>570</v>
      </c>
      <c r="D14" s="672">
        <v>217657</v>
      </c>
    </row>
    <row r="15" spans="1:7">
      <c r="A15" s="342">
        <f t="shared" si="0"/>
        <v>8</v>
      </c>
      <c r="B15" s="408" t="s">
        <v>599</v>
      </c>
      <c r="C15" s="674" t="s">
        <v>829</v>
      </c>
      <c r="D15" s="407">
        <f>D9-D10-D11-D12-D13-D14</f>
        <v>824709</v>
      </c>
    </row>
    <row r="16" spans="1:7">
      <c r="A16" s="342">
        <f t="shared" si="0"/>
        <v>9</v>
      </c>
      <c r="B16" s="346"/>
      <c r="D16" s="347"/>
    </row>
    <row r="17" spans="1:11">
      <c r="A17" s="342">
        <f t="shared" si="0"/>
        <v>10</v>
      </c>
      <c r="B17" s="346" t="s">
        <v>605</v>
      </c>
      <c r="C17" s="410" t="s">
        <v>932</v>
      </c>
      <c r="D17" s="672">
        <v>200316.63</v>
      </c>
    </row>
    <row r="18" spans="1:11">
      <c r="A18" s="342">
        <f t="shared" si="0"/>
        <v>11</v>
      </c>
      <c r="B18" s="346"/>
      <c r="D18" s="347"/>
    </row>
    <row r="19" spans="1:11">
      <c r="A19" s="342">
        <f t="shared" si="0"/>
        <v>12</v>
      </c>
      <c r="B19" s="346" t="s">
        <v>606</v>
      </c>
      <c r="C19" s="410" t="s">
        <v>830</v>
      </c>
      <c r="D19" s="412">
        <f>D15-D17</f>
        <v>624392.37</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377252.70226007211</v>
      </c>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7">
        <f>ROUND(D19/D23,2)</f>
        <v>1.66</v>
      </c>
      <c r="E26" s="62" t="s">
        <v>197</v>
      </c>
      <c r="F26" s="97"/>
      <c r="G26" s="97"/>
      <c r="H26" s="97"/>
      <c r="I26" s="97"/>
      <c r="J26" s="97"/>
      <c r="K26" s="62"/>
    </row>
    <row r="27" spans="1:11">
      <c r="A27" s="342">
        <f t="shared" si="0"/>
        <v>20</v>
      </c>
      <c r="B27" s="62" t="s">
        <v>208</v>
      </c>
      <c r="C27" s="62" t="s">
        <v>603</v>
      </c>
      <c r="D27" s="538">
        <f>ROUND(D26/12,2)</f>
        <v>0.14000000000000001</v>
      </c>
      <c r="E27" s="62" t="s">
        <v>198</v>
      </c>
      <c r="F27" s="97"/>
      <c r="G27" s="97"/>
      <c r="H27" s="97"/>
      <c r="I27" s="97"/>
      <c r="J27" s="97"/>
      <c r="K27" s="62"/>
    </row>
    <row r="28" spans="1:11">
      <c r="A28" s="342">
        <f t="shared" si="0"/>
        <v>21</v>
      </c>
      <c r="B28" s="62" t="s">
        <v>209</v>
      </c>
      <c r="C28" s="62" t="s">
        <v>604</v>
      </c>
      <c r="D28" s="537">
        <f>ROUND(D26/52,2)</f>
        <v>0.03</v>
      </c>
      <c r="E28" s="62" t="s">
        <v>199</v>
      </c>
      <c r="F28" s="97"/>
      <c r="G28" s="97"/>
      <c r="H28" s="97"/>
      <c r="I28" s="97"/>
      <c r="J28" s="97"/>
      <c r="K28" s="62"/>
    </row>
    <row r="29" spans="1:11">
      <c r="A29" s="342">
        <f t="shared" si="0"/>
        <v>22</v>
      </c>
      <c r="B29" s="62" t="s">
        <v>210</v>
      </c>
      <c r="C29" s="62" t="s">
        <v>200</v>
      </c>
      <c r="D29" s="538">
        <f>+D28/6</f>
        <v>5.0000000000000001E-3</v>
      </c>
      <c r="E29" s="62" t="s">
        <v>201</v>
      </c>
      <c r="F29" s="97"/>
      <c r="G29" s="97"/>
      <c r="H29" s="97"/>
      <c r="I29" s="97"/>
      <c r="J29" s="97"/>
      <c r="K29" s="62"/>
    </row>
    <row r="30" spans="1:11">
      <c r="A30" s="342">
        <f t="shared" si="0"/>
        <v>23</v>
      </c>
      <c r="B30" s="62" t="s">
        <v>211</v>
      </c>
      <c r="C30" s="62" t="s">
        <v>202</v>
      </c>
      <c r="D30" s="538">
        <f>+D28/7</f>
        <v>4.2857142857142859E-3</v>
      </c>
      <c r="E30" s="62" t="s">
        <v>201</v>
      </c>
      <c r="F30" s="97"/>
      <c r="G30" s="97"/>
      <c r="H30" s="97"/>
      <c r="I30" s="97"/>
      <c r="J30" s="97"/>
      <c r="K30" s="62"/>
    </row>
    <row r="31" spans="1:11">
      <c r="A31" s="342">
        <f t="shared" si="0"/>
        <v>24</v>
      </c>
      <c r="B31" s="62" t="s">
        <v>212</v>
      </c>
      <c r="C31" s="62" t="s">
        <v>203</v>
      </c>
      <c r="D31" s="537">
        <f>+D29/16*1000</f>
        <v>0.3125</v>
      </c>
      <c r="E31" s="62" t="s">
        <v>668</v>
      </c>
      <c r="F31" s="97"/>
      <c r="G31" s="97"/>
      <c r="H31" s="97"/>
      <c r="I31" s="97"/>
      <c r="J31" s="97"/>
      <c r="K31" s="62"/>
    </row>
    <row r="32" spans="1:11">
      <c r="A32" s="342">
        <f t="shared" si="0"/>
        <v>25</v>
      </c>
      <c r="B32" s="62" t="s">
        <v>213</v>
      </c>
      <c r="C32" s="62" t="s">
        <v>204</v>
      </c>
      <c r="D32" s="537">
        <f>+D30/24*1000</f>
        <v>0.17857142857142858</v>
      </c>
      <c r="E32" s="62" t="s">
        <v>668</v>
      </c>
      <c r="F32" s="97"/>
      <c r="G32" s="97"/>
      <c r="H32" s="97"/>
      <c r="I32" s="97"/>
      <c r="J32" s="97"/>
      <c r="K32" s="62"/>
    </row>
    <row r="33" spans="1:11">
      <c r="A33" s="342"/>
      <c r="B33" s="62"/>
      <c r="C33" s="62"/>
      <c r="D33" s="539"/>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75"/>
      <c r="C38" s="875"/>
      <c r="D38" s="875"/>
    </row>
    <row r="39" spans="1:11">
      <c r="A39" s="342"/>
      <c r="B39" s="875"/>
      <c r="C39" s="875"/>
      <c r="D39" s="876"/>
    </row>
    <row r="40" spans="1:11">
      <c r="A40" s="342"/>
      <c r="B40" s="877"/>
      <c r="C40" s="875"/>
      <c r="D40" s="876"/>
    </row>
    <row r="41" spans="1:11">
      <c r="A41" s="342"/>
      <c r="B41" s="878"/>
      <c r="C41" s="878"/>
      <c r="D41" s="878"/>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topLeftCell="A17" zoomScale="80" zoomScaleNormal="80" workbookViewId="0">
      <selection activeCell="L22" sqref="L22"/>
    </sheetView>
  </sheetViews>
  <sheetFormatPr defaultColWidth="8.6328125" defaultRowHeight="13.2"/>
  <cols>
    <col min="1" max="1" width="4.6328125" style="2" bestFit="1" customWidth="1"/>
    <col min="2" max="2" width="8.08984375" style="2" customWidth="1"/>
    <col min="3" max="3" width="35.90625" style="2" customWidth="1"/>
    <col min="4" max="4" width="7.54296875" style="2" bestFit="1" customWidth="1"/>
    <col min="5" max="5" width="9.6328125" style="2" customWidth="1"/>
    <col min="6" max="6" width="10.36328125" style="2" bestFit="1" customWidth="1"/>
    <col min="7" max="7" width="9.7265625" style="2" bestFit="1" customWidth="1"/>
    <col min="8" max="11" width="9" style="2" customWidth="1"/>
    <col min="12" max="12" width="9.08984375" style="2" bestFit="1" customWidth="1"/>
    <col min="13" max="13" width="12.453125" style="2" customWidth="1"/>
    <col min="14" max="14" width="12.54296875" style="2" customWidth="1"/>
    <col min="15" max="16384" width="8.6328125" style="2"/>
  </cols>
  <sheetData>
    <row r="1" spans="1:12">
      <c r="A1" s="931" t="s">
        <v>411</v>
      </c>
      <c r="B1" s="931"/>
      <c r="C1" s="931"/>
      <c r="D1" s="931"/>
      <c r="E1" s="931"/>
      <c r="F1" s="931"/>
      <c r="G1" s="931"/>
      <c r="H1" s="931"/>
      <c r="I1" s="931"/>
      <c r="J1" s="931"/>
      <c r="K1" s="723"/>
      <c r="L1" s="723"/>
    </row>
    <row r="2" spans="1:12">
      <c r="A2" s="932" t="s">
        <v>188</v>
      </c>
      <c r="B2" s="932"/>
      <c r="C2" s="932"/>
      <c r="D2" s="932"/>
      <c r="E2" s="932"/>
      <c r="F2" s="932"/>
      <c r="G2" s="932"/>
      <c r="H2" s="932"/>
      <c r="I2" s="932"/>
      <c r="J2" s="932"/>
      <c r="K2" s="397"/>
      <c r="L2" s="397"/>
    </row>
    <row r="3" spans="1:12">
      <c r="A3" s="932" t="str">
        <f>'Act Att-H'!C7</f>
        <v>Black Hills Colorado Electric, LLC</v>
      </c>
      <c r="B3" s="932"/>
      <c r="C3" s="932"/>
      <c r="D3" s="932"/>
      <c r="E3" s="932"/>
      <c r="F3" s="932"/>
      <c r="G3" s="932"/>
      <c r="H3" s="932"/>
      <c r="I3" s="932"/>
      <c r="J3" s="932"/>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30" t="s">
        <v>10</v>
      </c>
      <c r="I7" s="930"/>
      <c r="J7" s="419" t="s">
        <v>9</v>
      </c>
    </row>
    <row r="8" spans="1:12">
      <c r="A8" s="5">
        <f>A7+1</f>
        <v>2</v>
      </c>
      <c r="E8" s="28" t="s">
        <v>138</v>
      </c>
      <c r="F8" s="422" t="s">
        <v>139</v>
      </c>
      <c r="G8" s="422" t="s">
        <v>140</v>
      </c>
      <c r="H8" s="929" t="s">
        <v>141</v>
      </c>
      <c r="I8" s="929"/>
      <c r="J8" s="422" t="s">
        <v>542</v>
      </c>
    </row>
    <row r="9" spans="1:12">
      <c r="A9" s="5">
        <f t="shared" ref="A9:A59" si="0">A8+1</f>
        <v>3</v>
      </c>
      <c r="B9" s="423" t="s">
        <v>184</v>
      </c>
      <c r="C9" s="424"/>
      <c r="F9" s="424"/>
      <c r="G9" s="424"/>
      <c r="H9" s="93"/>
    </row>
    <row r="10" spans="1:12">
      <c r="A10" s="5">
        <f t="shared" si="0"/>
        <v>4</v>
      </c>
      <c r="B10" s="425">
        <v>45400</v>
      </c>
      <c r="C10" s="424" t="s">
        <v>185</v>
      </c>
      <c r="E10" s="199">
        <v>712.25</v>
      </c>
      <c r="F10" s="210">
        <v>0</v>
      </c>
      <c r="G10" s="210">
        <f>SUM(E10:F10)</f>
        <v>712.25</v>
      </c>
      <c r="H10" s="552" t="s">
        <v>11</v>
      </c>
      <c r="I10" s="151">
        <f>'Act Att-H'!I175</f>
        <v>0.92887970882503001</v>
      </c>
      <c r="J10" s="210">
        <f>G10*I10</f>
        <v>661.59457261062767</v>
      </c>
    </row>
    <row r="11" spans="1:12">
      <c r="A11" s="5">
        <f t="shared" si="0"/>
        <v>5</v>
      </c>
      <c r="B11" s="425">
        <v>45400</v>
      </c>
      <c r="C11" s="424" t="s">
        <v>186</v>
      </c>
      <c r="E11" s="426">
        <v>1763875.9300000002</v>
      </c>
      <c r="F11" s="424">
        <f>-E11</f>
        <v>-1763875.9300000002</v>
      </c>
      <c r="G11" s="424">
        <f>SUM(E11:F11)</f>
        <v>0</v>
      </c>
      <c r="H11" s="28" t="s">
        <v>27</v>
      </c>
      <c r="I11" s="151"/>
      <c r="J11" s="210">
        <f>G11*I11</f>
        <v>0</v>
      </c>
    </row>
    <row r="12" spans="1:12">
      <c r="A12" s="5" t="s">
        <v>99</v>
      </c>
      <c r="B12" s="425">
        <v>45400</v>
      </c>
      <c r="C12" s="424" t="s">
        <v>1123</v>
      </c>
      <c r="D12" s="2" t="s">
        <v>1053</v>
      </c>
      <c r="E12" s="426"/>
      <c r="F12" s="424">
        <v>0</v>
      </c>
      <c r="G12" s="424">
        <f t="shared" ref="G12:G13" si="1">SUM(E12:F12)</f>
        <v>0</v>
      </c>
      <c r="H12" s="28" t="s">
        <v>31</v>
      </c>
      <c r="I12" s="151">
        <f>'Act Att-H'!G48</f>
        <v>0.13228055028384053</v>
      </c>
      <c r="J12" s="210">
        <f t="shared" ref="J12:J13" si="2">G12*I12</f>
        <v>0</v>
      </c>
    </row>
    <row r="13" spans="1:12">
      <c r="A13" s="5" t="s">
        <v>133</v>
      </c>
      <c r="B13" s="425">
        <v>45400</v>
      </c>
      <c r="C13" s="424" t="s">
        <v>1253</v>
      </c>
      <c r="D13" s="2" t="s">
        <v>1053</v>
      </c>
      <c r="E13" s="426">
        <v>0</v>
      </c>
      <c r="F13" s="424">
        <v>0</v>
      </c>
      <c r="G13" s="424">
        <f t="shared" si="1"/>
        <v>0</v>
      </c>
      <c r="H13" s="28" t="s">
        <v>1251</v>
      </c>
      <c r="I13" s="151">
        <f>'Act Att-H'!G49</f>
        <v>0.12947946442867816</v>
      </c>
      <c r="J13" s="210">
        <f t="shared" si="2"/>
        <v>0</v>
      </c>
    </row>
    <row r="14" spans="1:12">
      <c r="A14" s="5">
        <f>A11+1</f>
        <v>6</v>
      </c>
      <c r="B14" s="427" t="s">
        <v>931</v>
      </c>
      <c r="C14" s="427"/>
      <c r="D14" s="428"/>
      <c r="E14" s="407">
        <f>SUM(E10:E13)</f>
        <v>1764588.1800000002</v>
      </c>
      <c r="F14" s="407">
        <f t="shared" ref="F14:G14" si="3">SUM(F10:F13)</f>
        <v>-1763875.9300000002</v>
      </c>
      <c r="G14" s="407">
        <f t="shared" si="3"/>
        <v>712.25</v>
      </c>
      <c r="H14" s="428"/>
      <c r="I14" s="553"/>
      <c r="J14" s="554">
        <f>SUM(J10:J13)</f>
        <v>661.59457261062767</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952</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8" t="s">
        <v>164</v>
      </c>
      <c r="C26" s="858" t="s">
        <v>953</v>
      </c>
      <c r="D26" s="859" t="s">
        <v>954</v>
      </c>
      <c r="E26" s="435"/>
      <c r="F26" s="900">
        <v>4629863</v>
      </c>
      <c r="G26" s="900"/>
      <c r="H26" s="900"/>
      <c r="I26" s="900"/>
      <c r="J26" s="900">
        <f>SUM(F26:I26)</f>
        <v>4629863</v>
      </c>
    </row>
    <row r="27" spans="1:14">
      <c r="A27" s="5">
        <f t="shared" si="0"/>
        <v>19</v>
      </c>
      <c r="B27" s="858" t="s">
        <v>164</v>
      </c>
      <c r="C27" s="858" t="s">
        <v>955</v>
      </c>
      <c r="D27" s="859" t="s">
        <v>956</v>
      </c>
      <c r="E27" s="435"/>
      <c r="F27" s="900"/>
      <c r="G27" s="900">
        <v>1214961</v>
      </c>
      <c r="H27" s="900"/>
      <c r="I27" s="900"/>
      <c r="J27" s="900">
        <f t="shared" ref="J27:J33" si="4">SUM(F27:I27)</f>
        <v>1214961</v>
      </c>
      <c r="N27" s="437"/>
    </row>
    <row r="28" spans="1:14">
      <c r="A28" s="5">
        <f t="shared" si="0"/>
        <v>20</v>
      </c>
      <c r="B28" s="858" t="s">
        <v>163</v>
      </c>
      <c r="C28" s="858" t="s">
        <v>957</v>
      </c>
      <c r="D28" s="859" t="s">
        <v>958</v>
      </c>
      <c r="E28" s="435"/>
      <c r="F28" s="900">
        <v>0</v>
      </c>
      <c r="G28" s="900"/>
      <c r="H28" s="900"/>
      <c r="I28" s="900"/>
      <c r="J28" s="900">
        <f t="shared" si="4"/>
        <v>0</v>
      </c>
      <c r="N28" s="437"/>
    </row>
    <row r="29" spans="1:14">
      <c r="A29" s="5">
        <f t="shared" si="0"/>
        <v>21</v>
      </c>
      <c r="B29" s="858" t="s">
        <v>163</v>
      </c>
      <c r="C29" s="858" t="s">
        <v>959</v>
      </c>
      <c r="D29" s="859" t="s">
        <v>960</v>
      </c>
      <c r="E29" s="435"/>
      <c r="F29" s="900">
        <v>908954</v>
      </c>
      <c r="G29" s="900"/>
      <c r="H29" s="900"/>
      <c r="I29" s="900"/>
      <c r="J29" s="900">
        <f t="shared" si="4"/>
        <v>908954</v>
      </c>
    </row>
    <row r="30" spans="1:14">
      <c r="A30" s="5">
        <f t="shared" si="0"/>
        <v>22</v>
      </c>
      <c r="B30" s="858" t="s">
        <v>165</v>
      </c>
      <c r="C30" s="858" t="s">
        <v>955</v>
      </c>
      <c r="D30" s="859" t="s">
        <v>956</v>
      </c>
      <c r="E30" s="435"/>
      <c r="F30" s="900"/>
      <c r="G30" s="900"/>
      <c r="H30" s="900">
        <v>29392</v>
      </c>
      <c r="I30" s="900"/>
      <c r="J30" s="900">
        <f t="shared" si="4"/>
        <v>29392</v>
      </c>
    </row>
    <row r="31" spans="1:14">
      <c r="A31" s="5">
        <f t="shared" si="0"/>
        <v>23</v>
      </c>
      <c r="B31" s="858" t="s">
        <v>165</v>
      </c>
      <c r="C31" s="858" t="s">
        <v>953</v>
      </c>
      <c r="D31" s="858" t="s">
        <v>954</v>
      </c>
      <c r="E31" s="435"/>
      <c r="F31" s="900"/>
      <c r="G31" s="900"/>
      <c r="H31" s="900">
        <v>168966</v>
      </c>
      <c r="I31" s="900"/>
      <c r="J31" s="900">
        <f t="shared" si="4"/>
        <v>168966</v>
      </c>
    </row>
    <row r="32" spans="1:14">
      <c r="A32" s="5">
        <f t="shared" si="0"/>
        <v>24</v>
      </c>
      <c r="B32" s="858" t="s">
        <v>165</v>
      </c>
      <c r="C32" s="858" t="s">
        <v>957</v>
      </c>
      <c r="D32" s="859" t="s">
        <v>958</v>
      </c>
      <c r="E32" s="435"/>
      <c r="F32" s="900"/>
      <c r="G32" s="900"/>
      <c r="H32" s="900">
        <v>0</v>
      </c>
      <c r="I32" s="900"/>
      <c r="J32" s="900">
        <f t="shared" si="4"/>
        <v>0</v>
      </c>
    </row>
    <row r="33" spans="1:14">
      <c r="A33" s="5">
        <f t="shared" si="0"/>
        <v>25</v>
      </c>
      <c r="B33" s="858" t="s">
        <v>165</v>
      </c>
      <c r="C33" s="858" t="s">
        <v>959</v>
      </c>
      <c r="D33" s="859" t="s">
        <v>960</v>
      </c>
      <c r="E33" s="435"/>
      <c r="F33" s="900"/>
      <c r="G33" s="900"/>
      <c r="H33" s="900">
        <v>192694</v>
      </c>
      <c r="I33" s="900"/>
      <c r="J33" s="900">
        <f t="shared" si="4"/>
        <v>192694</v>
      </c>
    </row>
    <row r="34" spans="1:14">
      <c r="A34" s="5">
        <f t="shared" si="0"/>
        <v>26</v>
      </c>
      <c r="B34" s="433"/>
      <c r="C34" s="433"/>
      <c r="D34" s="434"/>
      <c r="E34" s="435"/>
      <c r="F34" s="436"/>
      <c r="G34" s="436"/>
      <c r="H34" s="436"/>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5538817</v>
      </c>
      <c r="G47" s="440">
        <f t="shared" si="5"/>
        <v>1214961</v>
      </c>
      <c r="H47" s="440">
        <f t="shared" si="5"/>
        <v>391052</v>
      </c>
      <c r="I47" s="440">
        <f t="shared" si="5"/>
        <v>0</v>
      </c>
      <c r="J47" s="440">
        <f t="shared" si="5"/>
        <v>7144830</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908954</v>
      </c>
      <c r="G50" s="442">
        <f t="shared" si="6"/>
        <v>0</v>
      </c>
      <c r="H50" s="442">
        <f t="shared" si="6"/>
        <v>0</v>
      </c>
      <c r="I50" s="442">
        <f t="shared" si="6"/>
        <v>0</v>
      </c>
      <c r="J50" s="442">
        <f t="shared" si="6"/>
        <v>908954</v>
      </c>
      <c r="K50" s="2"/>
      <c r="L50" s="2"/>
    </row>
    <row r="51" spans="1:12">
      <c r="A51" s="5">
        <f t="shared" si="0"/>
        <v>43</v>
      </c>
      <c r="B51" s="2" t="s">
        <v>164</v>
      </c>
      <c r="F51" s="442">
        <f t="shared" si="6"/>
        <v>4629863</v>
      </c>
      <c r="G51" s="442">
        <f t="shared" si="6"/>
        <v>1214961</v>
      </c>
      <c r="H51" s="442">
        <f t="shared" si="6"/>
        <v>0</v>
      </c>
      <c r="I51" s="442">
        <f t="shared" si="6"/>
        <v>0</v>
      </c>
      <c r="J51" s="442">
        <f t="shared" si="6"/>
        <v>5844824</v>
      </c>
    </row>
    <row r="52" spans="1:12">
      <c r="A52" s="5">
        <f t="shared" si="0"/>
        <v>44</v>
      </c>
      <c r="B52" s="2" t="s">
        <v>165</v>
      </c>
      <c r="F52" s="442">
        <f t="shared" si="6"/>
        <v>0</v>
      </c>
      <c r="G52" s="442">
        <f t="shared" si="6"/>
        <v>0</v>
      </c>
      <c r="H52" s="442">
        <f t="shared" si="6"/>
        <v>391052</v>
      </c>
      <c r="I52" s="442">
        <f t="shared" si="6"/>
        <v>0</v>
      </c>
      <c r="J52" s="442">
        <f t="shared" si="6"/>
        <v>391052</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5538817</v>
      </c>
      <c r="G54" s="440">
        <f t="shared" ref="G54:J54" si="8">SUM(G50:G53)</f>
        <v>1214961</v>
      </c>
      <c r="H54" s="440">
        <f t="shared" si="8"/>
        <v>391052</v>
      </c>
      <c r="I54" s="440">
        <f t="shared" si="8"/>
        <v>0</v>
      </c>
      <c r="J54" s="440">
        <f t="shared" si="8"/>
        <v>7144830</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16" t="s">
        <v>87</v>
      </c>
      <c r="C62" s="916"/>
      <c r="D62" s="916"/>
      <c r="E62" s="916"/>
      <c r="F62" s="916"/>
      <c r="G62" s="916"/>
      <c r="H62" s="916"/>
      <c r="I62" s="916"/>
      <c r="J62" s="916"/>
      <c r="K62" s="916"/>
    </row>
    <row r="63" spans="1:12" ht="103.35" customHeight="1">
      <c r="A63" s="71" t="s">
        <v>77</v>
      </c>
      <c r="B63" s="911" t="s">
        <v>1233</v>
      </c>
      <c r="C63" s="911"/>
      <c r="D63" s="911"/>
      <c r="E63" s="911"/>
      <c r="F63" s="911"/>
      <c r="G63" s="911"/>
      <c r="H63" s="911"/>
      <c r="I63" s="911"/>
      <c r="J63" s="911"/>
    </row>
    <row r="64" spans="1:12">
      <c r="A64" s="28" t="s">
        <v>78</v>
      </c>
      <c r="B64" s="2" t="s">
        <v>1258</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topLeftCell="A12" zoomScale="80" zoomScaleNormal="80" workbookViewId="0">
      <selection activeCell="D30" sqref="D30"/>
    </sheetView>
  </sheetViews>
  <sheetFormatPr defaultColWidth="7.08984375" defaultRowHeight="13.2"/>
  <cols>
    <col min="1" max="1" width="5.54296875" style="190" customWidth="1"/>
    <col min="2" max="2" width="38.81640625" style="190" bestFit="1" customWidth="1"/>
    <col min="3" max="3" width="24.08984375" style="190" customWidth="1"/>
    <col min="4" max="4" width="11.08984375" style="205" customWidth="1"/>
    <col min="5" max="5" width="7.08984375" style="190"/>
    <col min="6" max="6" width="8.6328125" style="190" bestFit="1" customWidth="1"/>
    <col min="7" max="16384" width="7.08984375" style="190"/>
  </cols>
  <sheetData>
    <row r="1" spans="1:8" ht="14.25" customHeight="1">
      <c r="A1" s="934" t="s">
        <v>412</v>
      </c>
      <c r="B1" s="934"/>
      <c r="C1" s="934"/>
      <c r="D1" s="934"/>
      <c r="F1" s="191"/>
    </row>
    <row r="2" spans="1:8">
      <c r="A2" s="934" t="s">
        <v>173</v>
      </c>
      <c r="B2" s="934"/>
      <c r="C2" s="934"/>
      <c r="D2" s="934"/>
    </row>
    <row r="3" spans="1:8">
      <c r="A3" s="935" t="str">
        <f>'Act Att-H'!C7</f>
        <v>Black Hills Colorado Electric, LLC</v>
      </c>
      <c r="B3" s="934"/>
      <c r="C3" s="934"/>
      <c r="D3" s="934"/>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13899</v>
      </c>
    </row>
    <row r="9" spans="1:8" ht="13.35" customHeight="1">
      <c r="A9" s="193">
        <v>2</v>
      </c>
      <c r="B9" s="190" t="s">
        <v>176</v>
      </c>
      <c r="C9" s="190" t="s">
        <v>177</v>
      </c>
      <c r="D9" s="199">
        <v>1199425</v>
      </c>
      <c r="F9" s="200"/>
      <c r="H9" s="201"/>
    </row>
    <row r="10" spans="1:8" ht="13.35" customHeight="1">
      <c r="A10" s="193">
        <v>3</v>
      </c>
      <c r="B10" s="190" t="s">
        <v>178</v>
      </c>
      <c r="C10" s="190" t="s">
        <v>179</v>
      </c>
      <c r="D10" s="199">
        <v>213181</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1426505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1217</v>
      </c>
      <c r="D20" s="199">
        <v>92495</v>
      </c>
      <c r="H20" s="201"/>
    </row>
    <row r="21" spans="1:8" ht="13.35" customHeight="1">
      <c r="A21" s="193">
        <v>12</v>
      </c>
      <c r="D21" s="202"/>
    </row>
    <row r="22" spans="1:8" ht="13.35" customHeight="1">
      <c r="A22" s="193">
        <v>13</v>
      </c>
      <c r="D22" s="208"/>
    </row>
    <row r="23" spans="1:8" ht="13.35" customHeight="1">
      <c r="A23" s="193">
        <v>14</v>
      </c>
      <c r="B23" s="190" t="s">
        <v>9</v>
      </c>
      <c r="C23" s="206"/>
      <c r="D23" s="209">
        <f>SUM(D19:D22)</f>
        <v>92495</v>
      </c>
    </row>
    <row r="24" spans="1:8" ht="13.35" customHeight="1">
      <c r="A24" s="193">
        <v>15</v>
      </c>
      <c r="D24" s="202"/>
    </row>
    <row r="25" spans="1:8" ht="13.35" customHeight="1" thickBot="1">
      <c r="A25" s="193">
        <v>16</v>
      </c>
      <c r="B25" s="190" t="s">
        <v>215</v>
      </c>
      <c r="D25" s="204">
        <f>+D23</f>
        <v>92495</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294214.92239999998</v>
      </c>
    </row>
    <row r="31" spans="1:8" ht="13.35" customHeight="1" thickBot="1">
      <c r="A31" s="193">
        <v>22</v>
      </c>
      <c r="B31" s="190" t="s">
        <v>787</v>
      </c>
      <c r="C31" s="190" t="s">
        <v>750</v>
      </c>
      <c r="D31" s="204">
        <f>SUM(D29:D30)</f>
        <v>294214.92239999998</v>
      </c>
    </row>
    <row r="32" spans="1:8" ht="13.35" customHeight="1" thickTop="1">
      <c r="A32" s="193"/>
      <c r="D32" s="210"/>
    </row>
    <row r="33" spans="1:4" ht="13.35" customHeight="1">
      <c r="A33" s="354" t="s">
        <v>155</v>
      </c>
      <c r="B33" s="211"/>
      <c r="D33" s="210"/>
    </row>
    <row r="34" spans="1:4" ht="25.5" customHeight="1">
      <c r="A34" s="394" t="s">
        <v>76</v>
      </c>
      <c r="B34" s="933" t="s">
        <v>517</v>
      </c>
      <c r="C34" s="933"/>
      <c r="D34" s="933"/>
    </row>
    <row r="35" spans="1:4" ht="33" customHeight="1">
      <c r="A35" s="394" t="s">
        <v>77</v>
      </c>
      <c r="B35" s="933" t="s">
        <v>696</v>
      </c>
      <c r="C35" s="933"/>
      <c r="D35" s="933"/>
    </row>
    <row r="36" spans="1:4" ht="32.25" customHeight="1">
      <c r="A36" s="394" t="s">
        <v>78</v>
      </c>
      <c r="B36" s="933" t="s">
        <v>622</v>
      </c>
      <c r="C36" s="933"/>
      <c r="D36" s="933"/>
    </row>
    <row r="37" spans="1:4" ht="25.5" customHeight="1">
      <c r="A37" s="394" t="s">
        <v>79</v>
      </c>
      <c r="B37" s="933" t="s">
        <v>973</v>
      </c>
      <c r="C37" s="933"/>
      <c r="D37" s="933"/>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zoomScale="80" zoomScaleNormal="80" workbookViewId="0">
      <selection activeCell="K30" sqref="K30"/>
    </sheetView>
  </sheetViews>
  <sheetFormatPr defaultRowHeight="13.2"/>
  <cols>
    <col min="1" max="1" width="6.08984375" style="2" customWidth="1"/>
    <col min="2" max="2" width="34.08984375" style="2" bestFit="1" customWidth="1"/>
    <col min="3" max="3" width="13.26953125" style="2" bestFit="1" customWidth="1"/>
    <col min="4" max="5" width="12.08984375" style="2" bestFit="1" customWidth="1"/>
    <col min="6" max="6" width="15.54296875" style="2" bestFit="1" customWidth="1"/>
    <col min="7" max="7" width="9.9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34" t="s">
        <v>413</v>
      </c>
      <c r="B1" s="934"/>
      <c r="C1" s="934"/>
      <c r="D1" s="934"/>
      <c r="E1" s="934"/>
      <c r="F1" s="934"/>
    </row>
    <row r="2" spans="1:7">
      <c r="A2" s="934" t="s">
        <v>171</v>
      </c>
      <c r="B2" s="934"/>
      <c r="C2" s="934"/>
      <c r="D2" s="934"/>
      <c r="E2" s="934"/>
      <c r="F2" s="934"/>
    </row>
    <row r="3" spans="1:7">
      <c r="A3" s="935" t="str">
        <f>'Act Att-H'!C7</f>
        <v>Black Hills Colorado Electric, LLC</v>
      </c>
      <c r="B3" s="935"/>
      <c r="C3" s="935"/>
      <c r="D3" s="935"/>
      <c r="E3" s="935"/>
      <c r="F3" s="935"/>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3">
        <v>44896</v>
      </c>
      <c r="E9" s="673">
        <v>45261</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19">
        <v>0</v>
      </c>
      <c r="E12" s="719">
        <v>0</v>
      </c>
      <c r="F12" s="195">
        <f>(D12+E12)/2</f>
        <v>0</v>
      </c>
    </row>
    <row r="13" spans="1:7" ht="15" customHeight="1">
      <c r="A13" s="193">
        <f t="shared" si="0"/>
        <v>3</v>
      </c>
      <c r="B13" s="396" t="s">
        <v>119</v>
      </c>
      <c r="C13" s="194" t="s">
        <v>593</v>
      </c>
      <c r="D13" s="719">
        <v>-132909277</v>
      </c>
      <c r="E13" s="719">
        <v>-137999967</v>
      </c>
      <c r="F13" s="195">
        <f>(D13+E13)/2</f>
        <v>-135454622</v>
      </c>
    </row>
    <row r="14" spans="1:7" ht="15" customHeight="1">
      <c r="A14" s="193">
        <f t="shared" si="0"/>
        <v>4</v>
      </c>
      <c r="B14" s="396" t="s">
        <v>120</v>
      </c>
      <c r="C14" s="194" t="s">
        <v>594</v>
      </c>
      <c r="D14" s="719">
        <v>-70683636</v>
      </c>
      <c r="E14" s="719">
        <v>-61775900</v>
      </c>
      <c r="F14" s="195">
        <f>(D14+E14)/2</f>
        <v>-66229768</v>
      </c>
    </row>
    <row r="15" spans="1:7" ht="15" customHeight="1">
      <c r="A15" s="193">
        <f t="shared" si="0"/>
        <v>5</v>
      </c>
      <c r="B15" s="396" t="s">
        <v>121</v>
      </c>
      <c r="C15" s="194" t="s">
        <v>595</v>
      </c>
      <c r="D15" s="719">
        <v>73130366</v>
      </c>
      <c r="E15" s="719">
        <v>75736193</v>
      </c>
      <c r="F15" s="195">
        <f>(D15+E15)/2</f>
        <v>74433279.5</v>
      </c>
      <c r="G15" s="542"/>
    </row>
    <row r="16" spans="1:7">
      <c r="A16" s="193">
        <v>6</v>
      </c>
      <c r="G16" s="396"/>
    </row>
    <row r="17" spans="1:7">
      <c r="A17" s="193">
        <v>7</v>
      </c>
      <c r="B17" s="649" t="s">
        <v>770</v>
      </c>
      <c r="C17" s="195"/>
      <c r="D17" s="50"/>
      <c r="E17" s="50"/>
      <c r="F17" s="50"/>
      <c r="G17" s="542"/>
    </row>
    <row r="18" spans="1:7">
      <c r="A18" s="193">
        <v>8</v>
      </c>
      <c r="B18" s="609" t="s">
        <v>733</v>
      </c>
      <c r="C18" s="195"/>
      <c r="D18" s="50"/>
      <c r="E18" s="50"/>
      <c r="F18" s="50"/>
      <c r="G18" s="542"/>
    </row>
    <row r="19" spans="1:7" s="873" customFormat="1">
      <c r="A19" s="193">
        <f>A18+1</f>
        <v>9</v>
      </c>
      <c r="B19" s="609" t="s">
        <v>1194</v>
      </c>
      <c r="C19" s="870" t="s">
        <v>685</v>
      </c>
      <c r="D19" s="871">
        <v>-7860</v>
      </c>
      <c r="E19" s="719">
        <v>-7860</v>
      </c>
      <c r="F19" s="872">
        <f>(D19+E19)/2</f>
        <v>-7860</v>
      </c>
    </row>
    <row r="20" spans="1:7" s="873" customFormat="1">
      <c r="A20" s="193">
        <f t="shared" ref="A20:A47" si="1">A19+1</f>
        <v>10</v>
      </c>
      <c r="B20" s="609" t="s">
        <v>1195</v>
      </c>
      <c r="C20" s="870" t="s">
        <v>685</v>
      </c>
      <c r="D20" s="871">
        <v>11193378</v>
      </c>
      <c r="E20" s="719">
        <v>9524255</v>
      </c>
      <c r="F20" s="872">
        <f t="shared" ref="F20:F46" si="2">(D20+E20)/2</f>
        <v>10358816.5</v>
      </c>
    </row>
    <row r="21" spans="1:7" s="873" customFormat="1">
      <c r="A21" s="193">
        <f t="shared" si="1"/>
        <v>11</v>
      </c>
      <c r="B21" s="609" t="s">
        <v>882</v>
      </c>
      <c r="C21" s="870" t="s">
        <v>685</v>
      </c>
      <c r="D21" s="871">
        <v>-2255250</v>
      </c>
      <c r="E21" s="719">
        <v>-1760828.54</v>
      </c>
      <c r="F21" s="872">
        <f t="shared" si="2"/>
        <v>-2008039.27</v>
      </c>
    </row>
    <row r="22" spans="1:7" s="873" customFormat="1">
      <c r="A22" s="193">
        <f t="shared" si="1"/>
        <v>12</v>
      </c>
      <c r="B22" s="609" t="s">
        <v>250</v>
      </c>
      <c r="C22" s="870" t="s">
        <v>685</v>
      </c>
      <c r="D22" s="871">
        <v>-132</v>
      </c>
      <c r="E22" s="719">
        <v>5233</v>
      </c>
      <c r="F22" s="872">
        <f t="shared" si="2"/>
        <v>2550.5</v>
      </c>
    </row>
    <row r="23" spans="1:7" s="873" customFormat="1">
      <c r="A23" s="193">
        <f t="shared" si="1"/>
        <v>13</v>
      </c>
      <c r="B23" s="609" t="s">
        <v>1196</v>
      </c>
      <c r="C23" s="870" t="s">
        <v>685</v>
      </c>
      <c r="D23" s="871">
        <v>3118390</v>
      </c>
      <c r="E23" s="719">
        <v>-3458426</v>
      </c>
      <c r="F23" s="872">
        <f t="shared" si="2"/>
        <v>-170018</v>
      </c>
    </row>
    <row r="24" spans="1:7" s="873" customFormat="1">
      <c r="A24" s="193">
        <f t="shared" si="1"/>
        <v>14</v>
      </c>
      <c r="B24" s="609" t="s">
        <v>1197</v>
      </c>
      <c r="C24" s="870" t="s">
        <v>685</v>
      </c>
      <c r="D24" s="871">
        <v>-158205</v>
      </c>
      <c r="E24" s="719">
        <v>0</v>
      </c>
      <c r="F24" s="872">
        <f t="shared" si="2"/>
        <v>-79102.5</v>
      </c>
    </row>
    <row r="25" spans="1:7" s="873" customFormat="1">
      <c r="A25" s="193">
        <f t="shared" si="1"/>
        <v>15</v>
      </c>
      <c r="B25" s="609" t="s">
        <v>1198</v>
      </c>
      <c r="C25" s="870" t="s">
        <v>685</v>
      </c>
      <c r="D25" s="871">
        <v>898706</v>
      </c>
      <c r="E25" s="719">
        <v>1105899</v>
      </c>
      <c r="F25" s="872">
        <f t="shared" si="2"/>
        <v>1002302.5</v>
      </c>
    </row>
    <row r="26" spans="1:7" s="873" customFormat="1">
      <c r="A26" s="193">
        <f t="shared" si="1"/>
        <v>16</v>
      </c>
      <c r="B26" s="609" t="s">
        <v>1199</v>
      </c>
      <c r="C26" s="870" t="s">
        <v>685</v>
      </c>
      <c r="D26" s="871">
        <v>0</v>
      </c>
      <c r="E26" s="719">
        <v>0</v>
      </c>
      <c r="F26" s="872">
        <f t="shared" si="2"/>
        <v>0</v>
      </c>
    </row>
    <row r="27" spans="1:7" s="873" customFormat="1">
      <c r="A27" s="193">
        <f t="shared" si="1"/>
        <v>17</v>
      </c>
      <c r="B27" s="609" t="s">
        <v>1200</v>
      </c>
      <c r="C27" s="870" t="s">
        <v>685</v>
      </c>
      <c r="D27" s="871">
        <v>0</v>
      </c>
      <c r="E27" s="719">
        <v>0</v>
      </c>
      <c r="F27" s="872">
        <f t="shared" si="2"/>
        <v>0</v>
      </c>
    </row>
    <row r="28" spans="1:7" s="873" customFormat="1">
      <c r="A28" s="193">
        <f t="shared" si="1"/>
        <v>18</v>
      </c>
      <c r="B28" s="609" t="s">
        <v>1201</v>
      </c>
      <c r="C28" s="870" t="s">
        <v>685</v>
      </c>
      <c r="D28" s="871">
        <v>229515</v>
      </c>
      <c r="E28" s="719">
        <v>220606</v>
      </c>
      <c r="F28" s="872">
        <f t="shared" si="2"/>
        <v>225060.5</v>
      </c>
    </row>
    <row r="29" spans="1:7" s="873" customFormat="1">
      <c r="A29" s="193">
        <f t="shared" si="1"/>
        <v>19</v>
      </c>
      <c r="B29" s="609" t="s">
        <v>1202</v>
      </c>
      <c r="C29" s="870" t="s">
        <v>685</v>
      </c>
      <c r="D29" s="871">
        <v>-2191580</v>
      </c>
      <c r="E29" s="719">
        <v>-2434648.15</v>
      </c>
      <c r="F29" s="872">
        <f t="shared" si="2"/>
        <v>-2313114.0750000002</v>
      </c>
    </row>
    <row r="30" spans="1:7" s="873" customFormat="1">
      <c r="A30" s="193">
        <f t="shared" si="1"/>
        <v>20</v>
      </c>
      <c r="B30" s="609" t="s">
        <v>1203</v>
      </c>
      <c r="C30" s="870" t="s">
        <v>685</v>
      </c>
      <c r="D30" s="871">
        <v>39997885</v>
      </c>
      <c r="E30" s="719">
        <v>41311783</v>
      </c>
      <c r="F30" s="872">
        <f t="shared" si="2"/>
        <v>40654834</v>
      </c>
    </row>
    <row r="31" spans="1:7" s="873" customFormat="1">
      <c r="A31" s="193">
        <f t="shared" si="1"/>
        <v>21</v>
      </c>
      <c r="B31" s="609" t="s">
        <v>1204</v>
      </c>
      <c r="C31" s="870" t="s">
        <v>685</v>
      </c>
      <c r="D31" s="871">
        <v>516906</v>
      </c>
      <c r="E31" s="719">
        <v>184644</v>
      </c>
      <c r="F31" s="872">
        <f t="shared" si="2"/>
        <v>350775</v>
      </c>
    </row>
    <row r="32" spans="1:7" s="873" customFormat="1">
      <c r="A32" s="193">
        <f t="shared" si="1"/>
        <v>22</v>
      </c>
      <c r="B32" s="609" t="s">
        <v>1205</v>
      </c>
      <c r="C32" s="870" t="s">
        <v>685</v>
      </c>
      <c r="D32" s="871">
        <v>-1601214</v>
      </c>
      <c r="E32" s="719">
        <v>-1821792</v>
      </c>
      <c r="F32" s="872">
        <f t="shared" si="2"/>
        <v>-1711503</v>
      </c>
    </row>
    <row r="33" spans="1:7" s="873" customFormat="1">
      <c r="A33" s="193">
        <f t="shared" si="1"/>
        <v>23</v>
      </c>
      <c r="B33" s="609" t="s">
        <v>1206</v>
      </c>
      <c r="C33" s="870" t="s">
        <v>685</v>
      </c>
      <c r="D33" s="871">
        <v>-24590</v>
      </c>
      <c r="E33" s="719">
        <v>-31697</v>
      </c>
      <c r="F33" s="872">
        <f t="shared" si="2"/>
        <v>-28143.5</v>
      </c>
    </row>
    <row r="34" spans="1:7" s="873" customFormat="1">
      <c r="A34" s="193">
        <f t="shared" si="1"/>
        <v>24</v>
      </c>
      <c r="B34" s="609" t="s">
        <v>1000</v>
      </c>
      <c r="C34" s="870" t="s">
        <v>685</v>
      </c>
      <c r="D34" s="871">
        <v>0</v>
      </c>
      <c r="E34" s="719">
        <v>0</v>
      </c>
      <c r="F34" s="872">
        <f t="shared" si="2"/>
        <v>0</v>
      </c>
    </row>
    <row r="35" spans="1:7" s="873" customFormat="1">
      <c r="A35" s="193">
        <f t="shared" si="1"/>
        <v>25</v>
      </c>
      <c r="B35" s="609" t="s">
        <v>1207</v>
      </c>
      <c r="C35" s="870" t="s">
        <v>685</v>
      </c>
      <c r="D35" s="871">
        <v>-31703866</v>
      </c>
      <c r="E35" s="719">
        <v>-36916243.25</v>
      </c>
      <c r="F35" s="872">
        <f t="shared" si="2"/>
        <v>-34310054.625</v>
      </c>
    </row>
    <row r="36" spans="1:7" s="873" customFormat="1">
      <c r="A36" s="193">
        <f t="shared" si="1"/>
        <v>26</v>
      </c>
      <c r="B36" s="609" t="s">
        <v>881</v>
      </c>
      <c r="C36" s="870" t="s">
        <v>685</v>
      </c>
      <c r="D36" s="871">
        <v>-362511</v>
      </c>
      <c r="E36" s="719">
        <v>-361417.78</v>
      </c>
      <c r="F36" s="872">
        <f t="shared" si="2"/>
        <v>-361964.39</v>
      </c>
    </row>
    <row r="37" spans="1:7" s="873" customFormat="1">
      <c r="A37" s="193">
        <f t="shared" si="1"/>
        <v>27</v>
      </c>
      <c r="B37" s="609" t="s">
        <v>1208</v>
      </c>
      <c r="C37" s="870" t="s">
        <v>685</v>
      </c>
      <c r="D37" s="871">
        <v>0</v>
      </c>
      <c r="E37" s="719">
        <v>0</v>
      </c>
      <c r="F37" s="872">
        <f t="shared" si="2"/>
        <v>0</v>
      </c>
    </row>
    <row r="38" spans="1:7" s="873" customFormat="1">
      <c r="A38" s="193">
        <f t="shared" si="1"/>
        <v>28</v>
      </c>
      <c r="B38" s="609" t="s">
        <v>1209</v>
      </c>
      <c r="C38" s="870" t="s">
        <v>685</v>
      </c>
      <c r="D38" s="871">
        <v>-18823</v>
      </c>
      <c r="E38" s="719">
        <v>0</v>
      </c>
      <c r="F38" s="872">
        <f t="shared" si="2"/>
        <v>-9411.5</v>
      </c>
    </row>
    <row r="39" spans="1:7" s="873" customFormat="1">
      <c r="A39" s="193">
        <f t="shared" si="1"/>
        <v>29</v>
      </c>
      <c r="B39" s="609" t="s">
        <v>1210</v>
      </c>
      <c r="C39" s="870" t="s">
        <v>685</v>
      </c>
      <c r="D39" s="871">
        <v>7852</v>
      </c>
      <c r="E39" s="719">
        <v>7851</v>
      </c>
      <c r="F39" s="872">
        <f t="shared" si="2"/>
        <v>7851.5</v>
      </c>
    </row>
    <row r="40" spans="1:7" s="873" customFormat="1">
      <c r="A40" s="193">
        <f t="shared" si="1"/>
        <v>30</v>
      </c>
      <c r="B40" s="609" t="s">
        <v>1211</v>
      </c>
      <c r="C40" s="870" t="s">
        <v>685</v>
      </c>
      <c r="D40" s="871">
        <v>0</v>
      </c>
      <c r="E40" s="719">
        <v>0</v>
      </c>
      <c r="F40" s="872">
        <f t="shared" si="2"/>
        <v>0</v>
      </c>
    </row>
    <row r="41" spans="1:7" s="873" customFormat="1">
      <c r="A41" s="193">
        <f t="shared" si="1"/>
        <v>31</v>
      </c>
      <c r="B41" s="609" t="s">
        <v>879</v>
      </c>
      <c r="C41" s="870" t="s">
        <v>685</v>
      </c>
      <c r="D41" s="871">
        <v>-405359</v>
      </c>
      <c r="E41" s="719">
        <v>-375091</v>
      </c>
      <c r="F41" s="872">
        <f t="shared" si="2"/>
        <v>-390225</v>
      </c>
    </row>
    <row r="42" spans="1:7" s="873" customFormat="1">
      <c r="A42" s="193">
        <f t="shared" si="1"/>
        <v>32</v>
      </c>
      <c r="B42" s="609" t="s">
        <v>1264</v>
      </c>
      <c r="C42" s="870" t="s">
        <v>685</v>
      </c>
      <c r="D42" s="871">
        <v>0</v>
      </c>
      <c r="E42" s="719">
        <v>495699</v>
      </c>
      <c r="F42" s="872">
        <f t="shared" si="2"/>
        <v>247849.5</v>
      </c>
    </row>
    <row r="43" spans="1:7" s="873" customFormat="1">
      <c r="A43" s="193">
        <f t="shared" si="1"/>
        <v>33</v>
      </c>
      <c r="B43" s="609" t="s">
        <v>1212</v>
      </c>
      <c r="C43" s="870" t="s">
        <v>685</v>
      </c>
      <c r="D43" s="871">
        <v>-206238</v>
      </c>
      <c r="E43" s="719">
        <v>-236883</v>
      </c>
      <c r="F43" s="872">
        <f t="shared" si="2"/>
        <v>-221560.5</v>
      </c>
    </row>
    <row r="44" spans="1:7" s="873" customFormat="1">
      <c r="A44" s="193">
        <f t="shared" si="1"/>
        <v>34</v>
      </c>
      <c r="B44" s="609" t="s">
        <v>1213</v>
      </c>
      <c r="C44" s="870" t="s">
        <v>685</v>
      </c>
      <c r="D44" s="871">
        <v>-5862894</v>
      </c>
      <c r="E44" s="719">
        <v>-5769628</v>
      </c>
      <c r="F44" s="872">
        <f t="shared" si="2"/>
        <v>-5816261</v>
      </c>
    </row>
    <row r="45" spans="1:7" s="873" customFormat="1">
      <c r="A45" s="193">
        <f t="shared" si="1"/>
        <v>35</v>
      </c>
      <c r="B45" s="609" t="s">
        <v>1214</v>
      </c>
      <c r="C45" s="870" t="s">
        <v>685</v>
      </c>
      <c r="D45" s="871">
        <v>-179705</v>
      </c>
      <c r="E45" s="719">
        <v>-179705</v>
      </c>
      <c r="F45" s="872">
        <f t="shared" si="2"/>
        <v>-179705</v>
      </c>
    </row>
    <row r="46" spans="1:7" s="873" customFormat="1">
      <c r="A46" s="193">
        <f t="shared" si="1"/>
        <v>36</v>
      </c>
      <c r="B46" s="609" t="s">
        <v>1215</v>
      </c>
      <c r="C46" s="870" t="s">
        <v>685</v>
      </c>
      <c r="D46" s="871">
        <v>2999955</v>
      </c>
      <c r="E46" s="719">
        <v>870070</v>
      </c>
      <c r="F46" s="872">
        <f t="shared" si="2"/>
        <v>1935012.5</v>
      </c>
    </row>
    <row r="47" spans="1:7" s="873" customFormat="1">
      <c r="A47" s="193">
        <f t="shared" si="1"/>
        <v>37</v>
      </c>
      <c r="B47" s="871" t="s">
        <v>275</v>
      </c>
      <c r="C47" s="870" t="s">
        <v>685</v>
      </c>
      <c r="D47" s="871"/>
      <c r="E47" s="719"/>
      <c r="F47" s="872">
        <f t="shared" ref="F47" si="3">(D47+E47)/2</f>
        <v>0</v>
      </c>
      <c r="G47" s="902"/>
    </row>
    <row r="48" spans="1:7" s="873" customFormat="1">
      <c r="A48" s="193">
        <v>200</v>
      </c>
      <c r="B48" s="873" t="s">
        <v>744</v>
      </c>
      <c r="C48" s="872"/>
      <c r="D48" s="50"/>
      <c r="E48" s="50"/>
      <c r="F48" s="614">
        <f>SUM(F19:F47)</f>
        <v>7178090.1400000006</v>
      </c>
      <c r="G48" s="902"/>
    </row>
    <row r="49" spans="1:9">
      <c r="A49" s="193"/>
      <c r="B49" s="396"/>
      <c r="C49" s="195"/>
      <c r="D49" s="50"/>
      <c r="E49" s="50"/>
      <c r="F49" s="50"/>
      <c r="G49" s="542"/>
    </row>
    <row r="50" spans="1:9" ht="15" customHeight="1">
      <c r="A50" s="193"/>
      <c r="C50" s="212"/>
      <c r="D50" s="212"/>
    </row>
    <row r="51" spans="1:9">
      <c r="A51" s="193"/>
      <c r="B51" s="396"/>
      <c r="C51" s="195"/>
      <c r="D51" s="50"/>
      <c r="E51" s="50"/>
      <c r="F51" s="50"/>
      <c r="G51" s="542"/>
    </row>
    <row r="52" spans="1:9">
      <c r="A52" s="354" t="s">
        <v>172</v>
      </c>
      <c r="G52" s="396"/>
    </row>
    <row r="53" spans="1:9" ht="16.350000000000001" customHeight="1">
      <c r="A53" s="401" t="s">
        <v>76</v>
      </c>
      <c r="B53" s="937" t="s">
        <v>592</v>
      </c>
      <c r="C53" s="937"/>
      <c r="D53" s="937"/>
      <c r="E53" s="937"/>
      <c r="F53" s="937"/>
      <c r="G53" s="396"/>
    </row>
    <row r="54" spans="1:9" ht="16.350000000000001" customHeight="1">
      <c r="A54" s="401" t="s">
        <v>77</v>
      </c>
      <c r="B54" s="937" t="s">
        <v>1083</v>
      </c>
      <c r="C54" s="937"/>
      <c r="D54" s="937"/>
      <c r="E54" s="937"/>
      <c r="F54" s="937"/>
    </row>
    <row r="55" spans="1:9">
      <c r="A55" s="394" t="s">
        <v>78</v>
      </c>
      <c r="B55" s="924" t="s">
        <v>1146</v>
      </c>
      <c r="C55" s="924"/>
      <c r="D55" s="924"/>
      <c r="E55" s="924"/>
      <c r="F55" s="924"/>
      <c r="G55" s="924"/>
      <c r="H55" s="924"/>
      <c r="I55" s="924"/>
    </row>
    <row r="56" spans="1:9">
      <c r="A56" s="394" t="s">
        <v>79</v>
      </c>
      <c r="B56" s="911" t="s">
        <v>1146</v>
      </c>
      <c r="C56" s="911"/>
      <c r="D56" s="911"/>
      <c r="E56" s="911"/>
      <c r="F56" s="911"/>
    </row>
    <row r="57" spans="1:9" ht="28.35" customHeight="1">
      <c r="A57" s="394" t="s">
        <v>80</v>
      </c>
      <c r="B57" s="911" t="s">
        <v>1193</v>
      </c>
      <c r="C57" s="911"/>
      <c r="D57" s="911"/>
      <c r="E57" s="911"/>
      <c r="F57" s="911"/>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11"/>
      <c r="C93" s="911"/>
      <c r="D93" s="911"/>
      <c r="E93" s="911"/>
      <c r="F93" s="911"/>
    </row>
    <row r="94" spans="2:6">
      <c r="B94" s="911"/>
      <c r="C94" s="911"/>
      <c r="D94" s="911"/>
      <c r="E94" s="911"/>
      <c r="F94" s="911"/>
    </row>
    <row r="95" spans="2:6">
      <c r="B95" s="911"/>
      <c r="C95" s="911"/>
      <c r="D95" s="911"/>
      <c r="E95" s="911"/>
      <c r="F95" s="911"/>
    </row>
    <row r="96" spans="2:6">
      <c r="B96" s="911"/>
      <c r="C96" s="911"/>
      <c r="D96" s="911"/>
      <c r="E96" s="911"/>
      <c r="F96" s="911"/>
    </row>
    <row r="97" spans="2:6">
      <c r="B97" s="911"/>
      <c r="C97" s="911"/>
      <c r="D97" s="911"/>
      <c r="E97" s="911"/>
      <c r="F97" s="911"/>
    </row>
    <row r="98" spans="2:6" ht="12.75" customHeight="1">
      <c r="B98" s="911"/>
      <c r="C98" s="911"/>
      <c r="D98" s="911"/>
      <c r="E98" s="911"/>
      <c r="F98" s="911"/>
    </row>
    <row r="99" spans="2:6" ht="12.75" customHeight="1">
      <c r="B99" s="911"/>
      <c r="C99" s="911"/>
      <c r="D99" s="911"/>
      <c r="E99" s="911"/>
      <c r="F99" s="911"/>
    </row>
    <row r="100" spans="2:6" ht="12.75" customHeight="1">
      <c r="B100" s="911"/>
      <c r="C100" s="911"/>
      <c r="D100" s="911"/>
      <c r="E100" s="911"/>
      <c r="F100" s="911"/>
    </row>
    <row r="101" spans="2:6">
      <c r="B101" s="936"/>
      <c r="C101" s="936"/>
      <c r="D101" s="936"/>
      <c r="E101" s="936"/>
      <c r="F101" s="936"/>
    </row>
    <row r="102" spans="2:6">
      <c r="B102" s="936"/>
      <c r="C102" s="936"/>
      <c r="D102" s="936"/>
      <c r="E102" s="936"/>
      <c r="F102" s="936"/>
    </row>
    <row r="103" spans="2:6">
      <c r="B103" s="936"/>
      <c r="C103" s="936"/>
      <c r="D103" s="936"/>
      <c r="E103" s="936"/>
      <c r="F103" s="936"/>
    </row>
    <row r="104" spans="2:6">
      <c r="B104" s="936"/>
      <c r="C104" s="936"/>
      <c r="D104" s="936"/>
      <c r="E104" s="936"/>
      <c r="F104" s="936"/>
    </row>
    <row r="105" spans="2:6">
      <c r="B105" s="936"/>
      <c r="C105" s="936"/>
      <c r="D105" s="936"/>
      <c r="E105" s="936"/>
      <c r="F105" s="936"/>
    </row>
  </sheetData>
  <mergeCells count="17">
    <mergeCell ref="B98:F98"/>
    <mergeCell ref="A1:F1"/>
    <mergeCell ref="A2:F2"/>
    <mergeCell ref="A3:F3"/>
    <mergeCell ref="B93:F97"/>
    <mergeCell ref="B53:F53"/>
    <mergeCell ref="B54:F54"/>
    <mergeCell ref="B57:F57"/>
    <mergeCell ref="B56:F56"/>
    <mergeCell ref="B55:I55"/>
    <mergeCell ref="B104:F104"/>
    <mergeCell ref="B105:F105"/>
    <mergeCell ref="B101:F101"/>
    <mergeCell ref="B99:F99"/>
    <mergeCell ref="B100:F100"/>
    <mergeCell ref="B102:F102"/>
    <mergeCell ref="B103:F10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topLeftCell="B1" zoomScale="80" zoomScaleNormal="80" workbookViewId="0">
      <selection activeCell="I24" sqref="I24"/>
    </sheetView>
  </sheetViews>
  <sheetFormatPr defaultColWidth="8.90625" defaultRowHeight="13.8"/>
  <cols>
    <col min="1" max="1" width="8.90625" style="736" customWidth="1"/>
    <col min="2" max="2" width="50.6328125" style="736" bestFit="1" customWidth="1"/>
    <col min="3" max="3" width="12.90625" style="736" bestFit="1" customWidth="1"/>
    <col min="4" max="4" width="9.6328125" style="736" customWidth="1"/>
    <col min="5" max="5" width="11.90625" style="736" customWidth="1"/>
    <col min="6" max="6" width="15.08984375" style="736" bestFit="1" customWidth="1"/>
    <col min="7" max="7" width="11.90625" style="736" bestFit="1" customWidth="1"/>
    <col min="8" max="8" width="10.90625" style="736" bestFit="1" customWidth="1"/>
    <col min="9" max="9" width="15.08984375" style="736" customWidth="1"/>
    <col min="10" max="11" width="8.90625" style="736"/>
    <col min="12" max="12" width="11.54296875" style="736" bestFit="1" customWidth="1"/>
    <col min="13" max="13" width="13.08984375" style="736" customWidth="1"/>
    <col min="14" max="14" width="12.08984375" style="736" customWidth="1"/>
    <col min="15" max="15" width="11.54296875" style="736" bestFit="1" customWidth="1"/>
    <col min="16" max="16" width="8.90625" style="736"/>
    <col min="17" max="17" width="12.90625" style="736" bestFit="1" customWidth="1"/>
    <col min="18" max="16384" width="8.90625" style="736"/>
  </cols>
  <sheetData>
    <row r="1" spans="1:17" ht="15.75" customHeight="1">
      <c r="A1" s="941" t="s">
        <v>1008</v>
      </c>
      <c r="B1" s="941"/>
      <c r="C1" s="941"/>
      <c r="D1" s="941"/>
      <c r="E1" s="941"/>
      <c r="F1" s="941"/>
      <c r="G1" s="941"/>
      <c r="H1" s="941"/>
      <c r="I1" s="941"/>
      <c r="J1" s="941"/>
      <c r="K1" s="941"/>
      <c r="L1" s="941"/>
      <c r="M1" s="941"/>
      <c r="N1" s="941"/>
      <c r="O1" s="941"/>
      <c r="P1" s="941"/>
      <c r="Q1" s="941"/>
    </row>
    <row r="2" spans="1:17" s="808" customFormat="1">
      <c r="A2" s="934" t="s">
        <v>1065</v>
      </c>
      <c r="B2" s="934"/>
      <c r="C2" s="934"/>
      <c r="D2" s="934"/>
      <c r="E2" s="934"/>
      <c r="F2" s="934"/>
      <c r="G2" s="934"/>
      <c r="H2" s="934"/>
      <c r="I2" s="934"/>
      <c r="J2" s="934"/>
      <c r="K2" s="934"/>
      <c r="L2" s="934"/>
      <c r="M2" s="934"/>
      <c r="N2" s="934"/>
      <c r="O2" s="934"/>
      <c r="P2" s="934"/>
      <c r="Q2" s="934"/>
    </row>
    <row r="3" spans="1:17">
      <c r="A3" s="935" t="str">
        <f>'Act Att-H'!C7</f>
        <v>Black Hills Colorado Electric, LLC</v>
      </c>
      <c r="B3" s="934"/>
      <c r="C3" s="934"/>
      <c r="D3" s="934"/>
      <c r="E3" s="934"/>
      <c r="F3" s="934"/>
      <c r="G3" s="934"/>
      <c r="H3" s="934"/>
      <c r="I3" s="934"/>
      <c r="J3" s="934"/>
      <c r="K3" s="934"/>
      <c r="L3" s="934"/>
      <c r="M3" s="934"/>
      <c r="N3" s="934"/>
      <c r="O3" s="934"/>
      <c r="P3" s="934"/>
      <c r="Q3" s="934"/>
    </row>
    <row r="4" spans="1:17">
      <c r="A4" s="934" t="str">
        <f>'Act Att-H'!K4</f>
        <v>Actuals - For the 12 months ended 12/31/2023</v>
      </c>
      <c r="B4" s="934"/>
      <c r="C4" s="934"/>
      <c r="D4" s="934"/>
      <c r="E4" s="934"/>
      <c r="F4" s="934"/>
      <c r="G4" s="934"/>
      <c r="H4" s="934"/>
      <c r="I4" s="934"/>
      <c r="J4" s="934"/>
      <c r="K4" s="934"/>
      <c r="L4" s="934"/>
      <c r="M4" s="934"/>
      <c r="N4" s="934"/>
      <c r="O4" s="934"/>
      <c r="P4" s="934"/>
      <c r="Q4" s="934"/>
    </row>
    <row r="6" spans="1:17">
      <c r="A6" s="398"/>
      <c r="B6" s="398"/>
      <c r="C6" s="398"/>
      <c r="D6" s="398"/>
      <c r="E6" s="398"/>
      <c r="F6" s="702"/>
      <c r="G6" s="702"/>
      <c r="H6" s="702"/>
      <c r="I6" s="702"/>
      <c r="J6" s="398"/>
      <c r="K6" s="710"/>
      <c r="L6" s="702"/>
      <c r="M6" s="702"/>
      <c r="N6" s="702"/>
      <c r="O6" s="702"/>
      <c r="P6" s="703"/>
      <c r="Q6" s="703"/>
    </row>
    <row r="7" spans="1:17">
      <c r="A7" s="398"/>
      <c r="B7" s="699"/>
      <c r="C7" s="699"/>
      <c r="D7" s="699"/>
      <c r="E7" s="699"/>
      <c r="F7" s="708">
        <v>44896</v>
      </c>
      <c r="G7" s="709" t="s">
        <v>1263</v>
      </c>
      <c r="H7" s="709" t="s">
        <v>1263</v>
      </c>
      <c r="I7" s="708">
        <v>45261</v>
      </c>
      <c r="J7" s="707"/>
      <c r="K7" s="706"/>
      <c r="L7" s="704">
        <f>+F7</f>
        <v>44896</v>
      </c>
      <c r="M7" s="704" t="str">
        <f>+G7</f>
        <v>2023</v>
      </c>
      <c r="N7" s="705" t="str">
        <f>H7</f>
        <v>2023</v>
      </c>
      <c r="O7" s="704">
        <f>I7</f>
        <v>45261</v>
      </c>
      <c r="P7" s="703"/>
      <c r="Q7" s="703"/>
    </row>
    <row r="8" spans="1:17" ht="14.4" thickBot="1">
      <c r="A8" s="400" t="s">
        <v>6</v>
      </c>
      <c r="B8" s="734" t="s">
        <v>138</v>
      </c>
      <c r="C8" s="734" t="s">
        <v>874</v>
      </c>
      <c r="D8" s="734" t="s">
        <v>873</v>
      </c>
      <c r="E8" s="734" t="s">
        <v>872</v>
      </c>
      <c r="F8" s="734" t="s">
        <v>139</v>
      </c>
      <c r="G8" s="734" t="s">
        <v>140</v>
      </c>
      <c r="H8" s="734" t="s">
        <v>141</v>
      </c>
      <c r="I8" s="734" t="s">
        <v>142</v>
      </c>
      <c r="J8" s="938" t="s">
        <v>143</v>
      </c>
      <c r="K8" s="938"/>
      <c r="L8" s="734" t="s">
        <v>144</v>
      </c>
      <c r="M8" s="734" t="s">
        <v>145</v>
      </c>
      <c r="N8" s="734" t="s">
        <v>161</v>
      </c>
      <c r="O8" s="734" t="s">
        <v>162</v>
      </c>
      <c r="P8" s="734" t="s">
        <v>871</v>
      </c>
      <c r="Q8" s="734" t="s">
        <v>870</v>
      </c>
    </row>
    <row r="9" spans="1:17">
      <c r="A9" s="702"/>
      <c r="B9" s="702"/>
      <c r="C9" s="702"/>
      <c r="D9" s="702"/>
      <c r="E9" s="702"/>
      <c r="F9" s="699"/>
      <c r="G9" s="699"/>
      <c r="H9" s="699"/>
      <c r="I9" s="699"/>
      <c r="J9" s="681"/>
      <c r="K9" s="680"/>
      <c r="L9" s="681"/>
      <c r="M9" s="681"/>
      <c r="N9" s="699"/>
      <c r="O9" s="681"/>
      <c r="P9" s="699"/>
      <c r="Q9" s="699"/>
    </row>
    <row r="10" spans="1:17" ht="60" customHeight="1">
      <c r="A10" s="701" t="s">
        <v>396</v>
      </c>
      <c r="B10" s="701" t="s">
        <v>869</v>
      </c>
      <c r="C10" s="701" t="s">
        <v>868</v>
      </c>
      <c r="D10" s="700" t="s">
        <v>1033</v>
      </c>
      <c r="E10" s="700" t="s">
        <v>1032</v>
      </c>
      <c r="F10" s="700" t="s">
        <v>867</v>
      </c>
      <c r="G10" s="700" t="s">
        <v>866</v>
      </c>
      <c r="H10" s="700" t="s">
        <v>865</v>
      </c>
      <c r="I10" s="700" t="s">
        <v>864</v>
      </c>
      <c r="J10" s="942" t="s">
        <v>863</v>
      </c>
      <c r="K10" s="942"/>
      <c r="L10" s="700" t="s">
        <v>862</v>
      </c>
      <c r="M10" s="700" t="s">
        <v>861</v>
      </c>
      <c r="N10" s="700" t="s">
        <v>860</v>
      </c>
      <c r="O10" s="700" t="s">
        <v>859</v>
      </c>
      <c r="P10" s="700" t="s">
        <v>858</v>
      </c>
      <c r="Q10" s="700" t="s">
        <v>857</v>
      </c>
    </row>
    <row r="11" spans="1:17">
      <c r="A11" s="681"/>
      <c r="B11" s="681"/>
      <c r="C11" s="681"/>
      <c r="D11" s="681"/>
      <c r="E11" s="681"/>
      <c r="F11" s="698"/>
      <c r="G11" s="698"/>
      <c r="H11" s="698"/>
      <c r="I11" s="698"/>
      <c r="J11" s="699"/>
      <c r="K11" s="699"/>
      <c r="L11" s="698"/>
      <c r="M11" s="698"/>
      <c r="N11" s="698"/>
      <c r="O11" s="698"/>
      <c r="P11" s="698"/>
      <c r="Q11" s="698"/>
    </row>
    <row r="12" spans="1:17">
      <c r="A12" s="193">
        <v>1</v>
      </c>
      <c r="B12" s="939" t="s">
        <v>856</v>
      </c>
      <c r="C12" s="940"/>
      <c r="D12" s="940"/>
      <c r="E12" s="940"/>
      <c r="F12" s="940"/>
      <c r="G12" s="940"/>
      <c r="H12" s="940"/>
      <c r="I12" s="940"/>
      <c r="J12" s="940"/>
      <c r="K12" s="940"/>
      <c r="L12" s="940"/>
      <c r="M12" s="940"/>
      <c r="N12" s="940"/>
      <c r="O12" s="940"/>
      <c r="P12" s="940"/>
      <c r="Q12" s="940"/>
    </row>
    <row r="13" spans="1:17">
      <c r="A13" s="193">
        <f>A12+1</f>
        <v>2</v>
      </c>
      <c r="B13" s="682" t="s">
        <v>1070</v>
      </c>
      <c r="C13" s="682" t="s">
        <v>847</v>
      </c>
      <c r="D13" s="693">
        <v>182.3</v>
      </c>
      <c r="E13" s="693"/>
      <c r="F13" s="692">
        <v>0</v>
      </c>
      <c r="G13" s="692">
        <v>0</v>
      </c>
      <c r="H13" s="692">
        <v>0</v>
      </c>
      <c r="I13" s="692">
        <v>1.0000000000000001E-9</v>
      </c>
      <c r="J13" s="691" t="s">
        <v>846</v>
      </c>
      <c r="K13" s="793">
        <v>0.22680814926774853</v>
      </c>
      <c r="L13" s="690">
        <f t="shared" ref="L13:O14" si="0">F13*$K13</f>
        <v>0</v>
      </c>
      <c r="M13" s="690">
        <f t="shared" si="0"/>
        <v>0</v>
      </c>
      <c r="N13" s="690">
        <f t="shared" si="0"/>
        <v>0</v>
      </c>
      <c r="O13" s="690">
        <f t="shared" si="0"/>
        <v>2.2680814926774854E-10</v>
      </c>
      <c r="P13" s="691" t="s">
        <v>851</v>
      </c>
      <c r="Q13" s="696" t="s">
        <v>1001</v>
      </c>
    </row>
    <row r="14" spans="1:17">
      <c r="A14" s="193">
        <f>A13+1</f>
        <v>3</v>
      </c>
      <c r="B14" s="689" t="s">
        <v>275</v>
      </c>
      <c r="C14" s="689"/>
      <c r="D14" s="689"/>
      <c r="E14" s="689"/>
      <c r="F14" s="692"/>
      <c r="G14" s="692"/>
      <c r="H14" s="692"/>
      <c r="I14" s="692"/>
      <c r="J14" s="685"/>
      <c r="K14" s="695"/>
      <c r="L14" s="690">
        <f t="shared" si="0"/>
        <v>0</v>
      </c>
      <c r="M14" s="690">
        <f>G14*$K14</f>
        <v>0</v>
      </c>
      <c r="N14" s="690">
        <f t="shared" si="0"/>
        <v>0</v>
      </c>
      <c r="O14" s="690">
        <f t="shared" si="0"/>
        <v>0</v>
      </c>
      <c r="P14" s="685"/>
      <c r="Q14" s="685"/>
    </row>
    <row r="15" spans="1:17">
      <c r="A15" s="193">
        <v>50</v>
      </c>
      <c r="B15" s="678" t="s">
        <v>1034</v>
      </c>
      <c r="C15" s="678"/>
      <c r="D15" s="678"/>
      <c r="E15" s="678"/>
      <c r="F15" s="694">
        <f>SUM(F13:F14)</f>
        <v>0</v>
      </c>
      <c r="G15" s="694">
        <f>SUM(G13:G14)</f>
        <v>0</v>
      </c>
      <c r="H15" s="694">
        <f>SUM(H13:H14)</f>
        <v>0</v>
      </c>
      <c r="I15" s="694">
        <f>SUM(I13:I14)</f>
        <v>1.0000000000000001E-9</v>
      </c>
      <c r="J15" s="681"/>
      <c r="K15" s="680"/>
      <c r="L15" s="694">
        <f>SUM(L13:L14)</f>
        <v>0</v>
      </c>
      <c r="M15" s="694">
        <f>SUM(M13:M14)</f>
        <v>0</v>
      </c>
      <c r="N15" s="694">
        <f>SUM(N13:N14)</f>
        <v>0</v>
      </c>
      <c r="O15" s="694">
        <f>SUM(O13:O14)</f>
        <v>2.2680814926774854E-10</v>
      </c>
      <c r="P15" s="676"/>
      <c r="Q15" s="676"/>
    </row>
    <row r="16" spans="1:17">
      <c r="A16" s="193"/>
      <c r="B16" s="678"/>
      <c r="C16" s="678"/>
      <c r="D16" s="678"/>
      <c r="E16" s="678"/>
      <c r="F16" s="677"/>
      <c r="G16" s="677"/>
      <c r="H16" s="677"/>
      <c r="I16" s="677"/>
      <c r="J16" s="681"/>
      <c r="K16" s="680"/>
      <c r="L16" s="677"/>
      <c r="M16" s="677"/>
      <c r="N16" s="677"/>
      <c r="O16" s="677"/>
      <c r="P16" s="676"/>
      <c r="Q16" s="676"/>
    </row>
    <row r="17" spans="1:17">
      <c r="A17" s="193">
        <v>51</v>
      </c>
      <c r="B17" s="682" t="s">
        <v>1071</v>
      </c>
      <c r="C17" s="682" t="s">
        <v>847</v>
      </c>
      <c r="D17" s="693">
        <v>283</v>
      </c>
      <c r="E17" s="693"/>
      <c r="F17" s="692">
        <v>0</v>
      </c>
      <c r="G17" s="692">
        <v>0</v>
      </c>
      <c r="H17" s="692">
        <v>0</v>
      </c>
      <c r="I17" s="692">
        <v>0</v>
      </c>
      <c r="J17" s="691" t="s">
        <v>846</v>
      </c>
      <c r="K17" s="793">
        <v>0.22680814926774853</v>
      </c>
      <c r="L17" s="690">
        <f t="shared" ref="L17:O18" si="1">F17*$K17</f>
        <v>0</v>
      </c>
      <c r="M17" s="690">
        <f t="shared" si="1"/>
        <v>0</v>
      </c>
      <c r="N17" s="690">
        <f t="shared" si="1"/>
        <v>0</v>
      </c>
      <c r="O17" s="690">
        <f t="shared" si="1"/>
        <v>0</v>
      </c>
      <c r="P17" s="691"/>
      <c r="Q17" s="697"/>
    </row>
    <row r="18" spans="1:17">
      <c r="A18" s="193">
        <v>52</v>
      </c>
      <c r="B18" s="689" t="s">
        <v>275</v>
      </c>
      <c r="C18" s="689"/>
      <c r="D18" s="689"/>
      <c r="E18" s="688"/>
      <c r="F18" s="687"/>
      <c r="G18" s="686"/>
      <c r="H18" s="686"/>
      <c r="I18" s="686"/>
      <c r="J18" s="686"/>
      <c r="K18" s="685"/>
      <c r="L18" s="684">
        <f t="shared" si="1"/>
        <v>0</v>
      </c>
      <c r="M18" s="684">
        <f t="shared" si="1"/>
        <v>0</v>
      </c>
      <c r="N18" s="684">
        <f t="shared" si="1"/>
        <v>0</v>
      </c>
      <c r="O18" s="684">
        <f t="shared" si="1"/>
        <v>0</v>
      </c>
      <c r="P18" s="683"/>
      <c r="Q18" s="683"/>
    </row>
    <row r="19" spans="1:17">
      <c r="A19" s="193">
        <v>150</v>
      </c>
      <c r="B19" s="678" t="s">
        <v>855</v>
      </c>
      <c r="C19" s="678"/>
      <c r="D19" s="678"/>
      <c r="E19" s="678"/>
      <c r="F19" s="677">
        <f>SUM(F17:F18)</f>
        <v>0</v>
      </c>
      <c r="G19" s="677">
        <f>SUM(G17:G18)</f>
        <v>0</v>
      </c>
      <c r="H19" s="677">
        <f>SUM(H17:H18)</f>
        <v>0</v>
      </c>
      <c r="I19" s="677">
        <f>SUM(I17:I18)</f>
        <v>0</v>
      </c>
      <c r="J19" s="681"/>
      <c r="K19" s="680"/>
      <c r="L19" s="677">
        <f>SUM(L17:L18)</f>
        <v>0</v>
      </c>
      <c r="M19" s="677">
        <f>SUM(M17:M18)</f>
        <v>0</v>
      </c>
      <c r="N19" s="677">
        <f>SUM(N17:N18)</f>
        <v>0</v>
      </c>
      <c r="O19" s="677">
        <f>SUM(O17:O18)</f>
        <v>0</v>
      </c>
      <c r="P19" s="676"/>
      <c r="Q19" s="676"/>
    </row>
    <row r="20" spans="1:17">
      <c r="A20" s="193">
        <v>151</v>
      </c>
      <c r="B20" s="678"/>
      <c r="C20" s="678"/>
      <c r="D20" s="678"/>
      <c r="E20" s="678"/>
      <c r="F20" s="677"/>
      <c r="G20" s="677"/>
      <c r="H20" s="677"/>
      <c r="I20" s="677"/>
      <c r="J20" s="681"/>
      <c r="K20" s="680"/>
      <c r="L20" s="677"/>
      <c r="M20" s="677"/>
      <c r="N20" s="677"/>
      <c r="O20" s="677"/>
      <c r="P20" s="676"/>
      <c r="Q20" s="676"/>
    </row>
    <row r="21" spans="1:17">
      <c r="A21" s="193">
        <v>152</v>
      </c>
      <c r="B21" s="678" t="s">
        <v>1035</v>
      </c>
      <c r="C21" s="678"/>
      <c r="D21" s="678"/>
      <c r="E21" s="678"/>
      <c r="F21" s="677">
        <f>F15+F19</f>
        <v>0</v>
      </c>
      <c r="G21" s="677">
        <f>G15+G19</f>
        <v>0</v>
      </c>
      <c r="H21" s="677">
        <f>H15+H19</f>
        <v>0</v>
      </c>
      <c r="I21" s="677">
        <f>I15+I19</f>
        <v>1.0000000000000001E-9</v>
      </c>
      <c r="J21" s="681"/>
      <c r="K21" s="680"/>
      <c r="L21" s="677">
        <f>L15+L19</f>
        <v>0</v>
      </c>
      <c r="M21" s="677">
        <f>M15+M19</f>
        <v>0</v>
      </c>
      <c r="N21" s="677">
        <f>N15+N19</f>
        <v>0</v>
      </c>
      <c r="O21" s="677">
        <f>O15+O19</f>
        <v>2.2680814926774854E-10</v>
      </c>
      <c r="P21" s="676"/>
      <c r="Q21" s="676"/>
    </row>
    <row r="22" spans="1:17">
      <c r="A22" s="193"/>
      <c r="B22" s="678"/>
      <c r="C22" s="678"/>
      <c r="D22" s="678"/>
      <c r="E22" s="678"/>
      <c r="F22" s="677"/>
      <c r="G22" s="677"/>
      <c r="H22" s="677"/>
      <c r="I22" s="677"/>
      <c r="J22" s="681"/>
      <c r="K22" s="680"/>
      <c r="L22" s="677"/>
      <c r="M22" s="677"/>
      <c r="N22" s="677"/>
      <c r="O22" s="677"/>
      <c r="P22" s="676"/>
      <c r="Q22" s="676"/>
    </row>
    <row r="23" spans="1:17">
      <c r="A23" s="193">
        <v>200</v>
      </c>
      <c r="B23" s="939" t="s">
        <v>854</v>
      </c>
      <c r="C23" s="940"/>
      <c r="D23" s="940"/>
      <c r="E23" s="940"/>
      <c r="F23" s="940"/>
      <c r="G23" s="940"/>
      <c r="H23" s="940"/>
      <c r="I23" s="940"/>
      <c r="J23" s="940"/>
      <c r="K23" s="940"/>
      <c r="L23" s="940"/>
      <c r="M23" s="940"/>
      <c r="N23" s="940"/>
      <c r="O23" s="940"/>
      <c r="P23" s="940"/>
      <c r="Q23" s="940"/>
    </row>
    <row r="24" spans="1:17">
      <c r="A24" s="193">
        <f t="shared" ref="A24:A26" si="2">A23+1</f>
        <v>201</v>
      </c>
      <c r="B24" s="682" t="s">
        <v>816</v>
      </c>
      <c r="C24" s="682" t="s">
        <v>847</v>
      </c>
      <c r="D24" s="693" t="s">
        <v>1249</v>
      </c>
      <c r="E24" s="693"/>
      <c r="F24" s="692">
        <v>-71391714</v>
      </c>
      <c r="G24" s="692">
        <v>2455249.1658280808</v>
      </c>
      <c r="H24" s="692">
        <v>-831919.16582807899</v>
      </c>
      <c r="I24" s="692">
        <v>-69768384</v>
      </c>
      <c r="J24" s="691" t="s">
        <v>846</v>
      </c>
      <c r="K24" s="793">
        <v>0.22680814926774853</v>
      </c>
      <c r="L24" s="690">
        <f t="shared" ref="L24:O27" si="3">F24*$K24</f>
        <v>-16192222.525392413</v>
      </c>
      <c r="M24" s="690">
        <f t="shared" si="3"/>
        <v>556870.5192926504</v>
      </c>
      <c r="N24" s="690">
        <f t="shared" si="3"/>
        <v>-188686.04634183578</v>
      </c>
      <c r="O24" s="690">
        <f t="shared" si="3"/>
        <v>-15824038.052441599</v>
      </c>
      <c r="P24" s="691" t="s">
        <v>851</v>
      </c>
      <c r="Q24" s="697" t="s">
        <v>852</v>
      </c>
    </row>
    <row r="25" spans="1:17">
      <c r="A25" s="193">
        <f t="shared" si="2"/>
        <v>202</v>
      </c>
      <c r="B25" s="682" t="s">
        <v>1066</v>
      </c>
      <c r="C25" s="682" t="s">
        <v>847</v>
      </c>
      <c r="D25" s="693" t="s">
        <v>1249</v>
      </c>
      <c r="E25" s="693"/>
      <c r="F25" s="692">
        <v>0</v>
      </c>
      <c r="G25" s="692"/>
      <c r="H25" s="692">
        <v>0</v>
      </c>
      <c r="I25" s="692">
        <v>0</v>
      </c>
      <c r="J25" s="697" t="s">
        <v>846</v>
      </c>
      <c r="K25" s="793">
        <v>0.22680814926774853</v>
      </c>
      <c r="L25" s="690">
        <f t="shared" si="3"/>
        <v>0</v>
      </c>
      <c r="M25" s="690">
        <f t="shared" si="3"/>
        <v>0</v>
      </c>
      <c r="N25" s="690">
        <f t="shared" si="3"/>
        <v>0</v>
      </c>
      <c r="O25" s="690">
        <f t="shared" si="3"/>
        <v>0</v>
      </c>
      <c r="P25" s="697" t="s">
        <v>851</v>
      </c>
      <c r="Q25" s="696" t="s">
        <v>1001</v>
      </c>
    </row>
    <row r="26" spans="1:17">
      <c r="A26" s="193">
        <f t="shared" si="2"/>
        <v>203</v>
      </c>
      <c r="B26" s="682" t="s">
        <v>853</v>
      </c>
      <c r="C26" s="682" t="s">
        <v>847</v>
      </c>
      <c r="D26" s="728">
        <v>182.3</v>
      </c>
      <c r="E26" s="693"/>
      <c r="F26" s="692">
        <v>31165737</v>
      </c>
      <c r="G26" s="692">
        <v>-1030090.3431852667</v>
      </c>
      <c r="H26" s="692">
        <v>195379.34318526834</v>
      </c>
      <c r="I26" s="692">
        <v>30331026</v>
      </c>
      <c r="J26" s="697" t="s">
        <v>846</v>
      </c>
      <c r="K26" s="793">
        <v>0.22680814926774853</v>
      </c>
      <c r="L26" s="690">
        <f t="shared" si="3"/>
        <v>7068643.1295353938</v>
      </c>
      <c r="M26" s="690">
        <f t="shared" si="3"/>
        <v>-233632.88431643028</v>
      </c>
      <c r="N26" s="690">
        <f t="shared" si="3"/>
        <v>44313.62723299901</v>
      </c>
      <c r="O26" s="690">
        <f t="shared" si="3"/>
        <v>6879323.872451962</v>
      </c>
      <c r="P26" s="691" t="s">
        <v>851</v>
      </c>
      <c r="Q26" s="697" t="s">
        <v>852</v>
      </c>
    </row>
    <row r="27" spans="1:17">
      <c r="A27" s="193">
        <f>A26+1</f>
        <v>204</v>
      </c>
      <c r="B27" s="689" t="s">
        <v>275</v>
      </c>
      <c r="C27" s="689"/>
      <c r="D27" s="689"/>
      <c r="E27" s="689"/>
      <c r="F27" s="692"/>
      <c r="G27" s="692"/>
      <c r="H27" s="692"/>
      <c r="I27" s="692"/>
      <c r="J27" s="685"/>
      <c r="K27" s="695"/>
      <c r="L27" s="690">
        <f t="shared" si="3"/>
        <v>0</v>
      </c>
      <c r="M27" s="690">
        <f t="shared" si="3"/>
        <v>0</v>
      </c>
      <c r="N27" s="690">
        <f t="shared" si="3"/>
        <v>0</v>
      </c>
      <c r="O27" s="690">
        <f t="shared" si="3"/>
        <v>0</v>
      </c>
      <c r="P27" s="683"/>
      <c r="Q27" s="683"/>
    </row>
    <row r="28" spans="1:17">
      <c r="A28" s="193">
        <v>299</v>
      </c>
      <c r="B28" s="678" t="s">
        <v>850</v>
      </c>
      <c r="C28" s="678"/>
      <c r="D28" s="678"/>
      <c r="E28" s="678"/>
      <c r="F28" s="694">
        <f>SUM(F24:F27)</f>
        <v>-40225977</v>
      </c>
      <c r="G28" s="694">
        <f>SUM(G24:G27)</f>
        <v>1425158.8226428141</v>
      </c>
      <c r="H28" s="694">
        <f>SUM(H24:H27)</f>
        <v>-636539.82264281064</v>
      </c>
      <c r="I28" s="694">
        <f>SUM(I24:I27)</f>
        <v>-39437358</v>
      </c>
      <c r="J28" s="681"/>
      <c r="K28" s="680"/>
      <c r="L28" s="694">
        <f>SUM(L24:L27)</f>
        <v>-9123579.3958570193</v>
      </c>
      <c r="M28" s="694">
        <f>SUM(M24:M27)</f>
        <v>323237.63497622008</v>
      </c>
      <c r="N28" s="694">
        <f>SUM(N24:N27)</f>
        <v>-144372.41910883677</v>
      </c>
      <c r="O28" s="694">
        <f>SUM(O24:O27)</f>
        <v>-8944714.1799896359</v>
      </c>
      <c r="P28" s="676"/>
      <c r="Q28" s="676"/>
    </row>
    <row r="29" spans="1:17">
      <c r="A29" s="193"/>
      <c r="B29" s="678"/>
      <c r="C29" s="678"/>
      <c r="D29" s="678"/>
      <c r="E29" s="678"/>
      <c r="F29" s="677"/>
      <c r="G29" s="677"/>
      <c r="H29" s="677"/>
      <c r="I29" s="677"/>
      <c r="J29" s="681"/>
      <c r="K29" s="680"/>
      <c r="L29" s="677"/>
      <c r="M29" s="677"/>
      <c r="N29" s="677"/>
      <c r="O29" s="677"/>
      <c r="P29" s="676"/>
      <c r="Q29" s="676"/>
    </row>
    <row r="30" spans="1:17">
      <c r="A30" s="193">
        <v>300</v>
      </c>
      <c r="B30" s="682" t="s">
        <v>849</v>
      </c>
      <c r="C30" s="682" t="s">
        <v>847</v>
      </c>
      <c r="D30" s="693">
        <v>190</v>
      </c>
      <c r="E30" s="693"/>
      <c r="F30" s="692">
        <v>17561674.454120003</v>
      </c>
      <c r="G30" s="692">
        <v>-600946.78582808108</v>
      </c>
      <c r="H30" s="692">
        <v>203620.53502808063</v>
      </c>
      <c r="I30" s="692">
        <v>17164348.203320004</v>
      </c>
      <c r="J30" s="691" t="s">
        <v>846</v>
      </c>
      <c r="K30" s="793">
        <v>0.22680814926774853</v>
      </c>
      <c r="L30" s="690">
        <f t="shared" ref="L30:O32" si="4">F30*$K30</f>
        <v>3983130.8809816558</v>
      </c>
      <c r="M30" s="690">
        <f t="shared" si="4"/>
        <v>-136299.62830206912</v>
      </c>
      <c r="N30" s="690">
        <f t="shared" si="4"/>
        <v>46182.796702627733</v>
      </c>
      <c r="O30" s="690">
        <f t="shared" si="4"/>
        <v>3893014.0493822149</v>
      </c>
      <c r="P30" s="676"/>
      <c r="Q30" s="676"/>
    </row>
    <row r="31" spans="1:17">
      <c r="A31" s="193">
        <f>A30+1</f>
        <v>301</v>
      </c>
      <c r="B31" s="682" t="s">
        <v>848</v>
      </c>
      <c r="C31" s="682" t="s">
        <v>847</v>
      </c>
      <c r="D31" s="693">
        <v>283</v>
      </c>
      <c r="E31" s="693"/>
      <c r="F31" s="692">
        <v>-7666834.9986399999</v>
      </c>
      <c r="G31" s="692">
        <v>252124.91239802589</v>
      </c>
      <c r="H31" s="692">
        <v>-47821.048038026282</v>
      </c>
      <c r="I31" s="692">
        <v>-7462531.1342799999</v>
      </c>
      <c r="J31" s="691" t="s">
        <v>846</v>
      </c>
      <c r="K31" s="793">
        <v>0.22680814926774853</v>
      </c>
      <c r="L31" s="690">
        <f t="shared" si="4"/>
        <v>-1738900.6567827398</v>
      </c>
      <c r="M31" s="690">
        <f t="shared" si="4"/>
        <v>57183.984765289475</v>
      </c>
      <c r="N31" s="690">
        <f t="shared" si="4"/>
        <v>-10846.203401548837</v>
      </c>
      <c r="O31" s="690">
        <f t="shared" si="4"/>
        <v>-1692562.875418999</v>
      </c>
      <c r="P31" s="676"/>
      <c r="Q31" s="676"/>
    </row>
    <row r="32" spans="1:17">
      <c r="A32" s="193">
        <f>A31+1</f>
        <v>302</v>
      </c>
      <c r="B32" s="689" t="s">
        <v>275</v>
      </c>
      <c r="C32" s="689"/>
      <c r="D32" s="689"/>
      <c r="E32" s="688"/>
      <c r="F32" s="687"/>
      <c r="G32" s="686"/>
      <c r="H32" s="686"/>
      <c r="I32" s="686"/>
      <c r="J32" s="686"/>
      <c r="K32" s="685"/>
      <c r="L32" s="684">
        <f t="shared" si="4"/>
        <v>0</v>
      </c>
      <c r="M32" s="684">
        <f t="shared" si="4"/>
        <v>0</v>
      </c>
      <c r="N32" s="684">
        <f t="shared" si="4"/>
        <v>0</v>
      </c>
      <c r="O32" s="684">
        <f t="shared" si="4"/>
        <v>0</v>
      </c>
      <c r="P32" s="683"/>
      <c r="Q32" s="683"/>
    </row>
    <row r="33" spans="1:17">
      <c r="A33" s="193">
        <v>350</v>
      </c>
      <c r="B33" s="678" t="s">
        <v>845</v>
      </c>
      <c r="C33" s="678"/>
      <c r="F33" s="677">
        <f>SUM(F30:F32)</f>
        <v>9894839.4554800019</v>
      </c>
      <c r="G33" s="677">
        <f>SUM(G30:G32)</f>
        <v>-348821.87343005522</v>
      </c>
      <c r="H33" s="677">
        <f>SUM(H30:H32)</f>
        <v>155799.48699005434</v>
      </c>
      <c r="I33" s="677">
        <f>SUM(I30:I32)</f>
        <v>9701817.0690400042</v>
      </c>
      <c r="J33" s="681"/>
      <c r="K33" s="680"/>
      <c r="L33" s="677">
        <f>SUM(L30:L32)</f>
        <v>2244230.224198916</v>
      </c>
      <c r="M33" s="677">
        <f>SUM(M30:M32)</f>
        <v>-79115.643536779651</v>
      </c>
      <c r="N33" s="677">
        <f>SUM(N30:N32)</f>
        <v>35336.593301078894</v>
      </c>
      <c r="O33" s="677">
        <f>SUM(O30:O32)</f>
        <v>2200451.1739632161</v>
      </c>
      <c r="P33" s="676"/>
      <c r="Q33" s="676"/>
    </row>
    <row r="34" spans="1:17">
      <c r="A34" s="193">
        <f>A33+1</f>
        <v>351</v>
      </c>
      <c r="B34" s="678"/>
      <c r="C34" s="678"/>
      <c r="F34" s="677"/>
      <c r="G34" s="677"/>
      <c r="H34" s="677"/>
      <c r="I34" s="677"/>
      <c r="J34" s="681"/>
      <c r="K34" s="680"/>
      <c r="L34" s="677"/>
      <c r="M34" s="677"/>
      <c r="N34" s="677"/>
      <c r="O34" s="677"/>
      <c r="P34" s="676"/>
      <c r="Q34" s="676"/>
    </row>
    <row r="35" spans="1:17">
      <c r="A35" s="193">
        <f>A34+1</f>
        <v>352</v>
      </c>
      <c r="B35" s="678" t="s">
        <v>844</v>
      </c>
      <c r="C35" s="678"/>
      <c r="D35" s="678"/>
      <c r="E35" s="678"/>
      <c r="F35" s="677">
        <f>F28+F33</f>
        <v>-30331137.544519998</v>
      </c>
      <c r="G35" s="677">
        <f>G28+G33</f>
        <v>1076336.9492127588</v>
      </c>
      <c r="H35" s="677">
        <f>H28+H33</f>
        <v>-480740.33565275627</v>
      </c>
      <c r="I35" s="677">
        <f>I28+I33</f>
        <v>-29735540.930959996</v>
      </c>
      <c r="J35" s="681"/>
      <c r="K35" s="680"/>
      <c r="L35" s="677">
        <f>L28+L33</f>
        <v>-6879349.1716581034</v>
      </c>
      <c r="M35" s="677">
        <f>M28+M33</f>
        <v>244121.99143944043</v>
      </c>
      <c r="N35" s="677">
        <f>N28+N33</f>
        <v>-109035.82580775788</v>
      </c>
      <c r="O35" s="677">
        <f>O28+O33</f>
        <v>-6744263.0060264198</v>
      </c>
      <c r="P35" s="676"/>
      <c r="Q35" s="676"/>
    </row>
    <row r="36" spans="1:17">
      <c r="A36" s="193"/>
      <c r="B36" s="678"/>
      <c r="C36" s="678"/>
      <c r="D36" s="678"/>
      <c r="E36" s="678"/>
      <c r="F36" s="677"/>
      <c r="G36" s="677"/>
      <c r="H36" s="677"/>
      <c r="I36" s="677"/>
      <c r="J36" s="681"/>
      <c r="K36" s="680"/>
      <c r="L36" s="677"/>
      <c r="M36" s="677"/>
      <c r="N36" s="677"/>
      <c r="O36" s="677"/>
      <c r="P36" s="676"/>
      <c r="Q36" s="676"/>
    </row>
    <row r="37" spans="1:17">
      <c r="A37" s="193">
        <v>353</v>
      </c>
      <c r="B37" s="939" t="s">
        <v>843</v>
      </c>
      <c r="C37" s="940"/>
      <c r="D37" s="940"/>
      <c r="E37" s="940"/>
      <c r="F37" s="940"/>
      <c r="G37" s="940"/>
      <c r="H37" s="940"/>
      <c r="I37" s="940"/>
      <c r="J37" s="940"/>
      <c r="K37" s="940"/>
      <c r="L37" s="940"/>
      <c r="M37" s="940"/>
      <c r="N37" s="940"/>
      <c r="O37" s="940"/>
      <c r="P37" s="940"/>
      <c r="Q37" s="940"/>
    </row>
    <row r="38" spans="1:17">
      <c r="A38" s="193">
        <f t="shared" ref="A38:A43" si="5">A37+1</f>
        <v>354</v>
      </c>
      <c r="B38" s="678"/>
      <c r="C38" s="678"/>
      <c r="D38" s="682"/>
      <c r="E38" s="678"/>
      <c r="F38" s="677"/>
      <c r="G38" s="677"/>
      <c r="H38" s="677"/>
      <c r="I38" s="677"/>
      <c r="J38" s="681"/>
      <c r="K38" s="680"/>
      <c r="L38" s="677"/>
      <c r="M38" s="677"/>
      <c r="N38" s="677"/>
      <c r="O38" s="677"/>
      <c r="P38" s="676"/>
      <c r="Q38" s="676"/>
    </row>
    <row r="39" spans="1:17">
      <c r="A39" s="193">
        <f t="shared" si="5"/>
        <v>355</v>
      </c>
      <c r="B39" s="732" t="s">
        <v>1067</v>
      </c>
      <c r="C39" s="678"/>
      <c r="D39" s="678"/>
      <c r="E39" s="678"/>
      <c r="F39" s="677">
        <f>+F15+F28</f>
        <v>-40225977</v>
      </c>
      <c r="G39" s="677">
        <f>+G15+G28</f>
        <v>1425158.8226428141</v>
      </c>
      <c r="H39" s="677">
        <f>+H15+H28</f>
        <v>-636539.82264281064</v>
      </c>
      <c r="I39" s="677">
        <f>+I15+I28</f>
        <v>-39437358</v>
      </c>
      <c r="J39" s="738"/>
      <c r="K39" s="677"/>
      <c r="L39" s="677">
        <f>+L15+L28</f>
        <v>-9123579.3958570193</v>
      </c>
      <c r="M39" s="677">
        <f>+M15+M28</f>
        <v>323237.63497622008</v>
      </c>
      <c r="N39" s="677">
        <f>+N15+N28</f>
        <v>-144372.41910883677</v>
      </c>
      <c r="O39" s="677">
        <f>+O15+O28</f>
        <v>-8944714.1799896359</v>
      </c>
      <c r="P39" s="676"/>
      <c r="Q39" s="676"/>
    </row>
    <row r="40" spans="1:17">
      <c r="A40" s="193">
        <f t="shared" si="5"/>
        <v>356</v>
      </c>
      <c r="B40" s="678" t="s">
        <v>842</v>
      </c>
      <c r="C40" s="678"/>
      <c r="D40" s="678"/>
      <c r="E40" s="678"/>
      <c r="F40" s="679">
        <f>F19+F33</f>
        <v>9894839.4554800019</v>
      </c>
      <c r="G40" s="679">
        <f>G19+G33</f>
        <v>-348821.87343005522</v>
      </c>
      <c r="H40" s="679">
        <f>H19+H33</f>
        <v>155799.48699005434</v>
      </c>
      <c r="I40" s="679">
        <f>I19+I33</f>
        <v>9701817.0690400042</v>
      </c>
      <c r="J40" s="739"/>
      <c r="K40" s="679"/>
      <c r="L40" s="679">
        <f>L19+L33</f>
        <v>2244230.224198916</v>
      </c>
      <c r="M40" s="679">
        <f>M19+M33</f>
        <v>-79115.643536779651</v>
      </c>
      <c r="N40" s="679">
        <f>N19+N33</f>
        <v>35336.593301078894</v>
      </c>
      <c r="O40" s="679">
        <f>O19+O33</f>
        <v>2200451.1739632161</v>
      </c>
      <c r="P40" s="676"/>
      <c r="Q40" s="676"/>
    </row>
    <row r="41" spans="1:17">
      <c r="A41" s="193">
        <f t="shared" si="5"/>
        <v>357</v>
      </c>
      <c r="B41" s="678" t="s">
        <v>903</v>
      </c>
      <c r="C41" s="678"/>
      <c r="D41" s="678"/>
      <c r="E41" s="678"/>
      <c r="F41" s="677">
        <f>SUM(F39:F40)</f>
        <v>-30331137.544519998</v>
      </c>
      <c r="G41" s="677">
        <f>SUM(G39:G40)</f>
        <v>1076336.9492127588</v>
      </c>
      <c r="H41" s="677">
        <f>SUM(H39:H40)</f>
        <v>-480740.33565275627</v>
      </c>
      <c r="I41" s="677">
        <f>SUM(I39:I40)</f>
        <v>-29735540.930959996</v>
      </c>
      <c r="J41" s="738"/>
      <c r="K41" s="677"/>
      <c r="L41" s="677">
        <f>SUM(L39:L40)</f>
        <v>-6879349.1716581034</v>
      </c>
      <c r="M41" s="677">
        <f>SUM(M39:M40)</f>
        <v>244121.99143944043</v>
      </c>
      <c r="N41" s="677">
        <f>SUM(N39:N40)</f>
        <v>-109035.82580775788</v>
      </c>
      <c r="O41" s="677">
        <f>SUM(O39:O40)</f>
        <v>-6744263.0060264198</v>
      </c>
      <c r="P41" s="676"/>
      <c r="Q41" s="676"/>
    </row>
    <row r="42" spans="1:17">
      <c r="A42" s="193">
        <f t="shared" si="5"/>
        <v>358</v>
      </c>
      <c r="B42" s="678" t="s">
        <v>841</v>
      </c>
      <c r="C42" s="678"/>
      <c r="D42" s="678"/>
      <c r="E42" s="678"/>
      <c r="F42" s="677"/>
      <c r="G42" s="677"/>
      <c r="H42" s="677"/>
      <c r="I42" s="677">
        <f>(I39+F39)/2</f>
        <v>-39831667.5</v>
      </c>
      <c r="J42" s="738"/>
      <c r="K42" s="677"/>
      <c r="L42" s="677"/>
      <c r="M42" s="677"/>
      <c r="N42" s="677"/>
      <c r="O42" s="677">
        <f>(O39+L39)/2</f>
        <v>-9034146.7879233286</v>
      </c>
      <c r="Q42" s="676"/>
    </row>
    <row r="43" spans="1:17" ht="15.6">
      <c r="A43" s="193">
        <f t="shared" si="5"/>
        <v>359</v>
      </c>
      <c r="B43" s="678" t="s">
        <v>1068</v>
      </c>
      <c r="C43" s="678"/>
      <c r="D43" s="678"/>
      <c r="E43" s="678"/>
      <c r="F43" s="677"/>
      <c r="G43" s="677"/>
      <c r="H43" s="677"/>
      <c r="I43" s="175"/>
      <c r="J43" s="738"/>
      <c r="K43" s="677"/>
      <c r="L43" s="677"/>
      <c r="M43" s="677"/>
      <c r="N43" s="677"/>
      <c r="O43" s="809">
        <f>O41/I41</f>
        <v>0.2268081492677485</v>
      </c>
      <c r="Q43" s="676"/>
    </row>
    <row r="44" spans="1:17">
      <c r="A44" s="193"/>
      <c r="B44" s="678"/>
      <c r="C44" s="678"/>
      <c r="D44" s="678"/>
      <c r="E44" s="678"/>
      <c r="F44" s="677"/>
      <c r="G44" s="677"/>
      <c r="H44" s="677"/>
      <c r="I44" s="677"/>
      <c r="J44" s="738"/>
      <c r="K44" s="677"/>
      <c r="L44" s="677"/>
      <c r="M44" s="677"/>
      <c r="N44" s="677"/>
      <c r="P44" s="676"/>
      <c r="Q44" s="676"/>
    </row>
    <row r="45" spans="1:17">
      <c r="A45" s="354" t="s">
        <v>172</v>
      </c>
    </row>
    <row r="46" spans="1:17" ht="79.5" customHeight="1">
      <c r="A46" s="394" t="s">
        <v>76</v>
      </c>
      <c r="B46" s="943" t="s">
        <v>1084</v>
      </c>
      <c r="C46" s="943"/>
      <c r="D46" s="943"/>
      <c r="E46" s="943"/>
      <c r="F46" s="943"/>
      <c r="G46" s="943"/>
      <c r="H46" s="943"/>
      <c r="I46" s="943"/>
      <c r="J46" s="943"/>
      <c r="K46" s="943"/>
      <c r="L46" s="943"/>
      <c r="M46" s="943"/>
      <c r="N46" s="943"/>
      <c r="O46" s="943"/>
      <c r="P46" s="740"/>
      <c r="Q46" s="740"/>
    </row>
    <row r="47" spans="1:17" ht="21" customHeight="1">
      <c r="A47" s="394" t="s">
        <v>840</v>
      </c>
      <c r="B47" s="943" t="s">
        <v>1085</v>
      </c>
      <c r="C47" s="943"/>
      <c r="D47" s="943"/>
      <c r="E47" s="943"/>
      <c r="F47" s="943"/>
      <c r="G47" s="943"/>
      <c r="H47" s="943"/>
      <c r="I47" s="943"/>
      <c r="J47" s="943"/>
      <c r="K47" s="943"/>
      <c r="L47" s="943"/>
      <c r="M47" s="943"/>
      <c r="N47" s="943"/>
      <c r="O47" s="943"/>
      <c r="P47" s="740"/>
      <c r="Q47" s="740"/>
    </row>
    <row r="48" spans="1:17" ht="21" customHeight="1">
      <c r="A48" s="394" t="s">
        <v>77</v>
      </c>
      <c r="B48" s="944" t="s">
        <v>839</v>
      </c>
      <c r="C48" s="944"/>
      <c r="D48" s="944"/>
      <c r="E48" s="944"/>
      <c r="F48" s="944"/>
      <c r="G48" s="944"/>
      <c r="H48" s="944"/>
      <c r="I48" s="944"/>
      <c r="J48" s="944"/>
      <c r="K48" s="944"/>
      <c r="L48" s="944"/>
      <c r="M48" s="944"/>
      <c r="N48" s="944"/>
      <c r="O48" s="944"/>
      <c r="P48" s="741"/>
      <c r="Q48" s="741"/>
    </row>
    <row r="49" spans="1:17" ht="21" customHeight="1">
      <c r="A49" s="394" t="s">
        <v>78</v>
      </c>
      <c r="B49" s="944" t="s">
        <v>1086</v>
      </c>
      <c r="C49" s="944"/>
      <c r="D49" s="944"/>
      <c r="E49" s="944"/>
      <c r="F49" s="944"/>
      <c r="G49" s="944"/>
      <c r="H49" s="944"/>
      <c r="I49" s="944"/>
      <c r="J49" s="944"/>
      <c r="K49" s="944"/>
      <c r="L49" s="944"/>
      <c r="M49" s="944"/>
      <c r="N49" s="944"/>
      <c r="O49" s="944"/>
      <c r="P49" s="741"/>
      <c r="Q49" s="741"/>
    </row>
    <row r="50" spans="1:17" ht="21" customHeight="1">
      <c r="A50" s="394" t="s">
        <v>79</v>
      </c>
      <c r="B50" s="944" t="s">
        <v>838</v>
      </c>
      <c r="C50" s="944"/>
      <c r="D50" s="944"/>
      <c r="E50" s="944"/>
      <c r="F50" s="944"/>
      <c r="G50" s="944"/>
      <c r="H50" s="944"/>
      <c r="I50" s="944"/>
      <c r="J50" s="944"/>
      <c r="K50" s="944"/>
      <c r="L50" s="944"/>
      <c r="M50" s="944"/>
      <c r="N50" s="944"/>
      <c r="O50" s="944"/>
    </row>
    <row r="51" spans="1:17" ht="21" customHeight="1">
      <c r="A51" s="394" t="s">
        <v>80</v>
      </c>
      <c r="B51" s="943" t="s">
        <v>837</v>
      </c>
      <c r="C51" s="943"/>
      <c r="D51" s="943"/>
      <c r="E51" s="943"/>
      <c r="F51" s="943"/>
      <c r="G51" s="943"/>
      <c r="H51" s="943"/>
      <c r="I51" s="943"/>
      <c r="J51" s="943"/>
      <c r="K51" s="943"/>
      <c r="L51" s="943"/>
      <c r="M51" s="943"/>
      <c r="N51" s="943"/>
      <c r="O51" s="943"/>
    </row>
    <row r="52" spans="1:17" ht="32.4" customHeight="1">
      <c r="A52" s="394" t="s">
        <v>81</v>
      </c>
      <c r="B52" s="943" t="s">
        <v>1059</v>
      </c>
      <c r="C52" s="943"/>
      <c r="D52" s="943"/>
      <c r="E52" s="943"/>
      <c r="F52" s="943"/>
      <c r="G52" s="943"/>
      <c r="H52" s="943"/>
      <c r="I52" s="943"/>
      <c r="J52" s="943"/>
      <c r="K52" s="943"/>
      <c r="L52" s="943"/>
      <c r="M52" s="943"/>
      <c r="N52" s="943"/>
      <c r="O52" s="943"/>
    </row>
    <row r="53" spans="1:17" ht="32.4" customHeight="1">
      <c r="A53" s="394" t="s">
        <v>82</v>
      </c>
      <c r="B53" s="943" t="s">
        <v>1036</v>
      </c>
      <c r="C53" s="943"/>
      <c r="D53" s="943"/>
      <c r="E53" s="943"/>
      <c r="F53" s="943"/>
      <c r="G53" s="943"/>
      <c r="H53" s="943"/>
      <c r="I53" s="943"/>
      <c r="J53" s="943"/>
      <c r="K53" s="943"/>
      <c r="L53" s="943"/>
      <c r="M53" s="943"/>
      <c r="N53" s="943"/>
      <c r="O53" s="943"/>
    </row>
    <row r="54" spans="1:17" ht="21" customHeight="1">
      <c r="A54" s="394" t="s">
        <v>343</v>
      </c>
      <c r="B54" s="943" t="s">
        <v>836</v>
      </c>
      <c r="C54" s="943"/>
      <c r="D54" s="943"/>
      <c r="E54" s="943"/>
      <c r="F54" s="943"/>
      <c r="G54" s="943"/>
      <c r="H54" s="943"/>
      <c r="I54" s="943"/>
      <c r="J54" s="943"/>
      <c r="K54" s="943"/>
      <c r="L54" s="943"/>
      <c r="M54" s="943"/>
      <c r="N54" s="943"/>
      <c r="O54" s="943"/>
    </row>
    <row r="55" spans="1:17" ht="29.25" customHeight="1">
      <c r="A55" s="394" t="s">
        <v>83</v>
      </c>
      <c r="B55" s="944" t="s">
        <v>1058</v>
      </c>
      <c r="C55" s="944"/>
      <c r="D55" s="944"/>
      <c r="E55" s="944"/>
      <c r="F55" s="944"/>
      <c r="G55" s="944"/>
      <c r="H55" s="944"/>
      <c r="I55" s="944"/>
      <c r="J55" s="944"/>
      <c r="K55" s="944"/>
      <c r="L55" s="944"/>
      <c r="M55" s="944"/>
      <c r="N55" s="944"/>
      <c r="O55" s="944"/>
    </row>
    <row r="56" spans="1:17" ht="29.25" customHeight="1">
      <c r="A56" s="394" t="s">
        <v>84</v>
      </c>
      <c r="B56" s="944" t="s">
        <v>905</v>
      </c>
      <c r="C56" s="944"/>
      <c r="D56" s="944"/>
      <c r="E56" s="944"/>
      <c r="F56" s="944"/>
      <c r="G56" s="944"/>
      <c r="H56" s="944"/>
      <c r="I56" s="944"/>
      <c r="J56" s="944"/>
      <c r="K56" s="944"/>
      <c r="L56" s="944"/>
      <c r="M56" s="944"/>
      <c r="N56" s="944"/>
      <c r="O56" s="944"/>
    </row>
    <row r="57" spans="1:17" s="808" customFormat="1" ht="18" customHeight="1">
      <c r="A57" s="394" t="s">
        <v>85</v>
      </c>
      <c r="B57" s="943" t="s">
        <v>1060</v>
      </c>
      <c r="C57" s="943"/>
      <c r="D57" s="943"/>
      <c r="E57" s="943"/>
      <c r="F57" s="943"/>
      <c r="G57" s="943"/>
      <c r="H57" s="943"/>
      <c r="I57" s="943"/>
      <c r="J57" s="943"/>
      <c r="K57" s="943"/>
      <c r="L57" s="943"/>
      <c r="M57" s="943"/>
      <c r="N57" s="943"/>
      <c r="O57" s="943"/>
    </row>
    <row r="58" spans="1:17" ht="15.6">
      <c r="A58" s="181"/>
      <c r="B58" s="742"/>
    </row>
    <row r="59" spans="1:17">
      <c r="A59" s="785"/>
      <c r="B59" s="742"/>
    </row>
    <row r="60" spans="1:17">
      <c r="B60" s="742"/>
    </row>
    <row r="61" spans="1:17">
      <c r="B61" s="742"/>
    </row>
    <row r="62" spans="1:17">
      <c r="B62" s="742"/>
    </row>
    <row r="63" spans="1:17">
      <c r="B63" s="742"/>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24:D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topLeftCell="A26" zoomScale="80" zoomScaleNormal="80" workbookViewId="0">
      <selection activeCell="E38" sqref="E38"/>
    </sheetView>
  </sheetViews>
  <sheetFormatPr defaultColWidth="7.08984375" defaultRowHeight="13.2"/>
  <cols>
    <col min="1" max="1" width="4.90625" style="744" customWidth="1"/>
    <col min="2" max="2" width="26.08984375" style="743" customWidth="1"/>
    <col min="3" max="3" width="6.90625" style="743" bestFit="1" customWidth="1"/>
    <col min="4" max="4" width="9.90625" style="743" customWidth="1"/>
    <col min="5" max="5" width="9" style="743" customWidth="1"/>
    <col min="6" max="6" width="9.90625" style="743" customWidth="1"/>
    <col min="7" max="7" width="8.6328125" style="743" customWidth="1"/>
    <col min="8" max="8" width="10.08984375" style="743" customWidth="1"/>
    <col min="9" max="9" width="11.90625" style="743" customWidth="1"/>
    <col min="10" max="10" width="11" style="743" bestFit="1" customWidth="1"/>
    <col min="11" max="16384" width="7.08984375" style="743"/>
  </cols>
  <sheetData>
    <row r="1" spans="1:10" ht="15" customHeight="1">
      <c r="A1" s="945" t="s">
        <v>1023</v>
      </c>
      <c r="B1" s="945"/>
      <c r="C1" s="945"/>
      <c r="D1" s="945"/>
      <c r="E1" s="945"/>
      <c r="F1" s="945"/>
      <c r="G1" s="945"/>
      <c r="H1" s="945"/>
      <c r="I1" s="945"/>
      <c r="J1" s="206"/>
    </row>
    <row r="2" spans="1:10" ht="15" customHeight="1">
      <c r="A2" s="946" t="s">
        <v>1007</v>
      </c>
      <c r="B2" s="946"/>
      <c r="C2" s="946"/>
      <c r="D2" s="946"/>
      <c r="E2" s="946"/>
      <c r="F2" s="946"/>
      <c r="G2" s="946"/>
      <c r="H2" s="946"/>
      <c r="I2" s="946"/>
      <c r="J2" s="206"/>
    </row>
    <row r="3" spans="1:10" ht="15" customHeight="1">
      <c r="A3" s="951" t="s">
        <v>911</v>
      </c>
      <c r="B3" s="951"/>
      <c r="C3" s="951"/>
      <c r="D3" s="951"/>
      <c r="E3" s="951"/>
      <c r="F3" s="951"/>
      <c r="G3" s="951"/>
      <c r="H3" s="951"/>
      <c r="I3" s="951"/>
      <c r="J3" s="206"/>
    </row>
    <row r="4" spans="1:10" ht="15" customHeight="1">
      <c r="A4" s="945" t="str">
        <f>'Act Att-H'!K4</f>
        <v>Actuals - For the 12 months ended 12/31/2023</v>
      </c>
      <c r="B4" s="945"/>
      <c r="C4" s="945"/>
      <c r="D4" s="945"/>
      <c r="E4" s="945"/>
      <c r="F4" s="945"/>
      <c r="G4" s="945"/>
      <c r="H4" s="945"/>
      <c r="I4" s="945"/>
      <c r="J4" s="206"/>
    </row>
    <row r="5" spans="1:10" ht="12.75" customHeight="1">
      <c r="B5" s="745"/>
      <c r="C5" s="745"/>
      <c r="D5" s="745"/>
      <c r="E5" s="745"/>
      <c r="F5" s="745"/>
      <c r="G5" s="745"/>
      <c r="H5" s="759" t="s">
        <v>901</v>
      </c>
      <c r="I5" s="810" t="s">
        <v>1250</v>
      </c>
    </row>
    <row r="6" spans="1:10" ht="12.75" customHeight="1">
      <c r="B6" s="745"/>
      <c r="C6" s="745"/>
      <c r="D6" s="745"/>
      <c r="E6" s="745"/>
      <c r="F6" s="745"/>
      <c r="G6" s="745"/>
      <c r="H6" s="759" t="s">
        <v>900</v>
      </c>
      <c r="I6" s="810" t="s">
        <v>851</v>
      </c>
    </row>
    <row r="7" spans="1:10" ht="12.75" customHeight="1">
      <c r="A7" s="746"/>
      <c r="B7" s="747"/>
      <c r="C7" s="748"/>
      <c r="D7" s="748"/>
      <c r="E7" s="748"/>
      <c r="F7" s="748"/>
      <c r="G7" s="748"/>
      <c r="H7" s="759" t="s">
        <v>899</v>
      </c>
      <c r="I7" s="811">
        <v>0.20380499999999999</v>
      </c>
    </row>
    <row r="8" spans="1:10" ht="12.75" customHeight="1">
      <c r="A8" s="746"/>
      <c r="B8" s="747"/>
      <c r="C8" s="748"/>
      <c r="D8" s="748"/>
      <c r="E8" s="748"/>
      <c r="F8" s="748"/>
      <c r="G8" s="748"/>
      <c r="H8" s="759" t="s">
        <v>898</v>
      </c>
      <c r="I8" s="812">
        <v>1.32727565</v>
      </c>
    </row>
    <row r="9" spans="1:10" ht="12.75" customHeight="1">
      <c r="A9" s="746"/>
      <c r="B9" s="747"/>
      <c r="C9" s="748"/>
      <c r="D9" s="748"/>
      <c r="E9" s="748"/>
      <c r="F9" s="748"/>
      <c r="G9" s="748"/>
      <c r="H9" s="759" t="s">
        <v>897</v>
      </c>
      <c r="I9" s="812" t="s">
        <v>847</v>
      </c>
    </row>
    <row r="10" spans="1:10" ht="18.600000000000001" customHeight="1" thickBot="1">
      <c r="B10" s="760" t="s">
        <v>1009</v>
      </c>
      <c r="C10" s="760" t="s">
        <v>896</v>
      </c>
      <c r="D10" s="760" t="s">
        <v>1010</v>
      </c>
      <c r="E10" s="760" t="s">
        <v>1011</v>
      </c>
      <c r="F10" s="760" t="s">
        <v>1012</v>
      </c>
      <c r="G10" s="760" t="s">
        <v>1013</v>
      </c>
      <c r="H10" s="760" t="s">
        <v>895</v>
      </c>
      <c r="I10" s="760" t="s">
        <v>894</v>
      </c>
    </row>
    <row r="11" spans="1:10" ht="15.6" customHeight="1" thickBot="1">
      <c r="A11" s="746"/>
      <c r="B11" s="747"/>
      <c r="C11" s="749"/>
      <c r="D11" s="948" t="s">
        <v>893</v>
      </c>
      <c r="E11" s="949"/>
      <c r="F11" s="949"/>
      <c r="G11" s="949"/>
      <c r="H11" s="949"/>
      <c r="I11" s="950"/>
    </row>
    <row r="12" spans="1:10" ht="39" customHeight="1" thickBot="1">
      <c r="A12" s="746"/>
      <c r="B12" s="747"/>
      <c r="C12" s="750"/>
      <c r="D12" s="761" t="s">
        <v>685</v>
      </c>
      <c r="E12" s="761" t="s">
        <v>685</v>
      </c>
      <c r="F12" s="761" t="s">
        <v>1087</v>
      </c>
      <c r="G12" s="761" t="s">
        <v>1014</v>
      </c>
      <c r="H12" s="762" t="s">
        <v>892</v>
      </c>
      <c r="I12" s="763" t="s">
        <v>891</v>
      </c>
      <c r="J12" s="759"/>
    </row>
    <row r="13" spans="1:10" s="751" customFormat="1" ht="105" customHeight="1" thickBot="1">
      <c r="A13" s="760" t="s">
        <v>1019</v>
      </c>
      <c r="B13" s="749"/>
      <c r="C13" s="761" t="s">
        <v>187</v>
      </c>
      <c r="D13" s="761" t="s">
        <v>890</v>
      </c>
      <c r="E13" s="813" t="s">
        <v>889</v>
      </c>
      <c r="F13" s="813" t="s">
        <v>1015</v>
      </c>
      <c r="G13" s="813" t="s">
        <v>888</v>
      </c>
      <c r="H13" s="814" t="s">
        <v>887</v>
      </c>
      <c r="I13" s="814" t="s">
        <v>886</v>
      </c>
    </row>
    <row r="14" spans="1:10" ht="12.9" customHeight="1">
      <c r="A14" s="764">
        <v>1</v>
      </c>
      <c r="B14" s="765" t="s">
        <v>885</v>
      </c>
      <c r="C14" s="752"/>
      <c r="D14" s="747"/>
      <c r="E14" s="747"/>
      <c r="F14" s="747"/>
      <c r="G14" s="747"/>
    </row>
    <row r="15" spans="1:10">
      <c r="A15" s="764">
        <v>2</v>
      </c>
      <c r="B15" s="766" t="s">
        <v>1016</v>
      </c>
      <c r="C15" s="815">
        <v>282</v>
      </c>
      <c r="D15" s="816">
        <v>-458889652.28000003</v>
      </c>
      <c r="E15" s="816">
        <v>-155873342.63820902</v>
      </c>
      <c r="F15" s="767">
        <f>+D15*$I$7</f>
        <v>-93524005.582925394</v>
      </c>
      <c r="G15" s="767">
        <f>+E15-F15</f>
        <v>-62349337.055283621</v>
      </c>
      <c r="H15" s="768">
        <f>+G15*$I$8</f>
        <v>-82754756.867120653</v>
      </c>
      <c r="I15" s="755">
        <f>+G15-H15</f>
        <v>20405419.811837032</v>
      </c>
      <c r="J15" s="769"/>
    </row>
    <row r="16" spans="1:10" ht="12.9" customHeight="1">
      <c r="A16" s="764">
        <v>3</v>
      </c>
      <c r="B16" s="766" t="s">
        <v>884</v>
      </c>
      <c r="C16" s="815">
        <v>282</v>
      </c>
      <c r="D16" s="817">
        <v>12501555.460000001</v>
      </c>
      <c r="E16" s="816">
        <v>4246465.8508755006</v>
      </c>
      <c r="F16" s="767">
        <f>+D16*$I$7</f>
        <v>2547879.5105253002</v>
      </c>
      <c r="G16" s="769">
        <f>+E16-F16</f>
        <v>1698586.3403502004</v>
      </c>
      <c r="H16" s="768">
        <f>+G16*$I$8</f>
        <v>2254492.2889694334</v>
      </c>
      <c r="I16" s="755">
        <f>+G16-H16</f>
        <v>-555905.94861923298</v>
      </c>
      <c r="J16" s="769"/>
    </row>
    <row r="17" spans="1:10">
      <c r="A17" s="764">
        <v>4</v>
      </c>
      <c r="B17" s="766" t="s">
        <v>1017</v>
      </c>
      <c r="C17" s="815">
        <v>190</v>
      </c>
      <c r="D17" s="816">
        <v>195816643.08754742</v>
      </c>
      <c r="E17" s="816">
        <v>66514018.240762673</v>
      </c>
      <c r="F17" s="767">
        <f>+D17*$I$7</f>
        <v>39908410.944457598</v>
      </c>
      <c r="G17" s="767">
        <f>+E17-F17</f>
        <v>26605607.296305075</v>
      </c>
      <c r="H17" s="768">
        <f>+G17*$I$8</f>
        <v>35312974.717848063</v>
      </c>
      <c r="I17" s="755">
        <f>+G17-H17</f>
        <v>-8707367.4215429872</v>
      </c>
      <c r="J17" s="769"/>
    </row>
    <row r="18" spans="1:10">
      <c r="A18" s="764">
        <v>5</v>
      </c>
      <c r="B18" s="818" t="s">
        <v>275</v>
      </c>
      <c r="C18" s="818"/>
      <c r="D18" s="819"/>
      <c r="E18" s="819"/>
      <c r="F18" s="770">
        <f>+D18*$I$7</f>
        <v>0</v>
      </c>
      <c r="G18" s="770">
        <f>+E18-F18</f>
        <v>0</v>
      </c>
      <c r="H18" s="771">
        <f>+G18*$I$8</f>
        <v>0</v>
      </c>
      <c r="I18" s="772">
        <f>+G18-H18</f>
        <v>0</v>
      </c>
      <c r="J18" s="769"/>
    </row>
    <row r="19" spans="1:10">
      <c r="A19" s="764">
        <v>99</v>
      </c>
      <c r="B19" s="749"/>
      <c r="C19" s="749"/>
      <c r="D19" s="767">
        <f t="shared" ref="D19:I19" si="0">SUM(D15:D18)</f>
        <v>-250571453.73245263</v>
      </c>
      <c r="E19" s="767">
        <f t="shared" si="0"/>
        <v>-85112858.546570837</v>
      </c>
      <c r="F19" s="767">
        <f t="shared" si="0"/>
        <v>-51067715.127942495</v>
      </c>
      <c r="G19" s="767">
        <f t="shared" si="0"/>
        <v>-34045143.418628342</v>
      </c>
      <c r="H19" s="767">
        <f t="shared" si="0"/>
        <v>-45187289.860303164</v>
      </c>
      <c r="I19" s="767">
        <f t="shared" si="0"/>
        <v>11142146.441674814</v>
      </c>
      <c r="J19" s="769"/>
    </row>
    <row r="20" spans="1:10">
      <c r="A20" s="764"/>
      <c r="B20" s="753"/>
      <c r="C20" s="749"/>
      <c r="D20" s="767"/>
      <c r="E20" s="767"/>
      <c r="F20" s="767"/>
      <c r="G20" s="767"/>
      <c r="H20" s="767"/>
      <c r="I20" s="767"/>
      <c r="J20" s="769"/>
    </row>
    <row r="21" spans="1:10" ht="12.9" customHeight="1">
      <c r="A21" s="764">
        <v>100</v>
      </c>
      <c r="B21" s="765" t="s">
        <v>883</v>
      </c>
      <c r="C21" s="749"/>
      <c r="D21" s="754"/>
      <c r="E21" s="754"/>
      <c r="F21" s="754"/>
      <c r="G21" s="754"/>
      <c r="H21" s="768"/>
      <c r="J21" s="769"/>
    </row>
    <row r="22" spans="1:10" ht="12.9" customHeight="1">
      <c r="A22" s="764">
        <v>101</v>
      </c>
      <c r="B22" s="766" t="s">
        <v>1075</v>
      </c>
      <c r="C22" s="815">
        <v>282</v>
      </c>
      <c r="D22" s="816">
        <v>3480140.7399999998</v>
      </c>
      <c r="E22" s="816">
        <v>1182116.8058594998</v>
      </c>
      <c r="F22" s="767">
        <f t="shared" ref="F22:F30" si="1">+D22*$I$7</f>
        <v>709270.08351569995</v>
      </c>
      <c r="G22" s="767">
        <f t="shared" ref="G22:G30" si="2">+E22-F22</f>
        <v>472846.72234379989</v>
      </c>
      <c r="H22" s="768">
        <f t="shared" ref="H22:H30" si="3">+G22*$I$8</f>
        <v>627597.9407492365</v>
      </c>
      <c r="I22" s="755">
        <f t="shared" ref="I22:I30" si="4">+G22-H22</f>
        <v>-154751.21840543661</v>
      </c>
      <c r="J22" s="769"/>
    </row>
    <row r="23" spans="1:10">
      <c r="A23" s="764">
        <v>102</v>
      </c>
      <c r="B23" s="826" t="s">
        <v>1073</v>
      </c>
      <c r="C23" s="815">
        <v>282</v>
      </c>
      <c r="D23" s="816">
        <v>-1367948.28</v>
      </c>
      <c r="E23" s="816">
        <v>-464657.83200900001</v>
      </c>
      <c r="F23" s="767">
        <f t="shared" si="1"/>
        <v>-278794.69920540001</v>
      </c>
      <c r="G23" s="767">
        <f t="shared" si="2"/>
        <v>-185863.13280359999</v>
      </c>
      <c r="H23" s="768">
        <f t="shared" si="3"/>
        <v>-246691.61040293452</v>
      </c>
      <c r="I23" s="755">
        <f t="shared" si="4"/>
        <v>60828.477599334525</v>
      </c>
      <c r="J23" s="769"/>
    </row>
    <row r="24" spans="1:10" ht="12.9" customHeight="1">
      <c r="A24" s="764">
        <v>103</v>
      </c>
      <c r="B24" s="766" t="s">
        <v>1072</v>
      </c>
      <c r="C24" s="815">
        <v>282</v>
      </c>
      <c r="D24" s="816">
        <v>-18147933.350000001</v>
      </c>
      <c r="E24" s="816">
        <v>-6164399.2606612509</v>
      </c>
      <c r="F24" s="767">
        <f t="shared" si="1"/>
        <v>-3698639.5563967503</v>
      </c>
      <c r="G24" s="767">
        <f t="shared" si="2"/>
        <v>-2465759.7042645006</v>
      </c>
      <c r="H24" s="768">
        <f t="shared" si="3"/>
        <v>-3272742.8142214729</v>
      </c>
      <c r="I24" s="755">
        <f t="shared" si="4"/>
        <v>806983.1099569723</v>
      </c>
      <c r="J24" s="769"/>
    </row>
    <row r="25" spans="1:10" ht="12.9" customHeight="1">
      <c r="A25" s="764">
        <v>104</v>
      </c>
      <c r="B25" s="766" t="s">
        <v>1074</v>
      </c>
      <c r="C25" s="815">
        <v>282</v>
      </c>
      <c r="D25" s="816">
        <v>1890375.2929999996</v>
      </c>
      <c r="E25" s="816">
        <v>642113.22764977487</v>
      </c>
      <c r="F25" s="767">
        <f t="shared" ref="F25:F27" si="5">+D25*$I$7</f>
        <v>385267.9365898649</v>
      </c>
      <c r="G25" s="767">
        <f t="shared" ref="G25:G27" si="6">+E25-F25</f>
        <v>256845.29105990997</v>
      </c>
      <c r="H25" s="768">
        <f t="shared" ref="H25:H27" si="7">+G25*$I$8</f>
        <v>340904.50064098119</v>
      </c>
      <c r="I25" s="755">
        <f t="shared" ref="I25:I27" si="8">+G25-H25</f>
        <v>-84059.20958107122</v>
      </c>
      <c r="J25" s="769"/>
    </row>
    <row r="26" spans="1:10" ht="12.9" customHeight="1">
      <c r="A26" s="764">
        <v>105</v>
      </c>
      <c r="B26" s="766" t="s">
        <v>990</v>
      </c>
      <c r="C26" s="815">
        <v>282</v>
      </c>
      <c r="D26" s="816">
        <v>252398.55999999997</v>
      </c>
      <c r="E26" s="816">
        <v>85733.480867999984</v>
      </c>
      <c r="F26" s="767">
        <f t="shared" si="5"/>
        <v>51440.088520799989</v>
      </c>
      <c r="G26" s="767">
        <f t="shared" si="6"/>
        <v>34293.392347199995</v>
      </c>
      <c r="H26" s="768">
        <f t="shared" si="7"/>
        <v>45516.784618334903</v>
      </c>
      <c r="I26" s="755">
        <f t="shared" si="8"/>
        <v>-11223.392271134908</v>
      </c>
      <c r="J26" s="769"/>
    </row>
    <row r="27" spans="1:10" ht="12.9" customHeight="1">
      <c r="A27" s="764">
        <v>106</v>
      </c>
      <c r="B27" s="766" t="s">
        <v>991</v>
      </c>
      <c r="C27" s="815">
        <v>282</v>
      </c>
      <c r="D27" s="817">
        <v>22703547.91</v>
      </c>
      <c r="E27" s="816">
        <v>7711827.6363292504</v>
      </c>
      <c r="F27" s="767">
        <f t="shared" si="5"/>
        <v>4627096.5817975495</v>
      </c>
      <c r="G27" s="767">
        <f t="shared" si="6"/>
        <v>3084731.0545317009</v>
      </c>
      <c r="H27" s="768">
        <f t="shared" si="7"/>
        <v>4094288.4154787487</v>
      </c>
      <c r="I27" s="755">
        <f t="shared" si="8"/>
        <v>-1009557.3609470478</v>
      </c>
      <c r="J27" s="769"/>
    </row>
    <row r="28" spans="1:10" ht="12.9" customHeight="1">
      <c r="A28" s="764">
        <f>A27+1</f>
        <v>107</v>
      </c>
      <c r="B28" s="766" t="s">
        <v>992</v>
      </c>
      <c r="C28" s="815">
        <v>282</v>
      </c>
      <c r="D28" s="817">
        <v>-35693415.770000003</v>
      </c>
      <c r="E28" s="816">
        <v>-12124161.001674751</v>
      </c>
      <c r="F28" s="767">
        <f t="shared" si="1"/>
        <v>-7274496.6010048501</v>
      </c>
      <c r="G28" s="769">
        <f t="shared" si="2"/>
        <v>-4849664.4006699007</v>
      </c>
      <c r="H28" s="768">
        <f t="shared" si="3"/>
        <v>-6436841.4696810031</v>
      </c>
      <c r="I28" s="755">
        <f t="shared" si="4"/>
        <v>1587177.0690111024</v>
      </c>
      <c r="J28" s="769"/>
    </row>
    <row r="29" spans="1:10" ht="12.9" customHeight="1">
      <c r="A29" s="764">
        <f>A28+1</f>
        <v>108</v>
      </c>
      <c r="B29" s="743" t="s">
        <v>993</v>
      </c>
      <c r="C29" s="815">
        <v>282</v>
      </c>
      <c r="D29" s="817">
        <v>-21027219.380000003</v>
      </c>
      <c r="E29" s="816">
        <v>-7142420.7429015012</v>
      </c>
      <c r="F29" s="767">
        <f t="shared" si="1"/>
        <v>-4285452.4457409</v>
      </c>
      <c r="G29" s="769">
        <f t="shared" si="2"/>
        <v>-2856968.2971606012</v>
      </c>
      <c r="H29" s="768">
        <f t="shared" si="3"/>
        <v>-3791984.4536432303</v>
      </c>
      <c r="I29" s="755">
        <f t="shared" si="4"/>
        <v>935016.15648262901</v>
      </c>
      <c r="J29" s="769"/>
    </row>
    <row r="30" spans="1:10" ht="12.9" customHeight="1">
      <c r="A30" s="764">
        <f>A29+1</f>
        <v>109</v>
      </c>
      <c r="B30" s="818" t="s">
        <v>275</v>
      </c>
      <c r="C30" s="815"/>
      <c r="D30" s="820"/>
      <c r="E30" s="820"/>
      <c r="F30" s="770">
        <f t="shared" si="1"/>
        <v>0</v>
      </c>
      <c r="G30" s="770">
        <f t="shared" si="2"/>
        <v>0</v>
      </c>
      <c r="H30" s="771">
        <f t="shared" si="3"/>
        <v>0</v>
      </c>
      <c r="I30" s="772">
        <f t="shared" si="4"/>
        <v>0</v>
      </c>
      <c r="J30" s="769"/>
    </row>
    <row r="31" spans="1:10">
      <c r="A31" s="764">
        <v>199</v>
      </c>
      <c r="B31" s="747"/>
      <c r="C31" s="747"/>
      <c r="D31" s="769">
        <f t="shared" ref="D31:I31" si="9">SUM(D22:D30)</f>
        <v>-47910054.27700001</v>
      </c>
      <c r="E31" s="769">
        <f t="shared" si="9"/>
        <v>-16273847.686539978</v>
      </c>
      <c r="F31" s="769">
        <f t="shared" si="9"/>
        <v>-9764308.6119239852</v>
      </c>
      <c r="G31" s="769">
        <f t="shared" si="9"/>
        <v>-6509539.0746159917</v>
      </c>
      <c r="H31" s="769">
        <f t="shared" si="9"/>
        <v>-8639952.7064613402</v>
      </c>
      <c r="I31" s="769">
        <f t="shared" si="9"/>
        <v>2130413.6318453476</v>
      </c>
      <c r="J31" s="769"/>
    </row>
    <row r="32" spans="1:10">
      <c r="D32" s="756"/>
      <c r="E32" s="756"/>
      <c r="F32" s="756"/>
      <c r="G32" s="756"/>
      <c r="H32" s="756"/>
      <c r="J32" s="769"/>
    </row>
    <row r="33" spans="1:10" ht="13.5" customHeight="1" thickBot="1">
      <c r="A33" s="764">
        <v>200</v>
      </c>
      <c r="B33" s="825" t="s">
        <v>904</v>
      </c>
      <c r="C33" s="759"/>
      <c r="D33" s="773">
        <f t="shared" ref="D33:I33" si="10">+D19+D31</f>
        <v>-298481508.00945264</v>
      </c>
      <c r="E33" s="773">
        <f t="shared" si="10"/>
        <v>-101386706.23311082</v>
      </c>
      <c r="F33" s="773">
        <f t="shared" si="10"/>
        <v>-60832023.73986648</v>
      </c>
      <c r="G33" s="773">
        <f t="shared" si="10"/>
        <v>-40554682.493244335</v>
      </c>
      <c r="H33" s="773">
        <f t="shared" si="10"/>
        <v>-53827242.566764504</v>
      </c>
      <c r="I33" s="773">
        <f t="shared" si="10"/>
        <v>13272560.073520161</v>
      </c>
      <c r="J33" s="769"/>
    </row>
    <row r="34" spans="1:10" ht="13.8" thickTop="1">
      <c r="A34" s="764"/>
      <c r="B34" s="774"/>
      <c r="C34" s="774"/>
      <c r="D34" s="769"/>
      <c r="E34" s="769"/>
      <c r="F34" s="769"/>
      <c r="G34" s="769"/>
      <c r="H34" s="769"/>
      <c r="I34" s="769"/>
      <c r="J34" s="769"/>
    </row>
    <row r="35" spans="1:10" ht="12.9" customHeight="1">
      <c r="A35" s="775">
        <v>300</v>
      </c>
      <c r="B35" s="776" t="s">
        <v>1076</v>
      </c>
      <c r="C35" s="777"/>
      <c r="D35" s="757"/>
      <c r="E35" s="757"/>
      <c r="F35" s="757"/>
      <c r="G35" s="757"/>
      <c r="H35" s="768"/>
      <c r="J35" s="769"/>
    </row>
    <row r="36" spans="1:10" ht="12.9" customHeight="1">
      <c r="A36" s="775">
        <v>301</v>
      </c>
      <c r="B36" s="766" t="s">
        <v>994</v>
      </c>
      <c r="C36" s="815">
        <v>190</v>
      </c>
      <c r="D36" s="816">
        <v>186258.31</v>
      </c>
      <c r="E36" s="816">
        <v>63267.291449249999</v>
      </c>
      <c r="F36" s="767">
        <f t="shared" ref="F36:F51" si="11">+D36*$I$7</f>
        <v>37960.374869549996</v>
      </c>
      <c r="G36" s="767">
        <f t="shared" ref="G36:G51" si="12">+E36-F36</f>
        <v>25306.916579700002</v>
      </c>
      <c r="H36" s="768">
        <f t="shared" ref="H36:H51" si="13">+G36*$I$8</f>
        <v>33589.254152817099</v>
      </c>
      <c r="I36" s="755">
        <f t="shared" ref="I36:I51" si="14">+G36-H36</f>
        <v>-8282.3375731170963</v>
      </c>
      <c r="J36" s="769"/>
    </row>
    <row r="37" spans="1:10" ht="12.9" customHeight="1">
      <c r="A37" s="775">
        <v>302</v>
      </c>
      <c r="B37" s="766" t="s">
        <v>882</v>
      </c>
      <c r="C37" s="815">
        <v>190</v>
      </c>
      <c r="D37" s="816">
        <v>7766143.3500000006</v>
      </c>
      <c r="E37" s="816">
        <v>2637964.7424112502</v>
      </c>
      <c r="F37" s="767">
        <f t="shared" si="11"/>
        <v>1582778.8454467501</v>
      </c>
      <c r="G37" s="767">
        <f t="shared" si="12"/>
        <v>1055185.8969645002</v>
      </c>
      <c r="H37" s="768">
        <f t="shared" si="13"/>
        <v>1400522.5472643902</v>
      </c>
      <c r="I37" s="755">
        <f t="shared" si="14"/>
        <v>-345336.65029988997</v>
      </c>
      <c r="J37" s="769"/>
    </row>
    <row r="38" spans="1:10">
      <c r="A38" s="775">
        <v>303</v>
      </c>
      <c r="B38" s="766" t="s">
        <v>876</v>
      </c>
      <c r="C38" s="815">
        <v>283</v>
      </c>
      <c r="D38" s="816">
        <v>-378023.27</v>
      </c>
      <c r="E38" s="816">
        <v>-128405.05423725001</v>
      </c>
      <c r="F38" s="767">
        <f t="shared" si="11"/>
        <v>-77043.032542350003</v>
      </c>
      <c r="G38" s="767">
        <f t="shared" si="12"/>
        <v>-51362.021694900002</v>
      </c>
      <c r="H38" s="768">
        <f t="shared" si="13"/>
        <v>-68171.560730412501</v>
      </c>
      <c r="I38" s="755">
        <f t="shared" si="14"/>
        <v>16809.539035512498</v>
      </c>
      <c r="J38" s="769"/>
    </row>
    <row r="39" spans="1:10" ht="12.9" customHeight="1">
      <c r="A39" s="775">
        <v>304</v>
      </c>
      <c r="B39" s="766" t="s">
        <v>995</v>
      </c>
      <c r="C39" s="815">
        <v>190</v>
      </c>
      <c r="D39" s="816">
        <v>530487.19999999995</v>
      </c>
      <c r="E39" s="816">
        <v>180193.23965999999</v>
      </c>
      <c r="F39" s="767">
        <f t="shared" si="11"/>
        <v>108115.94379599998</v>
      </c>
      <c r="G39" s="767">
        <f t="shared" si="12"/>
        <v>72077.295864000014</v>
      </c>
      <c r="H39" s="768">
        <f t="shared" si="13"/>
        <v>95666.439718132926</v>
      </c>
      <c r="I39" s="755">
        <f t="shared" si="14"/>
        <v>-23589.143854132912</v>
      </c>
      <c r="J39" s="769"/>
    </row>
    <row r="40" spans="1:10" ht="12.9" customHeight="1">
      <c r="A40" s="775">
        <v>305</v>
      </c>
      <c r="B40" s="766" t="s">
        <v>996</v>
      </c>
      <c r="C40" s="815">
        <v>190</v>
      </c>
      <c r="D40" s="816">
        <v>128516.5</v>
      </c>
      <c r="E40" s="816">
        <v>43653.842137500003</v>
      </c>
      <c r="F40" s="767">
        <f t="shared" si="11"/>
        <v>26192.305282499998</v>
      </c>
      <c r="G40" s="767">
        <f t="shared" si="12"/>
        <v>17461.536855000006</v>
      </c>
      <c r="H40" s="778">
        <f t="shared" si="13"/>
        <v>23176.272679219088</v>
      </c>
      <c r="I40" s="755">
        <f t="shared" si="14"/>
        <v>-5714.7358242190821</v>
      </c>
      <c r="J40" s="769"/>
    </row>
    <row r="41" spans="1:10" ht="12.9" customHeight="1">
      <c r="A41" s="775">
        <v>306</v>
      </c>
      <c r="B41" s="766" t="s">
        <v>997</v>
      </c>
      <c r="C41" s="815">
        <v>190</v>
      </c>
      <c r="D41" s="816">
        <v>20319.93</v>
      </c>
      <c r="E41" s="816">
        <v>6902.1722227500004</v>
      </c>
      <c r="F41" s="767">
        <f t="shared" si="11"/>
        <v>4141.3033336499993</v>
      </c>
      <c r="G41" s="767">
        <f t="shared" si="12"/>
        <v>2760.8688891000011</v>
      </c>
      <c r="H41" s="778">
        <f t="shared" si="13"/>
        <v>3664.4340493449818</v>
      </c>
      <c r="I41" s="755">
        <f t="shared" si="14"/>
        <v>-903.56516024498069</v>
      </c>
      <c r="J41" s="769"/>
    </row>
    <row r="42" spans="1:10" ht="12.9" customHeight="1">
      <c r="A42" s="775">
        <v>307</v>
      </c>
      <c r="B42" s="766" t="s">
        <v>878</v>
      </c>
      <c r="C42" s="815">
        <v>190</v>
      </c>
      <c r="D42" s="816">
        <v>2992922.5500000003</v>
      </c>
      <c r="E42" s="816">
        <v>1016620.9671712501</v>
      </c>
      <c r="F42" s="767">
        <f t="shared" si="11"/>
        <v>609972.58030274999</v>
      </c>
      <c r="G42" s="767">
        <f t="shared" si="12"/>
        <v>406648.38686850015</v>
      </c>
      <c r="H42" s="778">
        <f t="shared" si="13"/>
        <v>539734.50200234004</v>
      </c>
      <c r="I42" s="755">
        <f t="shared" si="14"/>
        <v>-133086.11513383989</v>
      </c>
      <c r="J42" s="769"/>
    </row>
    <row r="43" spans="1:10" ht="12.9" customHeight="1">
      <c r="A43" s="775">
        <v>308</v>
      </c>
      <c r="B43" s="766" t="s">
        <v>998</v>
      </c>
      <c r="C43" s="815">
        <v>283</v>
      </c>
      <c r="D43" s="816">
        <v>-9890835.7400000002</v>
      </c>
      <c r="E43" s="816">
        <v>-3359669.6299844999</v>
      </c>
      <c r="F43" s="767">
        <f t="shared" si="11"/>
        <v>-2015801.7779907</v>
      </c>
      <c r="G43" s="767">
        <f t="shared" si="12"/>
        <v>-1343867.8519937999</v>
      </c>
      <c r="H43" s="778">
        <f t="shared" si="13"/>
        <v>-1783683.0767691745</v>
      </c>
      <c r="I43" s="755">
        <f t="shared" si="14"/>
        <v>439815.22477537463</v>
      </c>
      <c r="J43" s="769"/>
    </row>
    <row r="44" spans="1:10" ht="12.9" customHeight="1">
      <c r="A44" s="775">
        <v>309</v>
      </c>
      <c r="B44" s="766" t="s">
        <v>999</v>
      </c>
      <c r="C44" s="815">
        <v>190</v>
      </c>
      <c r="D44" s="816">
        <v>10088.17</v>
      </c>
      <c r="E44" s="816">
        <v>3426.69914475</v>
      </c>
      <c r="F44" s="767">
        <f t="shared" si="11"/>
        <v>2056.0194868499998</v>
      </c>
      <c r="G44" s="767">
        <f t="shared" si="12"/>
        <v>1370.6796579000002</v>
      </c>
      <c r="H44" s="778">
        <f t="shared" si="13"/>
        <v>1819.2697338810003</v>
      </c>
      <c r="I44" s="755">
        <f t="shared" si="14"/>
        <v>-448.59007598100015</v>
      </c>
      <c r="J44" s="769"/>
    </row>
    <row r="45" spans="1:10" ht="12.9" customHeight="1">
      <c r="A45" s="775">
        <v>310</v>
      </c>
      <c r="B45" s="766" t="s">
        <v>1000</v>
      </c>
      <c r="C45" s="815">
        <v>190</v>
      </c>
      <c r="D45" s="816">
        <v>859042.77</v>
      </c>
      <c r="E45" s="816">
        <v>291795.35289975</v>
      </c>
      <c r="F45" s="767">
        <f t="shared" si="11"/>
        <v>175077.21173985</v>
      </c>
      <c r="G45" s="767">
        <f t="shared" si="12"/>
        <v>116718.1411599</v>
      </c>
      <c r="H45" s="778">
        <f t="shared" si="13"/>
        <v>154917.14667479802</v>
      </c>
      <c r="I45" s="755">
        <f t="shared" si="14"/>
        <v>-38199.005514898017</v>
      </c>
      <c r="J45" s="769"/>
    </row>
    <row r="46" spans="1:10" ht="12.9" customHeight="1">
      <c r="A46" s="775">
        <v>311</v>
      </c>
      <c r="B46" s="766" t="s">
        <v>877</v>
      </c>
      <c r="C46" s="815">
        <v>283</v>
      </c>
      <c r="D46" s="816">
        <v>-985985.08</v>
      </c>
      <c r="E46" s="816">
        <v>-334914.48204899998</v>
      </c>
      <c r="F46" s="767">
        <f t="shared" si="11"/>
        <v>-200948.68922939998</v>
      </c>
      <c r="G46" s="767">
        <f t="shared" si="12"/>
        <v>-133965.7928196</v>
      </c>
      <c r="H46" s="778">
        <f t="shared" si="13"/>
        <v>-177809.53474239993</v>
      </c>
      <c r="I46" s="755">
        <f t="shared" si="14"/>
        <v>43843.741922799934</v>
      </c>
      <c r="J46" s="769"/>
    </row>
    <row r="47" spans="1:10" ht="12.9" customHeight="1">
      <c r="A47" s="775">
        <v>312</v>
      </c>
      <c r="B47" s="766" t="s">
        <v>881</v>
      </c>
      <c r="C47" s="815">
        <v>190</v>
      </c>
      <c r="D47" s="816">
        <v>465927.65</v>
      </c>
      <c r="E47" s="816">
        <v>158263.97451375</v>
      </c>
      <c r="F47" s="767">
        <f t="shared" si="11"/>
        <v>94958.38470825</v>
      </c>
      <c r="G47" s="767">
        <f t="shared" si="12"/>
        <v>63305.5898055</v>
      </c>
      <c r="H47" s="778">
        <f t="shared" si="13"/>
        <v>84023.967857728392</v>
      </c>
      <c r="I47" s="755">
        <f t="shared" si="14"/>
        <v>-20718.378052228392</v>
      </c>
      <c r="J47" s="769"/>
    </row>
    <row r="48" spans="1:10" ht="12.9" customHeight="1">
      <c r="A48" s="775">
        <v>313</v>
      </c>
      <c r="B48" s="766" t="s">
        <v>1055</v>
      </c>
      <c r="C48" s="815">
        <v>283</v>
      </c>
      <c r="D48" s="816">
        <v>-1088216.26</v>
      </c>
      <c r="E48" s="816">
        <v>-369639.85811550001</v>
      </c>
      <c r="F48" s="767">
        <f t="shared" si="11"/>
        <v>-221783.91486929997</v>
      </c>
      <c r="G48" s="767">
        <f t="shared" si="12"/>
        <v>-147855.94324620004</v>
      </c>
      <c r="H48" s="778">
        <f t="shared" si="13"/>
        <v>-196245.59317846328</v>
      </c>
      <c r="I48" s="755">
        <f t="shared" si="14"/>
        <v>48389.649932263244</v>
      </c>
      <c r="J48" s="769"/>
    </row>
    <row r="49" spans="1:10" ht="12.9" customHeight="1">
      <c r="A49" s="775">
        <v>314</v>
      </c>
      <c r="B49" s="766" t="s">
        <v>879</v>
      </c>
      <c r="C49" s="815">
        <v>190</v>
      </c>
      <c r="D49" s="816">
        <v>5648113.3200000003</v>
      </c>
      <c r="E49" s="816">
        <v>1918522.891971</v>
      </c>
      <c r="F49" s="767">
        <f t="shared" ref="F49" si="15">+D49*$I$7</f>
        <v>1151113.7351826001</v>
      </c>
      <c r="G49" s="767">
        <f t="shared" ref="G49" si="16">+E49-F49</f>
        <v>767409.15678839991</v>
      </c>
      <c r="H49" s="778">
        <f t="shared" ref="H49" si="17">+G49*$I$8</f>
        <v>1018563.4873922755</v>
      </c>
      <c r="I49" s="755">
        <f t="shared" ref="I49" si="18">+G49-H49</f>
        <v>-251154.33060387557</v>
      </c>
      <c r="J49" s="769"/>
    </row>
    <row r="50" spans="1:10">
      <c r="A50" s="775">
        <v>315</v>
      </c>
      <c r="B50" s="766" t="s">
        <v>880</v>
      </c>
      <c r="C50" s="815">
        <v>190</v>
      </c>
      <c r="D50" s="816">
        <v>364754.71</v>
      </c>
      <c r="E50" s="816">
        <v>123898.05611925</v>
      </c>
      <c r="F50" s="767">
        <f t="shared" si="11"/>
        <v>74338.833671550005</v>
      </c>
      <c r="G50" s="767">
        <f t="shared" si="12"/>
        <v>49559.222447699998</v>
      </c>
      <c r="H50" s="778">
        <f t="shared" si="13"/>
        <v>65778.749187765614</v>
      </c>
      <c r="I50" s="755">
        <f t="shared" si="14"/>
        <v>-16219.526740065616</v>
      </c>
      <c r="J50" s="769"/>
    </row>
    <row r="51" spans="1:10">
      <c r="A51" s="775">
        <v>316</v>
      </c>
      <c r="B51" s="818" t="s">
        <v>275</v>
      </c>
      <c r="C51" s="821"/>
      <c r="D51" s="822"/>
      <c r="E51" s="822"/>
      <c r="F51" s="767">
        <f t="shared" si="11"/>
        <v>0</v>
      </c>
      <c r="G51" s="770">
        <f t="shared" si="12"/>
        <v>0</v>
      </c>
      <c r="H51" s="768">
        <f t="shared" si="13"/>
        <v>0</v>
      </c>
      <c r="I51" s="755">
        <f t="shared" si="14"/>
        <v>0</v>
      </c>
      <c r="J51" s="769"/>
    </row>
    <row r="52" spans="1:10" ht="12.9" customHeight="1">
      <c r="A52" s="764">
        <v>400</v>
      </c>
      <c r="B52" s="759" t="s">
        <v>1018</v>
      </c>
      <c r="C52" s="759"/>
      <c r="D52" s="779">
        <f t="shared" ref="D52:I52" si="19">SUM(D36:D51)</f>
        <v>6629514.1100000003</v>
      </c>
      <c r="E52" s="779">
        <f t="shared" si="19"/>
        <v>2251880.2053142511</v>
      </c>
      <c r="F52" s="779">
        <f t="shared" si="19"/>
        <v>1351128.1231885508</v>
      </c>
      <c r="G52" s="780">
        <f t="shared" si="19"/>
        <v>900752.08212570031</v>
      </c>
      <c r="H52" s="781">
        <f t="shared" si="19"/>
        <v>1195546.3052922424</v>
      </c>
      <c r="I52" s="779">
        <f t="shared" si="19"/>
        <v>-294794.22316654224</v>
      </c>
      <c r="J52" s="769"/>
    </row>
    <row r="53" spans="1:10">
      <c r="A53" s="746"/>
      <c r="B53" s="747"/>
      <c r="C53" s="747"/>
      <c r="D53" s="758"/>
      <c r="E53" s="779">
        <f>+E32+E51</f>
        <v>0</v>
      </c>
      <c r="F53" s="758"/>
      <c r="G53" s="758"/>
      <c r="H53" s="768"/>
      <c r="J53" s="769"/>
    </row>
    <row r="54" spans="1:10" ht="12.9" customHeight="1">
      <c r="A54" s="764">
        <v>500</v>
      </c>
      <c r="B54" s="759" t="s">
        <v>1077</v>
      </c>
      <c r="C54" s="759"/>
      <c r="D54" s="779">
        <f>+D33+D52</f>
        <v>-291851993.89945263</v>
      </c>
      <c r="E54" s="779">
        <f>+E33+E52</f>
        <v>-99134826.027796566</v>
      </c>
      <c r="F54" s="779">
        <f>+F33+F52</f>
        <v>-59480895.616677932</v>
      </c>
      <c r="G54" s="779">
        <f>+G33+G52</f>
        <v>-39653930.411118634</v>
      </c>
      <c r="H54" s="779">
        <f>+H33+H52</f>
        <v>-52631696.261472262</v>
      </c>
      <c r="I54" s="779">
        <f>+I33+I52</f>
        <v>12977765.850353619</v>
      </c>
      <c r="J54" s="769"/>
    </row>
    <row r="55" spans="1:10">
      <c r="D55" s="768"/>
      <c r="H55" s="782"/>
      <c r="J55" s="769"/>
    </row>
    <row r="56" spans="1:10">
      <c r="A56" s="354" t="s">
        <v>172</v>
      </c>
      <c r="B56" s="737"/>
      <c r="C56" s="737"/>
      <c r="D56" s="737"/>
      <c r="E56" s="737"/>
      <c r="F56" s="737"/>
      <c r="G56" s="737"/>
      <c r="H56" s="783"/>
      <c r="I56" s="737"/>
      <c r="J56" s="769"/>
    </row>
    <row r="57" spans="1:10" ht="38.1" customHeight="1">
      <c r="A57" s="784" t="s">
        <v>76</v>
      </c>
      <c r="B57" s="947" t="s">
        <v>1002</v>
      </c>
      <c r="C57" s="947"/>
      <c r="D57" s="947"/>
      <c r="E57" s="947"/>
      <c r="F57" s="947"/>
      <c r="G57" s="947"/>
      <c r="H57" s="947"/>
      <c r="I57" s="947"/>
      <c r="J57" s="769"/>
    </row>
    <row r="58" spans="1:10" ht="50.1" customHeight="1">
      <c r="A58" s="784" t="s">
        <v>77</v>
      </c>
      <c r="B58" s="947" t="s">
        <v>875</v>
      </c>
      <c r="C58" s="947"/>
      <c r="D58" s="947"/>
      <c r="E58" s="947"/>
      <c r="F58" s="947"/>
      <c r="G58" s="947"/>
      <c r="H58" s="947"/>
      <c r="I58" s="947"/>
      <c r="J58" s="804"/>
    </row>
    <row r="60" spans="1:10">
      <c r="H60" s="711"/>
    </row>
    <row r="61" spans="1:10">
      <c r="H61" s="782"/>
    </row>
    <row r="62" spans="1:10">
      <c r="H62" s="782"/>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26" zoomScale="80" zoomScaleNormal="80" workbookViewId="0">
      <selection activeCell="C53" sqref="C53:C65"/>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08984375" style="2" customWidth="1"/>
    <col min="12" max="12" width="12.08984375" style="2" customWidth="1"/>
    <col min="13" max="13" width="15.54296875" style="2" customWidth="1"/>
    <col min="14" max="14" width="13.6328125" style="2" customWidth="1"/>
    <col min="15" max="15" width="10.089843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53" t="s">
        <v>697</v>
      </c>
      <c r="D5" s="954"/>
      <c r="E5" s="954"/>
      <c r="F5" s="954"/>
      <c r="G5" s="955"/>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39.6" customHeight="1">
      <c r="A9" s="5"/>
      <c r="B9" s="17" t="s">
        <v>259</v>
      </c>
      <c r="C9" s="10" t="s">
        <v>1020</v>
      </c>
      <c r="D9" s="10" t="s">
        <v>1021</v>
      </c>
      <c r="E9" s="10" t="s">
        <v>1022</v>
      </c>
      <c r="F9" s="10" t="s">
        <v>1238</v>
      </c>
      <c r="G9" s="10" t="s">
        <v>1254</v>
      </c>
      <c r="H9" s="13" t="s">
        <v>1244</v>
      </c>
      <c r="I9" s="13" t="s">
        <v>1245</v>
      </c>
    </row>
    <row r="10" spans="1:12">
      <c r="A10" s="5">
        <v>1</v>
      </c>
      <c r="B10" s="18" t="s">
        <v>260</v>
      </c>
      <c r="C10" s="19">
        <v>424929260.89000005</v>
      </c>
      <c r="D10" s="19">
        <v>264303962.91</v>
      </c>
      <c r="E10" s="19">
        <v>410978289.37000006</v>
      </c>
      <c r="F10" s="19">
        <v>44375263.81000001</v>
      </c>
      <c r="G10" s="19">
        <v>22745275</v>
      </c>
      <c r="H10" s="19">
        <v>0</v>
      </c>
      <c r="I10" s="19">
        <v>0</v>
      </c>
      <c r="J10" s="16"/>
      <c r="K10" s="16"/>
    </row>
    <row r="11" spans="1:12">
      <c r="A11" s="5">
        <v>2</v>
      </c>
      <c r="B11" s="18" t="s">
        <v>146</v>
      </c>
      <c r="C11" s="19">
        <v>425006755.32000005</v>
      </c>
      <c r="D11" s="19">
        <v>264395923.39999998</v>
      </c>
      <c r="E11" s="19">
        <v>413670442.95000005</v>
      </c>
      <c r="F11" s="19">
        <v>44421459.870000005</v>
      </c>
      <c r="G11" s="19">
        <v>23309909</v>
      </c>
      <c r="H11" s="19">
        <v>0</v>
      </c>
      <c r="I11" s="19">
        <v>0</v>
      </c>
      <c r="J11" s="16"/>
      <c r="K11" s="16"/>
    </row>
    <row r="12" spans="1:12">
      <c r="A12" s="5">
        <v>3</v>
      </c>
      <c r="B12" s="3" t="s">
        <v>147</v>
      </c>
      <c r="C12" s="19">
        <v>426215072.30000001</v>
      </c>
      <c r="D12" s="19">
        <v>312387587.11000001</v>
      </c>
      <c r="E12" s="19">
        <v>419378645.01000005</v>
      </c>
      <c r="F12" s="19">
        <v>44222580.010000005</v>
      </c>
      <c r="G12" s="19">
        <v>23328150</v>
      </c>
      <c r="H12" s="19">
        <v>0</v>
      </c>
      <c r="I12" s="19">
        <v>0</v>
      </c>
      <c r="J12" s="16"/>
      <c r="K12" s="16"/>
    </row>
    <row r="13" spans="1:12">
      <c r="A13" s="5">
        <v>4</v>
      </c>
      <c r="B13" s="3" t="s">
        <v>261</v>
      </c>
      <c r="C13" s="19">
        <v>425143466.0200001</v>
      </c>
      <c r="D13" s="19">
        <v>312078751.65999997</v>
      </c>
      <c r="E13" s="19">
        <v>420713911.43999994</v>
      </c>
      <c r="F13" s="19">
        <v>44620658.280000001</v>
      </c>
      <c r="G13" s="19">
        <v>23646037</v>
      </c>
      <c r="H13" s="19">
        <v>0</v>
      </c>
      <c r="I13" s="19">
        <v>0</v>
      </c>
      <c r="J13" s="16"/>
      <c r="K13" s="16"/>
    </row>
    <row r="14" spans="1:12">
      <c r="A14" s="5">
        <v>5</v>
      </c>
      <c r="B14" s="3" t="s">
        <v>148</v>
      </c>
      <c r="C14" s="19">
        <v>426902245.80000001</v>
      </c>
      <c r="D14" s="19">
        <v>311697620.93000001</v>
      </c>
      <c r="E14" s="19">
        <v>422588052.90000004</v>
      </c>
      <c r="F14" s="19">
        <v>44722279.470000006</v>
      </c>
      <c r="G14" s="19">
        <v>23709406</v>
      </c>
      <c r="H14" s="19">
        <v>0</v>
      </c>
      <c r="I14" s="19">
        <v>0</v>
      </c>
      <c r="J14" s="16"/>
      <c r="K14" s="16"/>
    </row>
    <row r="15" spans="1:12">
      <c r="A15" s="5">
        <v>6</v>
      </c>
      <c r="B15" s="3" t="s">
        <v>149</v>
      </c>
      <c r="C15" s="19">
        <v>426922864.81</v>
      </c>
      <c r="D15" s="19">
        <v>311380397.76000005</v>
      </c>
      <c r="E15" s="19">
        <v>426536161.12000012</v>
      </c>
      <c r="F15" s="19">
        <v>44460075.359999992</v>
      </c>
      <c r="G15" s="19">
        <v>23516789</v>
      </c>
      <c r="H15" s="19">
        <v>0</v>
      </c>
      <c r="I15" s="19">
        <v>0</v>
      </c>
      <c r="J15" s="16"/>
      <c r="K15" s="16"/>
    </row>
    <row r="16" spans="1:12">
      <c r="A16" s="5">
        <v>7</v>
      </c>
      <c r="B16" s="3" t="s">
        <v>150</v>
      </c>
      <c r="C16" s="19">
        <v>425095867.96000004</v>
      </c>
      <c r="D16" s="19">
        <v>310988610.90999997</v>
      </c>
      <c r="E16" s="19">
        <v>427703050.62495488</v>
      </c>
      <c r="F16" s="19">
        <v>45345628.040000007</v>
      </c>
      <c r="G16" s="19">
        <v>23523377</v>
      </c>
      <c r="H16" s="19">
        <v>0</v>
      </c>
      <c r="I16" s="19">
        <v>0</v>
      </c>
      <c r="J16" s="16"/>
      <c r="K16" s="16"/>
    </row>
    <row r="17" spans="1:11">
      <c r="A17" s="5">
        <v>8</v>
      </c>
      <c r="B17" s="3" t="s">
        <v>151</v>
      </c>
      <c r="C17" s="19">
        <v>425095867.96000004</v>
      </c>
      <c r="D17" s="19">
        <v>309964055.55000007</v>
      </c>
      <c r="E17" s="19">
        <v>430507289.77999991</v>
      </c>
      <c r="F17" s="19">
        <v>45888406.880000003</v>
      </c>
      <c r="G17" s="19">
        <v>23657228</v>
      </c>
      <c r="H17" s="19">
        <v>0</v>
      </c>
      <c r="I17" s="19">
        <v>0</v>
      </c>
      <c r="J17" s="16"/>
      <c r="K17" s="16"/>
    </row>
    <row r="18" spans="1:11">
      <c r="A18" s="5">
        <v>9</v>
      </c>
      <c r="B18" s="3" t="s">
        <v>262</v>
      </c>
      <c r="C18" s="19">
        <v>425095867.96000004</v>
      </c>
      <c r="D18" s="19">
        <v>317295018.21000004</v>
      </c>
      <c r="E18" s="19">
        <v>433137493.32000005</v>
      </c>
      <c r="F18" s="19">
        <v>46148082.370000005</v>
      </c>
      <c r="G18" s="19">
        <v>23120890</v>
      </c>
      <c r="H18" s="19">
        <v>0</v>
      </c>
      <c r="I18" s="19">
        <v>0</v>
      </c>
      <c r="J18" s="16"/>
      <c r="K18" s="16"/>
    </row>
    <row r="19" spans="1:11">
      <c r="A19" s="5">
        <v>10</v>
      </c>
      <c r="B19" s="3" t="s">
        <v>152</v>
      </c>
      <c r="C19" s="19">
        <v>425297733.32999998</v>
      </c>
      <c r="D19" s="19">
        <v>317429689.13</v>
      </c>
      <c r="E19" s="19">
        <v>433380069.74219221</v>
      </c>
      <c r="F19" s="19">
        <v>45375134.68</v>
      </c>
      <c r="G19" s="19">
        <v>23103995</v>
      </c>
      <c r="H19" s="19">
        <v>0</v>
      </c>
      <c r="I19" s="19">
        <v>0</v>
      </c>
      <c r="J19" s="16"/>
      <c r="K19" s="16"/>
    </row>
    <row r="20" spans="1:11">
      <c r="A20" s="5">
        <v>11</v>
      </c>
      <c r="B20" s="3" t="s">
        <v>153</v>
      </c>
      <c r="C20" s="19">
        <v>425297733.32999998</v>
      </c>
      <c r="D20" s="19">
        <v>317961697.27000004</v>
      </c>
      <c r="E20" s="19">
        <v>435889899.57000005</v>
      </c>
      <c r="F20" s="19">
        <v>45504155.539999999</v>
      </c>
      <c r="G20" s="19">
        <v>23375641</v>
      </c>
      <c r="H20" s="19">
        <v>0</v>
      </c>
      <c r="I20" s="19">
        <v>0</v>
      </c>
      <c r="J20" s="16"/>
      <c r="K20" s="16"/>
    </row>
    <row r="21" spans="1:11">
      <c r="A21" s="5">
        <v>12</v>
      </c>
      <c r="B21" s="3" t="s">
        <v>154</v>
      </c>
      <c r="C21" s="19">
        <v>427707896.25999999</v>
      </c>
      <c r="D21" s="19">
        <v>318516932.87</v>
      </c>
      <c r="E21" s="19">
        <v>437121289.75999999</v>
      </c>
      <c r="F21" s="19">
        <v>45132401.140000001</v>
      </c>
      <c r="G21" s="19">
        <v>23437679</v>
      </c>
      <c r="H21" s="19">
        <v>0</v>
      </c>
      <c r="I21" s="19">
        <v>0</v>
      </c>
      <c r="J21" s="16"/>
      <c r="K21" s="16"/>
    </row>
    <row r="22" spans="1:11">
      <c r="A22" s="5">
        <v>13</v>
      </c>
      <c r="B22" s="3" t="s">
        <v>263</v>
      </c>
      <c r="C22" s="19">
        <v>427684092.15999997</v>
      </c>
      <c r="D22" s="19">
        <v>318162522.33999997</v>
      </c>
      <c r="E22" s="19">
        <v>437813045.59263802</v>
      </c>
      <c r="F22" s="19">
        <v>45655275.060000002</v>
      </c>
      <c r="G22" s="19">
        <v>26045763</v>
      </c>
      <c r="H22" s="19">
        <v>0</v>
      </c>
      <c r="I22" s="19">
        <v>0</v>
      </c>
      <c r="J22" s="16"/>
      <c r="K22" s="16"/>
    </row>
    <row r="23" spans="1:11" ht="13.8" thickBot="1">
      <c r="A23" s="5">
        <v>14</v>
      </c>
      <c r="B23" s="20" t="s">
        <v>264</v>
      </c>
      <c r="C23" s="21">
        <f>SUM(C10:C22)/13</f>
        <v>425876517.23846155</v>
      </c>
      <c r="D23" s="21">
        <f>SUM(D10:D22)/13</f>
        <v>306658674.61923081</v>
      </c>
      <c r="E23" s="21">
        <f t="shared" ref="E23:I23" si="0">SUM(E10:E22)/13</f>
        <v>426878280.09075266</v>
      </c>
      <c r="F23" s="21">
        <f t="shared" si="0"/>
        <v>45067030.808461539</v>
      </c>
      <c r="G23" s="21">
        <f t="shared" si="0"/>
        <v>23578472.230769232</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1"/>
      <c r="D28" s="560"/>
      <c r="E28" s="956" t="s">
        <v>698</v>
      </c>
      <c r="F28" s="957"/>
      <c r="G28" s="957"/>
      <c r="H28" s="957"/>
      <c r="I28" s="958"/>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41.4" customHeight="1">
      <c r="A32" s="5"/>
      <c r="B32" s="17" t="s">
        <v>259</v>
      </c>
      <c r="C32" s="10"/>
      <c r="D32" s="13"/>
      <c r="E32" s="827" t="s">
        <v>1090</v>
      </c>
      <c r="F32" s="827" t="s">
        <v>1091</v>
      </c>
      <c r="G32" s="827" t="s">
        <v>1092</v>
      </c>
      <c r="H32" s="827" t="s">
        <v>1265</v>
      </c>
      <c r="I32" s="827" t="s">
        <v>1255</v>
      </c>
    </row>
    <row r="33" spans="1:9">
      <c r="A33" s="5">
        <v>15</v>
      </c>
      <c r="B33" s="18" t="s">
        <v>260</v>
      </c>
      <c r="C33" s="10"/>
      <c r="D33" s="10"/>
      <c r="E33" s="19">
        <v>127508996.98853941</v>
      </c>
      <c r="F33" s="19">
        <v>48570088.338654973</v>
      </c>
      <c r="G33" s="19">
        <v>156334456.51929522</v>
      </c>
      <c r="H33" s="19">
        <v>22582171.933510415</v>
      </c>
      <c r="I33" s="19">
        <v>6269229</v>
      </c>
    </row>
    <row r="34" spans="1:9">
      <c r="A34" s="5">
        <v>16</v>
      </c>
      <c r="B34" s="18" t="s">
        <v>146</v>
      </c>
      <c r="C34" s="10"/>
      <c r="D34" s="10"/>
      <c r="E34" s="19">
        <v>129400452.58</v>
      </c>
      <c r="F34" s="19">
        <v>47906451.780000009</v>
      </c>
      <c r="G34" s="19">
        <v>157818444.30000001</v>
      </c>
      <c r="H34" s="19">
        <v>22952555.890000001</v>
      </c>
      <c r="I34" s="19">
        <v>6768124</v>
      </c>
    </row>
    <row r="35" spans="1:9">
      <c r="A35" s="5">
        <v>17</v>
      </c>
      <c r="B35" s="3" t="s">
        <v>147</v>
      </c>
      <c r="C35" s="10"/>
      <c r="D35" s="10"/>
      <c r="E35" s="19">
        <v>130659100.41000001</v>
      </c>
      <c r="F35" s="19">
        <v>48315674.579999998</v>
      </c>
      <c r="G35" s="19">
        <v>158461824.59999999</v>
      </c>
      <c r="H35" s="19">
        <v>22981962.359999999</v>
      </c>
      <c r="I35" s="19">
        <v>7049551</v>
      </c>
    </row>
    <row r="36" spans="1:9">
      <c r="A36" s="5">
        <v>18</v>
      </c>
      <c r="B36" s="3" t="s">
        <v>261</v>
      </c>
      <c r="C36" s="10"/>
      <c r="D36" s="10"/>
      <c r="E36" s="19">
        <v>130832914.35999998</v>
      </c>
      <c r="F36" s="19">
        <v>48627860.13000001</v>
      </c>
      <c r="G36" s="19">
        <v>158934361.09</v>
      </c>
      <c r="H36" s="19">
        <v>23131636.169999994</v>
      </c>
      <c r="I36" s="19">
        <v>7331509</v>
      </c>
    </row>
    <row r="37" spans="1:9">
      <c r="A37" s="5">
        <v>19</v>
      </c>
      <c r="B37" s="3" t="s">
        <v>148</v>
      </c>
      <c r="C37" s="10"/>
      <c r="D37" s="10"/>
      <c r="E37" s="19">
        <v>133022126.81</v>
      </c>
      <c r="F37" s="19">
        <v>49084878.220000006</v>
      </c>
      <c r="G37" s="19">
        <v>159557252.94</v>
      </c>
      <c r="H37" s="19">
        <v>23481533.319999997</v>
      </c>
      <c r="I37" s="19">
        <v>7514878</v>
      </c>
    </row>
    <row r="38" spans="1:9">
      <c r="A38" s="5">
        <v>20</v>
      </c>
      <c r="B38" s="3" t="s">
        <v>149</v>
      </c>
      <c r="C38" s="10"/>
      <c r="D38" s="10"/>
      <c r="E38" s="19">
        <v>134284546.15000001</v>
      </c>
      <c r="F38" s="19">
        <v>49505932.49000001</v>
      </c>
      <c r="G38" s="19">
        <v>159703298.91000003</v>
      </c>
      <c r="H38" s="19">
        <v>23457185.509999998</v>
      </c>
      <c r="I38" s="19">
        <v>7564282</v>
      </c>
    </row>
    <row r="39" spans="1:9">
      <c r="A39" s="5">
        <v>21</v>
      </c>
      <c r="B39" s="3" t="s">
        <v>150</v>
      </c>
      <c r="C39" s="10"/>
      <c r="D39" s="10"/>
      <c r="E39" s="19">
        <v>134589150.96000001</v>
      </c>
      <c r="F39" s="19">
        <v>49891891.160000004</v>
      </c>
      <c r="G39" s="19">
        <v>159956354.49495494</v>
      </c>
      <c r="H39" s="19">
        <v>23816782.109999999</v>
      </c>
      <c r="I39" s="19">
        <v>7833304</v>
      </c>
    </row>
    <row r="40" spans="1:9">
      <c r="A40" s="5">
        <v>22</v>
      </c>
      <c r="B40" s="3" t="s">
        <v>151</v>
      </c>
      <c r="C40" s="10"/>
      <c r="D40" s="10"/>
      <c r="E40" s="19">
        <v>135845759.34000003</v>
      </c>
      <c r="F40" s="19">
        <v>50291724.580000006</v>
      </c>
      <c r="G40" s="19">
        <v>161373275.11000001</v>
      </c>
      <c r="H40" s="19">
        <v>24253356.969999991</v>
      </c>
      <c r="I40" s="19">
        <v>8099351</v>
      </c>
    </row>
    <row r="41" spans="1:9">
      <c r="A41" s="5">
        <v>23</v>
      </c>
      <c r="B41" s="3" t="s">
        <v>262</v>
      </c>
      <c r="C41" s="10"/>
      <c r="D41" s="10"/>
      <c r="E41" s="19">
        <v>137102914.81000003</v>
      </c>
      <c r="F41" s="19">
        <v>50743715.119999997</v>
      </c>
      <c r="G41" s="19">
        <v>162182948.39000008</v>
      </c>
      <c r="H41" s="19">
        <v>24354357.07</v>
      </c>
      <c r="I41" s="19">
        <v>8246955</v>
      </c>
    </row>
    <row r="42" spans="1:9">
      <c r="A42" s="5">
        <v>24</v>
      </c>
      <c r="B42" s="3" t="s">
        <v>152</v>
      </c>
      <c r="C42" s="10"/>
      <c r="D42" s="10"/>
      <c r="E42" s="19">
        <v>138360362.73000002</v>
      </c>
      <c r="F42" s="19">
        <v>50686922.780000001</v>
      </c>
      <c r="G42" s="19">
        <v>162022757.79219216</v>
      </c>
      <c r="H42" s="19">
        <v>23558595.699999996</v>
      </c>
      <c r="I42" s="19">
        <v>8442168</v>
      </c>
    </row>
    <row r="43" spans="1:9">
      <c r="A43" s="5">
        <v>25</v>
      </c>
      <c r="B43" s="3" t="s">
        <v>153</v>
      </c>
      <c r="C43" s="10"/>
      <c r="D43" s="10"/>
      <c r="E43" s="19">
        <v>139617760.86000004</v>
      </c>
      <c r="F43" s="19">
        <v>51651378.329999998</v>
      </c>
      <c r="G43" s="19">
        <v>163599182.44999999</v>
      </c>
      <c r="H43" s="19">
        <v>23792970.439999994</v>
      </c>
      <c r="I43" s="19">
        <v>8712248</v>
      </c>
    </row>
    <row r="44" spans="1:9">
      <c r="A44" s="5">
        <v>26</v>
      </c>
      <c r="B44" s="3" t="s">
        <v>154</v>
      </c>
      <c r="C44" s="10"/>
      <c r="D44" s="10"/>
      <c r="E44" s="19">
        <v>140878430.49999997</v>
      </c>
      <c r="F44" s="19">
        <v>52084738.969999999</v>
      </c>
      <c r="G44" s="19">
        <v>164228805.87000003</v>
      </c>
      <c r="H44" s="19">
        <v>23551434.149999999</v>
      </c>
      <c r="I44" s="19">
        <v>8962477</v>
      </c>
    </row>
    <row r="45" spans="1:9">
      <c r="A45" s="5">
        <v>27</v>
      </c>
      <c r="B45" s="3" t="s">
        <v>263</v>
      </c>
      <c r="C45" s="10"/>
      <c r="D45" s="10"/>
      <c r="E45" s="19">
        <v>142142557.37</v>
      </c>
      <c r="F45" s="19">
        <v>51935611.219999999</v>
      </c>
      <c r="G45" s="19">
        <v>163933249.87263796</v>
      </c>
      <c r="H45" s="19">
        <v>23667929.41</v>
      </c>
      <c r="I45" s="19">
        <v>9226628</v>
      </c>
    </row>
    <row r="46" spans="1:9" ht="13.8" thickBot="1">
      <c r="A46" s="5">
        <v>28</v>
      </c>
      <c r="B46" s="20" t="s">
        <v>264</v>
      </c>
      <c r="C46" s="21"/>
      <c r="D46" s="21"/>
      <c r="E46" s="21">
        <f t="shared" ref="E46:I46" si="1">SUM(E33:E45)/13</f>
        <v>134941928.75911841</v>
      </c>
      <c r="F46" s="21">
        <f t="shared" si="1"/>
        <v>49945912.899896547</v>
      </c>
      <c r="G46" s="21">
        <f t="shared" si="1"/>
        <v>160623554.79531392</v>
      </c>
      <c r="H46" s="21">
        <f t="shared" si="1"/>
        <v>23506343.925654646</v>
      </c>
      <c r="I46" s="21">
        <f t="shared" si="1"/>
        <v>7847746.461538462</v>
      </c>
    </row>
    <row r="47" spans="1:9" ht="13.8" thickTop="1">
      <c r="A47" s="5"/>
      <c r="B47" s="3"/>
    </row>
    <row r="48" spans="1:9">
      <c r="A48" s="5"/>
      <c r="B48" s="3"/>
    </row>
    <row r="49" spans="1:9">
      <c r="A49" s="724"/>
      <c r="B49" s="3"/>
      <c r="C49" s="725"/>
      <c r="D49" s="726"/>
      <c r="E49" s="725"/>
      <c r="F49" s="725"/>
      <c r="G49" s="725"/>
      <c r="H49" s="725"/>
      <c r="I49" s="725"/>
    </row>
    <row r="50" spans="1:9" s="830" customFormat="1" ht="39.6">
      <c r="A50" s="828"/>
      <c r="B50" s="827" t="s">
        <v>219</v>
      </c>
      <c r="C50" s="827" t="s">
        <v>961</v>
      </c>
      <c r="D50" s="827" t="s">
        <v>962</v>
      </c>
      <c r="E50" s="827" t="s">
        <v>1088</v>
      </c>
      <c r="F50" s="827" t="s">
        <v>1089</v>
      </c>
      <c r="G50" s="827" t="s">
        <v>963</v>
      </c>
      <c r="H50" s="827" t="s">
        <v>964</v>
      </c>
      <c r="I50" s="14" t="s">
        <v>1126</v>
      </c>
    </row>
    <row r="51" spans="1:9" s="830" customFormat="1">
      <c r="A51" s="828"/>
      <c r="B51" s="831" t="s">
        <v>138</v>
      </c>
      <c r="C51" s="831" t="s">
        <v>139</v>
      </c>
      <c r="D51" s="831" t="s">
        <v>140</v>
      </c>
      <c r="E51" s="831" t="s">
        <v>141</v>
      </c>
      <c r="F51" s="831" t="s">
        <v>142</v>
      </c>
      <c r="G51" s="831" t="s">
        <v>143</v>
      </c>
      <c r="H51" s="831" t="s">
        <v>144</v>
      </c>
      <c r="I51" s="14" t="s">
        <v>145</v>
      </c>
    </row>
    <row r="52" spans="1:9" s="830" customFormat="1">
      <c r="A52" s="828"/>
      <c r="B52" s="832" t="s">
        <v>259</v>
      </c>
      <c r="C52" s="827"/>
      <c r="D52" s="827"/>
      <c r="E52" s="827" t="s">
        <v>216</v>
      </c>
      <c r="F52" s="827" t="s">
        <v>216</v>
      </c>
      <c r="G52" s="827" t="s">
        <v>216</v>
      </c>
      <c r="H52" s="827" t="s">
        <v>216</v>
      </c>
      <c r="I52" s="10" t="s">
        <v>1127</v>
      </c>
    </row>
    <row r="53" spans="1:9" s="830" customFormat="1">
      <c r="A53" s="828">
        <f>A46+1</f>
        <v>29</v>
      </c>
      <c r="B53" s="833" t="s">
        <v>260</v>
      </c>
      <c r="C53" s="834">
        <v>7196224</v>
      </c>
      <c r="D53" s="834">
        <v>2499891</v>
      </c>
      <c r="E53" s="834">
        <v>261441404</v>
      </c>
      <c r="F53" s="834">
        <v>143792772</v>
      </c>
      <c r="G53" s="834">
        <v>1151569</v>
      </c>
      <c r="H53" s="834">
        <v>475160</v>
      </c>
      <c r="I53" s="19"/>
    </row>
    <row r="54" spans="1:9" s="830" customFormat="1">
      <c r="A54" s="828">
        <f>A53+1</f>
        <v>30</v>
      </c>
      <c r="B54" s="833" t="s">
        <v>146</v>
      </c>
      <c r="C54" s="834">
        <v>7196224</v>
      </c>
      <c r="D54" s="834">
        <v>2525067</v>
      </c>
      <c r="E54" s="834">
        <v>261441404</v>
      </c>
      <c r="F54" s="834">
        <v>144882111</v>
      </c>
      <c r="G54" s="834">
        <v>1151569</v>
      </c>
      <c r="H54" s="834">
        <v>484042</v>
      </c>
      <c r="I54" s="19"/>
    </row>
    <row r="55" spans="1:9" s="830" customFormat="1">
      <c r="A55" s="828">
        <f t="shared" ref="A55:A66" si="2">A54+1</f>
        <v>31</v>
      </c>
      <c r="B55" s="833" t="s">
        <v>147</v>
      </c>
      <c r="C55" s="834">
        <v>7196224</v>
      </c>
      <c r="D55" s="834">
        <v>2550242</v>
      </c>
      <c r="E55" s="834">
        <v>261441404</v>
      </c>
      <c r="F55" s="834">
        <v>145971450</v>
      </c>
      <c r="G55" s="834">
        <v>1151569</v>
      </c>
      <c r="H55" s="834">
        <v>492940</v>
      </c>
      <c r="I55" s="19"/>
    </row>
    <row r="56" spans="1:9" s="830" customFormat="1">
      <c r="A56" s="828">
        <f t="shared" si="2"/>
        <v>32</v>
      </c>
      <c r="B56" s="833" t="s">
        <v>261</v>
      </c>
      <c r="C56" s="834">
        <v>7196224</v>
      </c>
      <c r="D56" s="834">
        <v>2575418</v>
      </c>
      <c r="E56" s="834">
        <v>261441404</v>
      </c>
      <c r="F56" s="834">
        <v>147060789</v>
      </c>
      <c r="G56" s="834">
        <v>1160478</v>
      </c>
      <c r="H56" s="834">
        <v>501436</v>
      </c>
      <c r="I56" s="19"/>
    </row>
    <row r="57" spans="1:9" s="830" customFormat="1">
      <c r="A57" s="828">
        <f t="shared" si="2"/>
        <v>33</v>
      </c>
      <c r="B57" s="833" t="s">
        <v>148</v>
      </c>
      <c r="C57" s="834">
        <v>7196224</v>
      </c>
      <c r="D57" s="834">
        <v>2600593</v>
      </c>
      <c r="E57" s="834">
        <v>261441404</v>
      </c>
      <c r="F57" s="834">
        <v>148150128</v>
      </c>
      <c r="G57" s="834">
        <v>1160478</v>
      </c>
      <c r="H57" s="834">
        <v>510468</v>
      </c>
      <c r="I57" s="19"/>
    </row>
    <row r="58" spans="1:9" s="830" customFormat="1">
      <c r="A58" s="828">
        <f t="shared" si="2"/>
        <v>34</v>
      </c>
      <c r="B58" s="833" t="s">
        <v>149</v>
      </c>
      <c r="C58" s="834">
        <v>7196224</v>
      </c>
      <c r="D58" s="834">
        <v>2625769</v>
      </c>
      <c r="E58" s="834">
        <v>261441404</v>
      </c>
      <c r="F58" s="834">
        <v>149239467</v>
      </c>
      <c r="G58" s="834">
        <v>1160478</v>
      </c>
      <c r="H58" s="834">
        <v>519516</v>
      </c>
      <c r="I58" s="19"/>
    </row>
    <row r="59" spans="1:9" s="830" customFormat="1">
      <c r="A59" s="828">
        <f t="shared" si="2"/>
        <v>35</v>
      </c>
      <c r="B59" s="833" t="s">
        <v>150</v>
      </c>
      <c r="C59" s="834">
        <v>7196224</v>
      </c>
      <c r="D59" s="834">
        <v>2650944</v>
      </c>
      <c r="E59" s="834">
        <v>261441404</v>
      </c>
      <c r="F59" s="834">
        <v>150328807</v>
      </c>
      <c r="G59" s="834">
        <v>1160478</v>
      </c>
      <c r="H59" s="834">
        <v>528582</v>
      </c>
      <c r="I59" s="19"/>
    </row>
    <row r="60" spans="1:9" s="830" customFormat="1">
      <c r="A60" s="828">
        <f t="shared" si="2"/>
        <v>36</v>
      </c>
      <c r="B60" s="833" t="s">
        <v>151</v>
      </c>
      <c r="C60" s="834">
        <v>7196224</v>
      </c>
      <c r="D60" s="834">
        <v>2676120</v>
      </c>
      <c r="E60" s="834">
        <v>261441404</v>
      </c>
      <c r="F60" s="834">
        <v>151418146</v>
      </c>
      <c r="G60" s="834">
        <v>1160478</v>
      </c>
      <c r="H60" s="834">
        <v>537664</v>
      </c>
      <c r="I60" s="19"/>
    </row>
    <row r="61" spans="1:9" s="830" customFormat="1">
      <c r="A61" s="828">
        <f t="shared" si="2"/>
        <v>37</v>
      </c>
      <c r="B61" s="833" t="s">
        <v>262</v>
      </c>
      <c r="C61" s="834">
        <v>7196224</v>
      </c>
      <c r="D61" s="834">
        <v>2701295</v>
      </c>
      <c r="E61" s="834">
        <v>261441404</v>
      </c>
      <c r="F61" s="834">
        <v>152507485</v>
      </c>
      <c r="G61" s="834">
        <v>1160478</v>
      </c>
      <c r="H61" s="834">
        <v>552963</v>
      </c>
      <c r="I61" s="19"/>
    </row>
    <row r="62" spans="1:9" s="830" customFormat="1">
      <c r="A62" s="828">
        <f t="shared" si="2"/>
        <v>38</v>
      </c>
      <c r="B62" s="833" t="s">
        <v>152</v>
      </c>
      <c r="C62" s="834">
        <v>7196224</v>
      </c>
      <c r="D62" s="834">
        <v>2726470</v>
      </c>
      <c r="E62" s="834">
        <v>261441404</v>
      </c>
      <c r="F62" s="834">
        <v>153596824</v>
      </c>
      <c r="G62" s="834">
        <v>1086540</v>
      </c>
      <c r="H62" s="834">
        <v>485042</v>
      </c>
      <c r="I62" s="19"/>
    </row>
    <row r="63" spans="1:9" s="830" customFormat="1">
      <c r="A63" s="828">
        <f t="shared" si="2"/>
        <v>39</v>
      </c>
      <c r="B63" s="833" t="s">
        <v>153</v>
      </c>
      <c r="C63" s="834">
        <v>7196224</v>
      </c>
      <c r="D63" s="834">
        <v>2752788</v>
      </c>
      <c r="E63" s="834">
        <v>261441404</v>
      </c>
      <c r="F63" s="834">
        <v>154686163</v>
      </c>
      <c r="G63" s="834">
        <v>1086540</v>
      </c>
      <c r="H63" s="834">
        <v>491076</v>
      </c>
      <c r="I63" s="19"/>
    </row>
    <row r="64" spans="1:9" s="830" customFormat="1">
      <c r="A64" s="828">
        <f t="shared" si="2"/>
        <v>40</v>
      </c>
      <c r="B64" s="833" t="s">
        <v>154</v>
      </c>
      <c r="C64" s="834">
        <v>7196224</v>
      </c>
      <c r="D64" s="834">
        <v>2779106</v>
      </c>
      <c r="E64" s="834">
        <v>261441404</v>
      </c>
      <c r="F64" s="834">
        <v>155775503</v>
      </c>
      <c r="G64" s="834">
        <v>1086540</v>
      </c>
      <c r="H64" s="834">
        <v>497128</v>
      </c>
      <c r="I64" s="19"/>
    </row>
    <row r="65" spans="1:12" s="830" customFormat="1">
      <c r="A65" s="828">
        <f t="shared" si="2"/>
        <v>41</v>
      </c>
      <c r="B65" s="833" t="s">
        <v>263</v>
      </c>
      <c r="C65" s="834">
        <v>7196224</v>
      </c>
      <c r="D65" s="834">
        <v>2815708</v>
      </c>
      <c r="E65" s="834">
        <v>261441404</v>
      </c>
      <c r="F65" s="834">
        <v>156864842</v>
      </c>
      <c r="G65" s="834">
        <v>1086540</v>
      </c>
      <c r="H65" s="834">
        <v>500676</v>
      </c>
      <c r="I65" s="19"/>
    </row>
    <row r="66" spans="1:12" s="830" customFormat="1" ht="13.8" thickBot="1">
      <c r="A66" s="828">
        <f t="shared" si="2"/>
        <v>42</v>
      </c>
      <c r="B66" s="833" t="s">
        <v>264</v>
      </c>
      <c r="C66" s="835">
        <f>SUM(C53:C65)/13</f>
        <v>7196224</v>
      </c>
      <c r="D66" s="835">
        <f t="shared" ref="D66:I66" si="3">SUM(D53:D65)/13</f>
        <v>2652262.3846153845</v>
      </c>
      <c r="E66" s="835">
        <f t="shared" si="3"/>
        <v>261441404</v>
      </c>
      <c r="F66" s="835">
        <f t="shared" si="3"/>
        <v>150328806.69230768</v>
      </c>
      <c r="G66" s="835">
        <f t="shared" si="3"/>
        <v>1135671.923076923</v>
      </c>
      <c r="H66" s="835">
        <f t="shared" si="3"/>
        <v>505899.46153846156</v>
      </c>
      <c r="I66" s="835">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56" t="s">
        <v>699</v>
      </c>
      <c r="D72" s="957"/>
      <c r="E72" s="957"/>
      <c r="F72" s="957"/>
      <c r="G72" s="957"/>
      <c r="H72" s="957"/>
      <c r="I72" s="958"/>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-132909277</v>
      </c>
      <c r="G76" s="160">
        <f>'A3-ADIT'!D14</f>
        <v>-70683636</v>
      </c>
      <c r="H76" s="160">
        <f>'A3-ADIT'!D15</f>
        <v>73130366</v>
      </c>
      <c r="I76" s="19">
        <v>1578987</v>
      </c>
    </row>
    <row r="77" spans="1:12">
      <c r="A77" s="5">
        <v>2</v>
      </c>
      <c r="B77" s="18" t="s">
        <v>146</v>
      </c>
      <c r="C77" s="19">
        <v>0</v>
      </c>
      <c r="D77" s="19">
        <v>0</v>
      </c>
      <c r="E77" s="25"/>
      <c r="F77" s="25"/>
      <c r="G77" s="25"/>
      <c r="H77" s="25"/>
      <c r="I77" s="19">
        <v>1641558</v>
      </c>
    </row>
    <row r="78" spans="1:12">
      <c r="A78" s="5">
        <v>3</v>
      </c>
      <c r="B78" s="3" t="s">
        <v>147</v>
      </c>
      <c r="C78" s="19">
        <v>0</v>
      </c>
      <c r="D78" s="19">
        <v>0</v>
      </c>
      <c r="E78" s="25"/>
      <c r="F78" s="25"/>
      <c r="G78" s="25"/>
      <c r="H78" s="25"/>
      <c r="I78" s="19">
        <v>1236776</v>
      </c>
    </row>
    <row r="79" spans="1:12">
      <c r="A79" s="5">
        <v>4</v>
      </c>
      <c r="B79" s="3" t="s">
        <v>261</v>
      </c>
      <c r="C79" s="19">
        <v>0</v>
      </c>
      <c r="D79" s="19">
        <v>0</v>
      </c>
      <c r="E79" s="25"/>
      <c r="F79" s="25"/>
      <c r="G79" s="25"/>
      <c r="H79" s="25"/>
      <c r="I79" s="19">
        <v>1565893</v>
      </c>
    </row>
    <row r="80" spans="1:12">
      <c r="A80" s="5">
        <v>5</v>
      </c>
      <c r="B80" s="3" t="s">
        <v>148</v>
      </c>
      <c r="C80" s="19">
        <v>0</v>
      </c>
      <c r="D80" s="19">
        <v>0</v>
      </c>
      <c r="E80" s="25"/>
      <c r="F80" s="25"/>
      <c r="G80" s="25"/>
      <c r="H80" s="25"/>
      <c r="I80" s="19">
        <v>1259661</v>
      </c>
    </row>
    <row r="81" spans="1:12">
      <c r="A81" s="5">
        <v>6</v>
      </c>
      <c r="B81" s="3" t="s">
        <v>149</v>
      </c>
      <c r="C81" s="19">
        <v>0</v>
      </c>
      <c r="D81" s="19">
        <v>0</v>
      </c>
      <c r="E81" s="25"/>
      <c r="F81" s="25"/>
      <c r="G81" s="25"/>
      <c r="H81" s="25"/>
      <c r="I81" s="19">
        <v>954558</v>
      </c>
    </row>
    <row r="82" spans="1:12">
      <c r="A82" s="5">
        <v>7</v>
      </c>
      <c r="B82" s="3" t="s">
        <v>150</v>
      </c>
      <c r="C82" s="19">
        <v>0</v>
      </c>
      <c r="D82" s="19">
        <v>0</v>
      </c>
      <c r="E82" s="25"/>
      <c r="F82" s="25"/>
      <c r="G82" s="25"/>
      <c r="H82" s="25"/>
      <c r="I82" s="19">
        <v>1154235</v>
      </c>
    </row>
    <row r="83" spans="1:12">
      <c r="A83" s="5">
        <v>8</v>
      </c>
      <c r="B83" s="3" t="s">
        <v>151</v>
      </c>
      <c r="C83" s="19">
        <v>0</v>
      </c>
      <c r="D83" s="19">
        <v>0</v>
      </c>
      <c r="E83" s="25"/>
      <c r="F83" s="25"/>
      <c r="G83" s="25"/>
      <c r="H83" s="25"/>
      <c r="I83" s="19">
        <v>902637</v>
      </c>
    </row>
    <row r="84" spans="1:12">
      <c r="A84" s="5">
        <v>9</v>
      </c>
      <c r="B84" s="3" t="s">
        <v>262</v>
      </c>
      <c r="C84" s="19">
        <v>0</v>
      </c>
      <c r="D84" s="19">
        <v>0</v>
      </c>
      <c r="E84" s="25"/>
      <c r="F84" s="25"/>
      <c r="G84" s="25"/>
      <c r="H84" s="25"/>
      <c r="I84" s="19">
        <v>592846</v>
      </c>
    </row>
    <row r="85" spans="1:12">
      <c r="A85" s="5">
        <v>10</v>
      </c>
      <c r="B85" s="3" t="s">
        <v>152</v>
      </c>
      <c r="C85" s="19">
        <v>0</v>
      </c>
      <c r="D85" s="19">
        <v>0</v>
      </c>
      <c r="E85" s="25"/>
      <c r="F85" s="25"/>
      <c r="G85" s="25"/>
      <c r="H85" s="25"/>
      <c r="I85" s="19">
        <v>787161</v>
      </c>
    </row>
    <row r="86" spans="1:12">
      <c r="A86" s="5">
        <v>11</v>
      </c>
      <c r="B86" s="3" t="s">
        <v>153</v>
      </c>
      <c r="C86" s="19">
        <v>0</v>
      </c>
      <c r="D86" s="19">
        <v>0</v>
      </c>
      <c r="E86" s="25"/>
      <c r="F86" s="25"/>
      <c r="G86" s="25"/>
      <c r="H86" s="25"/>
      <c r="I86" s="19">
        <v>1640647</v>
      </c>
    </row>
    <row r="87" spans="1:12">
      <c r="A87" s="5">
        <v>12</v>
      </c>
      <c r="B87" s="3" t="s">
        <v>154</v>
      </c>
      <c r="C87" s="19">
        <v>0</v>
      </c>
      <c r="D87" s="19">
        <v>0</v>
      </c>
      <c r="E87" s="25"/>
      <c r="F87" s="25"/>
      <c r="G87" s="25"/>
      <c r="H87" s="25"/>
      <c r="I87" s="19">
        <v>1523384</v>
      </c>
    </row>
    <row r="88" spans="1:12">
      <c r="A88" s="5">
        <v>13</v>
      </c>
      <c r="B88" s="3" t="s">
        <v>263</v>
      </c>
      <c r="C88" s="19">
        <v>0</v>
      </c>
      <c r="D88" s="19">
        <v>0</v>
      </c>
      <c r="E88" s="160">
        <f>'A3-ADIT'!E12</f>
        <v>0</v>
      </c>
      <c r="F88" s="160">
        <f>'A3-ADIT'!E13</f>
        <v>-137999967</v>
      </c>
      <c r="G88" s="160">
        <f>'A3-ADIT'!E14</f>
        <v>-61775900</v>
      </c>
      <c r="H88" s="160">
        <f>'A3-ADIT'!E15</f>
        <v>75736193</v>
      </c>
      <c r="I88" s="19">
        <v>1201186</v>
      </c>
    </row>
    <row r="89" spans="1:12" ht="13.8" thickBot="1">
      <c r="A89" s="5">
        <v>14</v>
      </c>
      <c r="B89" s="17" t="s">
        <v>272</v>
      </c>
      <c r="C89" s="21">
        <f>SUM(C76:C88)/13</f>
        <v>0</v>
      </c>
      <c r="D89" s="26">
        <f>SUM(D76:D88)/13</f>
        <v>0</v>
      </c>
      <c r="E89" s="402">
        <f>'A3-ADIT'!F12</f>
        <v>0</v>
      </c>
      <c r="F89" s="402">
        <f>'A3-ADIT'!F13</f>
        <v>-135454622</v>
      </c>
      <c r="G89" s="402">
        <f>'A3-ADIT'!F14</f>
        <v>-66229768</v>
      </c>
      <c r="H89" s="402">
        <f>'A3-ADIT'!F15</f>
        <v>74433279.5</v>
      </c>
      <c r="I89" s="616">
        <f t="shared" ref="I89" si="4">SUM(I76:I88)/13</f>
        <v>1233809.923076923</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1138</v>
      </c>
      <c r="E94" s="33" t="s">
        <v>1139</v>
      </c>
      <c r="F94" s="33" t="s">
        <v>1140</v>
      </c>
      <c r="G94" s="30"/>
      <c r="H94" s="30"/>
      <c r="I94" s="30"/>
    </row>
    <row r="95" spans="1:12" s="16" customFormat="1">
      <c r="A95" s="5">
        <v>16</v>
      </c>
      <c r="B95" s="30" t="s">
        <v>1129</v>
      </c>
      <c r="C95" s="30"/>
      <c r="D95" s="19">
        <v>-407358.76923076925</v>
      </c>
      <c r="E95" s="896">
        <f>'Act Att-H'!G48</f>
        <v>0.13228055028384053</v>
      </c>
      <c r="F95" s="34">
        <f>D95*E95</f>
        <v>-53885.642156794165</v>
      </c>
      <c r="G95" s="2"/>
      <c r="H95" s="2"/>
      <c r="I95" s="2"/>
    </row>
    <row r="96" spans="1:12" s="16" customFormat="1">
      <c r="A96" s="5">
        <v>17</v>
      </c>
      <c r="B96" s="30" t="s">
        <v>1130</v>
      </c>
      <c r="C96" s="30"/>
      <c r="D96" s="19">
        <v>-146793.38461538462</v>
      </c>
      <c r="E96" s="896">
        <f>E95</f>
        <v>0.13228055028384053</v>
      </c>
      <c r="F96" s="34">
        <f t="shared" ref="F96:F103" si="5">D96*E96</f>
        <v>-19417.909694950529</v>
      </c>
      <c r="G96" s="2"/>
      <c r="H96" s="2"/>
      <c r="I96" s="2"/>
    </row>
    <row r="97" spans="1:12" s="16" customFormat="1">
      <c r="A97" s="5">
        <v>18</v>
      </c>
      <c r="B97" s="30" t="s">
        <v>1131</v>
      </c>
      <c r="C97" s="30"/>
      <c r="D97" s="19">
        <v>-2029798.3846153845</v>
      </c>
      <c r="E97" s="896">
        <f t="shared" ref="E97:E103" si="6">E96</f>
        <v>0.13228055028384053</v>
      </c>
      <c r="F97" s="34">
        <f t="shared" si="5"/>
        <v>-268502.84728217364</v>
      </c>
      <c r="G97" s="2"/>
      <c r="H97" s="2"/>
      <c r="I97" s="2"/>
    </row>
    <row r="98" spans="1:12" s="16" customFormat="1">
      <c r="A98" s="5">
        <v>19</v>
      </c>
      <c r="B98" s="30" t="s">
        <v>1132</v>
      </c>
      <c r="C98" s="30"/>
      <c r="D98" s="19">
        <v>-2844267.4615384615</v>
      </c>
      <c r="E98" s="896">
        <f t="shared" si="6"/>
        <v>0.13228055028384053</v>
      </c>
      <c r="F98" s="34">
        <f t="shared" si="5"/>
        <v>-376241.26496672991</v>
      </c>
      <c r="G98" s="2"/>
      <c r="H98" s="2"/>
      <c r="I98" s="2"/>
    </row>
    <row r="99" spans="1:12" s="16" customFormat="1">
      <c r="A99" s="5">
        <v>20</v>
      </c>
      <c r="B99" s="30" t="s">
        <v>1133</v>
      </c>
      <c r="C99" s="30"/>
      <c r="D99" s="19">
        <v>-569341.92307692312</v>
      </c>
      <c r="E99" s="896">
        <f t="shared" si="6"/>
        <v>0.13228055028384053</v>
      </c>
      <c r="F99" s="34">
        <f t="shared" si="5"/>
        <v>-75312.862884275397</v>
      </c>
      <c r="G99" s="2"/>
      <c r="H99" s="2"/>
      <c r="I99" s="2"/>
    </row>
    <row r="100" spans="1:12" s="16" customFormat="1">
      <c r="A100" s="5">
        <v>21</v>
      </c>
      <c r="B100" s="30" t="s">
        <v>1134</v>
      </c>
      <c r="C100" s="30"/>
      <c r="D100" s="19">
        <v>-359923.07692307694</v>
      </c>
      <c r="E100" s="896">
        <f t="shared" si="6"/>
        <v>0.13228055028384053</v>
      </c>
      <c r="F100" s="34">
        <f t="shared" si="5"/>
        <v>-47610.82267523768</v>
      </c>
      <c r="G100" s="2"/>
      <c r="H100" s="2"/>
      <c r="I100" s="2"/>
    </row>
    <row r="101" spans="1:12" s="16" customFormat="1">
      <c r="A101" s="5">
        <v>22</v>
      </c>
      <c r="B101" s="30" t="s">
        <v>1135</v>
      </c>
      <c r="C101" s="30"/>
      <c r="D101" s="19">
        <v>-615.38461538461536</v>
      </c>
      <c r="E101" s="896">
        <f t="shared" si="6"/>
        <v>0.13228055028384053</v>
      </c>
      <c r="F101" s="34">
        <f t="shared" si="5"/>
        <v>-81.403415559286472</v>
      </c>
      <c r="G101" s="2"/>
      <c r="H101" s="2"/>
      <c r="I101" s="2"/>
    </row>
    <row r="102" spans="1:12" s="16" customFormat="1">
      <c r="A102" s="5">
        <v>23</v>
      </c>
      <c r="B102" s="30" t="s">
        <v>1136</v>
      </c>
      <c r="C102" s="30"/>
      <c r="D102" s="19">
        <v>-491441.84615384613</v>
      </c>
      <c r="E102" s="896">
        <f t="shared" si="6"/>
        <v>0.13228055028384053</v>
      </c>
      <c r="F102" s="34">
        <f t="shared" si="5"/>
        <v>-65008.197841737267</v>
      </c>
      <c r="G102" s="2"/>
      <c r="H102" s="2"/>
      <c r="I102" s="2"/>
    </row>
    <row r="103" spans="1:12" s="16" customFormat="1">
      <c r="A103" s="5">
        <v>24</v>
      </c>
      <c r="B103" s="30" t="s">
        <v>1137</v>
      </c>
      <c r="C103" s="30"/>
      <c r="D103" s="19"/>
      <c r="E103" s="896">
        <f t="shared" si="6"/>
        <v>0.13228055028384053</v>
      </c>
      <c r="F103" s="34">
        <f t="shared" si="5"/>
        <v>0</v>
      </c>
      <c r="G103" s="2"/>
      <c r="H103" s="2"/>
      <c r="I103" s="2"/>
    </row>
    <row r="104" spans="1:12" s="16" customFormat="1">
      <c r="A104" s="5">
        <v>25</v>
      </c>
      <c r="B104" s="428"/>
      <c r="C104" s="860" t="s">
        <v>9</v>
      </c>
      <c r="D104" s="208">
        <f>SUM(D95:D103)</f>
        <v>-6849540.230769231</v>
      </c>
      <c r="E104" s="208">
        <f>SUM(E95:E103)</f>
        <v>1.1905249525545647</v>
      </c>
      <c r="F104" s="861">
        <f>SUM(F95:F103)</f>
        <v>-906060.95091745793</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56" t="s">
        <v>711</v>
      </c>
      <c r="D109" s="957"/>
      <c r="E109" s="957"/>
      <c r="F109" s="957"/>
      <c r="H109"/>
      <c r="I109" s="22"/>
    </row>
    <row r="110" spans="1:12" ht="58.5" customHeight="1">
      <c r="A110" s="5" t="s">
        <v>252</v>
      </c>
      <c r="B110" s="13" t="s">
        <v>219</v>
      </c>
      <c r="C110" s="14" t="s">
        <v>713</v>
      </c>
      <c r="D110" s="14" t="s">
        <v>714</v>
      </c>
      <c r="E110" s="14" t="s">
        <v>715</v>
      </c>
      <c r="F110" s="14" t="s">
        <v>258</v>
      </c>
      <c r="H110"/>
      <c r="I110" s="562"/>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10628.801782743581</v>
      </c>
      <c r="D113" s="19">
        <v>1307851</v>
      </c>
      <c r="E113" s="19">
        <v>5292099.2080589896</v>
      </c>
      <c r="F113" s="559">
        <f>SUM(C113:E113)</f>
        <v>6610579.0098417327</v>
      </c>
      <c r="G113" s="14"/>
      <c r="H113"/>
      <c r="I113" s="10"/>
    </row>
    <row r="114" spans="1:9" ht="15">
      <c r="A114" s="5">
        <v>2</v>
      </c>
      <c r="B114" s="18" t="s">
        <v>146</v>
      </c>
      <c r="C114" s="19">
        <v>10441.756548266714</v>
      </c>
      <c r="D114" s="19">
        <v>1229755</v>
      </c>
      <c r="E114" s="19">
        <v>5198969.0549637154</v>
      </c>
      <c r="F114" s="559">
        <f t="shared" ref="F114:F125" si="7">SUM(C114:E114)</f>
        <v>6439165.8115119822</v>
      </c>
      <c r="G114" s="14"/>
      <c r="H114"/>
      <c r="I114" s="10"/>
    </row>
    <row r="115" spans="1:9" ht="15">
      <c r="A115" s="5">
        <v>3</v>
      </c>
      <c r="B115" s="3" t="s">
        <v>147</v>
      </c>
      <c r="C115" s="19">
        <v>10548.199830493233</v>
      </c>
      <c r="D115" s="19">
        <v>1224526</v>
      </c>
      <c r="E115" s="19">
        <v>5251967.3534632437</v>
      </c>
      <c r="F115" s="559">
        <f t="shared" si="7"/>
        <v>6487041.5532937367</v>
      </c>
      <c r="G115" s="14"/>
      <c r="H115"/>
      <c r="I115" s="10"/>
    </row>
    <row r="116" spans="1:9" ht="15">
      <c r="A116" s="5">
        <v>4</v>
      </c>
      <c r="B116" s="3" t="s">
        <v>261</v>
      </c>
      <c r="C116" s="19">
        <v>10545.309868710938</v>
      </c>
      <c r="D116" s="19">
        <v>1144799</v>
      </c>
      <c r="E116" s="19">
        <v>5250528.4363800185</v>
      </c>
      <c r="F116" s="559">
        <f t="shared" si="7"/>
        <v>6405872.7462487295</v>
      </c>
      <c r="G116" s="14"/>
      <c r="H116"/>
      <c r="I116" s="10"/>
    </row>
    <row r="117" spans="1:9" ht="15">
      <c r="A117" s="5">
        <v>5</v>
      </c>
      <c r="B117" s="3" t="s">
        <v>148</v>
      </c>
      <c r="C117" s="19">
        <v>10910.19924149094</v>
      </c>
      <c r="D117" s="19">
        <v>1243335</v>
      </c>
      <c r="E117" s="19">
        <v>5432207.5005105883</v>
      </c>
      <c r="F117" s="559">
        <f t="shared" si="7"/>
        <v>6686452.6997520793</v>
      </c>
      <c r="G117" s="14"/>
      <c r="H117"/>
      <c r="I117" s="10"/>
    </row>
    <row r="118" spans="1:9" ht="15">
      <c r="A118" s="5">
        <v>6</v>
      </c>
      <c r="B118" s="3" t="s">
        <v>149</v>
      </c>
      <c r="C118" s="19">
        <v>11036.212068252325</v>
      </c>
      <c r="D118" s="19">
        <v>1358551</v>
      </c>
      <c r="E118" s="19">
        <v>5494949.5098490175</v>
      </c>
      <c r="F118" s="559">
        <f t="shared" si="7"/>
        <v>6864536.7219172698</v>
      </c>
      <c r="G118" s="14"/>
      <c r="H118"/>
      <c r="I118" s="10"/>
    </row>
    <row r="119" spans="1:9" ht="15">
      <c r="A119" s="5">
        <v>7</v>
      </c>
      <c r="B119" s="3" t="s">
        <v>150</v>
      </c>
      <c r="C119" s="19">
        <v>11331.59589272065</v>
      </c>
      <c r="D119" s="19">
        <v>1254534</v>
      </c>
      <c r="E119" s="19">
        <v>5642021.6385324402</v>
      </c>
      <c r="F119" s="559">
        <f t="shared" si="7"/>
        <v>6907887.234425161</v>
      </c>
      <c r="G119" s="14"/>
      <c r="H119"/>
      <c r="I119" s="10"/>
    </row>
    <row r="120" spans="1:9" ht="15">
      <c r="A120" s="5">
        <v>8</v>
      </c>
      <c r="B120" s="3" t="s">
        <v>151</v>
      </c>
      <c r="C120" s="19">
        <v>11444.747077919157</v>
      </c>
      <c r="D120" s="19">
        <v>1189115</v>
      </c>
      <c r="E120" s="19">
        <v>5698359.8137867898</v>
      </c>
      <c r="F120" s="559">
        <f t="shared" si="7"/>
        <v>6898919.5608647093</v>
      </c>
      <c r="G120" s="14"/>
      <c r="H120"/>
      <c r="I120" s="10"/>
    </row>
    <row r="121" spans="1:9" ht="15">
      <c r="A121" s="5">
        <v>9</v>
      </c>
      <c r="B121" s="3" t="s">
        <v>262</v>
      </c>
      <c r="C121" s="19">
        <v>11542.193659907378</v>
      </c>
      <c r="D121" s="19">
        <v>1196426</v>
      </c>
      <c r="E121" s="19">
        <v>5746878.6393241305</v>
      </c>
      <c r="F121" s="559">
        <f t="shared" si="7"/>
        <v>6954846.8329840377</v>
      </c>
      <c r="G121" s="14"/>
      <c r="H121"/>
      <c r="I121" s="10"/>
    </row>
    <row r="122" spans="1:9" ht="15">
      <c r="A122" s="5">
        <v>10</v>
      </c>
      <c r="B122" s="3" t="s">
        <v>152</v>
      </c>
      <c r="C122" s="19">
        <v>12118.093963850546</v>
      </c>
      <c r="D122" s="19">
        <v>1205825</v>
      </c>
      <c r="E122" s="19">
        <v>6033620.4193210732</v>
      </c>
      <c r="F122" s="559">
        <f t="shared" si="7"/>
        <v>7251563.5132849235</v>
      </c>
      <c r="G122" s="14"/>
      <c r="H122"/>
      <c r="I122" s="10"/>
    </row>
    <row r="123" spans="1:9" ht="15">
      <c r="A123" s="5">
        <v>11</v>
      </c>
      <c r="B123" s="3" t="s">
        <v>153</v>
      </c>
      <c r="C123" s="19">
        <v>11996.443405422417</v>
      </c>
      <c r="D123" s="19">
        <v>1273508</v>
      </c>
      <c r="E123" s="19">
        <v>5973050.391101839</v>
      </c>
      <c r="F123" s="559">
        <f t="shared" si="7"/>
        <v>7258554.8345072614</v>
      </c>
      <c r="G123" s="14"/>
      <c r="H123"/>
      <c r="I123" s="10"/>
    </row>
    <row r="124" spans="1:9" ht="15">
      <c r="A124" s="5">
        <v>12</v>
      </c>
      <c r="B124" s="3" t="s">
        <v>154</v>
      </c>
      <c r="C124" s="19">
        <v>12125.514520030574</v>
      </c>
      <c r="D124" s="19">
        <v>1278478</v>
      </c>
      <c r="E124" s="660">
        <v>6037315.1273687333</v>
      </c>
      <c r="F124" s="559">
        <f t="shared" si="7"/>
        <v>7327918.6418887638</v>
      </c>
      <c r="G124" s="14"/>
      <c r="H124"/>
      <c r="I124" s="10"/>
    </row>
    <row r="125" spans="1:9" ht="15">
      <c r="A125" s="5">
        <v>13</v>
      </c>
      <c r="B125" s="3" t="s">
        <v>263</v>
      </c>
      <c r="C125" s="19">
        <v>12155.001093026392</v>
      </c>
      <c r="D125" s="19">
        <v>980699</v>
      </c>
      <c r="E125" s="19">
        <v>6051996.5442197742</v>
      </c>
      <c r="F125" s="559">
        <f t="shared" si="7"/>
        <v>7044850.5453128004</v>
      </c>
      <c r="G125" s="14"/>
      <c r="H125"/>
      <c r="I125" s="10"/>
    </row>
    <row r="126" spans="1:9" ht="15">
      <c r="A126" s="5">
        <v>14</v>
      </c>
      <c r="B126" s="17" t="s">
        <v>272</v>
      </c>
      <c r="C126" s="558">
        <f>SUM(C113:C125)/13</f>
        <v>11294.159150218067</v>
      </c>
      <c r="D126" s="558">
        <f t="shared" ref="D126:E126" si="8">SUM(D113:D125)/13</f>
        <v>1222107.8461538462</v>
      </c>
      <c r="E126" s="558">
        <f t="shared" si="8"/>
        <v>5623381.8182215653</v>
      </c>
      <c r="F126" s="558">
        <f>SUM(F113:F125)/13</f>
        <v>6856783.8235256309</v>
      </c>
      <c r="G126" s="14"/>
      <c r="H126"/>
      <c r="I126"/>
    </row>
    <row r="127" spans="1:9" ht="15">
      <c r="A127" s="5">
        <v>15</v>
      </c>
      <c r="B127" s="17" t="s">
        <v>10</v>
      </c>
      <c r="C127" s="556" t="s">
        <v>11</v>
      </c>
      <c r="D127" s="556" t="s">
        <v>31</v>
      </c>
      <c r="E127" s="556" t="s">
        <v>27</v>
      </c>
      <c r="F127" s="555"/>
      <c r="G127" s="14"/>
      <c r="H127"/>
      <c r="I127" s="10"/>
    </row>
    <row r="128" spans="1:9" ht="15">
      <c r="A128" s="5">
        <v>16</v>
      </c>
      <c r="B128" s="17" t="s">
        <v>908</v>
      </c>
      <c r="C128" s="557">
        <f>'Act Att-H'!I175</f>
        <v>0.92887970882503001</v>
      </c>
      <c r="D128" s="557">
        <f>'Act Att-H'!I192</f>
        <v>0.13228055028384053</v>
      </c>
      <c r="E128" s="557">
        <v>0</v>
      </c>
      <c r="F128" s="555"/>
      <c r="G128" s="14"/>
      <c r="H128"/>
      <c r="I128" s="10"/>
    </row>
    <row r="129" spans="1:14" ht="15.6" thickBot="1">
      <c r="A129" s="5">
        <v>17</v>
      </c>
      <c r="B129" s="17" t="s">
        <v>712</v>
      </c>
      <c r="C129" s="21">
        <f>C128*C126</f>
        <v>10490.915262878107</v>
      </c>
      <c r="D129" s="21">
        <f t="shared" ref="D129:E129" si="9">D128*D126</f>
        <v>161661.0983954299</v>
      </c>
      <c r="E129" s="21">
        <f t="shared" si="9"/>
        <v>0</v>
      </c>
      <c r="F129" s="21">
        <f>C129+D129+E129</f>
        <v>172152.01365830802</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11" t="s">
        <v>1122</v>
      </c>
      <c r="C133" s="911"/>
      <c r="D133" s="911"/>
      <c r="E133" s="911"/>
      <c r="F133" s="911"/>
      <c r="G133" s="911"/>
      <c r="H133" s="911"/>
      <c r="I133" s="911"/>
      <c r="J133" s="280"/>
      <c r="K133" s="280"/>
    </row>
    <row r="134" spans="1:14" ht="30" customHeight="1">
      <c r="A134" s="40" t="s">
        <v>77</v>
      </c>
      <c r="B134" s="911" t="s">
        <v>1117</v>
      </c>
      <c r="C134" s="911"/>
      <c r="D134" s="911"/>
      <c r="E134" s="911"/>
      <c r="F134" s="911"/>
      <c r="G134" s="911"/>
      <c r="H134" s="911"/>
      <c r="I134" s="911"/>
      <c r="J134" s="280"/>
      <c r="K134" s="280"/>
      <c r="L134" s="6"/>
    </row>
    <row r="135" spans="1:14" ht="58.5" customHeight="1">
      <c r="A135" s="40" t="s">
        <v>78</v>
      </c>
      <c r="B135" s="911" t="s">
        <v>974</v>
      </c>
      <c r="C135" s="911"/>
      <c r="D135" s="911"/>
      <c r="E135" s="911"/>
      <c r="F135" s="911"/>
      <c r="G135" s="911"/>
      <c r="H135" s="911"/>
      <c r="I135" s="911"/>
      <c r="J135" s="38"/>
      <c r="K135" s="38"/>
    </row>
    <row r="136" spans="1:14">
      <c r="A136" s="40" t="s">
        <v>79</v>
      </c>
      <c r="B136" s="911" t="s">
        <v>795</v>
      </c>
      <c r="C136" s="911"/>
      <c r="D136" s="911"/>
      <c r="E136" s="911"/>
      <c r="F136" s="911"/>
      <c r="G136" s="911"/>
      <c r="H136" s="911"/>
      <c r="I136" s="911"/>
    </row>
    <row r="137" spans="1:14" ht="18.75" customHeight="1">
      <c r="A137" s="40" t="s">
        <v>80</v>
      </c>
      <c r="B137" s="952" t="s">
        <v>1122</v>
      </c>
      <c r="C137" s="952"/>
      <c r="D137" s="952"/>
      <c r="E137" s="952"/>
      <c r="F137" s="952"/>
      <c r="G137" s="952"/>
      <c r="H137" s="952"/>
      <c r="I137" s="952"/>
      <c r="J137" s="281"/>
      <c r="K137" s="281"/>
      <c r="L137" s="281"/>
      <c r="M137" s="281"/>
      <c r="N137" s="281"/>
    </row>
    <row r="138" spans="1:14" ht="51.6" customHeight="1">
      <c r="A138" s="40" t="s">
        <v>81</v>
      </c>
      <c r="B138" s="911" t="s">
        <v>1234</v>
      </c>
      <c r="C138" s="911"/>
      <c r="D138" s="911"/>
      <c r="E138" s="911"/>
      <c r="F138" s="911"/>
      <c r="G138" s="911"/>
      <c r="H138" s="911"/>
      <c r="I138" s="911"/>
      <c r="J138" s="281"/>
      <c r="K138" s="281"/>
    </row>
    <row r="139" spans="1:14" ht="33.6" customHeight="1">
      <c r="A139" s="40" t="s">
        <v>82</v>
      </c>
      <c r="B139" s="952" t="s">
        <v>1239</v>
      </c>
      <c r="C139" s="952"/>
      <c r="D139" s="952"/>
      <c r="E139" s="952"/>
      <c r="F139" s="952"/>
      <c r="G139" s="952"/>
      <c r="H139" s="952"/>
      <c r="I139" s="952"/>
      <c r="J139" s="281"/>
      <c r="K139" s="281"/>
      <c r="L139" s="281"/>
      <c r="M139" s="281"/>
      <c r="N139" s="281"/>
    </row>
    <row r="140" spans="1:14" ht="27" customHeight="1">
      <c r="A140" s="40" t="s">
        <v>343</v>
      </c>
      <c r="B140" s="911" t="s">
        <v>989</v>
      </c>
      <c r="C140" s="911"/>
      <c r="D140" s="911"/>
      <c r="E140" s="911"/>
      <c r="F140" s="911"/>
      <c r="G140" s="911"/>
      <c r="H140" s="911"/>
      <c r="I140" s="911"/>
      <c r="J140" s="41"/>
      <c r="K140" s="41"/>
    </row>
    <row r="141" spans="1:14" ht="13.35" customHeight="1">
      <c r="A141" s="40" t="s">
        <v>83</v>
      </c>
      <c r="B141" s="952" t="s">
        <v>1146</v>
      </c>
      <c r="C141" s="952"/>
      <c r="D141" s="952"/>
      <c r="E141" s="952"/>
      <c r="F141" s="952"/>
      <c r="G141" s="952"/>
      <c r="H141" s="952"/>
      <c r="I141" s="952"/>
    </row>
    <row r="142" spans="1:14">
      <c r="A142" s="828" t="s">
        <v>84</v>
      </c>
      <c r="B142" s="829" t="s">
        <v>1003</v>
      </c>
    </row>
    <row r="143" spans="1:14">
      <c r="A143" s="828" t="s">
        <v>85</v>
      </c>
      <c r="B143" s="829" t="s">
        <v>1037</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80" zoomScaleNormal="80" workbookViewId="0">
      <selection activeCell="C43" sqref="C4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08984375" style="282"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4" t="s">
        <v>415</v>
      </c>
      <c r="B1" s="934"/>
      <c r="C1" s="934"/>
      <c r="D1" s="934"/>
      <c r="E1" s="934"/>
      <c r="F1" s="934"/>
      <c r="G1" s="934"/>
      <c r="H1" s="934"/>
    </row>
    <row r="2" spans="1:8">
      <c r="A2" s="934" t="s">
        <v>135</v>
      </c>
      <c r="B2" s="934"/>
      <c r="C2" s="934"/>
      <c r="D2" s="934"/>
      <c r="E2" s="934"/>
      <c r="F2" s="934"/>
      <c r="G2" s="934"/>
      <c r="H2" s="934"/>
    </row>
    <row r="3" spans="1:8">
      <c r="A3" s="935" t="str">
        <f>'Act Att-H'!C7</f>
        <v>Black Hills Colorado Electric, LLC</v>
      </c>
      <c r="B3" s="935"/>
      <c r="C3" s="935"/>
      <c r="D3" s="935"/>
      <c r="E3" s="935"/>
      <c r="F3" s="935"/>
      <c r="G3" s="935"/>
      <c r="H3" s="935"/>
    </row>
    <row r="4" spans="1:8">
      <c r="F4" s="2"/>
      <c r="H4" s="282" t="s">
        <v>515</v>
      </c>
    </row>
    <row r="5" spans="1:8">
      <c r="A5" s="934"/>
      <c r="B5" s="934"/>
      <c r="C5" s="934"/>
      <c r="D5" s="934"/>
      <c r="E5" s="934"/>
      <c r="F5" s="934"/>
      <c r="G5" s="934"/>
      <c r="H5" s="934"/>
    </row>
    <row r="6" spans="1:8">
      <c r="B6" s="193" t="s">
        <v>4</v>
      </c>
      <c r="H6" s="190"/>
    </row>
    <row r="7" spans="1:8">
      <c r="B7" s="196" t="s">
        <v>6</v>
      </c>
      <c r="D7" s="215" t="s">
        <v>125</v>
      </c>
      <c r="E7" s="215"/>
      <c r="F7" s="215"/>
      <c r="H7" s="650" t="s">
        <v>136</v>
      </c>
    </row>
    <row r="8" spans="1:8">
      <c r="B8" s="193">
        <v>1</v>
      </c>
    </row>
    <row r="9" spans="1:8">
      <c r="B9" s="193">
        <f>B8+1</f>
        <v>2</v>
      </c>
      <c r="D9" s="206" t="s">
        <v>765</v>
      </c>
      <c r="E9" s="206"/>
    </row>
    <row r="10" spans="1:8">
      <c r="B10" s="193">
        <f t="shared" ref="B10:B57" si="0">B9+1</f>
        <v>3</v>
      </c>
      <c r="E10" s="651">
        <v>352</v>
      </c>
      <c r="F10" s="217" t="s">
        <v>519</v>
      </c>
      <c r="H10" s="283">
        <v>1.43E-2</v>
      </c>
    </row>
    <row r="11" spans="1:8">
      <c r="B11" s="193">
        <f t="shared" si="0"/>
        <v>4</v>
      </c>
      <c r="E11" s="651">
        <v>352.59</v>
      </c>
      <c r="F11" s="190" t="s">
        <v>918</v>
      </c>
      <c r="H11" s="283">
        <v>1.17E-2</v>
      </c>
    </row>
    <row r="12" spans="1:8">
      <c r="B12" s="193">
        <f t="shared" si="0"/>
        <v>5</v>
      </c>
      <c r="E12" s="651">
        <v>353</v>
      </c>
      <c r="F12" s="190" t="s">
        <v>520</v>
      </c>
      <c r="H12" s="283">
        <v>1.4500000000000001E-2</v>
      </c>
    </row>
    <row r="13" spans="1:8">
      <c r="B13" s="193">
        <f t="shared" si="0"/>
        <v>6</v>
      </c>
      <c r="E13" s="651">
        <v>353.59</v>
      </c>
      <c r="F13" s="190" t="s">
        <v>919</v>
      </c>
      <c r="H13" s="283">
        <v>1.17E-2</v>
      </c>
    </row>
    <row r="14" spans="1:8">
      <c r="B14" s="193">
        <f t="shared" si="0"/>
        <v>7</v>
      </c>
      <c r="E14" s="651">
        <v>355</v>
      </c>
      <c r="F14" s="190" t="s">
        <v>521</v>
      </c>
      <c r="H14" s="283">
        <v>2.0799999999999999E-2</v>
      </c>
    </row>
    <row r="15" spans="1:8">
      <c r="B15" s="193">
        <f t="shared" si="0"/>
        <v>8</v>
      </c>
      <c r="E15" s="651">
        <v>356</v>
      </c>
      <c r="F15" s="217" t="s">
        <v>522</v>
      </c>
      <c r="H15" s="283">
        <v>2.0299999999999999E-2</v>
      </c>
    </row>
    <row r="16" spans="1:8">
      <c r="B16" s="193">
        <f t="shared" si="0"/>
        <v>9</v>
      </c>
      <c r="E16" s="651">
        <v>357</v>
      </c>
      <c r="F16" s="217" t="s">
        <v>920</v>
      </c>
      <c r="H16" s="283">
        <v>2.2200000000000001E-2</v>
      </c>
    </row>
    <row r="17" spans="2:8">
      <c r="B17" s="193">
        <f t="shared" si="0"/>
        <v>10</v>
      </c>
      <c r="E17" s="651">
        <v>358</v>
      </c>
      <c r="F17" s="715" t="s">
        <v>921</v>
      </c>
      <c r="H17" s="716">
        <v>2.1700000000000001E-2</v>
      </c>
    </row>
    <row r="18" spans="2:8">
      <c r="B18" s="193">
        <f t="shared" si="0"/>
        <v>11</v>
      </c>
      <c r="F18" s="190" t="s">
        <v>523</v>
      </c>
      <c r="H18" s="622">
        <v>1.6500000000000001E-2</v>
      </c>
    </row>
    <row r="19" spans="2:8">
      <c r="B19" s="193">
        <f t="shared" si="0"/>
        <v>12</v>
      </c>
      <c r="H19" s="622"/>
    </row>
    <row r="20" spans="2:8">
      <c r="B20" s="193">
        <f t="shared" si="0"/>
        <v>13</v>
      </c>
      <c r="D20" s="206" t="s">
        <v>916</v>
      </c>
      <c r="H20" s="284"/>
    </row>
    <row r="21" spans="2:8">
      <c r="B21" s="193">
        <f t="shared" si="0"/>
        <v>14</v>
      </c>
      <c r="E21" s="651">
        <v>390.01</v>
      </c>
      <c r="F21" s="217" t="s">
        <v>922</v>
      </c>
      <c r="H21" s="283">
        <v>3.1199999999999999E-2</v>
      </c>
    </row>
    <row r="22" spans="2:8">
      <c r="B22" s="193">
        <f t="shared" si="0"/>
        <v>15</v>
      </c>
      <c r="E22" s="651">
        <v>391.01</v>
      </c>
      <c r="F22" s="190" t="s">
        <v>800</v>
      </c>
      <c r="H22" s="283">
        <v>6.9800000000000001E-2</v>
      </c>
    </row>
    <row r="23" spans="2:8">
      <c r="B23" s="193">
        <f t="shared" si="0"/>
        <v>16</v>
      </c>
      <c r="E23" s="651">
        <v>391.03</v>
      </c>
      <c r="F23" s="190" t="s">
        <v>801</v>
      </c>
      <c r="H23" s="283">
        <v>0.36280000000000001</v>
      </c>
    </row>
    <row r="24" spans="2:8">
      <c r="B24" s="193">
        <f t="shared" si="0"/>
        <v>17</v>
      </c>
      <c r="E24" s="651">
        <v>391.04</v>
      </c>
      <c r="F24" s="190" t="s">
        <v>923</v>
      </c>
      <c r="H24" s="283">
        <v>0.18429999999999999</v>
      </c>
    </row>
    <row r="25" spans="2:8">
      <c r="B25" s="193">
        <f t="shared" si="0"/>
        <v>18</v>
      </c>
      <c r="E25" s="652">
        <v>391.05</v>
      </c>
      <c r="F25" s="190" t="s">
        <v>821</v>
      </c>
      <c r="H25" s="283">
        <v>0.13719999999999999</v>
      </c>
    </row>
    <row r="26" spans="2:8">
      <c r="B26" s="193">
        <f t="shared" si="0"/>
        <v>19</v>
      </c>
      <c r="E26" s="651">
        <v>392</v>
      </c>
      <c r="F26" s="190" t="s">
        <v>802</v>
      </c>
      <c r="H26" s="283">
        <v>9.0200000000000002E-2</v>
      </c>
    </row>
    <row r="27" spans="2:8">
      <c r="B27" s="193">
        <f t="shared" si="0"/>
        <v>20</v>
      </c>
      <c r="E27" s="651">
        <v>393</v>
      </c>
      <c r="F27" s="190" t="s">
        <v>803</v>
      </c>
      <c r="H27" s="283">
        <v>6.0900000000000003E-2</v>
      </c>
    </row>
    <row r="28" spans="2:8">
      <c r="B28" s="193">
        <f t="shared" si="0"/>
        <v>21</v>
      </c>
      <c r="E28" s="651">
        <v>394</v>
      </c>
      <c r="F28" s="190" t="s">
        <v>804</v>
      </c>
      <c r="H28" s="283">
        <v>2.1000000000000001E-2</v>
      </c>
    </row>
    <row r="29" spans="2:8">
      <c r="B29" s="193">
        <f t="shared" si="0"/>
        <v>22</v>
      </c>
      <c r="E29" s="651">
        <v>395</v>
      </c>
      <c r="F29" s="190" t="s">
        <v>805</v>
      </c>
      <c r="H29" s="283">
        <v>1.26E-2</v>
      </c>
    </row>
    <row r="30" spans="2:8">
      <c r="B30" s="193">
        <f t="shared" si="0"/>
        <v>23</v>
      </c>
      <c r="E30" s="651">
        <v>396</v>
      </c>
      <c r="F30" s="190" t="s">
        <v>924</v>
      </c>
      <c r="H30" s="283">
        <v>5.6300000000000003E-2</v>
      </c>
    </row>
    <row r="31" spans="2:8">
      <c r="B31" s="193">
        <f t="shared" si="0"/>
        <v>24</v>
      </c>
      <c r="E31" s="651">
        <v>397</v>
      </c>
      <c r="F31" s="190" t="s">
        <v>925</v>
      </c>
      <c r="H31" s="283">
        <v>8.6300000000000002E-2</v>
      </c>
    </row>
    <row r="32" spans="2:8">
      <c r="B32" s="193">
        <f t="shared" si="0"/>
        <v>25</v>
      </c>
      <c r="E32" s="651">
        <v>398</v>
      </c>
      <c r="F32" s="190" t="s">
        <v>926</v>
      </c>
      <c r="H32" s="283">
        <v>5.8400000000000001E-2</v>
      </c>
    </row>
    <row r="33" spans="2:8">
      <c r="B33" s="193">
        <f t="shared" si="0"/>
        <v>26</v>
      </c>
      <c r="F33" s="285" t="s">
        <v>806</v>
      </c>
      <c r="H33" s="653">
        <v>8.3199999999999996E-2</v>
      </c>
    </row>
    <row r="34" spans="2:8">
      <c r="B34" s="193">
        <f t="shared" si="0"/>
        <v>27</v>
      </c>
      <c r="H34" s="622"/>
    </row>
    <row r="35" spans="2:8">
      <c r="B35" s="193">
        <f t="shared" si="0"/>
        <v>28</v>
      </c>
      <c r="D35" s="206" t="s">
        <v>807</v>
      </c>
      <c r="H35" s="622"/>
    </row>
    <row r="36" spans="2:8">
      <c r="B36" s="193">
        <f t="shared" si="0"/>
        <v>29</v>
      </c>
      <c r="E36" s="651">
        <v>301</v>
      </c>
      <c r="F36" s="217" t="s">
        <v>808</v>
      </c>
      <c r="H36" s="622">
        <v>0</v>
      </c>
    </row>
    <row r="37" spans="2:8">
      <c r="B37" s="193">
        <f t="shared" si="0"/>
        <v>30</v>
      </c>
      <c r="E37" s="651">
        <v>303</v>
      </c>
      <c r="F37" s="217" t="s">
        <v>927</v>
      </c>
      <c r="H37" s="622">
        <v>0</v>
      </c>
    </row>
    <row r="38" spans="2:8">
      <c r="B38" s="193">
        <f t="shared" si="0"/>
        <v>31</v>
      </c>
      <c r="F38" s="285" t="s">
        <v>809</v>
      </c>
      <c r="H38" s="286">
        <v>0</v>
      </c>
    </row>
    <row r="39" spans="2:8">
      <c r="B39" s="193">
        <f t="shared" si="0"/>
        <v>32</v>
      </c>
      <c r="H39" s="622"/>
    </row>
    <row r="40" spans="2:8">
      <c r="B40" s="193">
        <f t="shared" si="0"/>
        <v>33</v>
      </c>
      <c r="D40" s="206" t="s">
        <v>815</v>
      </c>
      <c r="H40" s="622"/>
    </row>
    <row r="41" spans="2:8">
      <c r="B41" s="193">
        <f t="shared" si="0"/>
        <v>34</v>
      </c>
      <c r="E41" s="206" t="s">
        <v>812</v>
      </c>
      <c r="H41" s="622"/>
    </row>
    <row r="42" spans="2:8">
      <c r="B42" s="193">
        <f t="shared" si="0"/>
        <v>35</v>
      </c>
      <c r="E42" s="651">
        <v>390.01</v>
      </c>
      <c r="F42" s="217" t="s">
        <v>799</v>
      </c>
      <c r="H42" s="622">
        <v>1.9900000000000001E-2</v>
      </c>
    </row>
    <row r="43" spans="2:8">
      <c r="B43" s="193">
        <f t="shared" si="0"/>
        <v>36</v>
      </c>
      <c r="E43" s="651">
        <v>391</v>
      </c>
      <c r="F43" s="190" t="s">
        <v>800</v>
      </c>
      <c r="H43" s="622">
        <v>0.1245</v>
      </c>
    </row>
    <row r="44" spans="2:8">
      <c r="B44" s="193">
        <f t="shared" si="0"/>
        <v>37</v>
      </c>
      <c r="E44" s="652">
        <v>392</v>
      </c>
      <c r="F44" s="190" t="s">
        <v>802</v>
      </c>
      <c r="H44" s="622">
        <v>8.6400000000000005E-2</v>
      </c>
    </row>
    <row r="45" spans="2:8">
      <c r="B45" s="193">
        <f t="shared" si="0"/>
        <v>38</v>
      </c>
      <c r="E45" s="651">
        <v>395</v>
      </c>
      <c r="F45" s="190" t="s">
        <v>805</v>
      </c>
      <c r="H45" s="622">
        <v>0.05</v>
      </c>
    </row>
    <row r="46" spans="2:8">
      <c r="B46" s="193">
        <f t="shared" si="0"/>
        <v>39</v>
      </c>
      <c r="E46" s="651">
        <v>397</v>
      </c>
      <c r="F46" s="190" t="s">
        <v>810</v>
      </c>
      <c r="H46" s="622">
        <v>6.6699999999999995E-2</v>
      </c>
    </row>
    <row r="47" spans="2:8">
      <c r="B47" s="193">
        <f t="shared" si="0"/>
        <v>40</v>
      </c>
      <c r="E47" s="651">
        <v>397.1</v>
      </c>
      <c r="F47" s="190" t="s">
        <v>811</v>
      </c>
      <c r="H47" s="622">
        <v>0.04</v>
      </c>
    </row>
    <row r="48" spans="2:8">
      <c r="B48" s="193">
        <f t="shared" si="0"/>
        <v>41</v>
      </c>
      <c r="F48" s="285" t="s">
        <v>806</v>
      </c>
      <c r="H48" s="653">
        <v>0.1206</v>
      </c>
    </row>
    <row r="49" spans="2:8">
      <c r="B49" s="193">
        <f t="shared" si="0"/>
        <v>42</v>
      </c>
      <c r="H49" s="654"/>
    </row>
    <row r="50" spans="2:8">
      <c r="B50" s="193">
        <f t="shared" si="0"/>
        <v>43</v>
      </c>
      <c r="E50" s="206" t="s">
        <v>1260</v>
      </c>
      <c r="H50" s="654"/>
    </row>
    <row r="51" spans="2:8">
      <c r="B51" s="193">
        <f t="shared" si="0"/>
        <v>44</v>
      </c>
      <c r="E51" s="651">
        <v>390.01</v>
      </c>
      <c r="F51" s="217" t="s">
        <v>823</v>
      </c>
      <c r="H51" s="654">
        <v>2.2499999999999999E-2</v>
      </c>
    </row>
    <row r="52" spans="2:8">
      <c r="B52" s="193">
        <f t="shared" si="0"/>
        <v>45</v>
      </c>
      <c r="E52" s="651">
        <v>391</v>
      </c>
      <c r="F52" s="190" t="s">
        <v>800</v>
      </c>
      <c r="H52" s="654">
        <v>8.1100000000000005E-2</v>
      </c>
    </row>
    <row r="53" spans="2:8">
      <c r="B53" s="193">
        <f t="shared" si="0"/>
        <v>46</v>
      </c>
      <c r="E53" s="651">
        <v>392</v>
      </c>
      <c r="F53" s="190" t="s">
        <v>822</v>
      </c>
      <c r="H53" s="654">
        <v>9.8299999999999998E-2</v>
      </c>
    </row>
    <row r="54" spans="2:8">
      <c r="B54" s="193">
        <f t="shared" si="0"/>
        <v>47</v>
      </c>
      <c r="E54" s="651">
        <v>394</v>
      </c>
      <c r="F54" s="190" t="s">
        <v>804</v>
      </c>
      <c r="H54" s="654">
        <v>0.04</v>
      </c>
    </row>
    <row r="55" spans="2:8">
      <c r="B55" s="193">
        <f t="shared" si="0"/>
        <v>48</v>
      </c>
      <c r="E55" s="651">
        <v>397</v>
      </c>
      <c r="F55" s="190" t="s">
        <v>814</v>
      </c>
      <c r="H55" s="654">
        <v>6.6699999999999995E-2</v>
      </c>
    </row>
    <row r="56" spans="2:8">
      <c r="B56" s="193">
        <f t="shared" si="0"/>
        <v>49</v>
      </c>
      <c r="E56" s="651">
        <v>398</v>
      </c>
      <c r="F56" s="190" t="s">
        <v>813</v>
      </c>
      <c r="H56" s="654">
        <v>0.05</v>
      </c>
    </row>
    <row r="57" spans="2:8">
      <c r="B57" s="193">
        <f t="shared" si="0"/>
        <v>50</v>
      </c>
      <c r="F57" s="285" t="s">
        <v>806</v>
      </c>
      <c r="H57" s="653">
        <v>7.9399999999999998E-2</v>
      </c>
    </row>
    <row r="58" spans="2:8">
      <c r="B58" s="193"/>
      <c r="H58" s="622"/>
    </row>
    <row r="59" spans="2:8" ht="16.350000000000001" customHeight="1">
      <c r="B59" s="354" t="s">
        <v>155</v>
      </c>
      <c r="D59" s="206"/>
      <c r="H59" s="284"/>
    </row>
    <row r="60" spans="2:8" ht="27.75" customHeight="1">
      <c r="B60" s="394" t="s">
        <v>76</v>
      </c>
      <c r="C60" s="959" t="s">
        <v>917</v>
      </c>
      <c r="D60" s="959"/>
      <c r="E60" s="959"/>
      <c r="F60" s="959"/>
      <c r="G60" s="959"/>
      <c r="H60" s="959"/>
    </row>
    <row r="61" spans="2:8" ht="32.4" customHeight="1">
      <c r="B61" s="394" t="s">
        <v>77</v>
      </c>
      <c r="C61" s="959" t="s">
        <v>1145</v>
      </c>
      <c r="D61" s="959"/>
      <c r="E61" s="959"/>
      <c r="F61" s="959"/>
      <c r="G61" s="959"/>
      <c r="H61" s="959"/>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0D18FA96E10A4EA3061C5AFC12A035" ma:contentTypeVersion="4" ma:contentTypeDescription="Create a new document." ma:contentTypeScope="" ma:versionID="4097de86245d30810914feebc0364665">
  <xsd:schema xmlns:xsd="http://www.w3.org/2001/XMLSchema" xmlns:xs="http://www.w3.org/2001/XMLSchema" xmlns:p="http://schemas.microsoft.com/office/2006/metadata/properties" xmlns:ns2="97dbe3e7-cb9c-4b7c-8260-bd0b660afa3c" targetNamespace="http://schemas.microsoft.com/office/2006/metadata/properties" ma:root="true" ma:fieldsID="9b30b51c9dce4e7510d5968ce31fbf1d" ns2:_="">
    <xsd:import namespace="97dbe3e7-cb9c-4b7c-8260-bd0b660afa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be3e7-cb9c-4b7c-8260-bd0b660afa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EC30B5-1624-4AF3-9936-D11BAFE34F0B}">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sharepoint/v3/fields"/>
    <ds:schemaRef ds:uri="http://schemas.openxmlformats.org/package/2006/metadata/core-properties"/>
    <ds:schemaRef ds:uri="http://schemas.microsoft.com/office/infopath/2007/PartnerControls"/>
    <ds:schemaRef ds:uri="d8ccb16c-0d7a-4201-87ab-0ab255e843f9"/>
    <ds:schemaRef ds:uri="http://purl.org/dc/dcmitype/"/>
  </ds:schemaRefs>
</ds:datastoreItem>
</file>

<file path=customXml/itemProps2.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3.xml><?xml version="1.0" encoding="utf-8"?>
<ds:datastoreItem xmlns:ds="http://schemas.openxmlformats.org/officeDocument/2006/customXml" ds:itemID="{090427BD-1CF2-4EA1-AF34-E4C64C7516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2024-09-19T15:22:57Z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0x010100F40D18FA96E10A4EA3061C5AFC12A035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