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updateLinks="never" defaultThemeVersion="124226"/>
  <mc:AlternateContent xmlns:mc="http://schemas.openxmlformats.org/markup-compatibility/2006">
    <mc:Choice Requires="x15">
      <x15ac:absPath xmlns:x15ac="http://schemas.microsoft.com/office/spreadsheetml/2010/11/ac" url="N:\BHSC\BHC\Rates\BHE BHP\FERC\Common Use System\2025 CUS Filing (2026 Rate)\Files for Oasis\"/>
    </mc:Choice>
  </mc:AlternateContent>
  <xr:revisionPtr revIDLastSave="0" documentId="13_ncr:1_{F57618F8-93DB-4EAE-9891-5CC9645644A2}" xr6:coauthVersionLast="47" xr6:coauthVersionMax="47" xr10:uidLastSave="{00000000-0000-0000-0000-000000000000}"/>
  <bookViews>
    <workbookView xWindow="28680" yWindow="-120" windowWidth="29040" windowHeight="15720" tabRatio="926" xr2:uid="{CE7513F4-AB71-4C1A-8027-7D556BEBB2BC}"/>
  </bookViews>
  <sheets>
    <sheet name="Cost of Service References" sheetId="13" r:id="rId1"/>
    <sheet name="BHP WP1 A&amp;G" sheetId="1" r:id="rId2"/>
    <sheet name="BHP WP4 Transmission Assets" sheetId="2" r:id="rId3"/>
    <sheet name="BHP WP8 Adj to Rate Base" sheetId="9" r:id="rId4"/>
    <sheet name="BHP WP 8.1 EDIT-DDIT" sheetId="16" r:id="rId5"/>
    <sheet name="BHP WP9 Accum Depr" sheetId="6" r:id="rId6"/>
    <sheet name="BHP WP10 Plant in Service" sheetId="10" r:id="rId7"/>
    <sheet name="BHP WP11 Property Tax Expense" sheetId="11" r:id="rId8"/>
    <sheet name="BHP WP12 ADIT" sheetId="12" r:id="rId9"/>
    <sheet name="BHP WP13 Accum Reserve" sheetId="15" r:id="rId10"/>
  </sheets>
  <definedNames>
    <definedName name="__123Graph_A" localSheetId="4" hidden="1">#REF!</definedName>
    <definedName name="__123Graph_A" hidden="1">#REF!</definedName>
    <definedName name="__123Graph_A1991" localSheetId="4" hidden="1">#REF!</definedName>
    <definedName name="__123Graph_A1991" hidden="1">#REF!</definedName>
    <definedName name="__123Graph_A1992" localSheetId="4" hidden="1">#REF!</definedName>
    <definedName name="__123Graph_A1992" hidden="1">#REF!</definedName>
    <definedName name="__123Graph_A1993" hidden="1">#REF!</definedName>
    <definedName name="__123Graph_A1994" hidden="1">#REF!</definedName>
    <definedName name="__123Graph_A1995" hidden="1">#REF!</definedName>
    <definedName name="__123Graph_A1996" hidden="1">#REF!</definedName>
    <definedName name="__123Graph_ABAR" hidden="1">#REF!</definedName>
    <definedName name="__123Graph_B" hidden="1">#REF!</definedName>
    <definedName name="__123Graph_B1991" hidden="1">#REF!</definedName>
    <definedName name="__123Graph_B1992" hidden="1">#REF!</definedName>
    <definedName name="__123Graph_B1993" hidden="1">#REF!</definedName>
    <definedName name="__123Graph_B1994" hidden="1">#REF!</definedName>
    <definedName name="__123Graph_B1995" hidden="1">#REF!</definedName>
    <definedName name="__123Graph_B1996" hidden="1">#REF!</definedName>
    <definedName name="__123Graph_BBAR" hidden="1">#REF!</definedName>
    <definedName name="__123Graph_CBAR" hidden="1">#REF!</definedName>
    <definedName name="__123Graph_DBAR" hidden="1">#REF!</definedName>
    <definedName name="__123Graph_EBAR" hidden="1">#REF!</definedName>
    <definedName name="__123Graph_FBAR" hidden="1">#REF!</definedName>
    <definedName name="__123Graph_X" hidden="1">#REF!</definedName>
    <definedName name="__123Graph_X1991" hidden="1">#REF!</definedName>
    <definedName name="__123Graph_X1992" hidden="1">#REF!</definedName>
    <definedName name="__123Graph_X1993" hidden="1">#REF!</definedName>
    <definedName name="__123Graph_X1994" hidden="1">#REF!</definedName>
    <definedName name="__123Graph_X1995" hidden="1">#REF!</definedName>
    <definedName name="__123Graph_X1996" hidden="1">#REF!</definedName>
    <definedName name="__tet12" localSheetId="4" hidden="1">{"assumptions",#N/A,FALSE,"Scenario 1";"valuation",#N/A,FALSE,"Scenario 1"}</definedName>
    <definedName name="__tet12" hidden="1">{"assumptions",#N/A,FALSE,"Scenario 1";"valuation",#N/A,FALSE,"Scenario 1"}</definedName>
    <definedName name="__tet5" localSheetId="4" hidden="1">{"assumptions",#N/A,FALSE,"Scenario 1";"valuation",#N/A,FALSE,"Scenario 1"}</definedName>
    <definedName name="__tet5" hidden="1">{"assumptions",#N/A,FALSE,"Scenario 1";"valuation",#N/A,FALSE,"Scenario 1"}</definedName>
    <definedName name="_FEB01" localSheetId="4" hidden="1">{#N/A,#N/A,FALSE,"EMPPAY"}</definedName>
    <definedName name="_FEB01" hidden="1">{#N/A,#N/A,FALSE,"EMPPAY"}</definedName>
    <definedName name="_Fill" hidden="1">#REF!</definedName>
    <definedName name="_JAN01" localSheetId="4" hidden="1">{#N/A,#N/A,FALSE,"EMPPAY"}</definedName>
    <definedName name="_JAN01" hidden="1">{#N/A,#N/A,FALSE,"EMPPAY"}</definedName>
    <definedName name="_JAN2001" localSheetId="4" hidden="1">{#N/A,#N/A,FALSE,"EMPPAY"}</definedName>
    <definedName name="_JAN2001" hidden="1">{#N/A,#N/A,FALSE,"EMPPAY"}</definedName>
    <definedName name="_Key1" hidden="1">#REF!</definedName>
    <definedName name="_Order1" hidden="1">255</definedName>
    <definedName name="_Order2" hidden="1">255</definedName>
    <definedName name="_Sort" hidden="1">#REF!</definedName>
    <definedName name="_sort2" hidden="1">#REF!</definedName>
    <definedName name="_tet12" localSheetId="4" hidden="1">{"assumptions",#N/A,FALSE,"Scenario 1";"valuation",#N/A,FALSE,"Scenario 1"}</definedName>
    <definedName name="_tet12" hidden="1">{"assumptions",#N/A,FALSE,"Scenario 1";"valuation",#N/A,FALSE,"Scenario 1"}</definedName>
    <definedName name="_tet5" localSheetId="4" hidden="1">{"assumptions",#N/A,FALSE,"Scenario 1";"valuation",#N/A,FALSE,"Scenario 1"}</definedName>
    <definedName name="_tet5" hidden="1">{"assumptions",#N/A,FALSE,"Scenario 1";"valuation",#N/A,FALSE,"Scenario 1"}</definedName>
    <definedName name="a" localSheetId="4" hidden="1">{"LBO Summary",#N/A,FALSE,"Summary"}</definedName>
    <definedName name="a" hidden="1">{"LBO Summary",#N/A,FALSE,"Summary"}</definedName>
    <definedName name="Alignment" hidden="1">"a1"</definedName>
    <definedName name="AS2DocOpenMode" hidden="1">"AS2DocumentEdit"</definedName>
    <definedName name="ClientMatter" hidden="1">"b1"</definedName>
    <definedName name="Date" hidden="1">"b1"</definedName>
    <definedName name="DEC00" localSheetId="4" hidden="1">{#N/A,#N/A,FALSE,"ARREC"}</definedName>
    <definedName name="DEC00" hidden="1">{#N/A,#N/A,FALSE,"ARREC"}</definedName>
    <definedName name="DocumentName" hidden="1">"b1"</definedName>
    <definedName name="DocumentNum" hidden="1">"a1"</definedName>
    <definedName name="FEB00" localSheetId="4" hidden="1">{#N/A,#N/A,FALSE,"ARREC"}</definedName>
    <definedName name="FEB00" hidden="1">{#N/A,#N/A,FALSE,"ARREC"}</definedName>
    <definedName name="Library" hidden="1">"a1"</definedName>
    <definedName name="MAY" localSheetId="4" hidden="1">{#N/A,#N/A,FALSE,"EMPPAY"}</definedName>
    <definedName name="MAY" hidden="1">{#N/A,#N/A,FALSE,"EMPPAY"}</definedName>
    <definedName name="_xlnm.Print_Area" localSheetId="4">'BHP WP 8.1 EDIT-DDIT'!$A$1:$R$59</definedName>
    <definedName name="_xlnm.Print_Area" localSheetId="1">'BHP WP1 A&amp;G'!$A$1:$D$36</definedName>
    <definedName name="_xlnm.Print_Area" localSheetId="6">'BHP WP10 Plant in Service'!$A$1:$M$28</definedName>
    <definedName name="_xlnm.Print_Area" localSheetId="2">'BHP WP4 Transmission Assets'!$A$1:$G$51</definedName>
    <definedName name="_xlnm.Print_Area" localSheetId="5">'BHP WP9 Accum Depr'!$A$1:$I$28</definedName>
    <definedName name="_xlnm.Print_Area" localSheetId="0">'Cost of Service References'!$A$1:$F$194</definedName>
    <definedName name="test" localSheetId="4" hidden="1">{"LBO Summary",#N/A,FALSE,"Summary"}</definedName>
    <definedName name="test" hidden="1">{"LBO Summary",#N/A,FALSE,"Summary"}</definedName>
    <definedName name="test1" localSheetId="4" hidden="1">{"LBO Summary",#N/A,FALSE,"Summary";"Income Statement",#N/A,FALSE,"Model";"Cash Flow",#N/A,FALSE,"Model";"Balance Sheet",#N/A,FALSE,"Model";"Working Capital",#N/A,FALSE,"Model";"Pro Forma Balance Sheets",#N/A,FALSE,"PFBS";"Debt Balances",#N/A,FALSE,"Model";"Fee Schedules",#N/A,FALSE,"Model"}</definedName>
    <definedName name="test1" hidden="1">{"LBO Summary",#N/A,FALSE,"Summary";"Income Statement",#N/A,FALSE,"Model";"Cash Flow",#N/A,FALSE,"Model";"Balance Sheet",#N/A,FALSE,"Model";"Working Capital",#N/A,FALSE,"Model";"Pro Forma Balance Sheets",#N/A,FALSE,"PFBS";"Debt Balances",#N/A,FALSE,"Model";"Fee Schedules",#N/A,FALSE,"Model"}</definedName>
    <definedName name="test10" localSheetId="4" hidden="1">{"LBO Summary",#N/A,FALSE,"Summary";"Income Statement",#N/A,FALSE,"Model";"Cash Flow",#N/A,FALSE,"Model";"Balance Sheet",#N/A,FALSE,"Model";"Working Capital",#N/A,FALSE,"Model";"Pro Forma Balance Sheets",#N/A,FALSE,"PFBS";"Debt Balances",#N/A,FALSE,"Model";"Fee Schedules",#N/A,FALSE,"Model"}</definedName>
    <definedName name="test10" hidden="1">{"LBO Summary",#N/A,FALSE,"Summary";"Income Statement",#N/A,FALSE,"Model";"Cash Flow",#N/A,FALSE,"Model";"Balance Sheet",#N/A,FALSE,"Model";"Working Capital",#N/A,FALSE,"Model";"Pro Forma Balance Sheets",#N/A,FALSE,"PFBS";"Debt Balances",#N/A,FALSE,"Model";"Fee Schedules",#N/A,FALSE,"Model"}</definedName>
    <definedName name="test11" localSheetId="4" hidden="1">{"LBO Summary",#N/A,FALSE,"Summary"}</definedName>
    <definedName name="test11" hidden="1">{"LBO Summary",#N/A,FALSE,"Summary"}</definedName>
    <definedName name="test12" localSheetId="4" hidden="1">{"assumptions",#N/A,FALSE,"Scenario 1";"valuation",#N/A,FALSE,"Scenario 1"}</definedName>
    <definedName name="test12" hidden="1">{"assumptions",#N/A,FALSE,"Scenario 1";"valuation",#N/A,FALSE,"Scenario 1"}</definedName>
    <definedName name="test13" localSheetId="4" hidden="1">{"LBO Summary",#N/A,FALSE,"Summary"}</definedName>
    <definedName name="test13" hidden="1">{"LBO Summary",#N/A,FALSE,"Summary"}</definedName>
    <definedName name="test14" localSheetId="4" hidden="1">{"LBO Summary",#N/A,FALSE,"Summary";"Income Statement",#N/A,FALSE,"Model";"Cash Flow",#N/A,FALSE,"Model";"Balance Sheet",#N/A,FALSE,"Model";"Working Capital",#N/A,FALSE,"Model";"Pro Forma Balance Sheets",#N/A,FALSE,"PFBS";"Debt Balances",#N/A,FALSE,"Model";"Fee Schedules",#N/A,FALSE,"Model"}</definedName>
    <definedName name="test14" hidden="1">{"LBO Summary",#N/A,FALSE,"Summary";"Income Statement",#N/A,FALSE,"Model";"Cash Flow",#N/A,FALSE,"Model";"Balance Sheet",#N/A,FALSE,"Model";"Working Capital",#N/A,FALSE,"Model";"Pro Forma Balance Sheets",#N/A,FALSE,"PFBS";"Debt Balances",#N/A,FALSE,"Model";"Fee Schedules",#N/A,FALSE,"Model"}</definedName>
    <definedName name="test15" localSheetId="4" hidden="1">{"LBO Summary",#N/A,FALSE,"Summary";"Income Statement",#N/A,FALSE,"Model";"Cash Flow",#N/A,FALSE,"Model";"Balance Sheet",#N/A,FALSE,"Model";"Working Capital",#N/A,FALSE,"Model";"Pro Forma Balance Sheets",#N/A,FALSE,"PFBS";"Debt Balances",#N/A,FALSE,"Model";"Fee Schedules",#N/A,FALSE,"Model"}</definedName>
    <definedName name="test15" hidden="1">{"LBO Summary",#N/A,FALSE,"Summary";"Income Statement",#N/A,FALSE,"Model";"Cash Flow",#N/A,FALSE,"Model";"Balance Sheet",#N/A,FALSE,"Model";"Working Capital",#N/A,FALSE,"Model";"Pro Forma Balance Sheets",#N/A,FALSE,"PFBS";"Debt Balances",#N/A,FALSE,"Model";"Fee Schedules",#N/A,FALSE,"Model"}</definedName>
    <definedName name="test16" localSheetId="4" hidden="1">{"LBO Summary",#N/A,FALSE,"Summary";"Income Statement",#N/A,FALSE,"Model";"Cash Flow",#N/A,FALSE,"Model";"Balance Sheet",#N/A,FALSE,"Model";"Working Capital",#N/A,FALSE,"Model";"Pro Forma Balance Sheets",#N/A,FALSE,"PFBS";"Debt Balances",#N/A,FALSE,"Model";"Fee Schedules",#N/A,FALSE,"Model"}</definedName>
    <definedName name="test16" hidden="1">{"LBO Summary",#N/A,FALSE,"Summary";"Income Statement",#N/A,FALSE,"Model";"Cash Flow",#N/A,FALSE,"Model";"Balance Sheet",#N/A,FALSE,"Model";"Working Capital",#N/A,FALSE,"Model";"Pro Forma Balance Sheets",#N/A,FALSE,"PFBS";"Debt Balances",#N/A,FALSE,"Model";"Fee Schedules",#N/A,FALSE,"Model"}</definedName>
    <definedName name="test2" localSheetId="4" hidden="1">{"LBO Summary",#N/A,FALSE,"Summary"}</definedName>
    <definedName name="test2" hidden="1">{"LBO Summary",#N/A,FALSE,"Summary"}</definedName>
    <definedName name="test4" localSheetId="4" hidden="1">{"assumptions",#N/A,FALSE,"Scenario 1";"valuation",#N/A,FALSE,"Scenario 1"}</definedName>
    <definedName name="test4" hidden="1">{"assumptions",#N/A,FALSE,"Scenario 1";"valuation",#N/A,FALSE,"Scenario 1"}</definedName>
    <definedName name="test6" localSheetId="4" hidden="1">{"LBO Summary",#N/A,FALSE,"Summary"}</definedName>
    <definedName name="test6" hidden="1">{"LBO Summary",#N/A,FALSE,"Summary"}</definedName>
    <definedName name="TextRefCopyRangeCount" hidden="1">1</definedName>
    <definedName name="Time" hidden="1">"b1"</definedName>
    <definedName name="Typist" hidden="1">"b1"</definedName>
    <definedName name="Value" localSheetId="4" hidden="1">{"assumptions",#N/A,FALSE,"Scenario 1";"valuation",#N/A,FALSE,"Scenario 1"}</definedName>
    <definedName name="Value" hidden="1">{"assumptions",#N/A,FALSE,"Scenario 1";"valuation",#N/A,FALSE,"Scenario 1"}</definedName>
    <definedName name="Version" hidden="1">"a1"</definedName>
    <definedName name="wrn.ARREC." localSheetId="4" hidden="1">{#N/A,#N/A,FALSE,"ARREC"}</definedName>
    <definedName name="wrn.ARREC." hidden="1">{#N/A,#N/A,FALSE,"ARREC"}</definedName>
    <definedName name="wrn.CP._.Demand." localSheetId="4" hidden="1">{"Retail CP pg1",#N/A,FALSE,"FACTOR3";"Retail CP pg2",#N/A,FALSE,"FACTOR3";"Retail CP pg3",#N/A,FALSE,"FACTOR3"}</definedName>
    <definedName name="wrn.CP._.Demand." hidden="1">{"Retail CP pg1",#N/A,FALSE,"FACTOR3";"Retail CP pg2",#N/A,FALSE,"FACTOR3";"Retail CP pg3",#N/A,FALSE,"FACTOR3"}</definedName>
    <definedName name="wrn.CP._.Demand2." localSheetId="4" hidden="1">{"Retail CP pg1",#N/A,FALSE,"FACTOR3";"Retail CP pg2",#N/A,FALSE,"FACTOR3";"Retail CP pg3",#N/A,FALSE,"FACTOR3"}</definedName>
    <definedName name="wrn.CP._.Demand2." hidden="1">{"Retail CP pg1",#N/A,FALSE,"FACTOR3";"Retail CP pg2",#N/A,FALSE,"FACTOR3";"Retail CP pg3",#N/A,FALSE,"FACTOR3"}</definedName>
    <definedName name="wrn.EMPPAY." localSheetId="4" hidden="1">{#N/A,#N/A,FALSE,"EMPPAY"}</definedName>
    <definedName name="wrn.EMPPAY." hidden="1">{#N/A,#N/A,FALSE,"EMPPAY"}</definedName>
    <definedName name="wrn.IPO._.Valuation." localSheetId="4" hidden="1">{"assumptions",#N/A,FALSE,"Scenario 1";"valuation",#N/A,FALSE,"Scenario 1"}</definedName>
    <definedName name="wrn.IPO._.Valuation." hidden="1">{"assumptions",#N/A,FALSE,"Scenario 1";"valuation",#N/A,FALSE,"Scenario 1"}</definedName>
    <definedName name="wrn.LBO._.Summary." localSheetId="4" hidden="1">{"LBO Summary",#N/A,FALSE,"Summary"}</definedName>
    <definedName name="wrn.LBO._.Summary." hidden="1">{"LBO Summary",#N/A,FALSE,"Summary"}</definedName>
    <definedName name="wrn.Print._.All._.Pages." localSheetId="4"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xx" localSheetId="4" hidden="1">{#N/A,#N/A,FALSE,"EMPPAY"}</definedName>
    <definedName name="xx" hidden="1">{#N/A,#N/A,FALSE,"EMPPAY"}</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1" i="9" l="1"/>
  <c r="A11" i="12" l="1"/>
  <c r="A12" i="12" s="1"/>
  <c r="A13" i="12" s="1"/>
  <c r="A14" i="12" s="1"/>
  <c r="A15" i="12" s="1"/>
  <c r="A16" i="12" s="1"/>
  <c r="A17" i="12" s="1"/>
  <c r="A18" i="12" s="1"/>
  <c r="A19" i="12" s="1"/>
  <c r="A20" i="12" s="1"/>
  <c r="A21" i="12" s="1"/>
  <c r="A22" i="12" s="1"/>
  <c r="A23" i="12" s="1"/>
  <c r="A24" i="12" s="1"/>
  <c r="A25" i="12" s="1"/>
  <c r="H14" i="12"/>
  <c r="F15" i="12"/>
  <c r="G15" i="12"/>
  <c r="H15" i="12"/>
  <c r="F21" i="12"/>
  <c r="G21" i="12"/>
  <c r="H21" i="12"/>
  <c r="H25" i="12" s="1"/>
  <c r="F25" i="12"/>
  <c r="G25" i="12"/>
  <c r="B41" i="16" l="1"/>
  <c r="B42" i="16" s="1"/>
  <c r="B43" i="16" s="1"/>
  <c r="B44" i="16" s="1"/>
  <c r="B45" i="16" s="1"/>
  <c r="B46" i="16" s="1"/>
  <c r="B37" i="16"/>
  <c r="B38" i="16" s="1"/>
  <c r="P35" i="16"/>
  <c r="O35" i="16"/>
  <c r="N35" i="16"/>
  <c r="M35" i="16"/>
  <c r="B35" i="16"/>
  <c r="N34" i="16"/>
  <c r="H34" i="16"/>
  <c r="B34" i="16"/>
  <c r="M33" i="16"/>
  <c r="I33" i="16"/>
  <c r="O33" i="16" s="1"/>
  <c r="H33" i="16"/>
  <c r="N33" i="16" s="1"/>
  <c r="G33" i="16"/>
  <c r="B33" i="16"/>
  <c r="G32" i="16" a="1"/>
  <c r="G32" i="16" s="1"/>
  <c r="P29" i="16"/>
  <c r="O29" i="16"/>
  <c r="N29" i="16"/>
  <c r="M29" i="16"/>
  <c r="N28" i="16"/>
  <c r="P28" i="16"/>
  <c r="I34" i="16"/>
  <c r="O34" i="16" s="1"/>
  <c r="G34" i="16"/>
  <c r="O27" i="16"/>
  <c r="M27" i="16"/>
  <c r="H27" i="16"/>
  <c r="N27" i="16" s="1"/>
  <c r="M26" i="16"/>
  <c r="P26" i="16"/>
  <c r="N26" i="16"/>
  <c r="H30" i="16"/>
  <c r="G30" i="16"/>
  <c r="B25" i="16"/>
  <c r="B26" i="16" s="1"/>
  <c r="B27" i="16" s="1"/>
  <c r="B28" i="16" s="1"/>
  <c r="B29" i="16" s="1"/>
  <c r="I20" i="16"/>
  <c r="P19" i="16"/>
  <c r="O19" i="16"/>
  <c r="N19" i="16"/>
  <c r="M19" i="16"/>
  <c r="O18" i="16"/>
  <c r="O20" i="16" s="1"/>
  <c r="J18" i="16"/>
  <c r="H18" i="16" s="1"/>
  <c r="H16" i="16"/>
  <c r="P15" i="16"/>
  <c r="O15" i="16"/>
  <c r="N15" i="16"/>
  <c r="M15" i="16"/>
  <c r="N14" i="16"/>
  <c r="N16" i="16" s="1"/>
  <c r="P14" i="16"/>
  <c r="P16" i="16" s="1"/>
  <c r="G18" i="16"/>
  <c r="B14" i="16"/>
  <c r="B15" i="16" s="1"/>
  <c r="P8" i="16"/>
  <c r="O8" i="16"/>
  <c r="N8" i="16"/>
  <c r="M8" i="16"/>
  <c r="H42" i="16" l="1"/>
  <c r="J34" i="16"/>
  <c r="P34" i="16" s="1"/>
  <c r="M34" i="16"/>
  <c r="J30" i="16"/>
  <c r="N18" i="16"/>
  <c r="N20" i="16" s="1"/>
  <c r="H20" i="16"/>
  <c r="G36" i="16"/>
  <c r="G38" i="16" s="1"/>
  <c r="M32" i="16"/>
  <c r="G20" i="16"/>
  <c r="M18" i="16"/>
  <c r="M20" i="16" s="1"/>
  <c r="G16" i="16"/>
  <c r="J33" i="16"/>
  <c r="P33" i="16" s="1"/>
  <c r="I14" i="16"/>
  <c r="M14" i="16"/>
  <c r="M16" i="16" s="1"/>
  <c r="H22" i="16"/>
  <c r="M25" i="16"/>
  <c r="M30" i="16" s="1"/>
  <c r="M28" i="16"/>
  <c r="N25" i="16"/>
  <c r="N30" i="16" s="1"/>
  <c r="O28" i="16"/>
  <c r="P25" i="16"/>
  <c r="J27" i="16"/>
  <c r="P27" i="16" s="1"/>
  <c r="J20" i="16"/>
  <c r="H32" i="16" a="1"/>
  <c r="H32" i="16" s="1"/>
  <c r="J16" i="16"/>
  <c r="I26" i="16"/>
  <c r="O26" i="16" s="1"/>
  <c r="P18" i="16"/>
  <c r="P20" i="16" s="1"/>
  <c r="P22" i="16" s="1"/>
  <c r="I25" i="16"/>
  <c r="H36" i="16" l="1"/>
  <c r="H38" i="16" s="1"/>
  <c r="N32" i="16"/>
  <c r="N36" i="16" s="1"/>
  <c r="N38" i="16" s="1"/>
  <c r="M43" i="16"/>
  <c r="M38" i="16"/>
  <c r="I30" i="16"/>
  <c r="O25" i="16"/>
  <c r="O30" i="16" s="1"/>
  <c r="I32" i="16" a="1"/>
  <c r="I32" i="16" s="1"/>
  <c r="M42" i="16"/>
  <c r="M44" i="16" s="1"/>
  <c r="M22" i="16"/>
  <c r="H43" i="16"/>
  <c r="H44" i="16" s="1"/>
  <c r="G43" i="16"/>
  <c r="O14" i="16"/>
  <c r="O16" i="16" s="1"/>
  <c r="I16" i="16"/>
  <c r="J42" i="16"/>
  <c r="J22" i="16"/>
  <c r="N43" i="16"/>
  <c r="G42" i="16"/>
  <c r="G44" i="16" s="1"/>
  <c r="G22" i="16"/>
  <c r="P30" i="16"/>
  <c r="N22" i="16"/>
  <c r="N42" i="16"/>
  <c r="M36" i="16"/>
  <c r="P42" i="16" l="1"/>
  <c r="I36" i="16"/>
  <c r="I43" i="16" s="1"/>
  <c r="O32" i="16"/>
  <c r="O36" i="16" s="1"/>
  <c r="O43" i="16" s="1"/>
  <c r="I38" i="16"/>
  <c r="J45" i="16"/>
  <c r="I42" i="16"/>
  <c r="I44" i="16" s="1"/>
  <c r="I22" i="16"/>
  <c r="O42" i="16"/>
  <c r="O44" i="16" s="1"/>
  <c r="O22" i="16"/>
  <c r="N44" i="16"/>
  <c r="J32" i="16"/>
  <c r="O38" i="16" l="1"/>
  <c r="P32" i="16"/>
  <c r="P36" i="16" s="1"/>
  <c r="J36" i="16"/>
  <c r="P45" i="16"/>
  <c r="J38" i="16" l="1"/>
  <c r="J43" i="16"/>
  <c r="J44" i="16" s="1"/>
  <c r="P43" i="16"/>
  <c r="P44" i="16" s="1"/>
  <c r="P46" i="16" s="1"/>
  <c r="P38" i="16"/>
  <c r="K24" i="10" l="1"/>
  <c r="I24" i="10"/>
  <c r="G24" i="10"/>
  <c r="E24" i="10"/>
  <c r="M23" i="10"/>
  <c r="M22" i="10"/>
  <c r="M21" i="10"/>
  <c r="M20" i="10"/>
  <c r="M19" i="10"/>
  <c r="M18" i="10"/>
  <c r="M17" i="10"/>
  <c r="M16" i="10"/>
  <c r="M15" i="10"/>
  <c r="M14" i="10"/>
  <c r="M13" i="10"/>
  <c r="M12" i="10"/>
  <c r="M11" i="10"/>
  <c r="M24" i="10" s="1"/>
  <c r="O21" i="6"/>
  <c r="O17" i="6"/>
  <c r="O14" i="6"/>
  <c r="O13" i="6"/>
  <c r="O12" i="6"/>
  <c r="N25" i="15"/>
  <c r="M25" i="15"/>
  <c r="L25" i="15"/>
  <c r="K25" i="15"/>
  <c r="J25" i="15"/>
  <c r="I25" i="15"/>
  <c r="H25" i="15"/>
  <c r="G25" i="15"/>
  <c r="F25" i="15"/>
  <c r="E25" i="15"/>
  <c r="D25" i="15"/>
  <c r="C25" i="15"/>
  <c r="B25" i="15"/>
  <c r="N24" i="15"/>
  <c r="M24" i="15"/>
  <c r="L24" i="15"/>
  <c r="K24" i="15"/>
  <c r="J24" i="15"/>
  <c r="I24" i="15"/>
  <c r="H24" i="15"/>
  <c r="G24" i="15"/>
  <c r="F24" i="15"/>
  <c r="E24" i="15"/>
  <c r="D24" i="15"/>
  <c r="C24" i="15"/>
  <c r="B24" i="15"/>
  <c r="O22" i="6" s="1"/>
  <c r="N23" i="15"/>
  <c r="M23" i="15"/>
  <c r="L23" i="15"/>
  <c r="K23" i="15"/>
  <c r="J23" i="15"/>
  <c r="I23" i="15"/>
  <c r="H23" i="15"/>
  <c r="G23" i="15"/>
  <c r="F23" i="15"/>
  <c r="E23" i="15"/>
  <c r="D23" i="15"/>
  <c r="C23" i="15"/>
  <c r="B23" i="15"/>
  <c r="N22" i="15"/>
  <c r="M22" i="15"/>
  <c r="L22" i="15"/>
  <c r="K22" i="15"/>
  <c r="J22" i="15"/>
  <c r="I22" i="15"/>
  <c r="H22" i="15"/>
  <c r="G22" i="15"/>
  <c r="F22" i="15"/>
  <c r="E22" i="15"/>
  <c r="D22" i="15"/>
  <c r="C22" i="15"/>
  <c r="B22" i="15"/>
  <c r="N21" i="15"/>
  <c r="M21" i="15"/>
  <c r="L21" i="15"/>
  <c r="K21" i="15"/>
  <c r="J21" i="15"/>
  <c r="I21" i="15"/>
  <c r="H21" i="15"/>
  <c r="G21" i="15"/>
  <c r="F21" i="15"/>
  <c r="E21" i="15"/>
  <c r="D21" i="15"/>
  <c r="C21" i="15"/>
  <c r="B21" i="15"/>
  <c r="N20" i="15"/>
  <c r="N26" i="15" s="1"/>
  <c r="M20" i="15"/>
  <c r="M26" i="15" s="1"/>
  <c r="L20" i="15"/>
  <c r="L26" i="15" s="1"/>
  <c r="K20" i="15"/>
  <c r="K26" i="15" s="1"/>
  <c r="J20" i="15"/>
  <c r="J26" i="15" s="1"/>
  <c r="I20" i="15"/>
  <c r="H20" i="15"/>
  <c r="G20" i="15"/>
  <c r="F20" i="15"/>
  <c r="E20" i="15"/>
  <c r="D20" i="15"/>
  <c r="C20" i="15"/>
  <c r="C26" i="15" s="1"/>
  <c r="B20" i="15"/>
  <c r="B26" i="15" s="1"/>
  <c r="N17" i="15"/>
  <c r="M17" i="15"/>
  <c r="L17" i="15"/>
  <c r="K17" i="15"/>
  <c r="J17" i="15"/>
  <c r="I17" i="15"/>
  <c r="H17" i="15"/>
  <c r="G17" i="15"/>
  <c r="F17" i="15"/>
  <c r="E17" i="15"/>
  <c r="D17" i="15"/>
  <c r="C17" i="15"/>
  <c r="B17" i="15"/>
  <c r="N8" i="15"/>
  <c r="M8" i="15"/>
  <c r="L8" i="15"/>
  <c r="K8" i="15"/>
  <c r="J8" i="15"/>
  <c r="I8" i="15"/>
  <c r="H8" i="15"/>
  <c r="G8" i="15"/>
  <c r="F8" i="15"/>
  <c r="E8" i="15"/>
  <c r="D8" i="15"/>
  <c r="C8" i="15"/>
  <c r="B8" i="15"/>
  <c r="O23" i="6"/>
  <c r="O11" i="6" l="1"/>
  <c r="O15" i="6"/>
  <c r="O20" i="6"/>
  <c r="I26" i="15"/>
  <c r="H26" i="15"/>
  <c r="G26" i="15"/>
  <c r="F26" i="15"/>
  <c r="E26" i="15"/>
  <c r="D26" i="15"/>
  <c r="O19" i="6"/>
  <c r="O18" i="6"/>
  <c r="O16" i="6"/>
  <c r="O24" i="6" l="1"/>
  <c r="C33" i="9" l="1"/>
  <c r="D33" i="9" s="1"/>
  <c r="G33" i="9" s="1"/>
  <c r="E35" i="9"/>
  <c r="F35" i="9" s="1"/>
  <c r="E15" i="9"/>
  <c r="E16" i="9" s="1"/>
  <c r="G14" i="9"/>
  <c r="C35" i="9" l="1"/>
  <c r="C36" i="9"/>
  <c r="C39" i="9"/>
  <c r="C40" i="9"/>
  <c r="C37" i="9"/>
  <c r="C41" i="9"/>
  <c r="C38" i="9"/>
  <c r="C42" i="9"/>
  <c r="C43" i="9"/>
  <c r="C44" i="9"/>
  <c r="E36" i="9"/>
  <c r="E37" i="9" s="1"/>
  <c r="C45" i="9"/>
  <c r="F15" i="9"/>
  <c r="G15" i="9" s="1"/>
  <c r="C46" i="9"/>
  <c r="F37" i="9"/>
  <c r="E38" i="9"/>
  <c r="F36" i="9"/>
  <c r="E17" i="9"/>
  <c r="F16" i="9"/>
  <c r="G16" i="9" s="1"/>
  <c r="E39" i="9" l="1"/>
  <c r="F38" i="9"/>
  <c r="F17" i="9"/>
  <c r="G17" i="9" s="1"/>
  <c r="E18" i="9"/>
  <c r="E40" i="9" l="1"/>
  <c r="F39" i="9"/>
  <c r="E19" i="9"/>
  <c r="F18" i="9"/>
  <c r="G18" i="9" s="1"/>
  <c r="F40" i="9" l="1"/>
  <c r="E41" i="9"/>
  <c r="E20" i="9"/>
  <c r="F19" i="9"/>
  <c r="G19" i="9" s="1"/>
  <c r="E42" i="9" l="1"/>
  <c r="F41" i="9"/>
  <c r="F20" i="9"/>
  <c r="G20" i="9" s="1"/>
  <c r="E21" i="9"/>
  <c r="E43" i="9" l="1"/>
  <c r="F42" i="9"/>
  <c r="F21" i="9"/>
  <c r="G21" i="9" s="1"/>
  <c r="E22" i="9"/>
  <c r="E44" i="9" l="1"/>
  <c r="F43" i="9"/>
  <c r="E23" i="9"/>
  <c r="F22" i="9"/>
  <c r="G22" i="9" s="1"/>
  <c r="E45" i="9" l="1"/>
  <c r="F44" i="9"/>
  <c r="F23" i="9"/>
  <c r="G23" i="9" s="1"/>
  <c r="E24" i="9"/>
  <c r="E46" i="9" l="1"/>
  <c r="F46" i="9" s="1"/>
  <c r="F45" i="9"/>
  <c r="F24" i="9"/>
  <c r="G24" i="9" s="1"/>
  <c r="E25" i="9"/>
  <c r="E26" i="9" l="1"/>
  <c r="F26" i="9" s="1"/>
  <c r="G26" i="9" s="1"/>
  <c r="F25" i="9"/>
  <c r="G25" i="9" s="1"/>
  <c r="A29" i="10" l="1"/>
  <c r="A30" i="10" s="1"/>
  <c r="A27" i="6"/>
  <c r="A28" i="6"/>
  <c r="A29" i="6"/>
  <c r="A30" i="6" s="1"/>
  <c r="A31" i="6" s="1"/>
  <c r="A26" i="6"/>
  <c r="G42" i="2" l="1"/>
  <c r="A13" i="13" l="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2" i="13" s="1"/>
  <c r="A53" i="13" s="1"/>
  <c r="A54" i="13" s="1"/>
  <c r="A55" i="13" s="1"/>
  <c r="A56" i="13" s="1"/>
  <c r="A57" i="13" s="1"/>
  <c r="A58" i="13" s="1"/>
  <c r="A59" i="13" s="1"/>
  <c r="A60" i="13" s="1"/>
  <c r="A61" i="13" s="1"/>
  <c r="A62" i="13" s="1"/>
  <c r="A63" i="13" s="1"/>
  <c r="A64" i="13" s="1"/>
  <c r="A65" i="13" s="1"/>
  <c r="A75" i="13" s="1"/>
  <c r="A76" i="13" s="1"/>
  <c r="A77" i="13" s="1"/>
  <c r="A78" i="13" s="1"/>
  <c r="A79" i="13" s="1"/>
  <c r="A80" i="13" s="1"/>
  <c r="A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A105" i="13" s="1"/>
  <c r="A106" i="13" s="1"/>
  <c r="A107" i="13" s="1"/>
  <c r="A108" i="13" s="1"/>
  <c r="A109" i="13" s="1"/>
  <c r="A110" i="13" s="1"/>
  <c r="A111" i="13" s="1"/>
  <c r="A112" i="13" s="1"/>
  <c r="A113" i="13" s="1"/>
  <c r="A114" i="13" s="1"/>
  <c r="A115" i="13" s="1"/>
  <c r="A116" i="13" s="1"/>
  <c r="D14" i="13"/>
  <c r="D26" i="13"/>
  <c r="C37" i="13"/>
  <c r="D88" i="13"/>
  <c r="A125" i="13"/>
  <c r="A126" i="13" s="1"/>
  <c r="A127" i="13" s="1"/>
  <c r="A128" i="13" s="1"/>
  <c r="A129" i="13" s="1"/>
  <c r="A130" i="13" s="1"/>
  <c r="A131" i="13" s="1"/>
  <c r="A132" i="13" s="1"/>
  <c r="A133" i="13" s="1"/>
  <c r="A134" i="13" s="1"/>
  <c r="A135" i="13" s="1"/>
  <c r="A136" i="13" s="1"/>
  <c r="A137" i="13" s="1"/>
  <c r="A138" i="13" s="1"/>
  <c r="A139" i="13" s="1"/>
  <c r="A140" i="13" s="1"/>
  <c r="A141" i="13" s="1"/>
  <c r="A142" i="13" s="1"/>
  <c r="A143" i="13" s="1"/>
  <c r="A144" i="13" s="1"/>
  <c r="A145" i="13" s="1"/>
  <c r="A146" i="13" s="1"/>
  <c r="A147" i="13" s="1"/>
  <c r="A148" i="13" s="1"/>
  <c r="A149" i="13" s="1"/>
  <c r="A150" i="13" s="1"/>
  <c r="A151" i="13" s="1"/>
  <c r="A152" i="13" s="1"/>
  <c r="A153" i="13" s="1"/>
  <c r="A154" i="13" s="1"/>
  <c r="A155" i="13" s="1"/>
  <c r="A156" i="13" s="1"/>
  <c r="A157" i="13" s="1"/>
  <c r="A158" i="13" s="1"/>
  <c r="A159" i="13" s="1"/>
  <c r="A160" i="13" s="1"/>
  <c r="A161" i="13" s="1"/>
  <c r="A162" i="13" s="1"/>
  <c r="A163" i="13" s="1"/>
  <c r="A164" i="13" s="1"/>
  <c r="A165" i="13" s="1"/>
  <c r="A166" i="13" s="1"/>
  <c r="A167" i="13" s="1"/>
  <c r="A168" i="13" s="1"/>
  <c r="A169" i="13" s="1"/>
  <c r="A170" i="13" s="1"/>
  <c r="A171" i="13" s="1"/>
  <c r="A172" i="13" s="1"/>
  <c r="A173" i="13" s="1"/>
  <c r="A174" i="13" s="1"/>
  <c r="A175" i="13" s="1"/>
  <c r="A176" i="13" s="1"/>
  <c r="A177" i="13" s="1"/>
  <c r="A178" i="13" s="1"/>
  <c r="A179" i="13" s="1"/>
  <c r="A180" i="13" s="1"/>
  <c r="A181" i="13" s="1"/>
  <c r="A182" i="13" s="1"/>
  <c r="A183" i="13" s="1"/>
  <c r="A184" i="13" s="1"/>
  <c r="A185" i="13" s="1"/>
  <c r="A186" i="13" s="1"/>
  <c r="A187" i="13" s="1"/>
  <c r="G45" i="2" l="1"/>
  <c r="G16" i="11" l="1"/>
  <c r="A11" i="11"/>
  <c r="A12" i="11" s="1"/>
  <c r="A13" i="11" s="1"/>
  <c r="A14" i="11" s="1"/>
  <c r="A15" i="11" s="1"/>
  <c r="A16" i="11" s="1"/>
  <c r="A12" i="10"/>
  <c r="A13" i="10" s="1"/>
  <c r="A14" i="10" s="1"/>
  <c r="A15" i="10" s="1"/>
  <c r="A16" i="10" s="1"/>
  <c r="A17" i="10" s="1"/>
  <c r="A18" i="10" s="1"/>
  <c r="A19" i="10" s="1"/>
  <c r="A20" i="10" s="1"/>
  <c r="A21" i="10" s="1"/>
  <c r="A22" i="10" s="1"/>
  <c r="A23" i="10" s="1"/>
  <c r="A24" i="10" s="1"/>
  <c r="A25" i="10" s="1"/>
  <c r="A26" i="10" s="1"/>
  <c r="A27" i="10" s="1"/>
  <c r="A28" i="10" s="1"/>
  <c r="A13" i="9" l="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D30" i="1" l="1"/>
  <c r="D22" i="1"/>
  <c r="D24" i="1" s="1"/>
  <c r="D13" i="1"/>
  <c r="F114" i="2"/>
  <c r="F115" i="2" s="1"/>
  <c r="E42" i="2"/>
  <c r="E31" i="2"/>
  <c r="G20" i="2"/>
  <c r="E16" i="2"/>
  <c r="A25" i="6"/>
  <c r="G25" i="2" l="1"/>
  <c r="E45" i="2"/>
  <c r="E20" i="2"/>
  <c r="G33" i="2" l="1"/>
  <c r="E25" i="2"/>
  <c r="H117" i="1"/>
  <c r="H118" i="1" s="1"/>
  <c r="G37" i="2" l="1"/>
  <c r="G47" i="2"/>
  <c r="E33" i="2"/>
  <c r="E37" i="2" l="1"/>
  <c r="E47" i="2"/>
  <c r="G27" i="9" l="1"/>
  <c r="D35" i="9" l="1"/>
  <c r="G35" i="9" s="1"/>
  <c r="D36" i="9"/>
  <c r="G36" i="9" s="1"/>
  <c r="D37" i="9"/>
  <c r="G37" i="9" s="1"/>
  <c r="D38" i="9"/>
  <c r="G38" i="9" s="1"/>
  <c r="D39" i="9"/>
  <c r="G39" i="9" s="1"/>
  <c r="D40" i="9"/>
  <c r="G40" i="9" s="1"/>
  <c r="D41" i="9"/>
  <c r="G41" i="9" s="1"/>
  <c r="D42" i="9"/>
  <c r="G42" i="9" s="1"/>
  <c r="D43" i="9"/>
  <c r="G43" i="9" s="1"/>
  <c r="D44" i="9"/>
  <c r="G44" i="9" s="1"/>
  <c r="D45" i="9"/>
  <c r="G45" i="9" s="1"/>
  <c r="D46" i="9"/>
  <c r="G46" i="9" s="1"/>
  <c r="G47"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<sst xmlns="http://schemas.openxmlformats.org/spreadsheetml/2006/main" count="754" uniqueCount="500">
  <si>
    <t>Workpaper 1</t>
  </si>
  <si>
    <t>Administrative and General Expenses</t>
  </si>
  <si>
    <t>Black Hills Power, Inc.</t>
  </si>
  <si>
    <t>Line</t>
  </si>
  <si>
    <t>Form No. 1</t>
  </si>
  <si>
    <t>No.</t>
  </si>
  <si>
    <t>Page, Line, Col.</t>
  </si>
  <si>
    <t>Company Total</t>
  </si>
  <si>
    <t>EPRI Annual Membership Dues</t>
  </si>
  <si>
    <t>335.1.b</t>
  </si>
  <si>
    <t>Regulatory Commission Expenses</t>
  </si>
  <si>
    <t>Account No. 930.1</t>
  </si>
  <si>
    <t>323.191.b</t>
  </si>
  <si>
    <t xml:space="preserve">Less: Safety Related Advertising </t>
  </si>
  <si>
    <t>EPRI &amp; Reg. Comm. Exp. &amp; Non-safety Ad. (Note I)</t>
  </si>
  <si>
    <t>Transmission Related Regulatory Expense</t>
  </si>
  <si>
    <t>Reserved for future use in the event of a rate case</t>
  </si>
  <si>
    <t>Total</t>
  </si>
  <si>
    <t>Transmission Related Regulatory Expense    (Note I)</t>
  </si>
  <si>
    <t>are safety related advertising.</t>
  </si>
  <si>
    <t>TP</t>
  </si>
  <si>
    <t>Workpaper 4</t>
  </si>
  <si>
    <t>(a)</t>
  </si>
  <si>
    <t>(b)</t>
  </si>
  <si>
    <t>Actual</t>
  </si>
  <si>
    <t>Account</t>
  </si>
  <si>
    <t>Description</t>
  </si>
  <si>
    <t>Actual Cost</t>
  </si>
  <si>
    <t xml:space="preserve"> Accum Depr.</t>
  </si>
  <si>
    <t>230KV Towers and Fixtures</t>
  </si>
  <si>
    <t>230KV Poles and Fixtures</t>
  </si>
  <si>
    <t>230KV Overhead Conductors</t>
  </si>
  <si>
    <t>Road/Trails</t>
  </si>
  <si>
    <t xml:space="preserve">   Subtotal</t>
  </si>
  <si>
    <t>230 KV Substation Equipment</t>
  </si>
  <si>
    <t>230 KV Substation Structures</t>
  </si>
  <si>
    <t xml:space="preserve">  Total 230KV</t>
  </si>
  <si>
    <t>230 KV Lines</t>
  </si>
  <si>
    <t>230 KV Substations</t>
  </si>
  <si>
    <t>TOTAL 230 KV</t>
  </si>
  <si>
    <t>69KV Common Use AC Facilities</t>
  </si>
  <si>
    <t xml:space="preserve">   Subtotal for 69KV Lines</t>
  </si>
  <si>
    <t>Total Transmission Classification</t>
  </si>
  <si>
    <t>Total Transmission per FERC Form 1 (207.58.g) (219.25.b)</t>
  </si>
  <si>
    <t>Amount excluded from the CUS</t>
  </si>
  <si>
    <t>230/69KV Common Use AC Transformers</t>
  </si>
  <si>
    <t>Total 69KV Common Use AC Facilities</t>
  </si>
  <si>
    <t>Total Distribution Plant per FERC Form 1 (207.75.g) (219.26.b)</t>
  </si>
  <si>
    <t>Amount excluded  from the CUS</t>
  </si>
  <si>
    <t>Total CUS System</t>
  </si>
  <si>
    <t>Actual PBOP expense</t>
  </si>
  <si>
    <t>Company Records</t>
  </si>
  <si>
    <t>Notes:</t>
  </si>
  <si>
    <t>Account No. 920</t>
  </si>
  <si>
    <t>Account No. 926</t>
  </si>
  <si>
    <r>
      <t>Company Records</t>
    </r>
    <r>
      <rPr>
        <vertAlign val="superscript"/>
        <sz val="10"/>
        <rFont val="Arial"/>
        <family val="2"/>
      </rPr>
      <t>1</t>
    </r>
  </si>
  <si>
    <r>
      <t>Company Records</t>
    </r>
    <r>
      <rPr>
        <vertAlign val="superscript"/>
        <sz val="10"/>
        <rFont val="Arial"/>
        <family val="2"/>
      </rPr>
      <t>2</t>
    </r>
  </si>
  <si>
    <t>1 - For FERC account no. 930.1, the Company reviews all entries and identifies those that</t>
  </si>
  <si>
    <t>2 - For FERC account nos. 920 and 926, the Company reviews all entries and identifies the</t>
  </si>
  <si>
    <t>PBOP expenses to be removed from A&amp;G.</t>
  </si>
  <si>
    <t>Note:</t>
  </si>
  <si>
    <t>This schedule reflects the transmission and distribution plant determined by Commission order to be</t>
  </si>
  <si>
    <t xml:space="preserve">  FERC Docket No. ER08-1584, the docket that established this formula rate.</t>
  </si>
  <si>
    <t xml:space="preserve">  state-jurisdictional and removed from Common Use Facilities. The jurisdictional split was established in</t>
  </si>
  <si>
    <t>Form 1 Reference</t>
  </si>
  <si>
    <t>Per Tariff and As Filed</t>
  </si>
  <si>
    <t>Updated Reference (Note 3)</t>
  </si>
  <si>
    <t>(1)</t>
  </si>
  <si>
    <t>(2)</t>
  </si>
  <si>
    <t>RATE BASE:</t>
  </si>
  <si>
    <t>GROSS PLANT IN SERVICE</t>
  </si>
  <si>
    <t>(Note H)</t>
  </si>
  <si>
    <t xml:space="preserve">  Production</t>
  </si>
  <si>
    <t>205.46.g</t>
  </si>
  <si>
    <t xml:space="preserve">  Transmission</t>
  </si>
  <si>
    <t>207.58.g</t>
  </si>
  <si>
    <t xml:space="preserve">  Distribution</t>
  </si>
  <si>
    <t>207.75.g</t>
  </si>
  <si>
    <t xml:space="preserve">  General &amp; Intangible</t>
  </si>
  <si>
    <t xml:space="preserve">  Allocated Plant</t>
  </si>
  <si>
    <t xml:space="preserve">  Communication System</t>
  </si>
  <si>
    <t xml:space="preserve">  Common</t>
  </si>
  <si>
    <t>356.1</t>
  </si>
  <si>
    <t>TOTAL GROSS PLANT</t>
  </si>
  <si>
    <t>ACCUMULATED DEPRECIATION</t>
  </si>
  <si>
    <t>219.20-24.c</t>
  </si>
  <si>
    <t>219.25.c</t>
  </si>
  <si>
    <t>219.26.c</t>
  </si>
  <si>
    <t xml:space="preserve">TOTAL ACCUM. DEPRECIATION </t>
  </si>
  <si>
    <t xml:space="preserve"> </t>
  </si>
  <si>
    <t>NET PLANT IN SERVICE</t>
  </si>
  <si>
    <t xml:space="preserve">  Distribution </t>
  </si>
  <si>
    <t xml:space="preserve">TOTAL NET PLANT </t>
  </si>
  <si>
    <t xml:space="preserve">ADJUSTMENTS TO RATE BASE      </t>
  </si>
  <si>
    <t xml:space="preserve">  Account No. 281 (enter negative)</t>
  </si>
  <si>
    <t>273.8.k</t>
  </si>
  <si>
    <t xml:space="preserve">  Account No. 282 (enter negative)</t>
  </si>
  <si>
    <t>275.2.k</t>
  </si>
  <si>
    <t xml:space="preserve">  Account No. 283 (enter negative)</t>
  </si>
  <si>
    <t>277.9.k</t>
  </si>
  <si>
    <t xml:space="preserve">  Account No. 190 </t>
  </si>
  <si>
    <t>234.8.c</t>
  </si>
  <si>
    <t xml:space="preserve">  Account No. 255 (enter negative)</t>
  </si>
  <si>
    <t>267.8.h</t>
  </si>
  <si>
    <t xml:space="preserve">  FAS 109 Adjustment</t>
  </si>
  <si>
    <t>(232.1.f - 278.1.f - 278.3.f)*.35</t>
  </si>
  <si>
    <t>TOTAL ADJUSTMENTS</t>
  </si>
  <si>
    <t xml:space="preserve">LAND HELD FOR FUTURE USE </t>
  </si>
  <si>
    <t>214.x.d  (Notes B &amp; H)</t>
  </si>
  <si>
    <t>WORKING CAPITAL  (Notes C &amp; H)</t>
  </si>
  <si>
    <t xml:space="preserve">  CWC  </t>
  </si>
  <si>
    <t xml:space="preserve">  Materials &amp; Supplies</t>
  </si>
  <si>
    <t>227.5.c</t>
  </si>
  <si>
    <t>227.8.c</t>
  </si>
  <si>
    <t xml:space="preserve">  Prepayments (Account 165)</t>
  </si>
  <si>
    <t xml:space="preserve">TOTAL WORKING CAPITAL </t>
  </si>
  <si>
    <t xml:space="preserve">TRANSMISSION RATE BASE </t>
  </si>
  <si>
    <t>Updated Reference</t>
  </si>
  <si>
    <t>O&amp;M</t>
  </si>
  <si>
    <t xml:space="preserve">  Transmission </t>
  </si>
  <si>
    <t>321.112.b</t>
  </si>
  <si>
    <t xml:space="preserve">    Less: Account 565 and 561</t>
  </si>
  <si>
    <t>321.85-92.b &amp; 96.b</t>
  </si>
  <si>
    <t xml:space="preserve">  A&amp;G</t>
  </si>
  <si>
    <t>323.194.b</t>
  </si>
  <si>
    <t xml:space="preserve">    Less FERC Annual Fees  (Note D)</t>
  </si>
  <si>
    <t>350.1.b</t>
  </si>
  <si>
    <t xml:space="preserve">    Plus:  Fixed PBOP expense</t>
  </si>
  <si>
    <t xml:space="preserve"> (Note I)</t>
  </si>
  <si>
    <t xml:space="preserve">    Less:  Actual PBOP expense</t>
  </si>
  <si>
    <t xml:space="preserve"> (Company Records)</t>
  </si>
  <si>
    <t xml:space="preserve">    Less: EPRI &amp; Reg. Comm. Exp. &amp; Non-safety  Ad. (Note E)</t>
  </si>
  <si>
    <t xml:space="preserve">    Plus Transmission Related Reg. Comm.  Exp. (Note E)</t>
  </si>
  <si>
    <t>DEPRECIATION EXPENSE  (Note I)</t>
  </si>
  <si>
    <t>336.7.b</t>
  </si>
  <si>
    <t xml:space="preserve">  General &amp; intangible</t>
  </si>
  <si>
    <t>336.10.b &amp; 336.1.d&amp;e</t>
  </si>
  <si>
    <t>336.11.b</t>
  </si>
  <si>
    <t>TAXES OTHER THAN INCOME TAXES  (Note F)</t>
  </si>
  <si>
    <t xml:space="preserve">  LABOR RELATED</t>
  </si>
  <si>
    <t xml:space="preserve">          Payroll</t>
  </si>
  <si>
    <t xml:space="preserve">          Highway and vehicle</t>
  </si>
  <si>
    <t>263.i</t>
  </si>
  <si>
    <t xml:space="preserve">  PLANT RELATED</t>
  </si>
  <si>
    <t xml:space="preserve">         Property</t>
  </si>
  <si>
    <t>263.23i</t>
  </si>
  <si>
    <t xml:space="preserve">         Gross Receipts</t>
  </si>
  <si>
    <t xml:space="preserve">         Other</t>
  </si>
  <si>
    <t xml:space="preserve">INCOME TAXES          </t>
  </si>
  <si>
    <t xml:space="preserve"> (Note G)</t>
  </si>
  <si>
    <t xml:space="preserve">     T=1 - {[(1 - SIT) * (1 - FIT)] / (1 - SIT * FIT * p)} =</t>
  </si>
  <si>
    <t xml:space="preserve">     CIT=(T/1-T) * (1-(WCLTD/R)) =</t>
  </si>
  <si>
    <t xml:space="preserve">       and FIT, SIT &amp; p are as given in footnote G.</t>
  </si>
  <si>
    <t>Total Income Taxes</t>
  </si>
  <si>
    <t xml:space="preserve">RETURN </t>
  </si>
  <si>
    <t>SUPPORTING CALCULATIONS AND NOTES</t>
  </si>
  <si>
    <t>TRANSMISSION PLANT INCLUDED IN JOINT TARIFF RATES</t>
  </si>
  <si>
    <t xml:space="preserve">Total transmission plant </t>
  </si>
  <si>
    <t xml:space="preserve">Less transmission plant excluded from Common Use Facilities </t>
  </si>
  <si>
    <t xml:space="preserve">Less transmission plant included in Ancillary Services </t>
  </si>
  <si>
    <t>See note 1 below</t>
  </si>
  <si>
    <t>DISTRIBUTION PLANT INCLUDED IN JOINT TARIFF RATES</t>
  </si>
  <si>
    <t xml:space="preserve">Total distribution plant    </t>
  </si>
  <si>
    <t xml:space="preserve">Less distribution plant excluded from Common Use Facilities </t>
  </si>
  <si>
    <t xml:space="preserve">Less distribution plant included in Ancillary Services </t>
  </si>
  <si>
    <t>Total Transmission Accumulated Depreciation</t>
  </si>
  <si>
    <t>Total Distribution Accumulated Depreciation</t>
  </si>
  <si>
    <t>Less distribution accumulated depreciation excluded from Common Use Facilities (Company Records)</t>
  </si>
  <si>
    <t>WAGES &amp; SALARY ALLOCATOR   (W&amp;S)</t>
  </si>
  <si>
    <t>354.21.b</t>
  </si>
  <si>
    <t xml:space="preserve">  Total Wages Expense</t>
  </si>
  <si>
    <t>354.28.b</t>
  </si>
  <si>
    <t xml:space="preserve">  Less:  A&amp;G Wages</t>
  </si>
  <si>
    <t>354.27.b</t>
  </si>
  <si>
    <t>TRANSMISSION &amp; DISTRIBUTION ALLOCATOR (T&amp;D)</t>
  </si>
  <si>
    <t>Transmission Net Plant</t>
  </si>
  <si>
    <t>Distribution Net Plant</t>
  </si>
  <si>
    <t>RETURN (R)</t>
  </si>
  <si>
    <t>Long Term Interest</t>
  </si>
  <si>
    <t>117, sum of 62.c through 66.c</t>
  </si>
  <si>
    <t>Preferred Dividends</t>
  </si>
  <si>
    <t>118.29.c (positive number)</t>
  </si>
  <si>
    <t>Development of Common Stock:</t>
  </si>
  <si>
    <t>Proprietary Capital</t>
  </si>
  <si>
    <t>112.16.c</t>
  </si>
  <si>
    <t>Less:  Preferred Stock</t>
  </si>
  <si>
    <t>112.3.c</t>
  </si>
  <si>
    <t>Less:  Undistributed Earnings</t>
  </si>
  <si>
    <t>112.12.c (enter negative)</t>
  </si>
  <si>
    <t>Less:  Accum Other Comp Inc</t>
  </si>
  <si>
    <t>112.15.c (enter negative)</t>
  </si>
  <si>
    <t xml:space="preserve">   Adjusted Common Stock</t>
  </si>
  <si>
    <t xml:space="preserve">  Long Term Debt</t>
  </si>
  <si>
    <t xml:space="preserve">112.24.c </t>
  </si>
  <si>
    <t xml:space="preserve">  Preferred Stock </t>
  </si>
  <si>
    <t xml:space="preserve">  Adjusted Common Stock</t>
  </si>
  <si>
    <t>NOTES:</t>
  </si>
  <si>
    <t>1 - There are no transmission and distribution plant included in the OATT ancillary services rates which needs to be removed from Common Use Facilities.</t>
  </si>
  <si>
    <t>3 - Items in the Updated Reference column highlighted in gray did not change from the Tariff and As Filed column.</t>
  </si>
  <si>
    <t>Cost of Service Formula Reference Changes</t>
  </si>
  <si>
    <t>2 - Communication System - Plant Accounts 397</t>
  </si>
  <si>
    <t>13 month average</t>
  </si>
  <si>
    <t>Intangible Plant</t>
  </si>
  <si>
    <t>System</t>
  </si>
  <si>
    <t>Electric</t>
  </si>
  <si>
    <t>Date</t>
  </si>
  <si>
    <t xml:space="preserve">Total General and  </t>
  </si>
  <si>
    <t>Communication</t>
  </si>
  <si>
    <t xml:space="preserve">General Plant  </t>
  </si>
  <si>
    <t>(b) + (c)</t>
  </si>
  <si>
    <r>
      <t>(c)</t>
    </r>
    <r>
      <rPr>
        <sz val="12"/>
        <rFont val="Calibri"/>
        <family val="2"/>
      </rPr>
      <t>₂</t>
    </r>
  </si>
  <si>
    <r>
      <t>(b)</t>
    </r>
    <r>
      <rPr>
        <sz val="12"/>
        <rFont val="Calibri"/>
        <family val="2"/>
      </rPr>
      <t>₁</t>
    </r>
  </si>
  <si>
    <t>General Plant Accumulated Depreciation by Plant Account</t>
  </si>
  <si>
    <t>WORKPAPER 9</t>
  </si>
  <si>
    <t>321.84-92.b &amp; 96.b</t>
  </si>
  <si>
    <t>263.3i, 263.4i, 263.12i</t>
  </si>
  <si>
    <r>
      <t>(e)</t>
    </r>
    <r>
      <rPr>
        <vertAlign val="subscript"/>
        <sz val="10"/>
        <rFont val="Arial"/>
        <family val="2"/>
      </rPr>
      <t>4</t>
    </r>
  </si>
  <si>
    <r>
      <t>(d)</t>
    </r>
    <r>
      <rPr>
        <vertAlign val="subscript"/>
        <sz val="10"/>
        <rFont val="Arial"/>
        <family val="2"/>
      </rPr>
      <t>3</t>
    </r>
  </si>
  <si>
    <t>Horizon Point</t>
  </si>
  <si>
    <t>3 - Horizon Point Building - From Company Records</t>
  </si>
  <si>
    <t>WORKPAPER 8</t>
  </si>
  <si>
    <t>Accumulated Deferred Income Taxes</t>
  </si>
  <si>
    <t>(c)</t>
  </si>
  <si>
    <t>(d)</t>
  </si>
  <si>
    <t>(e)</t>
  </si>
  <si>
    <t>(f)</t>
  </si>
  <si>
    <t>Transmission</t>
  </si>
  <si>
    <t>Remaining</t>
  </si>
  <si>
    <t>(c ) * (e )</t>
  </si>
  <si>
    <t xml:space="preserve">Year </t>
  </si>
  <si>
    <t xml:space="preserve">Activity </t>
  </si>
  <si>
    <t>Activity</t>
  </si>
  <si>
    <t>Days</t>
  </si>
  <si>
    <t>Ratio</t>
  </si>
  <si>
    <t xml:space="preserve">Pro-rata ADIT Activity </t>
  </si>
  <si>
    <t>Account No. 282</t>
  </si>
  <si>
    <t>Balance</t>
  </si>
  <si>
    <t>Total Transmission Acct 282 (to be entered on ATRR, line 37 column (5))</t>
  </si>
  <si>
    <t>1 - Line 1 represents the beginning balance of transmission portion of Account 282. It is total company Account 282 balance on Schedule BHP-11, line 32 column (b) times Net Plant allocator on Estimated Service Year ATRR, line 37 column (4).</t>
  </si>
  <si>
    <t>2 - Column (b) is current month change in ADIT balance.</t>
  </si>
  <si>
    <t>3 - Column (c) is transmission portion of current monthly activity.</t>
  </si>
  <si>
    <t>4 - Column (d) is number of days remaining in year as of and including the last day of the month.</t>
  </si>
  <si>
    <t>WORKPAPER 10</t>
  </si>
  <si>
    <t>General Plant Plant In Service by Plant Account</t>
  </si>
  <si>
    <t>WORKPAPER 11</t>
  </si>
  <si>
    <t>Property Tax Adjustment for Horizon Point</t>
  </si>
  <si>
    <t>( c)</t>
  </si>
  <si>
    <t>Reference</t>
  </si>
  <si>
    <t>Amount</t>
  </si>
  <si>
    <t>Accrued Utility SD</t>
  </si>
  <si>
    <t>Property Tax Expense Total</t>
  </si>
  <si>
    <t>Less: Horizon Point Op Unit 801117 (enter negative)</t>
  </si>
  <si>
    <t>Property Tax Expense less Horizon Point</t>
  </si>
  <si>
    <t>Sum Lines 1 to 5</t>
  </si>
  <si>
    <t>WORKPAPER 12</t>
  </si>
  <si>
    <t>ADIT Adjustment for Horizon Point</t>
  </si>
  <si>
    <t>Beginning Balance</t>
  </si>
  <si>
    <t>Ending Balance</t>
  </si>
  <si>
    <t>Average Balance</t>
  </si>
  <si>
    <t>Account No. 282 (enter negative)</t>
  </si>
  <si>
    <t>113.63.c</t>
  </si>
  <si>
    <t xml:space="preserve">  Less:</t>
  </si>
  <si>
    <t>Net Account No. 282</t>
  </si>
  <si>
    <t>Line 1 - Line 3</t>
  </si>
  <si>
    <t>AFUDC FAS 109</t>
  </si>
  <si>
    <t>232.1.f</t>
  </si>
  <si>
    <t>Tax Rate</t>
  </si>
  <si>
    <t>Line 11 + Line 12 - Line 13</t>
  </si>
  <si>
    <t>lines 25, 26 &amp; 27</t>
  </si>
  <si>
    <t>line 28</t>
  </si>
  <si>
    <t>112.24.c</t>
  </si>
  <si>
    <t>5 - Column (e ) is Column (d) divided by 366 days (366 days if leap year).</t>
  </si>
  <si>
    <t>323.189.b - 350.1.h</t>
  </si>
  <si>
    <t>Depreciation</t>
  </si>
  <si>
    <t>Adjustment</t>
  </si>
  <si>
    <t>(b) + (c) + (d) - (e)</t>
  </si>
  <si>
    <t>SC Calc</t>
  </si>
  <si>
    <t>5 - Account 254015, which records Excess Deferred Federal Income Tax,  resulting from the change in corporate tax rate from 35% to 21%, is included in the FAS 109.</t>
  </si>
  <si>
    <t xml:space="preserve">4 - Horizon Point is removed from General &amp; Intangible Gross Plant in Service and Accumulated Depreciation. </t>
  </si>
  <si>
    <t>2 - Line 57 column (4) allocator reference should be DA, as the FERC annual charges for the year are assessed directly under this tariff.</t>
  </si>
  <si>
    <t>Total  (sum lines 156-158)</t>
  </si>
  <si>
    <t>(see above line 153)</t>
  </si>
  <si>
    <t>(sum lines 149-152)</t>
  </si>
  <si>
    <t xml:space="preserve">  Total  (sum lines 139 - 140)</t>
  </si>
  <si>
    <t xml:space="preserve">  Adjusted Total  (sum lines 134-135)</t>
  </si>
  <si>
    <t>Percentage of distribution plant accumulated depreciation included in Common Use Facilities (line 127 divided by line 125)</t>
  </si>
  <si>
    <t>Supplemental Schedule, Workpaper 4, line 32(b)</t>
  </si>
  <si>
    <t>Common Use AC Facilities (line 125 less line 126)</t>
  </si>
  <si>
    <t>Supplemental Schedule, Workpaper 4, line 35(b)</t>
  </si>
  <si>
    <t>Percentage of transmission plant accumulated depreciation included in Common Use Facilities (line 119 divided by line 120)</t>
  </si>
  <si>
    <t>Total CUS Accumulated Depreciation (line 115 plus line 118)</t>
  </si>
  <si>
    <t>Total Accumulated Depreciation for the CUS System (line 117 plus line 118)</t>
  </si>
  <si>
    <t>Plus Common Use AC Facilities Accumulated Depreciation (line 127)</t>
  </si>
  <si>
    <t>Total Transmission Accumulated Depreciation included in Common Use Facilities (line 115 - line 113)</t>
  </si>
  <si>
    <t>Supplemental Schedule, Workpaper 4, line 27(b)</t>
  </si>
  <si>
    <t>Column (3) lines 14 - 15</t>
  </si>
  <si>
    <t>Percentage of distribution plant included in Common Use Facilities (line 107 divided by line 110)</t>
  </si>
  <si>
    <t>Supplemental Schedule, Workpaper 4, line 32(a)</t>
  </si>
  <si>
    <t>Common Use AC Facilities (line 107 less lines 108 &amp; 109)</t>
  </si>
  <si>
    <t>Supplemental Schedule, Workpaper 4, line 35(a)</t>
  </si>
  <si>
    <t>Column (3) line 5</t>
  </si>
  <si>
    <t>Percentage of transmission plant included in Common Use Facilities (line 101 divided by line 102)</t>
  </si>
  <si>
    <t>Total CUS Plant (line 96 plus line 110)</t>
  </si>
  <si>
    <t>Total Gross Plant for the CUS System (line 99 plus line 100)</t>
  </si>
  <si>
    <t>Plus Common Use AC Facilities (line 110)</t>
  </si>
  <si>
    <t>Transmission plant included in Common Use Facilities  (line 96 less lines 97 and 98)</t>
  </si>
  <si>
    <t>Supplemental Schedule, Workpaper 4, line 27(a)</t>
  </si>
  <si>
    <t>Column (3) lines 2 - 4</t>
  </si>
  <si>
    <t>ESTIMATED REVENUE REQUIREMENT  (sum lines 63, 71, 81, 90, 93)</t>
  </si>
  <si>
    <t xml:space="preserve">  [ Rate Base (line 53) * R (line 159)]</t>
  </si>
  <si>
    <t>(line 86 * line 93)</t>
  </si>
  <si>
    <t xml:space="preserve">       where WCLTD=(line 156) and R= (line 159)</t>
  </si>
  <si>
    <t>TOTAL OTHER TAXES  (sum lines 75 - 80)</t>
  </si>
  <si>
    <t>TOTAL DEPRECIATION (Sum lines 66 - 70)</t>
  </si>
  <si>
    <t>(line 4 + line 6) x (BHP-11 Pg.8. Workpaper 5 (line 25))</t>
  </si>
  <si>
    <t>BHP-11 Pg.7. Workpaper 3 (line 23)</t>
  </si>
  <si>
    <t>See Workpaper 3 (line 16)</t>
  </si>
  <si>
    <t xml:space="preserve">  New Construction CUS Assets</t>
  </si>
  <si>
    <t>BHP-11 Pg. 6. Workpaper 2 (line 17)</t>
  </si>
  <si>
    <t>line 2 (207.58.g) x BHP-11 Pg. 8. Workpaper 5 (line 11)</t>
  </si>
  <si>
    <t>TOTAL O&amp;M   (sum lines 54, 56, 58, 61, 62 less lines 55, 57, 59 , 60)</t>
  </si>
  <si>
    <t>Supplemental Schedule, Workpaper 1, line 16</t>
  </si>
  <si>
    <t>(Workpaper 1 line 11)</t>
  </si>
  <si>
    <t>Supplemental Schedule, Workpaper 1, line 5</t>
  </si>
  <si>
    <t>Supplemental Schedule, Workpaper 1, line 22</t>
  </si>
  <si>
    <t>350.1.b, W/S Allocator, see note 2 below</t>
  </si>
  <si>
    <t>(sum lines 33, 42, 44, &amp; 51)</t>
  </si>
  <si>
    <t>(sum lines 47 - 50)</t>
  </si>
  <si>
    <t>111.57.c</t>
  </si>
  <si>
    <t>(1/8 * line 63)</t>
  </si>
  <si>
    <t>214.x.d  (Notes B)</t>
  </si>
  <si>
    <t>(sum lines 36 - 41)</t>
  </si>
  <si>
    <t>(232.1.f - 278.3.f)*.21 (See Note 5 Below)</t>
  </si>
  <si>
    <t>113.57 c</t>
  </si>
  <si>
    <t>111.82 c, Supplemental Schedule, Workpaper 8, line 28(f)</t>
  </si>
  <si>
    <t>113.64 c</t>
  </si>
  <si>
    <t>113.63.c, Supplemental Schedule, Workpaper 8, line 17(f)</t>
  </si>
  <si>
    <t>113.62 c</t>
  </si>
  <si>
    <t>(Note A)</t>
  </si>
  <si>
    <t>(sum lines 24 - 32)</t>
  </si>
  <si>
    <t>(line 9 - line 20)</t>
  </si>
  <si>
    <t>(line 8 - line 19)</t>
  </si>
  <si>
    <t>(line 7 - line 18)</t>
  </si>
  <si>
    <t>(line 6 - line 17)</t>
  </si>
  <si>
    <t>(line 5 - line 16)</t>
  </si>
  <si>
    <t>(line 4)</t>
  </si>
  <si>
    <t>(line 3 - line 15)</t>
  </si>
  <si>
    <t>(line 2 - line 14)</t>
  </si>
  <si>
    <t>(line 1 - line 13)</t>
  </si>
  <si>
    <t>(sum lines 13 - 20)</t>
  </si>
  <si>
    <t>See Workpaper 4 (line 22 col 2)</t>
  </si>
  <si>
    <t>See Workpaper 5 (line 11)</t>
  </si>
  <si>
    <t>See Workpaper 4 (line 24 col 1)</t>
  </si>
  <si>
    <t>BHP-11 Pg.6. Workpaper 2 (line 52)</t>
  </si>
  <si>
    <t xml:space="preserve">  Additional Transmission Depr</t>
  </si>
  <si>
    <t>(sum lines 1 - 9)</t>
  </si>
  <si>
    <t>207.94g</t>
  </si>
  <si>
    <t>See Workpaper 5 (line 5)</t>
  </si>
  <si>
    <t>See Workpaper 4 (line 5 col 1)</t>
  </si>
  <si>
    <t>See Workpaper 3 (line 19 col D)</t>
  </si>
  <si>
    <t>BHP-11 Pg. 6. Workpaper 2 (line 15)</t>
  </si>
  <si>
    <t>BHP-11 Pg. 7. Workpaper 3 (line 19 col D)</t>
  </si>
  <si>
    <t>BHP-11 Pg. 9. Workpaper 6 (line 4, col m) (207.99.g - 207.94.g) (See Note 4 Below)</t>
  </si>
  <si>
    <t>BHP-11 Pg. 9. Workpaper 6 (line 5, col m) (201.13.e + 201.13.f)</t>
  </si>
  <si>
    <t>Supplemental Schedule, Workpaper 9 (line 13, col b) (See Note 4 Below)</t>
  </si>
  <si>
    <t>BHP-11 Pg. 9. Workpaper 6 (line 15, col m) (201.14.e + 201.14.f)</t>
  </si>
  <si>
    <t>Supplemental Schedule, Workpaper 9 (line 13, col c)</t>
  </si>
  <si>
    <t>263.19i</t>
  </si>
  <si>
    <t>Supplemental Schedule, Workpaper 11, line 6</t>
  </si>
  <si>
    <t>263.1l, 263.2l, 263.6l</t>
  </si>
  <si>
    <t>263.l</t>
  </si>
  <si>
    <t>39a</t>
  </si>
  <si>
    <t xml:space="preserve">  EDIT/DDIT (Net) - Transmission Only</t>
  </si>
  <si>
    <t>See Workpaper 8.1 EDIT-DDIT Estimate (line 68, col H)</t>
  </si>
  <si>
    <t>Amortization of EDIT/DDIT (Net) (Note J)</t>
  </si>
  <si>
    <t>See Workpaper 8.1 EDIT-DDIT Estimate (line 63, col H)</t>
  </si>
  <si>
    <t>Service Year</t>
  </si>
  <si>
    <t>Account No. 108</t>
  </si>
  <si>
    <t>(f)6</t>
  </si>
  <si>
    <t>(e)5</t>
  </si>
  <si>
    <t>Right of Use Asset</t>
  </si>
  <si>
    <t>Amortiztion</t>
  </si>
  <si>
    <t>4 - Leased Asset from company records</t>
  </si>
  <si>
    <t>5 - Depreciation adjustment from WP13</t>
  </si>
  <si>
    <t>6 - Total General Intangible Plant - FERC Form 1 219.28c</t>
  </si>
  <si>
    <t>Account No. 101/106</t>
  </si>
  <si>
    <t>1 - General Plant Electric - Plant Accounts 389,390,391,392,393,394, 395, 396, 398</t>
  </si>
  <si>
    <t>4 - Other Tangible Property - FERC Form 1 207.97.g</t>
  </si>
  <si>
    <t>5 - Total General Intangible Plant - FERC Form 1 207.99</t>
  </si>
  <si>
    <t>(f)5</t>
  </si>
  <si>
    <t>Right of Use</t>
  </si>
  <si>
    <t>Asset</t>
  </si>
  <si>
    <t>Book Depreciation</t>
  </si>
  <si>
    <t>Steam Production</t>
  </si>
  <si>
    <t>Other Production</t>
  </si>
  <si>
    <t>Distribution</t>
  </si>
  <si>
    <t>General Plant</t>
  </si>
  <si>
    <t>Total Book Depreciation</t>
  </si>
  <si>
    <t>Ref 219.29.c</t>
  </si>
  <si>
    <t>Adjustment to FERC:</t>
  </si>
  <si>
    <t>Total FERC Adjustments</t>
  </si>
  <si>
    <t>FERC Depreciation</t>
  </si>
  <si>
    <t>Total FERC Depreciation</t>
  </si>
  <si>
    <t>Ref 219.29.c Footnote</t>
  </si>
  <si>
    <t>Account No. 254</t>
  </si>
  <si>
    <t>Total Transmission Acct 254 (to be entered on ATRR, line 39a column (5))</t>
  </si>
  <si>
    <t>Worksheet EDIT-DDIT Annual Tracking</t>
  </si>
  <si>
    <t>Accumulated Excess / Deficient Deferred Income Taxes ("EDIT"/"DDIT") (Note A, H)</t>
  </si>
  <si>
    <t>Actuals - For the 12 months ended 12/31/</t>
  </si>
  <si>
    <t>(a1)</t>
  </si>
  <si>
    <t>(a2)</t>
  </si>
  <si>
    <t>(a3)</t>
  </si>
  <si>
    <t>(g)</t>
  </si>
  <si>
    <t>(h)</t>
  </si>
  <si>
    <t>(i)</t>
  </si>
  <si>
    <t>(j)</t>
  </si>
  <si>
    <t>(k)</t>
  </si>
  <si>
    <t>(l)</t>
  </si>
  <si>
    <t>Line No.</t>
  </si>
  <si>
    <t>Item (Note A1)</t>
  </si>
  <si>
    <t>Vintage</t>
  </si>
  <si>
    <t xml:space="preserve">Form No. 1 Page (Note I)  </t>
  </si>
  <si>
    <t>BOY Balance (Note B)</t>
  </si>
  <si>
    <t>Current Period Amortization (Note C)</t>
  </si>
  <si>
    <t>Current Period Other Activity (Note D)</t>
  </si>
  <si>
    <t>EOY Balance (Note E)</t>
  </si>
  <si>
    <t>Allocator (Note F)</t>
  </si>
  <si>
    <t>BOY Allocated Amount</t>
  </si>
  <si>
    <t>Current Amortization Allocated</t>
  </si>
  <si>
    <t>Current Period Other Activity Allocated</t>
  </si>
  <si>
    <t>EOY Allocated Amount</t>
  </si>
  <si>
    <t>Prorated (Yes/No) (Note G)</t>
  </si>
  <si>
    <t>Amort Period or Method</t>
  </si>
  <si>
    <t>NON PLANT DDIT/(EDIT)</t>
  </si>
  <si>
    <t>Total Non-Protected Non-Property - DDIT</t>
  </si>
  <si>
    <t>2017 TCJA</t>
  </si>
  <si>
    <t>182.3</t>
  </si>
  <si>
    <t>None</t>
  </si>
  <si>
    <t>No</t>
  </si>
  <si>
    <t>N/A</t>
  </si>
  <si>
    <t>…</t>
  </si>
  <si>
    <t>Total Non Plant Non-Protected DDIT/(EDIT)</t>
  </si>
  <si>
    <t>Deferred Tax Liability Non Plant</t>
  </si>
  <si>
    <t>Total Deferred Tax Offset Non Plant</t>
  </si>
  <si>
    <t>Total Non Plant Non-Protected DDIT/(EDIT) (Net of Tax Gross Up)</t>
  </si>
  <si>
    <t>PLANT DDIT/(EDIT)</t>
  </si>
  <si>
    <t>Total Protected Property - EDIT</t>
  </si>
  <si>
    <t>254</t>
  </si>
  <si>
    <t>2017 NP</t>
  </si>
  <si>
    <t>Yes</t>
  </si>
  <si>
    <t>ARAM</t>
  </si>
  <si>
    <t>Total Non-Protected Property - EDIT</t>
  </si>
  <si>
    <t>Accrued EDIT - Formula Rate  (Note K)</t>
  </si>
  <si>
    <t xml:space="preserve">Direct Assigned </t>
  </si>
  <si>
    <t>(Note L)</t>
  </si>
  <si>
    <t>Accrued EDIT - Other (Note M)</t>
  </si>
  <si>
    <t>Total Plant DDIT/(EDIT)</t>
  </si>
  <si>
    <t>Deferred Tax Asset Plant</t>
  </si>
  <si>
    <t>Deferred Tax Asset Plant - Accrued EDIT - Formula Rate (Note K, Note L)</t>
  </si>
  <si>
    <t>Direct Assigned</t>
  </si>
  <si>
    <t>Deferred Tax Asset Plant - Accrued EDIT - Other (Note M)</t>
  </si>
  <si>
    <t>Total Deferred Tax Offset Plant</t>
  </si>
  <si>
    <t>Total Plant DDIT/(EDIT) (Net of Tax Gross Up)</t>
  </si>
  <si>
    <t>TOTALS</t>
  </si>
  <si>
    <t>Total Excess/Deficient Deferred Income Taxes (Note I)</t>
  </si>
  <si>
    <t>Total Deferred Tax Offset</t>
  </si>
  <si>
    <t>Total Excess/Deficient Deferred Income Taxes (Net of Tax Gross Up) (Note J)</t>
  </si>
  <si>
    <t>Total Excess/Deficient Deferred Income Taxes Annual Average</t>
  </si>
  <si>
    <t>Weighted Average EDIT/DDIT Net Plant Allocator</t>
  </si>
  <si>
    <t>A</t>
  </si>
  <si>
    <t xml:space="preserve">Upon a tax rate change, the Company remeasures its deferred tax assets and liabilities to the new applicable corporate tax rate. The result of this remeasurement is a change in the deferred taxes recorded in accounts 190, 282 and 283 with a corresponding change in regulatory assets or liabilities to reflect the impact to customers.  The remeasurement is effectuated mathematically by taking the ADIT balance before the tax rate change and dividing by the prior tax rate to arrive at gross timing differences.  Next, the new tax rate is applied against the balance of gross timing differences.  The difference in the two results is reclassified from ADIT to regulatory assets/liabilities for deficient/excess ADIT.  Accounts 182.3 Regulatory Asset for deficient ADIT and 254 Regulatory Liability for excess ADIT are presented grossed-up for tax purposes as is the amortization. Black Hills Power would follow the process described above to remeasure ADIT balance (increase or decrease) due to any future income tax rate change.  See Wkpr EDIT-DDIT.dtl for detailed derivation.   </t>
  </si>
  <si>
    <t>A1</t>
  </si>
  <si>
    <t>The determination of an item as "Protected" versus "Non-Protected" has been and will be made in accordance with applicable tax code and regulations.</t>
  </si>
  <si>
    <t>B</t>
  </si>
  <si>
    <t>Beginning of Year ("BOY") balance is end of Prior Year balance reflected on FERC Form No. 1 p.232/278</t>
  </si>
  <si>
    <t>C</t>
  </si>
  <si>
    <t>DDIT or EDIT is reduced in the current period under the prescribed  amortization method to account 410.1, Provision for Deferred Income Taxes, Utility Operating Income and 411.1, Provision for Deferred Income Taxes—Credit, Utility Operating Income, respectively.</t>
  </si>
  <si>
    <t>D</t>
  </si>
  <si>
    <t>Includes the impact of tax rate changes enacted during the period.</t>
  </si>
  <si>
    <t>E</t>
  </si>
  <si>
    <t xml:space="preserve">End of Year ("EOY") balance is the end of Current Year balance reflected on FERC Form No. 1. p.232/278. </t>
  </si>
  <si>
    <t>F</t>
  </si>
  <si>
    <t xml:space="preserve">The "2017 NP" allocator is intended to reflect allocation of BHP's net plant and associated excess ADIT among multiple state and federal rate jurisdictions and is intended to be reflective of the 2017 time period. Black Hills Power’s intent is to maintain the same functional breakdown of the Excess Deferred Income Tax flow-back amounts for EDIT arising from the 2017 Tax Cuts and Jobs Act; however column L for the 2017 Tax Cuts and Jobs Acts is data enterable due to a known true-up and correction of net plant percentages which occued in 2020 but is applicable retroactive to year end 2017.  For tax changes other than the 2017 Tax Cuts and Jobs Act, the Company will support its chosen allocation factor for EDIT or DDIT as just and reasonable in its annual update following a change in tax rates.  </t>
  </si>
  <si>
    <t>G</t>
  </si>
  <si>
    <t xml:space="preserve">With respect to Projected Transmission Rate filings, each EDIT/DDIT Item must be categorized into balances that require proration and those that do not.  EDIT/DDIT items with a "Plant" Explanation code are generally subject to proration treatment consistent with the proration treatment of plant related ADIT in Account 282.  </t>
  </si>
  <si>
    <t>H</t>
  </si>
  <si>
    <t xml:space="preserve">In the event the Company populates the data enterable fields for future income tax changes, the Company will support the data entered as just and reasonable in its annual update following a change in tax rates.  </t>
  </si>
  <si>
    <t>I</t>
  </si>
  <si>
    <t xml:space="preserve">The FERC Form No. 1  reference in column (a3) will be populated beginning for the twelve months ending December 31, 2021 (2021 FERC Form 1). Prior to 2021, Black Hills Power net its regulatory assets and regulatory liabilities related to deficient deferred income taxes and excess deferred taxes in account 254 or associated subaccounts.  Beginning in 2021, regulatory assets for deficient deferred income taxes are in account 182.3 and regulatory liabilities for excess deferred income taxes are in account 254.  </t>
  </si>
  <si>
    <t>J</t>
  </si>
  <si>
    <r>
      <t xml:space="preserve">The net amortization of the regulatory liability for excess deferred income taxes in Account 254 and the associated deferred tax asset in Account 190 is a positive number.  The net amortization of the regulatory asset for deficient deferred income taxes in account 182.3 and the associated deferred tax liability in Account 283 is a negative number.  The net amortization of excess deferred income taxes reduces income tax expense by the net amortization amount multiplied by (1/(1-T)) </t>
    </r>
    <r>
      <rPr>
        <sz val="11"/>
        <rFont val="Times New Roman"/>
        <family val="1"/>
      </rPr>
      <t>on Attachment H</t>
    </r>
    <r>
      <rPr>
        <sz val="11"/>
        <color theme="1"/>
        <rFont val="Times New Roman"/>
        <family val="1"/>
      </rPr>
      <t xml:space="preserve">.  The Excess or Deficient ADIT are amortized to Accounts 410.1 / 411.1.  </t>
    </r>
  </si>
  <si>
    <t>K</t>
  </si>
  <si>
    <t>Black Hills Power has retail rate customers in more than one jurisdiction. Black Hills Power began amortizing Total Protected Property - EDIT and Total Non-Protected Property - EDIT that resulted from the 2017 TCJA on January 1, 2018 using the Average Rate Assumption Method ( "ARAM"), as amortization of these amounts via ARAM was approved by the South Dakota Public Utility Commission in Docket No. EL18-029 and the Wyoming Public Utility Commission in Docket No. 20002-114-ER-19).  To address other rate jurisdictions associated with Black Hills Power for which amortization approval had not yet been received (like the Black Hills Power formula rate), the amount of property EDIT amortization attributable to those jurisdictions is reclassified from property EDIT to Total Unrefunded EDIT - Non-Protected.  A portion of the amount reclassified to Total Un-Refunded EDIT-Non-Protected represents EDIT attributable to the BHP transmission formula rate and was determined by application of the 2017 NP allocator. These amounts are included in line 203 above and will be returned to customers through the procedure described below in Note L.</t>
  </si>
  <si>
    <t>L</t>
  </si>
  <si>
    <t xml:space="preserve">The EDIT which is reflected in this line of the Template represents amounts reclassified under the procedure described in Note K above and will be returned to customers in the first annual true-up after approval Black Hills Power's Order 864 compliance filings.   After that time, this line will be no longer used and balances will be zero. </t>
  </si>
  <si>
    <t>M</t>
  </si>
  <si>
    <t>This line has been included in the template so that the total EDIT and DDIT balances in accounts 182.3 and 254 tie to the total company balances reported on the FERC Form 1.</t>
  </si>
  <si>
    <t>Transmission Assets as of 12/31/2024</t>
  </si>
  <si>
    <t>1 - General Plant Electric - Plant Accounts 389,390,391,392,393,394,395,396,398</t>
  </si>
  <si>
    <t>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</si>
</sst>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quot;$&quot;#,##0.0;[Red]\-&quot;$&quot;#,##0.0"/>
    <numFmt numFmtId="168" formatCode="00000"/>
    <numFmt numFmtId="169" formatCode="#,##0\ ;\(#,##0\);\-\ \ \ \ \ "/>
    <numFmt numFmtId="170" formatCode="#,##0\ ;\(#,##0\);\–\ \ \ \ \ "/>
    <numFmt numFmtId="171" formatCode="#,##0;\(#,##0\)"/>
    <numFmt numFmtId="172" formatCode="yyyymmdd"/>
    <numFmt numFmtId="173" formatCode="_([$€-2]* #,##0.00_);_([$€-2]* \(#,##0.00\);_([$€-2]* &quot;-&quot;??_)"/>
    <numFmt numFmtId="174" formatCode="_-* #,##0.0_-;\-* #,##0.0_-;_-* &quot;-&quot;??_-;_-@_-"/>
    <numFmt numFmtId="175" formatCode="#,##0.00&quot; $&quot;;\-#,##0.00&quot; $&quot;"/>
    <numFmt numFmtId="176" formatCode="000000000"/>
    <numFmt numFmtId="177" formatCode="#,##0.0_);\(#,##0.0\)"/>
    <numFmt numFmtId="178" formatCode="_-&quot;£&quot;* #,##0_-;\-&quot;£&quot;* #,##0_-;_-&quot;£&quot;* &quot;-&quot;_-;_-@_-"/>
    <numFmt numFmtId="179" formatCode="_-&quot;£&quot;* #,##0.00_-;\-&quot;£&quot;* #,##0.00_-;_-&quot;£&quot;* &quot;-&quot;??_-;_-@_-"/>
    <numFmt numFmtId="180" formatCode="0.00_)"/>
    <numFmt numFmtId="181" formatCode="00"/>
    <numFmt numFmtId="182" formatCode="0_);\(0\)"/>
    <numFmt numFmtId="183" formatCode="000\-00\-0000"/>
    <numFmt numFmtId="184" formatCode="mmm\-yyyy"/>
    <numFmt numFmtId="185" formatCode="0.000%"/>
    <numFmt numFmtId="186" formatCode="#,##0.0000"/>
    <numFmt numFmtId="187" formatCode="[$-409]mmm\-yy;@"/>
    <numFmt numFmtId="188" formatCode="0.000000"/>
    <numFmt numFmtId="189" formatCode="_(* #,##0.00000_);_(* \(#,##0.00000\);_(* &quot;-&quot;??_);_(@_)"/>
    <numFmt numFmtId="190" formatCode="0.00000"/>
  </numFmts>
  <fonts count="100">
    <font>
      <sz val="12"/>
      <name val="Arial MT"/>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2"/>
      <name val="Arial MT"/>
    </font>
    <font>
      <sz val="10"/>
      <name val="MS Sans Serif"/>
      <family val="2"/>
    </font>
    <font>
      <sz val="11"/>
      <color indexed="8"/>
      <name val="Calibri"/>
      <family val="2"/>
    </font>
    <font>
      <sz val="11"/>
      <color indexed="9"/>
      <name val="Calibri"/>
      <family val="2"/>
    </font>
    <font>
      <sz val="8"/>
      <name val="Helv"/>
    </font>
    <font>
      <sz val="10"/>
      <name val="Times New Roman"/>
      <family val="1"/>
    </font>
    <font>
      <sz val="9"/>
      <name val="AGaramond"/>
    </font>
    <font>
      <sz val="11"/>
      <color indexed="20"/>
      <name val="Calibri"/>
      <family val="2"/>
    </font>
    <font>
      <sz val="12"/>
      <name val="Tms Rmn"/>
    </font>
    <font>
      <sz val="11"/>
      <name val="Times New Roman"/>
      <family val="1"/>
    </font>
    <font>
      <sz val="8"/>
      <name val="Arial"/>
      <family val="2"/>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8"/>
      <color indexed="8"/>
      <name val="Arial"/>
      <family val="2"/>
    </font>
    <font>
      <i/>
      <sz val="10"/>
      <color indexed="18"/>
      <name val="Arial"/>
      <family val="2"/>
    </font>
    <font>
      <sz val="10"/>
      <color indexed="18"/>
      <name val="Arial"/>
      <family val="2"/>
    </font>
    <font>
      <i/>
      <sz val="9"/>
      <color indexed="18"/>
      <name val="Arial"/>
      <family val="2"/>
    </font>
    <font>
      <sz val="9"/>
      <color indexed="18"/>
      <name val="Arial"/>
      <family val="2"/>
    </font>
    <font>
      <b/>
      <sz val="11"/>
      <color indexed="52"/>
      <name val="Calibri"/>
      <family val="2"/>
    </font>
    <font>
      <b/>
      <sz val="11"/>
      <color indexed="9"/>
      <name val="Calibri"/>
      <family val="2"/>
    </font>
    <font>
      <sz val="8"/>
      <name val="Tahoma"/>
      <family val="2"/>
    </font>
    <font>
      <sz val="12"/>
      <name val="Helv"/>
    </font>
    <font>
      <sz val="10"/>
      <color indexed="8"/>
      <name val="Arial"/>
      <family val="2"/>
    </font>
    <font>
      <i/>
      <sz val="11"/>
      <color indexed="23"/>
      <name val="Calibri"/>
      <family val="2"/>
    </font>
    <font>
      <sz val="10"/>
      <name val="Helv"/>
    </font>
    <font>
      <sz val="9"/>
      <name val="GillSans"/>
    </font>
    <font>
      <sz val="9"/>
      <name val="GillSans Light"/>
    </font>
    <font>
      <sz val="11"/>
      <color indexed="17"/>
      <name val="Calibri"/>
      <family val="2"/>
    </font>
    <font>
      <b/>
      <u/>
      <sz val="11"/>
      <color indexed="37"/>
      <name val="Arial"/>
      <family val="2"/>
    </font>
    <font>
      <b/>
      <sz val="15"/>
      <name val="Times New Roman"/>
      <family val="1"/>
    </font>
    <font>
      <b/>
      <sz val="15"/>
      <color indexed="56"/>
      <name val="Calibri"/>
      <family val="2"/>
    </font>
    <font>
      <b/>
      <sz val="13"/>
      <color indexed="56"/>
      <name val="Calibri"/>
      <family val="2"/>
    </font>
    <font>
      <b/>
      <sz val="11"/>
      <color indexed="56"/>
      <name val="Calibri"/>
      <family val="2"/>
    </font>
    <font>
      <sz val="10"/>
      <color indexed="12"/>
      <name val="Arial"/>
      <family val="2"/>
    </font>
    <font>
      <sz val="11"/>
      <color indexed="62"/>
      <name val="Calibri"/>
      <family val="2"/>
    </font>
    <font>
      <sz val="11"/>
      <color indexed="52"/>
      <name val="Calibri"/>
      <family val="2"/>
    </font>
    <font>
      <sz val="12"/>
      <color indexed="14"/>
      <name val="Arial"/>
      <family val="2"/>
    </font>
    <font>
      <u/>
      <sz val="8"/>
      <name val="Helv"/>
    </font>
    <font>
      <sz val="11"/>
      <color indexed="60"/>
      <name val="Calibri"/>
      <family val="2"/>
    </font>
    <font>
      <sz val="8"/>
      <name val="Times New Roman"/>
      <family val="1"/>
    </font>
    <font>
      <sz val="7"/>
      <name val="Small Fonts"/>
      <family val="2"/>
    </font>
    <font>
      <b/>
      <i/>
      <sz val="16"/>
      <name val="Helv"/>
    </font>
    <font>
      <b/>
      <sz val="11"/>
      <color indexed="63"/>
      <name val="Calibri"/>
      <family val="2"/>
    </font>
    <font>
      <b/>
      <sz val="10"/>
      <name val="MS Sans Serif"/>
      <family val="2"/>
    </font>
    <font>
      <b/>
      <i/>
      <sz val="16"/>
      <name val="Arial"/>
      <family val="2"/>
    </font>
    <font>
      <i/>
      <sz val="11"/>
      <name val="Arial"/>
      <family val="2"/>
    </font>
    <font>
      <sz val="11"/>
      <name val="Arial"/>
      <family val="2"/>
    </font>
    <font>
      <u val="singleAccounting"/>
      <sz val="10"/>
      <name val="MGaramond"/>
      <family val="1"/>
    </font>
    <font>
      <b/>
      <sz val="16"/>
      <color indexed="16"/>
      <name val="Arial"/>
      <family val="2"/>
    </font>
    <font>
      <b/>
      <sz val="10"/>
      <color indexed="16"/>
      <name val="Arial"/>
      <family val="2"/>
    </font>
    <font>
      <b/>
      <sz val="12"/>
      <color indexed="16"/>
      <name val="Arial"/>
      <family val="2"/>
    </font>
    <font>
      <sz val="7"/>
      <color indexed="16"/>
      <name val="Arial"/>
      <family val="2"/>
    </font>
    <font>
      <sz val="12"/>
      <color indexed="12"/>
      <name val="Arial MT"/>
    </font>
    <font>
      <b/>
      <sz val="11"/>
      <name val="Times New Roman"/>
      <family val="1"/>
    </font>
    <font>
      <b/>
      <sz val="18"/>
      <color indexed="56"/>
      <name val="Cambria"/>
      <family val="2"/>
    </font>
    <font>
      <b/>
      <sz val="11"/>
      <color indexed="8"/>
      <name val="Calibri"/>
      <family val="2"/>
    </font>
    <font>
      <sz val="8"/>
      <color indexed="12"/>
      <name val="Arial"/>
      <family val="2"/>
    </font>
    <font>
      <sz val="11"/>
      <color indexed="10"/>
      <name val="Calibri"/>
      <family val="2"/>
    </font>
    <font>
      <u/>
      <sz val="10"/>
      <name val="Arial"/>
      <family val="2"/>
    </font>
    <font>
      <vertAlign val="superscript"/>
      <sz val="10"/>
      <name val="Arial"/>
      <family val="2"/>
    </font>
    <font>
      <b/>
      <sz val="12"/>
      <color theme="1"/>
      <name val="Arial"/>
      <family val="2"/>
    </font>
    <font>
      <sz val="12"/>
      <color theme="1"/>
      <name val="Arial"/>
      <family val="2"/>
    </font>
    <font>
      <sz val="10"/>
      <name val="Arial MT"/>
    </font>
    <font>
      <sz val="12"/>
      <name val="Calibri"/>
      <family val="2"/>
    </font>
    <font>
      <vertAlign val="subscript"/>
      <sz val="10"/>
      <name val="Arial"/>
      <family val="2"/>
    </font>
    <font>
      <u/>
      <sz val="12"/>
      <color theme="10"/>
      <name val="Arial MT"/>
    </font>
    <font>
      <b/>
      <sz val="10"/>
      <color rgb="FFCC00FF"/>
      <name val="Arial"/>
      <family val="2"/>
    </font>
    <font>
      <sz val="10"/>
      <color rgb="FFCC00FF"/>
      <name val="Arial"/>
      <family val="2"/>
    </font>
    <font>
      <sz val="11"/>
      <name val="Arial MT"/>
    </font>
    <font>
      <b/>
      <sz val="11"/>
      <color theme="1"/>
      <name val="Times New Roman"/>
      <family val="1"/>
    </font>
    <font>
      <b/>
      <sz val="10"/>
      <color theme="1"/>
      <name val="Times New Roman"/>
      <family val="1"/>
    </font>
    <font>
      <b/>
      <sz val="10"/>
      <name val="Times New Roman"/>
      <family val="1"/>
    </font>
    <font>
      <sz val="10"/>
      <color theme="1"/>
      <name val="Times New Roman"/>
      <family val="1"/>
    </font>
    <font>
      <strike/>
      <sz val="10"/>
      <color theme="1"/>
      <name val="Times New Roman"/>
      <family val="1"/>
    </font>
    <font>
      <sz val="10"/>
      <color rgb="FF7030A0"/>
      <name val="Times New Roman"/>
      <family val="1"/>
    </font>
    <font>
      <b/>
      <sz val="8"/>
      <color theme="1"/>
      <name val="Arial"/>
      <family val="2"/>
    </font>
    <font>
      <b/>
      <sz val="10"/>
      <color theme="4"/>
      <name val="Times New Roman"/>
      <family val="1"/>
    </font>
    <font>
      <sz val="12"/>
      <color theme="4"/>
      <name val="Arial MT"/>
    </font>
    <font>
      <u/>
      <sz val="10"/>
      <color theme="1"/>
      <name val="Times New Roman"/>
      <family val="1"/>
    </font>
    <font>
      <sz val="11"/>
      <color theme="1"/>
      <name val="Times New Roman"/>
      <family val="1"/>
    </font>
    <font>
      <sz val="11"/>
      <color theme="1"/>
      <name val="Calibri"/>
      <family val="2"/>
    </font>
    <font>
      <sz val="11"/>
      <color rgb="FFFF0000"/>
      <name val="Times New Roman"/>
      <family val="1"/>
    </font>
    <font>
      <sz val="11"/>
      <color rgb="FFFF0000"/>
      <name val="Calibri"/>
      <family val="2"/>
      <scheme val="minor"/>
    </font>
    <font>
      <sz val="10"/>
      <color theme="5" tint="-0.249977111117893"/>
      <name val="Times New Roman"/>
      <family val="1"/>
    </font>
    <font>
      <u/>
      <sz val="12"/>
      <name val="Arial MT"/>
    </font>
    <font>
      <b/>
      <sz val="11"/>
      <name val="Arial MT"/>
    </font>
    <font>
      <b/>
      <sz val="12"/>
      <name val="Arial MT"/>
    </font>
  </fonts>
  <fills count="31">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mediumGray">
        <fgColor indexed="22"/>
      </patternFill>
    </fill>
    <fill>
      <patternFill patternType="solid">
        <fgColor indexed="43"/>
        <bgColor indexed="64"/>
      </patternFill>
    </fill>
    <fill>
      <patternFill patternType="gray0625"/>
    </fill>
  </fills>
  <borders count="23">
    <border>
      <left/>
      <right/>
      <top/>
      <bottom/>
      <diagonal/>
    </border>
    <border>
      <left/>
      <right/>
      <top/>
      <bottom style="thin">
        <color indexed="64"/>
      </bottom>
      <diagonal/>
    </border>
    <border>
      <left/>
      <right/>
      <top style="thin">
        <color indexed="64"/>
      </top>
      <bottom style="double">
        <color indexed="64"/>
      </bottom>
      <diagonal/>
    </border>
    <border>
      <left/>
      <right/>
      <top style="thin">
        <color indexed="64"/>
      </top>
      <bottom/>
      <diagonal/>
    </border>
    <border>
      <left style="double">
        <color indexed="64"/>
      </left>
      <right/>
      <top/>
      <bottom style="hair">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14">
    <xf numFmtId="164" fontId="0" fillId="0" borderId="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37" fontId="8" fillId="0" borderId="0" applyFont="0" applyFill="0" applyBorder="0" applyAlignment="0" applyProtection="0"/>
    <xf numFmtId="37" fontId="8" fillId="0" borderId="0" applyFont="0" applyFill="0" applyBorder="0" applyAlignment="0" applyProtection="0"/>
    <xf numFmtId="38" fontId="8" fillId="0" borderId="0" applyFont="0" applyFill="0" applyBorder="0" applyAlignment="0" applyProtection="0"/>
    <xf numFmtId="37" fontId="8" fillId="0" borderId="0" applyFont="0" applyFill="0" applyBorder="0" applyAlignment="0" applyProtection="0"/>
    <xf numFmtId="37" fontId="8" fillId="0" borderId="0" applyFont="0" applyFill="0" applyBorder="0" applyAlignment="0" applyProtection="0"/>
    <xf numFmtId="38" fontId="8" fillId="0" borderId="0" applyFont="0" applyFill="0" applyBorder="0" applyAlignment="0" applyProtection="0"/>
    <xf numFmtId="37" fontId="8" fillId="0" borderId="0" applyFont="0" applyFill="0" applyBorder="0" applyAlignment="0" applyProtection="0"/>
    <xf numFmtId="38" fontId="8" fillId="0" borderId="0" applyFont="0" applyFill="0" applyBorder="0" applyAlignment="0" applyProtection="0"/>
    <xf numFmtId="37" fontId="8" fillId="0" borderId="0" applyFont="0" applyFill="0" applyBorder="0" applyAlignment="0" applyProtection="0"/>
    <xf numFmtId="0" fontId="5"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20" borderId="0" applyNumberFormat="0" applyBorder="0" applyAlignment="0" applyProtection="0"/>
    <xf numFmtId="38" fontId="11" fillId="0" borderId="0" applyBorder="0" applyAlignment="0"/>
    <xf numFmtId="167" fontId="12" fillId="21" borderId="4">
      <alignment horizontal="center" vertical="center"/>
    </xf>
    <xf numFmtId="168" fontId="5" fillId="0" borderId="5">
      <alignment horizontal="left"/>
    </xf>
    <xf numFmtId="0" fontId="13" fillId="0" borderId="0"/>
    <xf numFmtId="0" fontId="14" fillId="4" borderId="0" applyNumberFormat="0" applyBorder="0" applyAlignment="0" applyProtection="0"/>
    <xf numFmtId="0" fontId="15" fillId="0" borderId="0" applyNumberFormat="0" applyFill="0" applyBorder="0" applyAlignment="0" applyProtection="0"/>
    <xf numFmtId="169" fontId="16" fillId="0" borderId="6" applyNumberFormat="0" applyFill="0" applyAlignment="0" applyProtection="0">
      <alignment horizontal="center"/>
    </xf>
    <xf numFmtId="170" fontId="16" fillId="0" borderId="1" applyFill="0" applyAlignment="0" applyProtection="0">
      <alignment horizontal="center"/>
    </xf>
    <xf numFmtId="38" fontId="5" fillId="0" borderId="0">
      <alignment horizontal="right"/>
    </xf>
    <xf numFmtId="37" fontId="17" fillId="0" borderId="0" applyFill="0">
      <alignment horizontal="right"/>
    </xf>
    <xf numFmtId="37" fontId="17" fillId="0" borderId="0">
      <alignment horizontal="right"/>
    </xf>
    <xf numFmtId="0" fontId="17" fillId="0" borderId="0" applyFill="0">
      <alignment horizontal="center"/>
    </xf>
    <xf numFmtId="37" fontId="17" fillId="0" borderId="7" applyFill="0">
      <alignment horizontal="right"/>
    </xf>
    <xf numFmtId="37" fontId="17" fillId="0" borderId="0">
      <alignment horizontal="right"/>
    </xf>
    <xf numFmtId="0" fontId="18" fillId="0" borderId="0" applyFill="0">
      <alignment vertical="top"/>
    </xf>
    <xf numFmtId="0" fontId="19" fillId="0" borderId="0" applyFill="0">
      <alignment horizontal="left" vertical="top"/>
    </xf>
    <xf numFmtId="37" fontId="17" fillId="0" borderId="3" applyFill="0">
      <alignment horizontal="right"/>
    </xf>
    <xf numFmtId="0" fontId="5" fillId="0" borderId="0" applyNumberFormat="0" applyFont="0" applyAlignment="0"/>
    <xf numFmtId="0" fontId="18" fillId="0" borderId="0" applyFill="0">
      <alignment wrapText="1"/>
    </xf>
    <xf numFmtId="0" fontId="19" fillId="0" borderId="0" applyFill="0">
      <alignment horizontal="left" vertical="top" wrapText="1"/>
    </xf>
    <xf numFmtId="37" fontId="17" fillId="0" borderId="0" applyFill="0">
      <alignment horizontal="right"/>
    </xf>
    <xf numFmtId="0" fontId="20" fillId="0" borderId="0" applyNumberFormat="0" applyFont="0" applyAlignment="0">
      <alignment horizontal="center"/>
    </xf>
    <xf numFmtId="0" fontId="21" fillId="0" borderId="0" applyFill="0">
      <alignment vertical="top" wrapText="1"/>
    </xf>
    <xf numFmtId="0" fontId="22" fillId="0" borderId="0" applyFill="0">
      <alignment horizontal="left" vertical="top" wrapText="1"/>
    </xf>
    <xf numFmtId="37" fontId="17" fillId="0" borderId="0" applyFill="0">
      <alignment horizontal="right"/>
    </xf>
    <xf numFmtId="0" fontId="20" fillId="0" borderId="0" applyNumberFormat="0" applyFont="0" applyAlignment="0">
      <alignment horizontal="center"/>
    </xf>
    <xf numFmtId="0" fontId="23" fillId="0" borderId="0" applyFill="0">
      <alignment vertical="center" wrapText="1"/>
    </xf>
    <xf numFmtId="0" fontId="24" fillId="0" borderId="0">
      <alignment horizontal="left" vertical="center" wrapText="1"/>
    </xf>
    <xf numFmtId="37" fontId="17" fillId="0" borderId="0" applyFill="0">
      <alignment horizontal="right"/>
    </xf>
    <xf numFmtId="0" fontId="20" fillId="0" borderId="0" applyNumberFormat="0" applyFont="0" applyAlignment="0">
      <alignment horizontal="center"/>
    </xf>
    <xf numFmtId="0" fontId="25" fillId="0" borderId="0" applyFill="0">
      <alignment horizontal="center" vertical="center" wrapText="1"/>
    </xf>
    <xf numFmtId="0" fontId="5" fillId="0" borderId="0" applyFill="0">
      <alignment horizontal="center" vertical="center" wrapText="1"/>
    </xf>
    <xf numFmtId="37" fontId="26" fillId="0" borderId="0" applyFill="0">
      <alignment horizontal="right"/>
    </xf>
    <xf numFmtId="0" fontId="20" fillId="0" borderId="0" applyNumberFormat="0" applyFont="0" applyAlignment="0">
      <alignment horizontal="center"/>
    </xf>
    <xf numFmtId="0" fontId="27" fillId="0" borderId="0" applyFill="0">
      <alignment horizontal="center" vertical="center" wrapText="1"/>
    </xf>
    <xf numFmtId="0" fontId="28" fillId="0" borderId="0" applyFill="0">
      <alignment horizontal="center" vertical="center" wrapText="1"/>
    </xf>
    <xf numFmtId="37" fontId="26" fillId="0" borderId="0" applyFill="0">
      <alignment horizontal="right"/>
    </xf>
    <xf numFmtId="0" fontId="20" fillId="0" borderId="0" applyNumberFormat="0" applyFont="0" applyAlignment="0">
      <alignment horizontal="center"/>
    </xf>
    <xf numFmtId="0" fontId="29" fillId="0" borderId="0">
      <alignment horizontal="center" wrapText="1"/>
    </xf>
    <xf numFmtId="0" fontId="30" fillId="0" borderId="0" applyFill="0">
      <alignment horizontal="center" wrapText="1"/>
    </xf>
    <xf numFmtId="0" fontId="31" fillId="22" borderId="8" applyNumberFormat="0" applyAlignment="0" applyProtection="0"/>
    <xf numFmtId="0" fontId="32" fillId="23" borderId="9" applyNumberFormat="0" applyAlignment="0" applyProtection="0"/>
    <xf numFmtId="171" fontId="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0" fontId="34" fillId="0" borderId="0"/>
    <xf numFmtId="44" fontId="5" fillId="0" borderId="0" applyFont="0" applyFill="0" applyBorder="0" applyAlignment="0" applyProtection="0"/>
    <xf numFmtId="44" fontId="5" fillId="0" borderId="0" applyFont="0" applyFill="0" applyBorder="0" applyAlignment="0" applyProtection="0"/>
    <xf numFmtId="172" fontId="5" fillId="0" borderId="5">
      <alignment horizontal="center"/>
    </xf>
    <xf numFmtId="173" fontId="35" fillId="0" borderId="0" applyFont="0" applyFill="0" applyBorder="0" applyAlignment="0" applyProtection="0"/>
    <xf numFmtId="0" fontId="36" fillId="0" borderId="0" applyNumberFormat="0" applyFill="0" applyBorder="0" applyAlignment="0" applyProtection="0"/>
    <xf numFmtId="174" fontId="5" fillId="0" borderId="0">
      <protection locked="0"/>
    </xf>
    <xf numFmtId="0" fontId="37" fillId="0" borderId="0"/>
    <xf numFmtId="0" fontId="38" fillId="0" borderId="0"/>
    <xf numFmtId="0" fontId="39" fillId="0" borderId="0"/>
    <xf numFmtId="0" fontId="40" fillId="5" borderId="0" applyNumberFormat="0" applyBorder="0" applyAlignment="0" applyProtection="0"/>
    <xf numFmtId="38" fontId="17" fillId="24" borderId="0" applyNumberFormat="0" applyBorder="0" applyAlignment="0" applyProtection="0"/>
    <xf numFmtId="0" fontId="41" fillId="0" borderId="0" applyNumberFormat="0" applyFill="0" applyBorder="0" applyAlignment="0" applyProtection="0"/>
    <xf numFmtId="0" fontId="22" fillId="0" borderId="10" applyNumberFormat="0" applyAlignment="0" applyProtection="0">
      <alignment horizontal="left" vertical="center"/>
    </xf>
    <xf numFmtId="0" fontId="22" fillId="0" borderId="11">
      <alignment horizontal="left" vertical="center"/>
    </xf>
    <xf numFmtId="0" fontId="42" fillId="0" borderId="0">
      <alignment horizontal="center"/>
    </xf>
    <xf numFmtId="0" fontId="43" fillId="0" borderId="12" applyNumberFormat="0" applyFill="0" applyAlignment="0" applyProtection="0"/>
    <xf numFmtId="0" fontId="44" fillId="0" borderId="13" applyNumberFormat="0" applyFill="0" applyAlignment="0" applyProtection="0"/>
    <xf numFmtId="0" fontId="45" fillId="0" borderId="14" applyNumberFormat="0" applyFill="0" applyAlignment="0" applyProtection="0"/>
    <xf numFmtId="0" fontId="45" fillId="0" borderId="0" applyNumberFormat="0" applyFill="0" applyBorder="0" applyAlignment="0" applyProtection="0"/>
    <xf numFmtId="175" fontId="5" fillId="0" borderId="0">
      <protection locked="0"/>
    </xf>
    <xf numFmtId="175" fontId="5" fillId="0" borderId="0">
      <protection locked="0"/>
    </xf>
    <xf numFmtId="0" fontId="46" fillId="0" borderId="15" applyNumberFormat="0" applyFill="0" applyAlignment="0" applyProtection="0"/>
    <xf numFmtId="10" fontId="17" fillId="25" borderId="5" applyNumberFormat="0" applyBorder="0" applyAlignment="0" applyProtection="0"/>
    <xf numFmtId="0" fontId="47" fillId="8" borderId="8" applyNumberFormat="0" applyAlignment="0" applyProtection="0"/>
    <xf numFmtId="0" fontId="17" fillId="24" borderId="0"/>
    <xf numFmtId="0" fontId="48" fillId="0" borderId="16" applyNumberFormat="0" applyFill="0" applyAlignment="0" applyProtection="0"/>
    <xf numFmtId="176" fontId="5" fillId="0" borderId="5">
      <alignment horizontal="center"/>
    </xf>
    <xf numFmtId="177" fontId="49" fillId="0" borderId="0"/>
    <xf numFmtId="17" fontId="50" fillId="0" borderId="0">
      <alignment horizontal="center"/>
    </xf>
    <xf numFmtId="178" fontId="5" fillId="0" borderId="0" applyFont="0" applyFill="0" applyBorder="0" applyAlignment="0" applyProtection="0"/>
    <xf numFmtId="179" fontId="5" fillId="0" borderId="0" applyFont="0" applyFill="0" applyBorder="0" applyAlignment="0" applyProtection="0"/>
    <xf numFmtId="0" fontId="51" fillId="26" borderId="0" applyNumberFormat="0" applyBorder="0" applyAlignment="0" applyProtection="0"/>
    <xf numFmtId="43" fontId="52" fillId="0" borderId="0" applyNumberFormat="0" applyFill="0" applyBorder="0" applyAlignment="0" applyProtection="0"/>
    <xf numFmtId="0" fontId="16" fillId="0" borderId="0" applyNumberFormat="0" applyFill="0" applyAlignment="0" applyProtection="0"/>
    <xf numFmtId="37" fontId="53" fillId="0" borderId="0"/>
    <xf numFmtId="180" fontId="54" fillId="0" borderId="0"/>
    <xf numFmtId="164" fontId="7" fillId="0" borderId="0" applyProtection="0"/>
    <xf numFmtId="0" fontId="5" fillId="0" borderId="0"/>
    <xf numFmtId="0" fontId="4" fillId="0" borderId="0"/>
    <xf numFmtId="0" fontId="33" fillId="0" borderId="0"/>
    <xf numFmtId="0" fontId="5" fillId="0" borderId="0"/>
    <xf numFmtId="0" fontId="5" fillId="0" borderId="5">
      <alignment horizontal="center" wrapText="1"/>
    </xf>
    <xf numFmtId="2" fontId="5" fillId="0" borderId="5">
      <alignment horizontal="center"/>
    </xf>
    <xf numFmtId="181" fontId="6" fillId="0" borderId="5" applyFont="0">
      <alignment horizontal="center"/>
    </xf>
    <xf numFmtId="0" fontId="5" fillId="27" borderId="17" applyNumberFormat="0" applyFont="0" applyAlignment="0" applyProtection="0"/>
    <xf numFmtId="1" fontId="5" fillId="0" borderId="5">
      <alignment horizontal="center"/>
    </xf>
    <xf numFmtId="0" fontId="55" fillId="22" borderId="18" applyNumberFormat="0" applyAlignment="0" applyProtection="0"/>
    <xf numFmtId="10" fontId="5" fillId="0" borderId="0" applyFont="0" applyFill="0" applyBorder="0" applyAlignment="0" applyProtection="0"/>
    <xf numFmtId="9" fontId="5" fillId="0" borderId="0" applyFont="0" applyFill="0" applyBorder="0" applyAlignment="0" applyProtection="0"/>
    <xf numFmtId="0" fontId="8" fillId="0" borderId="0" applyNumberFormat="0" applyFont="0" applyFill="0" applyBorder="0" applyAlignment="0" applyProtection="0">
      <alignment horizontal="left"/>
    </xf>
    <xf numFmtId="15" fontId="8" fillId="0" borderId="0" applyFont="0" applyFill="0" applyBorder="0" applyAlignment="0" applyProtection="0"/>
    <xf numFmtId="4" fontId="8" fillId="0" borderId="0" applyFont="0" applyFill="0" applyBorder="0" applyAlignment="0" applyProtection="0"/>
    <xf numFmtId="0" fontId="56" fillId="0" borderId="6">
      <alignment horizontal="center"/>
    </xf>
    <xf numFmtId="3" fontId="8" fillId="0" borderId="0" applyFont="0" applyFill="0" applyBorder="0" applyAlignment="0" applyProtection="0"/>
    <xf numFmtId="0" fontId="8" fillId="28" borderId="0" applyNumberFormat="0" applyFont="0" applyBorder="0" applyAlignment="0" applyProtection="0"/>
    <xf numFmtId="37" fontId="17" fillId="24" borderId="0" applyFill="0">
      <alignment horizontal="right"/>
    </xf>
    <xf numFmtId="0" fontId="26" fillId="0" borderId="0">
      <alignment horizontal="left"/>
    </xf>
    <xf numFmtId="0" fontId="17" fillId="0" borderId="0" applyFill="0">
      <alignment horizontal="left"/>
    </xf>
    <xf numFmtId="37" fontId="17" fillId="0" borderId="1" applyFill="0">
      <alignment horizontal="right"/>
    </xf>
    <xf numFmtId="0" fontId="6" fillId="0" borderId="5" applyNumberFormat="0" applyFont="0" applyBorder="0">
      <alignment horizontal="right"/>
    </xf>
    <xf numFmtId="0" fontId="57" fillId="0" borderId="0" applyFill="0"/>
    <xf numFmtId="0" fontId="17" fillId="0" borderId="0" applyFill="0">
      <alignment horizontal="left"/>
    </xf>
    <xf numFmtId="182" fontId="17" fillId="0" borderId="1" applyFill="0">
      <alignment horizontal="right"/>
    </xf>
    <xf numFmtId="0" fontId="5" fillId="0" borderId="0" applyNumberFormat="0" applyFont="0" applyBorder="0" applyAlignment="0"/>
    <xf numFmtId="0" fontId="21" fillId="0" borderId="0" applyFill="0">
      <alignment horizontal="left" indent="1"/>
    </xf>
    <xf numFmtId="0" fontId="26" fillId="0" borderId="0" applyFill="0">
      <alignment horizontal="left"/>
    </xf>
    <xf numFmtId="37" fontId="17" fillId="0" borderId="0" applyFill="0">
      <alignment horizontal="right"/>
    </xf>
    <xf numFmtId="0" fontId="5" fillId="0" borderId="0" applyNumberFormat="0" applyFont="0" applyFill="0" applyBorder="0" applyAlignment="0"/>
    <xf numFmtId="0" fontId="21" fillId="0" borderId="0" applyFill="0">
      <alignment horizontal="left" indent="2"/>
    </xf>
    <xf numFmtId="0" fontId="17" fillId="0" borderId="0" applyFill="0">
      <alignment horizontal="left"/>
    </xf>
    <xf numFmtId="37" fontId="17" fillId="0" borderId="0" applyFill="0">
      <alignment horizontal="right"/>
    </xf>
    <xf numFmtId="0" fontId="5" fillId="0" borderId="0" applyNumberFormat="0" applyFont="0" applyBorder="0" applyAlignment="0"/>
    <xf numFmtId="0" fontId="58" fillId="0" borderId="0">
      <alignment horizontal="left" indent="3"/>
    </xf>
    <xf numFmtId="0" fontId="17" fillId="0" borderId="0" applyFill="0">
      <alignment horizontal="left"/>
    </xf>
    <xf numFmtId="37" fontId="17" fillId="0" borderId="0" applyFill="0">
      <alignment horizontal="right"/>
    </xf>
    <xf numFmtId="0" fontId="5" fillId="0" borderId="0" applyNumberFormat="0" applyFont="0" applyBorder="0" applyAlignment="0"/>
    <xf numFmtId="0" fontId="25" fillId="0" borderId="0">
      <alignment horizontal="left" indent="4"/>
    </xf>
    <xf numFmtId="0" fontId="17" fillId="0" borderId="0" applyFill="0">
      <alignment horizontal="left"/>
    </xf>
    <xf numFmtId="37" fontId="26" fillId="0" borderId="0" applyFill="0">
      <alignment horizontal="right"/>
    </xf>
    <xf numFmtId="0" fontId="5" fillId="0" borderId="0" applyNumberFormat="0" applyFont="0" applyBorder="0" applyAlignment="0"/>
    <xf numFmtId="0" fontId="27" fillId="0" borderId="0">
      <alignment horizontal="left" indent="5"/>
    </xf>
    <xf numFmtId="0" fontId="26" fillId="0" borderId="0" applyFill="0">
      <alignment horizontal="left"/>
    </xf>
    <xf numFmtId="37" fontId="26" fillId="0" borderId="0" applyFill="0">
      <alignment horizontal="right"/>
    </xf>
    <xf numFmtId="0" fontId="5" fillId="0" borderId="0" applyNumberFormat="0" applyFont="0" applyFill="0" applyBorder="0" applyAlignment="0"/>
    <xf numFmtId="0" fontId="29" fillId="0" borderId="0" applyFill="0">
      <alignment horizontal="left" indent="6"/>
    </xf>
    <xf numFmtId="0" fontId="26" fillId="0" borderId="0" applyFill="0">
      <alignment horizontal="left"/>
    </xf>
    <xf numFmtId="38" fontId="59" fillId="29" borderId="1">
      <alignment horizontal="right"/>
    </xf>
    <xf numFmtId="38" fontId="5" fillId="30" borderId="0" applyNumberFormat="0" applyFont="0" applyBorder="0" applyAlignment="0" applyProtection="0"/>
    <xf numFmtId="0" fontId="60" fillId="0" borderId="0" applyNumberFormat="0" applyAlignment="0">
      <alignment horizontal="centerContinuous"/>
    </xf>
    <xf numFmtId="0" fontId="16" fillId="0" borderId="1" applyNumberFormat="0" applyFill="0" applyAlignment="0" applyProtection="0"/>
    <xf numFmtId="37" fontId="61" fillId="0" borderId="0" applyNumberFormat="0">
      <alignment horizontal="left"/>
    </xf>
    <xf numFmtId="183" fontId="5" fillId="0" borderId="5">
      <alignment horizontal="center" wrapText="1"/>
    </xf>
    <xf numFmtId="38" fontId="8" fillId="0" borderId="0" applyFont="0" applyFill="0" applyBorder="0" applyAlignment="0" applyProtection="0"/>
    <xf numFmtId="38" fontId="8" fillId="0" borderId="0" applyFont="0" applyFill="0" applyBorder="0" applyAlignment="0" applyProtection="0"/>
    <xf numFmtId="0" fontId="5" fillId="0" borderId="0" applyNumberFormat="0" applyFill="0" applyBorder="0" applyProtection="0">
      <alignment horizontal="right" wrapText="1"/>
    </xf>
    <xf numFmtId="184" fontId="5" fillId="0" borderId="0" applyFill="0" applyBorder="0" applyAlignment="0" applyProtection="0">
      <alignment wrapText="1"/>
    </xf>
    <xf numFmtId="37" fontId="62" fillId="0" borderId="0" applyNumberFormat="0">
      <alignment horizontal="left"/>
    </xf>
    <xf numFmtId="37" fontId="63" fillId="0" borderId="0" applyNumberFormat="0">
      <alignment horizontal="left"/>
    </xf>
    <xf numFmtId="37" fontId="64" fillId="0" borderId="0" applyNumberFormat="0">
      <alignment horizontal="left"/>
    </xf>
    <xf numFmtId="177" fontId="65" fillId="0" borderId="0"/>
    <xf numFmtId="40" fontId="66" fillId="0" borderId="0"/>
    <xf numFmtId="0" fontId="67" fillId="0" borderId="0" applyNumberFormat="0" applyFill="0" applyBorder="0" applyAlignment="0" applyProtection="0"/>
    <xf numFmtId="0" fontId="68" fillId="0" borderId="19" applyNumberFormat="0" applyFill="0" applyAlignment="0" applyProtection="0"/>
    <xf numFmtId="37" fontId="17" fillId="29" borderId="0" applyNumberFormat="0" applyBorder="0" applyAlignment="0" applyProtection="0"/>
    <xf numFmtId="37" fontId="17" fillId="0" borderId="0"/>
    <xf numFmtId="3" fontId="69" fillId="0" borderId="15" applyProtection="0"/>
    <xf numFmtId="0" fontId="70" fillId="0" borderId="0" applyNumberFormat="0" applyFill="0" applyBorder="0" applyAlignment="0" applyProtection="0"/>
    <xf numFmtId="164" fontId="7" fillId="0" borderId="0" applyProtection="0"/>
    <xf numFmtId="164" fontId="7" fillId="0" borderId="0" applyProtection="0"/>
    <xf numFmtId="164" fontId="7" fillId="0" borderId="0" applyProtection="0"/>
    <xf numFmtId="164" fontId="7" fillId="0" borderId="0" applyProtection="0"/>
    <xf numFmtId="164" fontId="7" fillId="0" borderId="0" applyProtection="0"/>
    <xf numFmtId="164" fontId="7" fillId="0" borderId="0" applyProtection="0"/>
    <xf numFmtId="164" fontId="7" fillId="0" borderId="0" applyProtection="0"/>
    <xf numFmtId="164" fontId="7" fillId="0" borderId="0" applyProtection="0"/>
    <xf numFmtId="164" fontId="7" fillId="0" borderId="0" applyProtection="0"/>
    <xf numFmtId="164" fontId="7" fillId="0" borderId="0" applyProtection="0"/>
    <xf numFmtId="9" fontId="5" fillId="0" borderId="0" applyFont="0" applyFill="0" applyBorder="0" applyAlignment="0" applyProtection="0"/>
    <xf numFmtId="9" fontId="3" fillId="0" borderId="0" applyFont="0" applyFill="0" applyBorder="0" applyAlignment="0" applyProtection="0"/>
    <xf numFmtId="164" fontId="78" fillId="0" borderId="0" applyNumberForma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0" fontId="2" fillId="0" borderId="0"/>
    <xf numFmtId="9"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9" fontId="7" fillId="0" borderId="0" applyFont="0" applyFill="0" applyBorder="0" applyAlignment="0" applyProtection="0"/>
  </cellStyleXfs>
  <cellXfs count="224">
    <xf numFmtId="164" fontId="0" fillId="0" borderId="0" xfId="0"/>
    <xf numFmtId="0" fontId="5" fillId="0" borderId="0" xfId="3"/>
    <xf numFmtId="49" fontId="6" fillId="0" borderId="0" xfId="3" applyNumberFormat="1" applyFont="1" applyAlignment="1">
      <alignment horizontal="right"/>
    </xf>
    <xf numFmtId="0" fontId="6" fillId="0" borderId="0" xfId="3" applyFont="1" applyAlignment="1">
      <alignment horizontal="right"/>
    </xf>
    <xf numFmtId="3" fontId="5" fillId="0" borderId="0" xfId="0" applyNumberFormat="1" applyFont="1" applyAlignment="1">
      <alignment horizontal="center"/>
    </xf>
    <xf numFmtId="0" fontId="5" fillId="0" borderId="1" xfId="3" applyBorder="1" applyAlignment="1">
      <alignment horizontal="center"/>
    </xf>
    <xf numFmtId="164" fontId="5" fillId="0" borderId="0" xfId="0" applyFont="1" applyAlignment="1">
      <alignment horizontal="center"/>
    </xf>
    <xf numFmtId="165" fontId="5" fillId="0" borderId="0" xfId="1" applyNumberFormat="1" applyFill="1"/>
    <xf numFmtId="0" fontId="5" fillId="2" borderId="0" xfId="0" applyNumberFormat="1" applyFont="1" applyFill="1"/>
    <xf numFmtId="166" fontId="5" fillId="0" borderId="2" xfId="2" applyNumberFormat="1" applyFont="1" applyFill="1" applyBorder="1"/>
    <xf numFmtId="0" fontId="6" fillId="0" borderId="0" xfId="3" applyFont="1"/>
    <xf numFmtId="165" fontId="5" fillId="0" borderId="3" xfId="1" applyNumberFormat="1" applyFill="1" applyBorder="1"/>
    <xf numFmtId="165" fontId="6" fillId="0" borderId="0" xfId="1" applyNumberFormat="1" applyFont="1" applyFill="1"/>
    <xf numFmtId="0" fontId="71" fillId="0" borderId="0" xfId="127" applyFont="1" applyAlignment="1">
      <alignment horizontal="center"/>
    </xf>
    <xf numFmtId="166" fontId="5" fillId="0" borderId="20" xfId="88" applyNumberFormat="1" applyFont="1" applyFill="1" applyBorder="1"/>
    <xf numFmtId="44" fontId="5" fillId="0" borderId="0" xfId="3" applyNumberFormat="1"/>
    <xf numFmtId="166" fontId="5" fillId="0" borderId="0" xfId="2" applyNumberFormat="1" applyFont="1" applyFill="1" applyBorder="1"/>
    <xf numFmtId="164" fontId="5" fillId="0" borderId="0" xfId="0" applyFont="1"/>
    <xf numFmtId="164" fontId="74" fillId="0" borderId="0" xfId="0" applyFont="1"/>
    <xf numFmtId="0" fontId="5" fillId="0" borderId="0" xfId="3" applyAlignment="1">
      <alignment horizontal="right"/>
    </xf>
    <xf numFmtId="165" fontId="5" fillId="0" borderId="0" xfId="3" applyNumberFormat="1"/>
    <xf numFmtId="3" fontId="5" fillId="0" borderId="0" xfId="3" applyNumberFormat="1"/>
    <xf numFmtId="165" fontId="5" fillId="0" borderId="0" xfId="1" applyNumberFormat="1" applyFont="1" applyFill="1" applyBorder="1" applyAlignment="1"/>
    <xf numFmtId="0" fontId="5" fillId="0" borderId="0" xfId="3" applyAlignment="1">
      <alignment horizontal="center"/>
    </xf>
    <xf numFmtId="0" fontId="5" fillId="0" borderId="0" xfId="0" applyNumberFormat="1" applyFont="1"/>
    <xf numFmtId="43" fontId="5" fillId="0" borderId="0" xfId="1" applyFont="1" applyBorder="1" applyAlignment="1">
      <alignment wrapText="1"/>
    </xf>
    <xf numFmtId="0" fontId="5" fillId="0" borderId="0" xfId="0" applyNumberFormat="1" applyFont="1" applyAlignment="1">
      <alignment vertical="center"/>
    </xf>
    <xf numFmtId="0" fontId="5" fillId="0" borderId="0" xfId="3" applyAlignment="1">
      <alignment horizontal="center" vertical="center"/>
    </xf>
    <xf numFmtId="164" fontId="75" fillId="0" borderId="0" xfId="0" applyFont="1"/>
    <xf numFmtId="187" fontId="5" fillId="0" borderId="0" xfId="0" applyNumberFormat="1" applyFont="1" applyAlignment="1">
      <alignment horizontal="center"/>
    </xf>
    <xf numFmtId="0" fontId="6" fillId="0" borderId="0" xfId="3" applyFont="1" applyAlignment="1">
      <alignment horizontal="center"/>
    </xf>
    <xf numFmtId="0" fontId="5" fillId="0" borderId="0" xfId="3" applyAlignment="1">
      <alignment horizontal="left"/>
    </xf>
    <xf numFmtId="164" fontId="0" fillId="0" borderId="0" xfId="0" applyAlignment="1">
      <alignment horizontal="right"/>
    </xf>
    <xf numFmtId="0" fontId="5" fillId="0" borderId="0" xfId="0" applyNumberFormat="1" applyFont="1" applyAlignment="1">
      <alignment horizontal="center"/>
    </xf>
    <xf numFmtId="0" fontId="5" fillId="0" borderId="0" xfId="0" applyNumberFormat="1" applyFont="1" applyAlignment="1">
      <alignment horizontal="center" vertical="center"/>
    </xf>
    <xf numFmtId="164" fontId="6" fillId="0" borderId="0" xfId="0" applyFont="1" applyAlignment="1">
      <alignment horizontal="right"/>
    </xf>
    <xf numFmtId="164" fontId="6" fillId="0" borderId="0" xfId="0" applyFont="1" applyAlignment="1">
      <alignment horizontal="left"/>
    </xf>
    <xf numFmtId="164" fontId="5" fillId="0" borderId="1" xfId="0" applyFont="1" applyBorder="1" applyAlignment="1">
      <alignment horizontal="center"/>
    </xf>
    <xf numFmtId="0" fontId="5" fillId="0" borderId="1" xfId="0" applyNumberFormat="1" applyFont="1" applyBorder="1" applyAlignment="1">
      <alignment horizontal="center"/>
    </xf>
    <xf numFmtId="0" fontId="5" fillId="0" borderId="1" xfId="0" applyNumberFormat="1" applyFont="1" applyBorder="1" applyAlignment="1">
      <alignment horizontal="center" vertical="center"/>
    </xf>
    <xf numFmtId="43" fontId="5" fillId="0" borderId="0" xfId="1" applyFill="1"/>
    <xf numFmtId="165" fontId="5" fillId="0" borderId="0" xfId="1" applyNumberFormat="1" applyFont="1" applyFill="1" applyAlignment="1"/>
    <xf numFmtId="187" fontId="5" fillId="0" borderId="0" xfId="0" applyNumberFormat="1" applyFont="1" applyAlignment="1">
      <alignment horizontal="right"/>
    </xf>
    <xf numFmtId="165" fontId="24" fillId="0" borderId="0" xfId="1" applyNumberFormat="1" applyFont="1" applyFill="1" applyAlignment="1"/>
    <xf numFmtId="165" fontId="5" fillId="0" borderId="0" xfId="1" applyNumberFormat="1" applyFont="1" applyFill="1" applyAlignment="1">
      <alignment horizontal="right" wrapText="1"/>
    </xf>
    <xf numFmtId="165" fontId="6" fillId="0" borderId="3" xfId="1" applyNumberFormat="1" applyFont="1" applyFill="1" applyBorder="1"/>
    <xf numFmtId="165" fontId="5" fillId="0" borderId="3" xfId="1" applyNumberFormat="1" applyFont="1" applyBorder="1"/>
    <xf numFmtId="165" fontId="5" fillId="0" borderId="3" xfId="1" applyNumberFormat="1" applyFont="1" applyFill="1" applyBorder="1" applyAlignment="1"/>
    <xf numFmtId="187" fontId="5" fillId="0" borderId="0" xfId="0" applyNumberFormat="1" applyFont="1" applyAlignment="1">
      <alignment horizontal="left"/>
    </xf>
    <xf numFmtId="165" fontId="5" fillId="0" borderId="0" xfId="1" applyNumberFormat="1" applyFont="1"/>
    <xf numFmtId="0" fontId="79" fillId="0" borderId="0" xfId="3" applyFont="1"/>
    <xf numFmtId="0" fontId="80" fillId="0" borderId="0" xfId="3" applyFont="1"/>
    <xf numFmtId="165" fontId="5" fillId="0" borderId="0" xfId="1" applyNumberFormat="1" applyFont="1" applyFill="1"/>
    <xf numFmtId="187" fontId="5" fillId="0" borderId="0" xfId="125" applyNumberFormat="1" applyFont="1" applyAlignment="1">
      <alignment horizontal="right"/>
    </xf>
    <xf numFmtId="3" fontId="24" fillId="0" borderId="0" xfId="0" applyNumberFormat="1" applyFont="1"/>
    <xf numFmtId="164" fontId="24" fillId="0" borderId="0" xfId="0" applyFont="1"/>
    <xf numFmtId="3" fontId="24" fillId="0" borderId="0" xfId="123" applyNumberFormat="1" applyFont="1"/>
    <xf numFmtId="3" fontId="5" fillId="0" borderId="0" xfId="0" applyNumberFormat="1" applyFont="1"/>
    <xf numFmtId="0" fontId="5" fillId="0" borderId="0" xfId="0" applyNumberFormat="1" applyFont="1" applyAlignment="1" applyProtection="1">
      <alignment horizontal="center"/>
      <protection locked="0"/>
    </xf>
    <xf numFmtId="165" fontId="5" fillId="0" borderId="3" xfId="1" applyNumberFormat="1" applyFont="1" applyFill="1" applyBorder="1"/>
    <xf numFmtId="9" fontId="5" fillId="0" borderId="0" xfId="208" applyFont="1" applyFill="1"/>
    <xf numFmtId="164" fontId="73" fillId="0" borderId="0" xfId="0" applyFont="1" applyAlignment="1">
      <alignment horizontal="center"/>
    </xf>
    <xf numFmtId="0" fontId="24" fillId="0" borderId="0" xfId="0" applyNumberFormat="1" applyFont="1" applyAlignment="1">
      <alignment horizontal="center"/>
    </xf>
    <xf numFmtId="0" fontId="24" fillId="0" borderId="0" xfId="0" applyNumberFormat="1" applyFont="1"/>
    <xf numFmtId="3" fontId="22" fillId="0" borderId="0" xfId="0" applyNumberFormat="1" applyFont="1" applyAlignment="1">
      <alignment horizontal="center"/>
    </xf>
    <xf numFmtId="0" fontId="24" fillId="0" borderId="0" xfId="0" applyNumberFormat="1" applyFont="1" applyAlignment="1" applyProtection="1">
      <alignment horizontal="center"/>
      <protection locked="0"/>
    </xf>
    <xf numFmtId="164" fontId="22" fillId="0" borderId="0" xfId="0" applyFont="1" applyAlignment="1">
      <alignment horizontal="center"/>
    </xf>
    <xf numFmtId="0" fontId="22" fillId="0" borderId="0" xfId="0" applyNumberFormat="1" applyFont="1"/>
    <xf numFmtId="3" fontId="24" fillId="0" borderId="0" xfId="127" applyNumberFormat="1" applyFont="1"/>
    <xf numFmtId="164" fontId="24" fillId="0" borderId="0" xfId="0" applyFont="1" applyProtection="1">
      <protection locked="0"/>
    </xf>
    <xf numFmtId="164" fontId="24" fillId="0" borderId="0" xfId="123" applyFont="1"/>
    <xf numFmtId="0" fontId="24" fillId="0" borderId="0" xfId="0" applyNumberFormat="1" applyFont="1" applyProtection="1">
      <protection locked="0"/>
    </xf>
    <xf numFmtId="185" fontId="24" fillId="0" borderId="0" xfId="0" applyNumberFormat="1" applyFont="1" applyAlignment="1">
      <alignment horizontal="left"/>
    </xf>
    <xf numFmtId="185" fontId="24" fillId="0" borderId="0" xfId="0" applyNumberFormat="1" applyFont="1" applyAlignment="1" applyProtection="1">
      <alignment horizontal="left"/>
      <protection locked="0"/>
    </xf>
    <xf numFmtId="164" fontId="24" fillId="0" borderId="0" xfId="0" quotePrefix="1" applyFont="1"/>
    <xf numFmtId="186" fontId="24" fillId="0" borderId="0" xfId="0" applyNumberFormat="1" applyFont="1"/>
    <xf numFmtId="185" fontId="24" fillId="0" borderId="0" xfId="0" applyNumberFormat="1" applyFont="1" applyAlignment="1">
      <alignment horizontal="center"/>
    </xf>
    <xf numFmtId="0" fontId="22" fillId="0" borderId="0" xfId="194" applyNumberFormat="1" applyFont="1" applyAlignment="1">
      <alignment horizontal="center"/>
    </xf>
    <xf numFmtId="0" fontId="24" fillId="0" borderId="0" xfId="195" applyNumberFormat="1" applyFont="1" applyAlignment="1" applyProtection="1">
      <alignment horizontal="center"/>
      <protection locked="0"/>
    </xf>
    <xf numFmtId="164" fontId="24" fillId="0" borderId="0" xfId="195" applyFont="1"/>
    <xf numFmtId="0" fontId="22" fillId="0" borderId="0" xfId="195" applyNumberFormat="1" applyFont="1"/>
    <xf numFmtId="0" fontId="24" fillId="0" borderId="0" xfId="195" applyNumberFormat="1" applyFont="1" applyProtection="1">
      <protection locked="0"/>
    </xf>
    <xf numFmtId="0" fontId="24" fillId="0" borderId="0" xfId="195" applyNumberFormat="1" applyFont="1"/>
    <xf numFmtId="3" fontId="24" fillId="0" borderId="0" xfId="195" applyNumberFormat="1" applyFont="1"/>
    <xf numFmtId="3" fontId="24" fillId="0" borderId="0" xfId="196" applyNumberFormat="1" applyFont="1"/>
    <xf numFmtId="164" fontId="24" fillId="0" borderId="0" xfId="197" applyFont="1"/>
    <xf numFmtId="49" fontId="24" fillId="0" borderId="0" xfId="195" applyNumberFormat="1" applyFont="1"/>
    <xf numFmtId="3" fontId="24" fillId="0" borderId="0" xfId="198" applyNumberFormat="1" applyFont="1"/>
    <xf numFmtId="3" fontId="24" fillId="0" borderId="0" xfId="199" applyNumberFormat="1" applyFont="1"/>
    <xf numFmtId="3" fontId="24" fillId="0" borderId="0" xfId="200" applyNumberFormat="1" applyFont="1"/>
    <xf numFmtId="3" fontId="24" fillId="0" borderId="0" xfId="195" applyNumberFormat="1" applyFont="1" applyAlignment="1">
      <alignment horizontal="left"/>
    </xf>
    <xf numFmtId="0" fontId="12" fillId="0" borderId="0" xfId="195" applyNumberFormat="1" applyFont="1"/>
    <xf numFmtId="3" fontId="24" fillId="0" borderId="0" xfId="201" applyNumberFormat="1" applyFont="1"/>
    <xf numFmtId="164" fontId="12" fillId="0" borderId="0" xfId="195" applyFont="1"/>
    <xf numFmtId="0" fontId="24" fillId="0" borderId="0" xfId="195" quotePrefix="1" applyNumberFormat="1" applyFont="1"/>
    <xf numFmtId="0" fontId="24" fillId="0" borderId="0" xfId="3" applyFont="1" applyAlignment="1">
      <alignment horizontal="left"/>
    </xf>
    <xf numFmtId="164" fontId="24" fillId="0" borderId="0" xfId="201" applyFont="1" applyAlignment="1">
      <alignment horizontal="left"/>
    </xf>
    <xf numFmtId="164" fontId="24" fillId="0" borderId="0" xfId="195" applyFont="1" applyAlignment="1">
      <alignment horizontal="left"/>
    </xf>
    <xf numFmtId="0" fontId="24" fillId="0" borderId="0" xfId="202" applyNumberFormat="1" applyFont="1" applyProtection="1">
      <protection locked="0"/>
    </xf>
    <xf numFmtId="164" fontId="73" fillId="0" borderId="1" xfId="0" applyFont="1" applyBorder="1" applyAlignment="1">
      <alignment horizontal="center"/>
    </xf>
    <xf numFmtId="0" fontId="24" fillId="0" borderId="1" xfId="0" applyNumberFormat="1" applyFont="1" applyBorder="1" applyAlignment="1" applyProtection="1">
      <alignment horizontal="center"/>
      <protection locked="0"/>
    </xf>
    <xf numFmtId="164" fontId="81" fillId="0" borderId="0" xfId="0" applyFont="1"/>
    <xf numFmtId="164" fontId="81" fillId="0" borderId="0" xfId="0" applyFont="1" applyAlignment="1">
      <alignment horizontal="left" indent="1"/>
    </xf>
    <xf numFmtId="165" fontId="81" fillId="0" borderId="0" xfId="1" applyNumberFormat="1" applyFont="1" applyFill="1" applyBorder="1"/>
    <xf numFmtId="165" fontId="81" fillId="0" borderId="11" xfId="1" applyNumberFormat="1" applyFont="1" applyFill="1" applyBorder="1"/>
    <xf numFmtId="9" fontId="0" fillId="0" borderId="0" xfId="208" applyFont="1"/>
    <xf numFmtId="165" fontId="0" fillId="0" borderId="0" xfId="1" applyNumberFormat="1" applyFont="1"/>
    <xf numFmtId="185" fontId="83" fillId="0" borderId="0" xfId="210" applyNumberFormat="1" applyFont="1" applyFill="1" applyAlignment="1"/>
    <xf numFmtId="185" fontId="83" fillId="0" borderId="0" xfId="210" applyNumberFormat="1" applyFont="1" applyFill="1" applyAlignment="1">
      <alignment horizontal="center"/>
    </xf>
    <xf numFmtId="185" fontId="85" fillId="0" borderId="0" xfId="210" applyNumberFormat="1" applyFont="1" applyFill="1" applyAlignment="1">
      <alignment horizontal="center"/>
    </xf>
    <xf numFmtId="185" fontId="83" fillId="0" borderId="0" xfId="210" applyNumberFormat="1" applyFont="1" applyFill="1"/>
    <xf numFmtId="165" fontId="12" fillId="0" borderId="0" xfId="211" applyNumberFormat="1" applyFont="1" applyFill="1" applyAlignment="1">
      <alignment horizontal="center"/>
    </xf>
    <xf numFmtId="185" fontId="85" fillId="0" borderId="0" xfId="210" applyNumberFormat="1" applyFont="1" applyFill="1" applyBorder="1" applyAlignment="1">
      <alignment horizontal="center"/>
    </xf>
    <xf numFmtId="165" fontId="85" fillId="0" borderId="0" xfId="212" applyNumberFormat="1" applyFont="1" applyFill="1" applyBorder="1" applyAlignment="1"/>
    <xf numFmtId="165" fontId="12" fillId="0" borderId="0" xfId="212" applyNumberFormat="1" applyFont="1" applyFill="1" applyAlignment="1">
      <alignment horizontal="center"/>
    </xf>
    <xf numFmtId="165" fontId="85" fillId="0" borderId="0" xfId="212" applyNumberFormat="1" applyFont="1" applyFill="1" applyAlignment="1"/>
    <xf numFmtId="165" fontId="85" fillId="0" borderId="1" xfId="212" applyNumberFormat="1" applyFont="1" applyFill="1" applyBorder="1" applyAlignment="1">
      <alignment horizontal="center"/>
    </xf>
    <xf numFmtId="185" fontId="85" fillId="0" borderId="1" xfId="210" applyNumberFormat="1" applyFont="1" applyFill="1" applyBorder="1" applyAlignment="1">
      <alignment horizontal="center"/>
    </xf>
    <xf numFmtId="165" fontId="12" fillId="0" borderId="1" xfId="212" applyNumberFormat="1" applyFont="1" applyFill="1" applyBorder="1" applyAlignment="1"/>
    <xf numFmtId="165" fontId="83" fillId="0" borderId="3" xfId="212" applyNumberFormat="1" applyFont="1" applyFill="1" applyBorder="1" applyAlignment="1"/>
    <xf numFmtId="165" fontId="83" fillId="0" borderId="0" xfId="212" applyNumberFormat="1" applyFont="1" applyFill="1" applyBorder="1" applyAlignment="1">
      <alignment horizontal="center"/>
    </xf>
    <xf numFmtId="165" fontId="83" fillId="0" borderId="0" xfId="212" applyNumberFormat="1" applyFont="1" applyFill="1" applyBorder="1" applyAlignment="1"/>
    <xf numFmtId="189" fontId="85" fillId="0" borderId="0" xfId="211" quotePrefix="1" applyNumberFormat="1" applyFont="1" applyFill="1" applyAlignment="1">
      <alignment horizontal="right"/>
    </xf>
    <xf numFmtId="165" fontId="85" fillId="0" borderId="1" xfId="212" applyNumberFormat="1" applyFont="1" applyFill="1" applyBorder="1" applyAlignment="1"/>
    <xf numFmtId="185" fontId="12" fillId="0" borderId="0" xfId="208" applyNumberFormat="1" applyFont="1" applyFill="1" applyAlignment="1">
      <alignment horizontal="center"/>
    </xf>
    <xf numFmtId="165" fontId="85" fillId="0" borderId="0" xfId="212" applyNumberFormat="1" applyFont="1" applyFill="1" applyBorder="1" applyAlignment="1">
      <alignment horizontal="center"/>
    </xf>
    <xf numFmtId="165" fontId="12" fillId="0" borderId="0" xfId="212" applyNumberFormat="1" applyFont="1" applyFill="1" applyBorder="1" applyAlignment="1">
      <alignment horizontal="center"/>
    </xf>
    <xf numFmtId="165" fontId="12" fillId="0" borderId="0" xfId="212" applyNumberFormat="1" applyFont="1" applyFill="1" applyAlignment="1">
      <alignment horizontal="center" wrapText="1"/>
    </xf>
    <xf numFmtId="165" fontId="85" fillId="0" borderId="0" xfId="212" applyNumberFormat="1" applyFont="1" applyFill="1" applyAlignment="1">
      <alignment horizontal="center"/>
    </xf>
    <xf numFmtId="165" fontId="87" fillId="0" borderId="0" xfId="212" applyNumberFormat="1" applyFont="1" applyFill="1" applyAlignment="1">
      <alignment horizontal="center"/>
    </xf>
    <xf numFmtId="165" fontId="12" fillId="0" borderId="0" xfId="212" applyNumberFormat="1" applyFont="1" applyFill="1" applyAlignment="1"/>
    <xf numFmtId="43" fontId="88" fillId="0" borderId="0" xfId="212" applyFont="1" applyFill="1" applyBorder="1" applyAlignment="1">
      <alignment horizontal="left"/>
    </xf>
    <xf numFmtId="165" fontId="83" fillId="0" borderId="1" xfId="212" applyNumberFormat="1" applyFont="1" applyFill="1" applyBorder="1" applyAlignment="1"/>
    <xf numFmtId="43" fontId="88" fillId="0" borderId="1" xfId="212" applyFont="1" applyFill="1" applyBorder="1" applyAlignment="1">
      <alignment horizontal="left"/>
    </xf>
    <xf numFmtId="165" fontId="89" fillId="0" borderId="0" xfId="212" applyNumberFormat="1" applyFont="1" applyFill="1" applyBorder="1" applyAlignment="1"/>
    <xf numFmtId="185" fontId="83" fillId="0" borderId="0" xfId="208" applyNumberFormat="1" applyFont="1" applyFill="1" applyBorder="1" applyAlignment="1">
      <alignment horizontal="center"/>
    </xf>
    <xf numFmtId="0" fontId="2" fillId="0" borderId="0" xfId="209"/>
    <xf numFmtId="0" fontId="82" fillId="0" borderId="0" xfId="209" applyFont="1"/>
    <xf numFmtId="0" fontId="83" fillId="0" borderId="0" xfId="3" applyFont="1" applyAlignment="1">
      <alignment horizontal="center"/>
    </xf>
    <xf numFmtId="1" fontId="84" fillId="0" borderId="0" xfId="209" quotePrefix="1" applyNumberFormat="1" applyFont="1" applyAlignment="1">
      <alignment horizontal="left"/>
    </xf>
    <xf numFmtId="0" fontId="83" fillId="0" borderId="0" xfId="3" applyFont="1"/>
    <xf numFmtId="164" fontId="85" fillId="0" borderId="0" xfId="209" applyNumberFormat="1" applyFont="1"/>
    <xf numFmtId="164" fontId="85" fillId="0" borderId="0" xfId="209" applyNumberFormat="1" applyFont="1" applyAlignment="1">
      <alignment horizontal="center"/>
    </xf>
    <xf numFmtId="164" fontId="83" fillId="0" borderId="0" xfId="209" applyNumberFormat="1" applyFont="1" applyAlignment="1">
      <alignment horizontal="center"/>
    </xf>
    <xf numFmtId="184" fontId="83" fillId="0" borderId="0" xfId="209" applyNumberFormat="1" applyFont="1" applyAlignment="1">
      <alignment horizontal="center"/>
    </xf>
    <xf numFmtId="184" fontId="83" fillId="0" borderId="0" xfId="209" quotePrefix="1" applyNumberFormat="1" applyFont="1" applyAlignment="1">
      <alignment horizontal="center"/>
    </xf>
    <xf numFmtId="164" fontId="83" fillId="0" borderId="0" xfId="209" applyNumberFormat="1" applyFont="1" applyAlignment="1">
      <alignment horizontal="right"/>
    </xf>
    <xf numFmtId="0" fontId="83" fillId="0" borderId="6" xfId="3" applyFont="1" applyBorder="1" applyAlignment="1">
      <alignment horizontal="center"/>
    </xf>
    <xf numFmtId="3" fontId="85" fillId="0" borderId="6" xfId="209" applyNumberFormat="1" applyFont="1" applyBorder="1" applyAlignment="1">
      <alignment horizontal="center"/>
    </xf>
    <xf numFmtId="164" fontId="83" fillId="0" borderId="0" xfId="209" applyNumberFormat="1" applyFont="1"/>
    <xf numFmtId="164" fontId="83" fillId="0" borderId="5" xfId="209" applyNumberFormat="1" applyFont="1" applyBorder="1"/>
    <xf numFmtId="164" fontId="83" fillId="0" borderId="5" xfId="209" applyNumberFormat="1" applyFont="1" applyBorder="1" applyAlignment="1">
      <alignment horizontal="center" wrapText="1"/>
    </xf>
    <xf numFmtId="164" fontId="83" fillId="0" borderId="0" xfId="209" applyNumberFormat="1" applyFont="1" applyAlignment="1">
      <alignment horizontal="center" wrapText="1"/>
    </xf>
    <xf numFmtId="0" fontId="85" fillId="0" borderId="0" xfId="3" applyFont="1" applyAlignment="1">
      <alignment horizontal="center"/>
    </xf>
    <xf numFmtId="3" fontId="85" fillId="0" borderId="0" xfId="209" applyNumberFormat="1" applyFont="1"/>
    <xf numFmtId="3" fontId="85" fillId="0" borderId="0" xfId="209" quotePrefix="1" applyNumberFormat="1" applyFont="1" applyAlignment="1">
      <alignment horizontal="right"/>
    </xf>
    <xf numFmtId="3" fontId="12" fillId="0" borderId="0" xfId="209" applyNumberFormat="1" applyFont="1" applyAlignment="1">
      <alignment horizontal="center"/>
    </xf>
    <xf numFmtId="3" fontId="85" fillId="0" borderId="0" xfId="209" applyNumberFormat="1" applyFont="1" applyAlignment="1">
      <alignment horizontal="center"/>
    </xf>
    <xf numFmtId="3" fontId="86" fillId="0" borderId="0" xfId="209" applyNumberFormat="1" applyFont="1"/>
    <xf numFmtId="3" fontId="83" fillId="0" borderId="0" xfId="209" applyNumberFormat="1" applyFont="1"/>
    <xf numFmtId="3" fontId="85" fillId="0" borderId="0" xfId="209" applyNumberFormat="1" applyFont="1" applyAlignment="1">
      <alignment horizontal="right"/>
    </xf>
    <xf numFmtId="3" fontId="85" fillId="0" borderId="1" xfId="209" applyNumberFormat="1" applyFont="1" applyBorder="1" applyAlignment="1">
      <alignment horizontal="right"/>
    </xf>
    <xf numFmtId="3" fontId="12" fillId="0" borderId="0" xfId="0" applyNumberFormat="1" applyFont="1"/>
    <xf numFmtId="3" fontId="12" fillId="0" borderId="0" xfId="209" applyNumberFormat="1" applyFont="1"/>
    <xf numFmtId="3" fontId="12" fillId="0" borderId="0" xfId="209" quotePrefix="1" applyNumberFormat="1" applyFont="1" applyAlignment="1">
      <alignment horizontal="right"/>
    </xf>
    <xf numFmtId="0" fontId="12" fillId="0" borderId="0" xfId="3" applyFont="1" applyAlignment="1">
      <alignment horizontal="center"/>
    </xf>
    <xf numFmtId="3" fontId="96" fillId="0" borderId="0" xfId="209" applyNumberFormat="1" applyFont="1"/>
    <xf numFmtId="3" fontId="83" fillId="0" borderId="0" xfId="209" applyNumberFormat="1" applyFont="1" applyAlignment="1">
      <alignment wrapText="1"/>
    </xf>
    <xf numFmtId="164" fontId="90" fillId="0" borderId="0" xfId="0" applyFont="1"/>
    <xf numFmtId="0" fontId="1" fillId="0" borderId="0" xfId="209" applyFont="1"/>
    <xf numFmtId="0" fontId="91" fillId="0" borderId="0" xfId="3" applyFont="1" applyAlignment="1">
      <alignment horizontal="center"/>
    </xf>
    <xf numFmtId="0" fontId="85" fillId="0" borderId="0" xfId="3" applyFont="1" applyAlignment="1">
      <alignment horizontal="center" vertical="top"/>
    </xf>
    <xf numFmtId="0" fontId="93" fillId="0" borderId="0" xfId="209" applyFont="1" applyAlignment="1">
      <alignment wrapText="1"/>
    </xf>
    <xf numFmtId="0" fontId="2" fillId="0" borderId="0" xfId="209" applyAlignment="1">
      <alignment wrapText="1"/>
    </xf>
    <xf numFmtId="0" fontId="12" fillId="0" borderId="0" xfId="3" applyFont="1" applyAlignment="1">
      <alignment horizontal="center" vertical="top"/>
    </xf>
    <xf numFmtId="0" fontId="95" fillId="0" borderId="0" xfId="209" applyFont="1"/>
    <xf numFmtId="0" fontId="2" fillId="0" borderId="0" xfId="209" applyAlignment="1">
      <alignment vertical="top" wrapText="1"/>
    </xf>
    <xf numFmtId="49" fontId="6" fillId="0" borderId="0" xfId="3" applyNumberFormat="1" applyFont="1" applyAlignment="1">
      <alignment horizontal="center"/>
    </xf>
    <xf numFmtId="165" fontId="5" fillId="0" borderId="0" xfId="1" quotePrefix="1" applyNumberFormat="1" applyFont="1" applyFill="1" applyAlignment="1">
      <alignment horizontal="center"/>
    </xf>
    <xf numFmtId="0" fontId="6" fillId="0" borderId="0" xfId="1" applyNumberFormat="1" applyFont="1" applyFill="1" applyAlignment="1">
      <alignment horizontal="center"/>
    </xf>
    <xf numFmtId="0" fontId="6" fillId="0" borderId="0" xfId="127" applyFont="1"/>
    <xf numFmtId="0" fontId="5" fillId="0" borderId="0" xfId="0" applyNumberFormat="1" applyFont="1" applyProtection="1">
      <protection locked="0"/>
    </xf>
    <xf numFmtId="0" fontId="5" fillId="0" borderId="3" xfId="3" applyBorder="1"/>
    <xf numFmtId="0" fontId="5" fillId="0" borderId="0" xfId="127"/>
    <xf numFmtId="0" fontId="5" fillId="0" borderId="0" xfId="127" applyAlignment="1">
      <alignment horizontal="center"/>
    </xf>
    <xf numFmtId="37" fontId="5" fillId="0" borderId="0" xfId="127" applyNumberFormat="1"/>
    <xf numFmtId="37" fontId="5" fillId="0" borderId="0" xfId="3" applyNumberFormat="1"/>
    <xf numFmtId="0" fontId="5" fillId="0" borderId="0" xfId="127" quotePrefix="1"/>
    <xf numFmtId="37" fontId="5" fillId="0" borderId="3" xfId="127" applyNumberFormat="1" applyBorder="1"/>
    <xf numFmtId="37" fontId="5" fillId="0" borderId="1" xfId="127" applyNumberFormat="1" applyBorder="1"/>
    <xf numFmtId="37" fontId="5" fillId="0" borderId="20" xfId="127" applyNumberFormat="1" applyBorder="1"/>
    <xf numFmtId="37" fontId="5" fillId="0" borderId="2" xfId="127" applyNumberFormat="1" applyBorder="1"/>
    <xf numFmtId="164" fontId="6" fillId="0" borderId="0" xfId="0" applyFont="1"/>
    <xf numFmtId="164" fontId="25" fillId="0" borderId="0" xfId="0" applyFont="1"/>
    <xf numFmtId="188" fontId="5" fillId="0" borderId="0" xfId="0" applyNumberFormat="1" applyFont="1"/>
    <xf numFmtId="9" fontId="5" fillId="0" borderId="0" xfId="207" applyFont="1" applyFill="1"/>
    <xf numFmtId="190" fontId="5" fillId="0" borderId="0" xfId="0" applyNumberFormat="1" applyFont="1"/>
    <xf numFmtId="164" fontId="5" fillId="0" borderId="0" xfId="0" applyFont="1" applyAlignment="1">
      <alignment wrapText="1"/>
    </xf>
    <xf numFmtId="164" fontId="5" fillId="0" borderId="0" xfId="0" applyFont="1" applyAlignment="1">
      <alignment vertical="center"/>
    </xf>
    <xf numFmtId="164" fontId="5" fillId="0" borderId="0" xfId="0" applyFont="1" applyAlignment="1">
      <alignment horizontal="left" wrapText="1"/>
    </xf>
    <xf numFmtId="17" fontId="5" fillId="0" borderId="0" xfId="3" applyNumberFormat="1"/>
    <xf numFmtId="165" fontId="5" fillId="0" borderId="0" xfId="1" applyNumberFormat="1" applyFont="1" applyFill="1" applyAlignment="1">
      <alignment horizontal="right"/>
    </xf>
    <xf numFmtId="164" fontId="97" fillId="0" borderId="0" xfId="206" applyFont="1" applyFill="1"/>
    <xf numFmtId="164" fontId="98" fillId="0" borderId="0" xfId="0" applyFont="1"/>
    <xf numFmtId="17" fontId="98" fillId="0" borderId="0" xfId="0" applyNumberFormat="1" applyFont="1"/>
    <xf numFmtId="164" fontId="99" fillId="0" borderId="0" xfId="0" applyFont="1"/>
    <xf numFmtId="164" fontId="98" fillId="0" borderId="0" xfId="0" applyFont="1" applyAlignment="1">
      <alignment horizontal="left"/>
    </xf>
    <xf numFmtId="165" fontId="98" fillId="0" borderId="2" xfId="1" applyNumberFormat="1" applyFont="1" applyFill="1" applyBorder="1"/>
    <xf numFmtId="0" fontId="22" fillId="0" borderId="0" xfId="194" applyNumberFormat="1" applyFont="1" applyAlignment="1">
      <alignment horizontal="center"/>
    </xf>
    <xf numFmtId="164" fontId="73" fillId="0" borderId="0" xfId="0" applyFont="1" applyAlignment="1">
      <alignment horizontal="center"/>
    </xf>
    <xf numFmtId="0" fontId="6" fillId="0" borderId="0" xfId="3" applyFont="1" applyAlignment="1">
      <alignment horizontal="center"/>
    </xf>
    <xf numFmtId="0" fontId="5" fillId="0" borderId="0" xfId="3" applyAlignment="1">
      <alignment horizontal="center"/>
    </xf>
    <xf numFmtId="49" fontId="6" fillId="0" borderId="0" xfId="3" applyNumberFormat="1" applyFont="1" applyAlignment="1">
      <alignment horizontal="center"/>
    </xf>
    <xf numFmtId="164" fontId="5" fillId="0" borderId="0" xfId="0" applyFont="1" applyAlignment="1">
      <alignment horizontal="left" wrapText="1"/>
    </xf>
    <xf numFmtId="0" fontId="92" fillId="0" borderId="0" xfId="209" applyFont="1" applyAlignment="1">
      <alignment horizontal="left" vertical="top" wrapText="1"/>
    </xf>
    <xf numFmtId="0" fontId="83" fillId="0" borderId="0" xfId="3" applyFont="1" applyAlignment="1">
      <alignment horizontal="center"/>
    </xf>
    <xf numFmtId="0" fontId="83" fillId="0" borderId="0" xfId="3" applyFont="1" applyAlignment="1">
      <alignment horizontal="right"/>
    </xf>
    <xf numFmtId="3" fontId="85" fillId="0" borderId="6" xfId="209" applyNumberFormat="1" applyFont="1" applyBorder="1" applyAlignment="1">
      <alignment horizontal="center"/>
    </xf>
    <xf numFmtId="164" fontId="83" fillId="0" borderId="21" xfId="209" applyNumberFormat="1" applyFont="1" applyBorder="1" applyAlignment="1">
      <alignment horizontal="center"/>
    </xf>
    <xf numFmtId="164" fontId="83" fillId="0" borderId="22" xfId="209" applyNumberFormat="1" applyFont="1" applyBorder="1" applyAlignment="1">
      <alignment horizontal="center"/>
    </xf>
    <xf numFmtId="3" fontId="83" fillId="0" borderId="21" xfId="209" applyNumberFormat="1" applyFont="1" applyBorder="1" applyAlignment="1">
      <alignment horizontal="center"/>
    </xf>
    <xf numFmtId="3" fontId="83" fillId="0" borderId="11" xfId="209" applyNumberFormat="1" applyFont="1" applyBorder="1" applyAlignment="1">
      <alignment horizontal="center"/>
    </xf>
    <xf numFmtId="0" fontId="16" fillId="0" borderId="0" xfId="209" applyFont="1" applyAlignment="1">
      <alignment horizontal="left" vertical="top" wrapText="1"/>
    </xf>
    <xf numFmtId="0" fontId="94" fillId="0" borderId="0" xfId="209" applyFont="1" applyAlignment="1">
      <alignment horizontal="left" vertical="top" wrapText="1"/>
    </xf>
  </cellXfs>
  <cellStyles count="214">
    <cellStyle name="%" xfId="4" xr:uid="{00000000-0005-0000-0000-000000000000}"/>
    <cellStyle name="_033103 13 week CF1" xfId="5" xr:uid="{00000000-0005-0000-0000-000001000000}"/>
    <cellStyle name="_181000-189000" xfId="6" xr:uid="{00000000-0005-0000-0000-000002000000}"/>
    <cellStyle name="_2002  What- No Cap X Morgan" xfId="7" xr:uid="{00000000-0005-0000-0000-000003000000}"/>
    <cellStyle name="_Baseline Rollforward Support 050817" xfId="8" xr:uid="{00000000-0005-0000-0000-000004000000}"/>
    <cellStyle name="_EGTG_2003_YTD_Cash_Flow" xfId="9" xr:uid="{00000000-0005-0000-0000-000005000000}"/>
    <cellStyle name="_Everest_Board_Book_2003_FINAL" xfId="10" xr:uid="{00000000-0005-0000-0000-000006000000}"/>
    <cellStyle name="_Oct03_Everest_Board_Financial_Operating_Report" xfId="11" xr:uid="{00000000-0005-0000-0000-000007000000}"/>
    <cellStyle name="_SpreadSM" xfId="12" xr:uid="{00000000-0005-0000-0000-000008000000}"/>
    <cellStyle name="_Vacation Hours 7-14-08 (2)" xfId="13" xr:uid="{00000000-0005-0000-0000-000009000000}"/>
    <cellStyle name="=C:\WINNT35\SYSTEM32\COMMAND.COM" xfId="14" xr:uid="{00000000-0005-0000-0000-00000A000000}"/>
    <cellStyle name="20% - Accent1 2" xfId="15" xr:uid="{00000000-0005-0000-0000-00000B000000}"/>
    <cellStyle name="20% - Accent2 2" xfId="16" xr:uid="{00000000-0005-0000-0000-00000C000000}"/>
    <cellStyle name="20% - Accent3 2" xfId="17" xr:uid="{00000000-0005-0000-0000-00000D000000}"/>
    <cellStyle name="20% - Accent4 2" xfId="18" xr:uid="{00000000-0005-0000-0000-00000E000000}"/>
    <cellStyle name="20% - Accent5 2" xfId="19" xr:uid="{00000000-0005-0000-0000-00000F000000}"/>
    <cellStyle name="20% - Accent6 2" xfId="20" xr:uid="{00000000-0005-0000-0000-000010000000}"/>
    <cellStyle name="40% - Accent1 2" xfId="21" xr:uid="{00000000-0005-0000-0000-000011000000}"/>
    <cellStyle name="40% - Accent2 2" xfId="22" xr:uid="{00000000-0005-0000-0000-000012000000}"/>
    <cellStyle name="40% - Accent3 2" xfId="23" xr:uid="{00000000-0005-0000-0000-000013000000}"/>
    <cellStyle name="40% - Accent4 2" xfId="24" xr:uid="{00000000-0005-0000-0000-000014000000}"/>
    <cellStyle name="40% - Accent5 2" xfId="25" xr:uid="{00000000-0005-0000-0000-000015000000}"/>
    <cellStyle name="40% - Accent6 2" xfId="26" xr:uid="{00000000-0005-0000-0000-000016000000}"/>
    <cellStyle name="60% - Accent1 2" xfId="27" xr:uid="{00000000-0005-0000-0000-000017000000}"/>
    <cellStyle name="60% - Accent2 2" xfId="28" xr:uid="{00000000-0005-0000-0000-000018000000}"/>
    <cellStyle name="60% - Accent3 2" xfId="29" xr:uid="{00000000-0005-0000-0000-000019000000}"/>
    <cellStyle name="60% - Accent4 2" xfId="30" xr:uid="{00000000-0005-0000-0000-00001A000000}"/>
    <cellStyle name="60% - Accent5 2" xfId="31" xr:uid="{00000000-0005-0000-0000-00001B000000}"/>
    <cellStyle name="60% - Accent6 2" xfId="32" xr:uid="{00000000-0005-0000-0000-00001C000000}"/>
    <cellStyle name="Accent1 2" xfId="33" xr:uid="{00000000-0005-0000-0000-00001D000000}"/>
    <cellStyle name="Accent2 2" xfId="34" xr:uid="{00000000-0005-0000-0000-00001E000000}"/>
    <cellStyle name="Accent3 2" xfId="35" xr:uid="{00000000-0005-0000-0000-00001F000000}"/>
    <cellStyle name="Accent4 2" xfId="36" xr:uid="{00000000-0005-0000-0000-000020000000}"/>
    <cellStyle name="Accent5 2" xfId="37" xr:uid="{00000000-0005-0000-0000-000021000000}"/>
    <cellStyle name="Accent6 2" xfId="38" xr:uid="{00000000-0005-0000-0000-000022000000}"/>
    <cellStyle name="Accounting" xfId="39" xr:uid="{00000000-0005-0000-0000-000023000000}"/>
    <cellStyle name="Actual Date" xfId="40" xr:uid="{00000000-0005-0000-0000-000024000000}"/>
    <cellStyle name="ADDR" xfId="41" xr:uid="{00000000-0005-0000-0000-000025000000}"/>
    <cellStyle name="Agara" xfId="42" xr:uid="{00000000-0005-0000-0000-000026000000}"/>
    <cellStyle name="Bad 2" xfId="43" xr:uid="{00000000-0005-0000-0000-000027000000}"/>
    <cellStyle name="Body" xfId="44" xr:uid="{00000000-0005-0000-0000-000028000000}"/>
    <cellStyle name="Bottom bold border" xfId="45" xr:uid="{00000000-0005-0000-0000-000029000000}"/>
    <cellStyle name="Bottom single border" xfId="46" xr:uid="{00000000-0005-0000-0000-00002A000000}"/>
    <cellStyle name="Business Unit" xfId="47" xr:uid="{00000000-0005-0000-0000-00002B000000}"/>
    <cellStyle name="C00A" xfId="48" xr:uid="{00000000-0005-0000-0000-00002C000000}"/>
    <cellStyle name="C00B" xfId="49" xr:uid="{00000000-0005-0000-0000-00002D000000}"/>
    <cellStyle name="C00L" xfId="50" xr:uid="{00000000-0005-0000-0000-00002E000000}"/>
    <cellStyle name="C01A" xfId="51" xr:uid="{00000000-0005-0000-0000-00002F000000}"/>
    <cellStyle name="C01B" xfId="52" xr:uid="{00000000-0005-0000-0000-000030000000}"/>
    <cellStyle name="C01H" xfId="53" xr:uid="{00000000-0005-0000-0000-000031000000}"/>
    <cellStyle name="C01L" xfId="54" xr:uid="{00000000-0005-0000-0000-000032000000}"/>
    <cellStyle name="C02A" xfId="55" xr:uid="{00000000-0005-0000-0000-000033000000}"/>
    <cellStyle name="C02B" xfId="56" xr:uid="{00000000-0005-0000-0000-000034000000}"/>
    <cellStyle name="C02H" xfId="57" xr:uid="{00000000-0005-0000-0000-000035000000}"/>
    <cellStyle name="C02L" xfId="58" xr:uid="{00000000-0005-0000-0000-000036000000}"/>
    <cellStyle name="C03A" xfId="59" xr:uid="{00000000-0005-0000-0000-000037000000}"/>
    <cellStyle name="C03B" xfId="60" xr:uid="{00000000-0005-0000-0000-000038000000}"/>
    <cellStyle name="C03H" xfId="61" xr:uid="{00000000-0005-0000-0000-000039000000}"/>
    <cellStyle name="C03L" xfId="62" xr:uid="{00000000-0005-0000-0000-00003A000000}"/>
    <cellStyle name="C04A" xfId="63" xr:uid="{00000000-0005-0000-0000-00003B000000}"/>
    <cellStyle name="C04B" xfId="64" xr:uid="{00000000-0005-0000-0000-00003C000000}"/>
    <cellStyle name="C04H" xfId="65" xr:uid="{00000000-0005-0000-0000-00003D000000}"/>
    <cellStyle name="C04L" xfId="66" xr:uid="{00000000-0005-0000-0000-00003E000000}"/>
    <cellStyle name="C05A" xfId="67" xr:uid="{00000000-0005-0000-0000-00003F000000}"/>
    <cellStyle name="C05B" xfId="68" xr:uid="{00000000-0005-0000-0000-000040000000}"/>
    <cellStyle name="C05H" xfId="69" xr:uid="{00000000-0005-0000-0000-000041000000}"/>
    <cellStyle name="C05L" xfId="70" xr:uid="{00000000-0005-0000-0000-000042000000}"/>
    <cellStyle name="C06A" xfId="71" xr:uid="{00000000-0005-0000-0000-000043000000}"/>
    <cellStyle name="C06B" xfId="72" xr:uid="{00000000-0005-0000-0000-000044000000}"/>
    <cellStyle name="C06H" xfId="73" xr:uid="{00000000-0005-0000-0000-000045000000}"/>
    <cellStyle name="C06L" xfId="74" xr:uid="{00000000-0005-0000-0000-000046000000}"/>
    <cellStyle name="C07A" xfId="75" xr:uid="{00000000-0005-0000-0000-000047000000}"/>
    <cellStyle name="C07B" xfId="76" xr:uid="{00000000-0005-0000-0000-000048000000}"/>
    <cellStyle name="C07H" xfId="77" xr:uid="{00000000-0005-0000-0000-000049000000}"/>
    <cellStyle name="C07L" xfId="78" xr:uid="{00000000-0005-0000-0000-00004A000000}"/>
    <cellStyle name="Calculation 2" xfId="79" xr:uid="{00000000-0005-0000-0000-00004B000000}"/>
    <cellStyle name="Check Cell 2" xfId="80" xr:uid="{00000000-0005-0000-0000-00004C000000}"/>
    <cellStyle name="Comma" xfId="1" builtinId="3"/>
    <cellStyle name="Comma 0" xfId="81" xr:uid="{00000000-0005-0000-0000-00004E000000}"/>
    <cellStyle name="Comma 2" xfId="82" xr:uid="{00000000-0005-0000-0000-00004F000000}"/>
    <cellStyle name="Comma 3" xfId="83" xr:uid="{00000000-0005-0000-0000-000050000000}"/>
    <cellStyle name="Comma 4" xfId="84" xr:uid="{00000000-0005-0000-0000-000051000000}"/>
    <cellStyle name="Comma 5" xfId="85" xr:uid="{00000000-0005-0000-0000-000052000000}"/>
    <cellStyle name="Comma 7" xfId="211" xr:uid="{3E2E9EC5-7133-43CD-9B5C-03AD93FB1508}"/>
    <cellStyle name="Comma 96" xfId="212" xr:uid="{B6E11328-1D3B-48A0-A185-AD114B0A717F}"/>
    <cellStyle name="Comma0 - Style1" xfId="86" xr:uid="{00000000-0005-0000-0000-000053000000}"/>
    <cellStyle name="Currency" xfId="2" builtinId="4"/>
    <cellStyle name="Currency 2" xfId="87" xr:uid="{00000000-0005-0000-0000-000055000000}"/>
    <cellStyle name="Currency 3" xfId="88" xr:uid="{00000000-0005-0000-0000-000056000000}"/>
    <cellStyle name="Date" xfId="89" xr:uid="{00000000-0005-0000-0000-000057000000}"/>
    <cellStyle name="Euro" xfId="90" xr:uid="{00000000-0005-0000-0000-000058000000}"/>
    <cellStyle name="Explanatory Text 2" xfId="91" xr:uid="{00000000-0005-0000-0000-000059000000}"/>
    <cellStyle name="Fixed" xfId="92" xr:uid="{00000000-0005-0000-0000-00005A000000}"/>
    <cellStyle name="Fixed1 - Style1" xfId="93" xr:uid="{00000000-0005-0000-0000-00005B000000}"/>
    <cellStyle name="Gilsans" xfId="94" xr:uid="{00000000-0005-0000-0000-00005C000000}"/>
    <cellStyle name="Gilsansl" xfId="95" xr:uid="{00000000-0005-0000-0000-00005D000000}"/>
    <cellStyle name="Good 2" xfId="96" xr:uid="{00000000-0005-0000-0000-00005E000000}"/>
    <cellStyle name="Grey" xfId="97" xr:uid="{00000000-0005-0000-0000-00005F000000}"/>
    <cellStyle name="HEADER" xfId="98" xr:uid="{00000000-0005-0000-0000-000060000000}"/>
    <cellStyle name="Header1" xfId="99" xr:uid="{00000000-0005-0000-0000-000061000000}"/>
    <cellStyle name="Header2" xfId="100" xr:uid="{00000000-0005-0000-0000-000062000000}"/>
    <cellStyle name="Heading" xfId="101" xr:uid="{00000000-0005-0000-0000-000063000000}"/>
    <cellStyle name="Heading 1 2" xfId="102" xr:uid="{00000000-0005-0000-0000-000064000000}"/>
    <cellStyle name="Heading 2 2" xfId="103" xr:uid="{00000000-0005-0000-0000-000065000000}"/>
    <cellStyle name="Heading 3 2" xfId="104" xr:uid="{00000000-0005-0000-0000-000066000000}"/>
    <cellStyle name="Heading 4 2" xfId="105" xr:uid="{00000000-0005-0000-0000-000067000000}"/>
    <cellStyle name="Heading1" xfId="106" xr:uid="{00000000-0005-0000-0000-000068000000}"/>
    <cellStyle name="Heading2" xfId="107" xr:uid="{00000000-0005-0000-0000-000069000000}"/>
    <cellStyle name="HIGHLIGHT" xfId="108" xr:uid="{00000000-0005-0000-0000-00006A000000}"/>
    <cellStyle name="Hyperlink" xfId="206" builtinId="8"/>
    <cellStyle name="Input [yellow]" xfId="109" xr:uid="{00000000-0005-0000-0000-00006C000000}"/>
    <cellStyle name="Input 2" xfId="110" xr:uid="{00000000-0005-0000-0000-00006D000000}"/>
    <cellStyle name="Lines" xfId="111" xr:uid="{00000000-0005-0000-0000-00006E000000}"/>
    <cellStyle name="Linked Cell 2" xfId="112" xr:uid="{00000000-0005-0000-0000-00006F000000}"/>
    <cellStyle name="MEM SSN" xfId="113" xr:uid="{00000000-0005-0000-0000-000070000000}"/>
    <cellStyle name="Mine" xfId="114" xr:uid="{00000000-0005-0000-0000-000071000000}"/>
    <cellStyle name="mmm-yy" xfId="115" xr:uid="{00000000-0005-0000-0000-000072000000}"/>
    <cellStyle name="Monétaire [0]_pldt" xfId="116" xr:uid="{00000000-0005-0000-0000-000073000000}"/>
    <cellStyle name="Monétaire_pldt" xfId="117" xr:uid="{00000000-0005-0000-0000-000074000000}"/>
    <cellStyle name="Neutral 2" xfId="118" xr:uid="{00000000-0005-0000-0000-000075000000}"/>
    <cellStyle name="New" xfId="119" xr:uid="{00000000-0005-0000-0000-000076000000}"/>
    <cellStyle name="No Border" xfId="120" xr:uid="{00000000-0005-0000-0000-000077000000}"/>
    <cellStyle name="no dec" xfId="121" xr:uid="{00000000-0005-0000-0000-000078000000}"/>
    <cellStyle name="Normal" xfId="0" builtinId="0"/>
    <cellStyle name="Normal - Style1" xfId="122" xr:uid="{00000000-0005-0000-0000-00007A000000}"/>
    <cellStyle name="Normal 10" xfId="198" xr:uid="{00000000-0005-0000-0000-00007B000000}"/>
    <cellStyle name="Normal 11" xfId="199" xr:uid="{00000000-0005-0000-0000-00007C000000}"/>
    <cellStyle name="Normal 12" xfId="200" xr:uid="{00000000-0005-0000-0000-00007D000000}"/>
    <cellStyle name="Normal 14" xfId="201" xr:uid="{00000000-0005-0000-0000-00007E000000}"/>
    <cellStyle name="Normal 15" xfId="203" xr:uid="{00000000-0005-0000-0000-00007F000000}"/>
    <cellStyle name="Normal 18" xfId="197" xr:uid="{00000000-0005-0000-0000-000080000000}"/>
    <cellStyle name="Normal 2" xfId="123" xr:uid="{00000000-0005-0000-0000-000081000000}"/>
    <cellStyle name="Normal 2 2" xfId="124" xr:uid="{00000000-0005-0000-0000-000082000000}"/>
    <cellStyle name="Normal 22" xfId="202" xr:uid="{00000000-0005-0000-0000-000083000000}"/>
    <cellStyle name="Normal 3" xfId="125" xr:uid="{00000000-0005-0000-0000-000084000000}"/>
    <cellStyle name="Normal 3 2" xfId="126" xr:uid="{00000000-0005-0000-0000-000085000000}"/>
    <cellStyle name="Normal 4" xfId="127" xr:uid="{00000000-0005-0000-0000-000086000000}"/>
    <cellStyle name="Normal 5" xfId="194" xr:uid="{00000000-0005-0000-0000-000087000000}"/>
    <cellStyle name="Normal 68" xfId="209" xr:uid="{2446A59D-6A8C-4514-A85F-3781F087E18D}"/>
    <cellStyle name="Normal 8" xfId="195" xr:uid="{00000000-0005-0000-0000-000088000000}"/>
    <cellStyle name="Normal 9" xfId="196" xr:uid="{00000000-0005-0000-0000-000089000000}"/>
    <cellStyle name="Normal CEN" xfId="128" xr:uid="{00000000-0005-0000-0000-00008A000000}"/>
    <cellStyle name="Normal Centered" xfId="129" xr:uid="{00000000-0005-0000-0000-00008B000000}"/>
    <cellStyle name="NORMAL CTR" xfId="130" xr:uid="{00000000-0005-0000-0000-00008C000000}"/>
    <cellStyle name="Normal_PRECorp2002HeintzResponse 8-21-03" xfId="3" xr:uid="{00000000-0005-0000-0000-00008D000000}"/>
    <cellStyle name="Note 2" xfId="131" xr:uid="{00000000-0005-0000-0000-00008E000000}"/>
    <cellStyle name="nUMBER" xfId="132" xr:uid="{00000000-0005-0000-0000-00008F000000}"/>
    <cellStyle name="Output 2" xfId="133" xr:uid="{00000000-0005-0000-0000-000090000000}"/>
    <cellStyle name="Percent" xfId="208" builtinId="5"/>
    <cellStyle name="Percent [2]" xfId="134" xr:uid="{00000000-0005-0000-0000-000092000000}"/>
    <cellStyle name="Percent 14" xfId="204" xr:uid="{00000000-0005-0000-0000-000093000000}"/>
    <cellStyle name="Percent 2" xfId="135" xr:uid="{00000000-0005-0000-0000-000094000000}"/>
    <cellStyle name="Percent 3" xfId="213" xr:uid="{26DAF44A-A07E-4F4F-A2F4-7AE11980232D}"/>
    <cellStyle name="Percent 60 2" xfId="205" xr:uid="{00000000-0005-0000-0000-000095000000}"/>
    <cellStyle name="Percent 60 2 2" xfId="207" xr:uid="{00000000-0005-0000-0000-000096000000}"/>
    <cellStyle name="Percent 63" xfId="210" xr:uid="{8CE2AA06-7115-40AA-AC6B-96B49249D10C}"/>
    <cellStyle name="PSChar" xfId="136" xr:uid="{00000000-0005-0000-0000-000097000000}"/>
    <cellStyle name="PSDate" xfId="137" xr:uid="{00000000-0005-0000-0000-000098000000}"/>
    <cellStyle name="PSDec" xfId="138" xr:uid="{00000000-0005-0000-0000-000099000000}"/>
    <cellStyle name="PSHeading" xfId="139" xr:uid="{00000000-0005-0000-0000-00009A000000}"/>
    <cellStyle name="PSInt" xfId="140" xr:uid="{00000000-0005-0000-0000-00009B000000}"/>
    <cellStyle name="PSSpacer" xfId="141" xr:uid="{00000000-0005-0000-0000-00009C000000}"/>
    <cellStyle name="R00A" xfId="142" xr:uid="{00000000-0005-0000-0000-00009D000000}"/>
    <cellStyle name="R00B" xfId="143" xr:uid="{00000000-0005-0000-0000-00009E000000}"/>
    <cellStyle name="R00L" xfId="144" xr:uid="{00000000-0005-0000-0000-00009F000000}"/>
    <cellStyle name="R01A" xfId="145" xr:uid="{00000000-0005-0000-0000-0000A0000000}"/>
    <cellStyle name="R01B" xfId="146" xr:uid="{00000000-0005-0000-0000-0000A1000000}"/>
    <cellStyle name="R01H" xfId="147" xr:uid="{00000000-0005-0000-0000-0000A2000000}"/>
    <cellStyle name="R01L" xfId="148" xr:uid="{00000000-0005-0000-0000-0000A3000000}"/>
    <cellStyle name="R02A" xfId="149" xr:uid="{00000000-0005-0000-0000-0000A4000000}"/>
    <cellStyle name="R02B" xfId="150" xr:uid="{00000000-0005-0000-0000-0000A5000000}"/>
    <cellStyle name="R02H" xfId="151" xr:uid="{00000000-0005-0000-0000-0000A6000000}"/>
    <cellStyle name="R02L" xfId="152" xr:uid="{00000000-0005-0000-0000-0000A7000000}"/>
    <cellStyle name="R03A" xfId="153" xr:uid="{00000000-0005-0000-0000-0000A8000000}"/>
    <cellStyle name="R03B" xfId="154" xr:uid="{00000000-0005-0000-0000-0000A9000000}"/>
    <cellStyle name="R03H" xfId="155" xr:uid="{00000000-0005-0000-0000-0000AA000000}"/>
    <cellStyle name="R03L" xfId="156" xr:uid="{00000000-0005-0000-0000-0000AB000000}"/>
    <cellStyle name="R04A" xfId="157" xr:uid="{00000000-0005-0000-0000-0000AC000000}"/>
    <cellStyle name="R04B" xfId="158" xr:uid="{00000000-0005-0000-0000-0000AD000000}"/>
    <cellStyle name="R04H" xfId="159" xr:uid="{00000000-0005-0000-0000-0000AE000000}"/>
    <cellStyle name="R04L" xfId="160" xr:uid="{00000000-0005-0000-0000-0000AF000000}"/>
    <cellStyle name="R05A" xfId="161" xr:uid="{00000000-0005-0000-0000-0000B0000000}"/>
    <cellStyle name="R05B" xfId="162" xr:uid="{00000000-0005-0000-0000-0000B1000000}"/>
    <cellStyle name="R05H" xfId="163" xr:uid="{00000000-0005-0000-0000-0000B2000000}"/>
    <cellStyle name="R05L" xfId="164" xr:uid="{00000000-0005-0000-0000-0000B3000000}"/>
    <cellStyle name="R06A" xfId="165" xr:uid="{00000000-0005-0000-0000-0000B4000000}"/>
    <cellStyle name="R06B" xfId="166" xr:uid="{00000000-0005-0000-0000-0000B5000000}"/>
    <cellStyle name="R06H" xfId="167" xr:uid="{00000000-0005-0000-0000-0000B6000000}"/>
    <cellStyle name="R06L" xfId="168" xr:uid="{00000000-0005-0000-0000-0000B7000000}"/>
    <cellStyle name="R07A" xfId="169" xr:uid="{00000000-0005-0000-0000-0000B8000000}"/>
    <cellStyle name="R07B" xfId="170" xr:uid="{00000000-0005-0000-0000-0000B9000000}"/>
    <cellStyle name="R07H" xfId="171" xr:uid="{00000000-0005-0000-0000-0000BA000000}"/>
    <cellStyle name="R07L" xfId="172" xr:uid="{00000000-0005-0000-0000-0000BB000000}"/>
    <cellStyle name="Resource Detail" xfId="173" xr:uid="{00000000-0005-0000-0000-0000BC000000}"/>
    <cellStyle name="Shade" xfId="174" xr:uid="{00000000-0005-0000-0000-0000BD000000}"/>
    <cellStyle name="single acct" xfId="175" xr:uid="{00000000-0005-0000-0000-0000BE000000}"/>
    <cellStyle name="Single Border" xfId="176" xr:uid="{00000000-0005-0000-0000-0000BF000000}"/>
    <cellStyle name="Small Page Heading" xfId="177" xr:uid="{00000000-0005-0000-0000-0000C0000000}"/>
    <cellStyle name="ssn" xfId="178" xr:uid="{00000000-0005-0000-0000-0000C1000000}"/>
    <cellStyle name="Style 1" xfId="179" xr:uid="{00000000-0005-0000-0000-0000C2000000}"/>
    <cellStyle name="Style 2" xfId="180" xr:uid="{00000000-0005-0000-0000-0000C3000000}"/>
    <cellStyle name="Style 27" xfId="181" xr:uid="{00000000-0005-0000-0000-0000C4000000}"/>
    <cellStyle name="Style 28" xfId="182" xr:uid="{00000000-0005-0000-0000-0000C5000000}"/>
    <cellStyle name="Table Sub Heading" xfId="183" xr:uid="{00000000-0005-0000-0000-0000C6000000}"/>
    <cellStyle name="Table Title" xfId="184" xr:uid="{00000000-0005-0000-0000-0000C7000000}"/>
    <cellStyle name="Table Units" xfId="185" xr:uid="{00000000-0005-0000-0000-0000C8000000}"/>
    <cellStyle name="Theirs" xfId="186" xr:uid="{00000000-0005-0000-0000-0000C9000000}"/>
    <cellStyle name="Times New Roman" xfId="187" xr:uid="{00000000-0005-0000-0000-0000CA000000}"/>
    <cellStyle name="Title 2" xfId="188" xr:uid="{00000000-0005-0000-0000-0000CB000000}"/>
    <cellStyle name="Total 2" xfId="189" xr:uid="{00000000-0005-0000-0000-0000CC000000}"/>
    <cellStyle name="Unprot" xfId="190" xr:uid="{00000000-0005-0000-0000-0000CD000000}"/>
    <cellStyle name="Unprot$" xfId="191" xr:uid="{00000000-0005-0000-0000-0000CE000000}"/>
    <cellStyle name="Unprotect" xfId="192" xr:uid="{00000000-0005-0000-0000-0000CF000000}"/>
    <cellStyle name="Warning Text 2" xfId="193" xr:uid="{00000000-0005-0000-0000-0000D0000000}"/>
  </cellStyles>
  <dxfs count="0"/>
  <tableStyles count="0" defaultTableStyle="TableStyleMedium2" defaultPivotStyle="PivotStyleLight16"/>
  <colors>
    <mruColors>
      <color rgb="FF00FFFF"/>
      <color rgb="FFCC00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5640E-CD2C-4693-9C8B-023E65C7C119}">
  <dimension ref="A1:G198"/>
  <sheetViews>
    <sheetView tabSelected="1" zoomScale="80" zoomScaleNormal="80" workbookViewId="0">
      <selection activeCell="H19" sqref="H19"/>
    </sheetView>
  </sheetViews>
  <sheetFormatPr defaultRowHeight="15"/>
  <cols>
    <col min="1" max="1" width="5.33203125" customWidth="1"/>
    <col min="2" max="2" width="1.77734375" customWidth="1"/>
    <col min="3" max="3" width="49.44140625" customWidth="1"/>
    <col min="4" max="4" width="32.88671875" customWidth="1"/>
    <col min="5" max="5" width="2.5546875" customWidth="1"/>
    <col min="6" max="6" width="76.5546875" bestFit="1" customWidth="1"/>
    <col min="8" max="8" width="14.44140625" bestFit="1" customWidth="1"/>
  </cols>
  <sheetData>
    <row r="1" spans="1:6" ht="15.75">
      <c r="A1" s="209" t="s">
        <v>2</v>
      </c>
      <c r="B1" s="209"/>
      <c r="C1" s="209"/>
      <c r="D1" s="209"/>
      <c r="E1" s="209"/>
      <c r="F1" s="209"/>
    </row>
    <row r="2" spans="1:6" ht="15.75">
      <c r="A2" s="209" t="s">
        <v>199</v>
      </c>
      <c r="B2" s="209"/>
      <c r="C2" s="209"/>
      <c r="D2" s="209"/>
      <c r="E2" s="209"/>
      <c r="F2" s="209"/>
    </row>
    <row r="3" spans="1:6">
      <c r="A3" s="18"/>
      <c r="B3" s="18"/>
      <c r="C3" s="18"/>
      <c r="D3" s="18"/>
      <c r="E3" s="18"/>
      <c r="F3" s="18"/>
    </row>
    <row r="4" spans="1:6">
      <c r="A4" s="18"/>
      <c r="B4" s="18"/>
      <c r="C4" s="18"/>
      <c r="D4" s="18"/>
      <c r="E4" s="18"/>
      <c r="F4" s="18"/>
    </row>
    <row r="5" spans="1:6" ht="15.75">
      <c r="A5" s="18"/>
      <c r="B5" s="18"/>
      <c r="C5" s="18"/>
      <c r="D5" s="99" t="s">
        <v>65</v>
      </c>
      <c r="E5" s="18"/>
      <c r="F5" s="99" t="s">
        <v>66</v>
      </c>
    </row>
    <row r="6" spans="1:6">
      <c r="A6" s="55"/>
      <c r="B6" s="55"/>
      <c r="C6" s="62" t="s">
        <v>67</v>
      </c>
      <c r="D6" s="62" t="s">
        <v>68</v>
      </c>
      <c r="E6" s="18"/>
      <c r="F6" s="62" t="s">
        <v>68</v>
      </c>
    </row>
    <row r="7" spans="1:6" ht="15.75">
      <c r="A7" s="55"/>
      <c r="B7" s="55"/>
      <c r="C7" s="63"/>
      <c r="D7" s="64" t="s">
        <v>4</v>
      </c>
      <c r="E7" s="18"/>
      <c r="F7" s="64" t="s">
        <v>4</v>
      </c>
    </row>
    <row r="8" spans="1:6" ht="15.75">
      <c r="A8" s="65" t="s">
        <v>3</v>
      </c>
      <c r="B8" s="55"/>
      <c r="C8" s="63"/>
      <c r="D8" s="66" t="s">
        <v>6</v>
      </c>
      <c r="E8" s="18"/>
      <c r="F8" s="66" t="s">
        <v>6</v>
      </c>
    </row>
    <row r="9" spans="1:6" ht="15.75">
      <c r="A9" s="100" t="s">
        <v>5</v>
      </c>
      <c r="B9" s="55"/>
      <c r="C9" s="67" t="s">
        <v>69</v>
      </c>
      <c r="D9" s="54"/>
      <c r="E9" s="18"/>
      <c r="F9" s="54"/>
    </row>
    <row r="10" spans="1:6">
      <c r="A10" s="65"/>
      <c r="B10" s="55"/>
      <c r="C10" s="63"/>
      <c r="D10" s="54"/>
      <c r="E10" s="18"/>
      <c r="F10" s="54"/>
    </row>
    <row r="11" spans="1:6">
      <c r="A11" s="65"/>
      <c r="B11" s="55"/>
      <c r="C11" s="55" t="s">
        <v>70</v>
      </c>
      <c r="D11" s="56" t="s">
        <v>71</v>
      </c>
      <c r="E11" s="18"/>
      <c r="F11" s="56" t="s">
        <v>71</v>
      </c>
    </row>
    <row r="12" spans="1:6">
      <c r="A12" s="65">
        <v>1</v>
      </c>
      <c r="B12" s="55"/>
      <c r="C12" s="55" t="s">
        <v>72</v>
      </c>
      <c r="D12" s="68" t="s">
        <v>73</v>
      </c>
      <c r="E12" s="18"/>
      <c r="F12" s="68" t="s">
        <v>73</v>
      </c>
    </row>
    <row r="13" spans="1:6">
      <c r="A13" s="65">
        <f t="shared" ref="A13:A44" si="0">+A12+1</f>
        <v>2</v>
      </c>
      <c r="B13" s="55"/>
      <c r="C13" s="55" t="s">
        <v>74</v>
      </c>
      <c r="D13" s="68" t="s">
        <v>75</v>
      </c>
      <c r="E13" s="18"/>
      <c r="F13" s="68" t="s">
        <v>75</v>
      </c>
    </row>
    <row r="14" spans="1:6">
      <c r="A14" s="65">
        <f t="shared" si="0"/>
        <v>3</v>
      </c>
      <c r="B14" s="55"/>
      <c r="C14" s="63" t="s">
        <v>317</v>
      </c>
      <c r="D14" s="54" t="str">
        <f>"See Workpaper 2 (line 9)"</f>
        <v>See Workpaper 2 (line 9)</v>
      </c>
      <c r="E14" s="18"/>
      <c r="F14" s="54" t="s">
        <v>360</v>
      </c>
    </row>
    <row r="15" spans="1:6">
      <c r="A15" s="65">
        <f t="shared" si="0"/>
        <v>4</v>
      </c>
      <c r="B15" s="55"/>
      <c r="C15" s="63" t="s">
        <v>317</v>
      </c>
      <c r="D15" s="54" t="s">
        <v>359</v>
      </c>
      <c r="E15" s="18"/>
      <c r="F15" s="54" t="s">
        <v>361</v>
      </c>
    </row>
    <row r="16" spans="1:6">
      <c r="A16" s="65">
        <f t="shared" si="0"/>
        <v>5</v>
      </c>
      <c r="B16" s="55"/>
      <c r="C16" s="55" t="s">
        <v>76</v>
      </c>
      <c r="D16" s="68" t="s">
        <v>77</v>
      </c>
      <c r="E16" s="18"/>
      <c r="F16" s="68" t="s">
        <v>77</v>
      </c>
    </row>
    <row r="17" spans="1:6">
      <c r="A17" s="65">
        <f t="shared" si="0"/>
        <v>6</v>
      </c>
      <c r="B17" s="55"/>
      <c r="C17" s="55" t="s">
        <v>78</v>
      </c>
      <c r="D17" s="54" t="s">
        <v>358</v>
      </c>
      <c r="E17" s="18"/>
      <c r="F17" s="54" t="s">
        <v>362</v>
      </c>
    </row>
    <row r="18" spans="1:6">
      <c r="A18" s="65">
        <f t="shared" si="0"/>
        <v>7</v>
      </c>
      <c r="B18" s="55"/>
      <c r="C18" s="55" t="s">
        <v>79</v>
      </c>
      <c r="D18" s="54" t="s">
        <v>357</v>
      </c>
      <c r="E18" s="18"/>
      <c r="F18" s="54" t="s">
        <v>363</v>
      </c>
    </row>
    <row r="19" spans="1:6">
      <c r="A19" s="65">
        <f t="shared" si="0"/>
        <v>8</v>
      </c>
      <c r="B19" s="55"/>
      <c r="C19" s="55" t="s">
        <v>80</v>
      </c>
      <c r="D19" s="54" t="s">
        <v>356</v>
      </c>
      <c r="E19" s="18"/>
      <c r="F19" s="54" t="s">
        <v>356</v>
      </c>
    </row>
    <row r="20" spans="1:6">
      <c r="A20" s="65">
        <f t="shared" si="0"/>
        <v>9</v>
      </c>
      <c r="B20" s="55"/>
      <c r="C20" s="55" t="s">
        <v>81</v>
      </c>
      <c r="D20" s="68" t="s">
        <v>82</v>
      </c>
      <c r="E20" s="18"/>
      <c r="F20" s="68" t="s">
        <v>82</v>
      </c>
    </row>
    <row r="21" spans="1:6">
      <c r="A21" s="65">
        <f t="shared" si="0"/>
        <v>10</v>
      </c>
      <c r="B21" s="55"/>
      <c r="C21" s="69" t="s">
        <v>83</v>
      </c>
      <c r="D21" s="54" t="s">
        <v>355</v>
      </c>
      <c r="E21" s="18"/>
      <c r="F21" s="54" t="s">
        <v>355</v>
      </c>
    </row>
    <row r="22" spans="1:6">
      <c r="A22" s="65">
        <f t="shared" si="0"/>
        <v>11</v>
      </c>
      <c r="B22" s="55"/>
      <c r="C22" s="63"/>
      <c r="D22" s="54"/>
      <c r="E22" s="18"/>
      <c r="F22" s="54"/>
    </row>
    <row r="23" spans="1:6">
      <c r="A23" s="65">
        <f t="shared" si="0"/>
        <v>12</v>
      </c>
      <c r="B23" s="55"/>
      <c r="C23" s="55" t="s">
        <v>84</v>
      </c>
      <c r="D23" s="54"/>
      <c r="E23" s="18"/>
      <c r="F23" s="54"/>
    </row>
    <row r="24" spans="1:6">
      <c r="A24" s="65">
        <f t="shared" si="0"/>
        <v>13</v>
      </c>
      <c r="B24" s="55"/>
      <c r="C24" s="63" t="s">
        <v>72</v>
      </c>
      <c r="D24" s="56" t="s">
        <v>85</v>
      </c>
      <c r="E24" s="18"/>
      <c r="F24" s="56" t="s">
        <v>85</v>
      </c>
    </row>
    <row r="25" spans="1:6">
      <c r="A25" s="65">
        <f t="shared" si="0"/>
        <v>14</v>
      </c>
      <c r="B25" s="55"/>
      <c r="C25" s="55" t="s">
        <v>74</v>
      </c>
      <c r="D25" s="56" t="s">
        <v>86</v>
      </c>
      <c r="E25" s="18"/>
      <c r="F25" s="56" t="s">
        <v>86</v>
      </c>
    </row>
    <row r="26" spans="1:6">
      <c r="A26" s="65">
        <f t="shared" si="0"/>
        <v>15</v>
      </c>
      <c r="B26" s="55"/>
      <c r="C26" s="63" t="s">
        <v>354</v>
      </c>
      <c r="D26" s="54" t="str">
        <f>"See Workpaper 2 (line 48)"</f>
        <v>See Workpaper 2 (line 48)</v>
      </c>
      <c r="E26" s="18"/>
      <c r="F26" s="54" t="s">
        <v>353</v>
      </c>
    </row>
    <row r="27" spans="1:6">
      <c r="A27" s="65">
        <f t="shared" si="0"/>
        <v>16</v>
      </c>
      <c r="B27" s="55"/>
      <c r="C27" s="55" t="s">
        <v>76</v>
      </c>
      <c r="D27" s="56" t="s">
        <v>87</v>
      </c>
      <c r="E27" s="18"/>
      <c r="F27" s="56" t="s">
        <v>87</v>
      </c>
    </row>
    <row r="28" spans="1:6">
      <c r="A28" s="65">
        <f t="shared" si="0"/>
        <v>17</v>
      </c>
      <c r="B28" s="55"/>
      <c r="C28" s="63" t="s">
        <v>78</v>
      </c>
      <c r="D28" s="56" t="s">
        <v>352</v>
      </c>
      <c r="E28" s="18"/>
      <c r="F28" s="54" t="s">
        <v>364</v>
      </c>
    </row>
    <row r="29" spans="1:6">
      <c r="A29" s="65">
        <f t="shared" si="0"/>
        <v>18</v>
      </c>
      <c r="B29" s="55"/>
      <c r="C29" s="55" t="s">
        <v>79</v>
      </c>
      <c r="D29" s="56" t="s">
        <v>351</v>
      </c>
      <c r="E29" s="18"/>
      <c r="F29" s="54" t="s">
        <v>365</v>
      </c>
    </row>
    <row r="30" spans="1:6">
      <c r="A30" s="65">
        <f t="shared" si="0"/>
        <v>19</v>
      </c>
      <c r="B30" s="55"/>
      <c r="C30" s="63" t="s">
        <v>80</v>
      </c>
      <c r="D30" s="56" t="s">
        <v>350</v>
      </c>
      <c r="E30" s="18"/>
      <c r="F30" s="54" t="s">
        <v>366</v>
      </c>
    </row>
    <row r="31" spans="1:6">
      <c r="A31" s="65">
        <f t="shared" si="0"/>
        <v>20</v>
      </c>
      <c r="B31" s="55"/>
      <c r="C31" s="63" t="s">
        <v>81</v>
      </c>
      <c r="D31" s="56" t="s">
        <v>82</v>
      </c>
      <c r="E31" s="18"/>
      <c r="F31" s="56" t="s">
        <v>82</v>
      </c>
    </row>
    <row r="32" spans="1:6">
      <c r="A32" s="65">
        <f t="shared" si="0"/>
        <v>21</v>
      </c>
      <c r="B32" s="55"/>
      <c r="C32" s="55" t="s">
        <v>88</v>
      </c>
      <c r="D32" s="54" t="s">
        <v>349</v>
      </c>
      <c r="E32" s="18"/>
      <c r="F32" s="54" t="s">
        <v>349</v>
      </c>
    </row>
    <row r="33" spans="1:6">
      <c r="A33" s="65">
        <f t="shared" si="0"/>
        <v>22</v>
      </c>
      <c r="B33" s="55"/>
      <c r="C33" s="55"/>
      <c r="D33" s="54" t="s">
        <v>89</v>
      </c>
      <c r="E33" s="18"/>
      <c r="F33" s="54" t="s">
        <v>89</v>
      </c>
    </row>
    <row r="34" spans="1:6">
      <c r="A34" s="65">
        <f t="shared" si="0"/>
        <v>23</v>
      </c>
      <c r="B34" s="55"/>
      <c r="C34" s="55" t="s">
        <v>90</v>
      </c>
      <c r="D34" s="54"/>
      <c r="E34" s="18"/>
      <c r="F34" s="54"/>
    </row>
    <row r="35" spans="1:6">
      <c r="A35" s="65">
        <f t="shared" si="0"/>
        <v>24</v>
      </c>
      <c r="B35" s="55"/>
      <c r="C35" s="63" t="s">
        <v>72</v>
      </c>
      <c r="D35" s="54" t="s">
        <v>348</v>
      </c>
      <c r="E35" s="18"/>
      <c r="F35" s="54" t="s">
        <v>348</v>
      </c>
    </row>
    <row r="36" spans="1:6">
      <c r="A36" s="65">
        <f t="shared" si="0"/>
        <v>25</v>
      </c>
      <c r="B36" s="55"/>
      <c r="C36" s="55" t="s">
        <v>74</v>
      </c>
      <c r="D36" s="54" t="s">
        <v>347</v>
      </c>
      <c r="E36" s="18"/>
      <c r="F36" s="54" t="s">
        <v>347</v>
      </c>
    </row>
    <row r="37" spans="1:6">
      <c r="A37" s="65">
        <f t="shared" si="0"/>
        <v>26</v>
      </c>
      <c r="B37" s="55"/>
      <c r="C37" s="63" t="str">
        <f>+C14</f>
        <v xml:space="preserve">  New Construction CUS Assets</v>
      </c>
      <c r="D37" s="54" t="s">
        <v>346</v>
      </c>
      <c r="E37" s="18"/>
      <c r="F37" s="54" t="s">
        <v>346</v>
      </c>
    </row>
    <row r="38" spans="1:6">
      <c r="A38" s="65">
        <f t="shared" si="0"/>
        <v>27</v>
      </c>
      <c r="B38" s="55"/>
      <c r="C38" s="63" t="s">
        <v>317</v>
      </c>
      <c r="D38" s="54" t="s">
        <v>345</v>
      </c>
      <c r="E38" s="18"/>
      <c r="F38" s="54" t="s">
        <v>345</v>
      </c>
    </row>
    <row r="39" spans="1:6">
      <c r="A39" s="65">
        <f t="shared" si="0"/>
        <v>28</v>
      </c>
      <c r="B39" s="55"/>
      <c r="C39" s="55" t="s">
        <v>91</v>
      </c>
      <c r="D39" s="54" t="s">
        <v>344</v>
      </c>
      <c r="E39" s="18"/>
      <c r="F39" s="54" t="s">
        <v>344</v>
      </c>
    </row>
    <row r="40" spans="1:6">
      <c r="A40" s="65">
        <f t="shared" si="0"/>
        <v>29</v>
      </c>
      <c r="B40" s="55"/>
      <c r="C40" s="63" t="s">
        <v>78</v>
      </c>
      <c r="D40" s="54" t="s">
        <v>343</v>
      </c>
      <c r="E40" s="18"/>
      <c r="F40" s="54" t="s">
        <v>343</v>
      </c>
    </row>
    <row r="41" spans="1:6">
      <c r="A41" s="65">
        <f t="shared" si="0"/>
        <v>30</v>
      </c>
      <c r="B41" s="55"/>
      <c r="C41" s="55" t="s">
        <v>79</v>
      </c>
      <c r="D41" s="54" t="s">
        <v>342</v>
      </c>
      <c r="E41" s="18"/>
      <c r="F41" s="54" t="s">
        <v>342</v>
      </c>
    </row>
    <row r="42" spans="1:6">
      <c r="A42" s="65">
        <f t="shared" si="0"/>
        <v>31</v>
      </c>
      <c r="B42" s="55"/>
      <c r="C42" s="63" t="s">
        <v>80</v>
      </c>
      <c r="D42" s="54" t="s">
        <v>341</v>
      </c>
      <c r="E42" s="18"/>
      <c r="F42" s="54" t="s">
        <v>341</v>
      </c>
    </row>
    <row r="43" spans="1:6">
      <c r="A43" s="65">
        <f t="shared" si="0"/>
        <v>32</v>
      </c>
      <c r="B43" s="55"/>
      <c r="C43" s="63" t="s">
        <v>81</v>
      </c>
      <c r="D43" s="54" t="s">
        <v>340</v>
      </c>
      <c r="E43" s="18"/>
      <c r="F43" s="54" t="s">
        <v>340</v>
      </c>
    </row>
    <row r="44" spans="1:6">
      <c r="A44" s="65">
        <f t="shared" si="0"/>
        <v>33</v>
      </c>
      <c r="B44" s="55"/>
      <c r="C44" s="55" t="s">
        <v>92</v>
      </c>
      <c r="D44" s="54" t="s">
        <v>339</v>
      </c>
      <c r="E44" s="18"/>
      <c r="F44" s="54" t="s">
        <v>339</v>
      </c>
    </row>
    <row r="45" spans="1:6">
      <c r="A45" s="65">
        <f t="shared" ref="A45:A65" si="1">+A44+1</f>
        <v>34</v>
      </c>
      <c r="B45" s="55"/>
      <c r="C45" s="55"/>
      <c r="D45" s="54"/>
      <c r="E45" s="18"/>
      <c r="F45" s="54"/>
    </row>
    <row r="46" spans="1:6">
      <c r="A46" s="65">
        <f t="shared" si="1"/>
        <v>35</v>
      </c>
      <c r="B46" s="55"/>
      <c r="C46" s="69" t="s">
        <v>93</v>
      </c>
      <c r="D46" s="56" t="s">
        <v>338</v>
      </c>
      <c r="E46" s="18"/>
      <c r="F46" s="56" t="s">
        <v>338</v>
      </c>
    </row>
    <row r="47" spans="1:6">
      <c r="A47" s="65">
        <f t="shared" si="1"/>
        <v>36</v>
      </c>
      <c r="B47" s="55"/>
      <c r="C47" s="55" t="s">
        <v>94</v>
      </c>
      <c r="D47" s="56" t="s">
        <v>95</v>
      </c>
      <c r="E47" s="18"/>
      <c r="F47" s="54" t="s">
        <v>337</v>
      </c>
    </row>
    <row r="48" spans="1:6">
      <c r="A48" s="65">
        <f t="shared" si="1"/>
        <v>37</v>
      </c>
      <c r="B48" s="55"/>
      <c r="C48" s="55" t="s">
        <v>96</v>
      </c>
      <c r="D48" s="56" t="s">
        <v>97</v>
      </c>
      <c r="E48" s="18"/>
      <c r="F48" s="54" t="s">
        <v>336</v>
      </c>
    </row>
    <row r="49" spans="1:6">
      <c r="A49" s="65">
        <f t="shared" si="1"/>
        <v>38</v>
      </c>
      <c r="B49" s="55"/>
      <c r="C49" s="55" t="s">
        <v>98</v>
      </c>
      <c r="D49" s="56" t="s">
        <v>99</v>
      </c>
      <c r="E49" s="18"/>
      <c r="F49" s="54" t="s">
        <v>335</v>
      </c>
    </row>
    <row r="50" spans="1:6">
      <c r="A50" s="65">
        <f t="shared" si="1"/>
        <v>39</v>
      </c>
      <c r="B50" s="55"/>
      <c r="C50" s="55" t="s">
        <v>100</v>
      </c>
      <c r="D50" s="56" t="s">
        <v>101</v>
      </c>
      <c r="E50" s="18"/>
      <c r="F50" s="54" t="s">
        <v>334</v>
      </c>
    </row>
    <row r="51" spans="1:6">
      <c r="A51" s="65" t="s">
        <v>371</v>
      </c>
      <c r="B51" s="55"/>
      <c r="C51" s="55" t="s">
        <v>372</v>
      </c>
      <c r="D51" s="56" t="s">
        <v>373</v>
      </c>
      <c r="E51" s="18"/>
      <c r="F51" s="56" t="s">
        <v>373</v>
      </c>
    </row>
    <row r="52" spans="1:6">
      <c r="A52" s="65">
        <f>+A50+1</f>
        <v>40</v>
      </c>
      <c r="B52" s="55"/>
      <c r="C52" s="55" t="s">
        <v>102</v>
      </c>
      <c r="D52" s="70" t="s">
        <v>103</v>
      </c>
      <c r="E52" s="18"/>
      <c r="F52" s="54" t="s">
        <v>333</v>
      </c>
    </row>
    <row r="53" spans="1:6">
      <c r="A53" s="65">
        <f t="shared" si="1"/>
        <v>41</v>
      </c>
      <c r="B53" s="55"/>
      <c r="C53" s="55" t="s">
        <v>104</v>
      </c>
      <c r="D53" s="70" t="s">
        <v>105</v>
      </c>
      <c r="E53" s="18"/>
      <c r="F53" s="55" t="s">
        <v>332</v>
      </c>
    </row>
    <row r="54" spans="1:6">
      <c r="A54" s="65">
        <f t="shared" si="1"/>
        <v>42</v>
      </c>
      <c r="B54" s="55"/>
      <c r="C54" s="55" t="s">
        <v>106</v>
      </c>
      <c r="D54" s="54" t="s">
        <v>331</v>
      </c>
      <c r="E54" s="18"/>
      <c r="F54" s="54" t="s">
        <v>331</v>
      </c>
    </row>
    <row r="55" spans="1:6">
      <c r="A55" s="65">
        <f t="shared" si="1"/>
        <v>43</v>
      </c>
      <c r="B55" s="55"/>
      <c r="C55" s="55"/>
      <c r="D55" s="54"/>
      <c r="E55" s="18"/>
      <c r="F55" s="54"/>
    </row>
    <row r="56" spans="1:6">
      <c r="A56" s="65">
        <f t="shared" si="1"/>
        <v>44</v>
      </c>
      <c r="B56" s="55"/>
      <c r="C56" s="69" t="s">
        <v>107</v>
      </c>
      <c r="D56" s="54" t="s">
        <v>330</v>
      </c>
      <c r="E56" s="18"/>
      <c r="F56" s="54" t="s">
        <v>108</v>
      </c>
    </row>
    <row r="57" spans="1:6">
      <c r="A57" s="65">
        <f t="shared" si="1"/>
        <v>45</v>
      </c>
      <c r="B57" s="55"/>
      <c r="C57" s="63"/>
      <c r="D57" s="54"/>
      <c r="E57" s="18"/>
      <c r="F57" s="54"/>
    </row>
    <row r="58" spans="1:6">
      <c r="A58" s="65">
        <f t="shared" si="1"/>
        <v>46</v>
      </c>
      <c r="B58" s="55"/>
      <c r="C58" s="55" t="s">
        <v>109</v>
      </c>
      <c r="D58" s="54" t="s">
        <v>89</v>
      </c>
      <c r="E58" s="18"/>
      <c r="F58" s="54" t="s">
        <v>89</v>
      </c>
    </row>
    <row r="59" spans="1:6">
      <c r="A59" s="65">
        <f t="shared" si="1"/>
        <v>47</v>
      </c>
      <c r="B59" s="55"/>
      <c r="C59" s="55" t="s">
        <v>110</v>
      </c>
      <c r="D59" s="55" t="s">
        <v>329</v>
      </c>
      <c r="E59" s="18"/>
      <c r="F59" s="55" t="s">
        <v>329</v>
      </c>
    </row>
    <row r="60" spans="1:6">
      <c r="A60" s="65">
        <f t="shared" si="1"/>
        <v>48</v>
      </c>
      <c r="B60" s="55"/>
      <c r="C60" s="55" t="s">
        <v>111</v>
      </c>
      <c r="D60" s="56" t="s">
        <v>112</v>
      </c>
      <c r="E60" s="18"/>
      <c r="F60" s="56" t="s">
        <v>112</v>
      </c>
    </row>
    <row r="61" spans="1:6">
      <c r="A61" s="65">
        <f t="shared" si="1"/>
        <v>49</v>
      </c>
      <c r="B61" s="55"/>
      <c r="C61" s="55" t="s">
        <v>111</v>
      </c>
      <c r="D61" s="56" t="s">
        <v>113</v>
      </c>
      <c r="E61" s="18"/>
      <c r="F61" s="56" t="s">
        <v>113</v>
      </c>
    </row>
    <row r="62" spans="1:6">
      <c r="A62" s="65">
        <f t="shared" si="1"/>
        <v>50</v>
      </c>
      <c r="B62" s="55"/>
      <c r="C62" s="55" t="s">
        <v>114</v>
      </c>
      <c r="D62" s="56" t="s">
        <v>328</v>
      </c>
      <c r="E62" s="18"/>
      <c r="F62" s="56" t="s">
        <v>328</v>
      </c>
    </row>
    <row r="63" spans="1:6">
      <c r="A63" s="65">
        <f t="shared" si="1"/>
        <v>51</v>
      </c>
      <c r="B63" s="55"/>
      <c r="C63" s="55" t="s">
        <v>115</v>
      </c>
      <c r="D63" s="54" t="s">
        <v>327</v>
      </c>
      <c r="E63" s="18"/>
      <c r="F63" s="54" t="s">
        <v>327</v>
      </c>
    </row>
    <row r="64" spans="1:6">
      <c r="A64" s="65">
        <f t="shared" si="1"/>
        <v>52</v>
      </c>
      <c r="B64" s="55"/>
      <c r="C64" s="55"/>
      <c r="D64" s="54"/>
      <c r="E64" s="18"/>
      <c r="F64" s="54"/>
    </row>
    <row r="65" spans="1:6">
      <c r="A65" s="65">
        <f t="shared" si="1"/>
        <v>53</v>
      </c>
      <c r="B65" s="55"/>
      <c r="C65" s="55" t="s">
        <v>116</v>
      </c>
      <c r="D65" s="54" t="s">
        <v>326</v>
      </c>
      <c r="E65" s="18"/>
      <c r="F65" s="54" t="s">
        <v>326</v>
      </c>
    </row>
    <row r="66" spans="1:6">
      <c r="A66" s="18"/>
      <c r="B66" s="18"/>
      <c r="C66" s="18"/>
      <c r="D66" s="18"/>
      <c r="E66" s="18"/>
      <c r="F66" s="18"/>
    </row>
    <row r="67" spans="1:6">
      <c r="A67" s="18"/>
      <c r="B67" s="18"/>
      <c r="C67" s="18"/>
      <c r="D67" s="18"/>
      <c r="E67" s="18"/>
      <c r="F67" s="18"/>
    </row>
    <row r="68" spans="1:6">
      <c r="A68" s="65"/>
      <c r="B68" s="55"/>
      <c r="C68" s="62"/>
      <c r="D68" s="71"/>
      <c r="E68" s="18"/>
      <c r="F68" s="18"/>
    </row>
    <row r="69" spans="1:6" ht="15.75">
      <c r="A69" s="65"/>
      <c r="B69" s="55"/>
      <c r="C69" s="18"/>
      <c r="D69" s="61" t="s">
        <v>65</v>
      </c>
      <c r="E69" s="18"/>
      <c r="F69" s="61" t="s">
        <v>117</v>
      </c>
    </row>
    <row r="70" spans="1:6">
      <c r="A70" s="65"/>
      <c r="B70" s="55"/>
      <c r="C70" s="62" t="s">
        <v>67</v>
      </c>
      <c r="D70" s="62" t="s">
        <v>68</v>
      </c>
      <c r="E70" s="18"/>
      <c r="F70" s="62" t="s">
        <v>68</v>
      </c>
    </row>
    <row r="71" spans="1:6" ht="15.75">
      <c r="A71" s="65" t="s">
        <v>3</v>
      </c>
      <c r="B71" s="55"/>
      <c r="C71" s="63"/>
      <c r="D71" s="64" t="s">
        <v>4</v>
      </c>
      <c r="E71" s="18"/>
      <c r="F71" s="64" t="s">
        <v>4</v>
      </c>
    </row>
    <row r="72" spans="1:6" ht="15.75">
      <c r="A72" s="65" t="s">
        <v>5</v>
      </c>
      <c r="B72" s="55"/>
      <c r="C72" s="63"/>
      <c r="D72" s="66" t="s">
        <v>6</v>
      </c>
      <c r="E72" s="18"/>
      <c r="F72" s="66" t="s">
        <v>6</v>
      </c>
    </row>
    <row r="73" spans="1:6">
      <c r="A73" s="55"/>
      <c r="B73" s="55"/>
      <c r="C73" s="63"/>
      <c r="D73" s="54"/>
      <c r="E73" s="18"/>
      <c r="F73" s="54"/>
    </row>
    <row r="74" spans="1:6">
      <c r="A74" s="65"/>
      <c r="B74" s="55"/>
      <c r="C74" s="63" t="s">
        <v>118</v>
      </c>
      <c r="D74" s="54"/>
      <c r="E74" s="18"/>
      <c r="F74" s="54"/>
    </row>
    <row r="75" spans="1:6">
      <c r="A75" s="65">
        <f>+A65+1</f>
        <v>54</v>
      </c>
      <c r="B75" s="55"/>
      <c r="C75" s="63" t="s">
        <v>119</v>
      </c>
      <c r="D75" s="54" t="s">
        <v>120</v>
      </c>
      <c r="E75" s="18"/>
      <c r="F75" s="54" t="s">
        <v>120</v>
      </c>
    </row>
    <row r="76" spans="1:6">
      <c r="A76" s="65">
        <f t="shared" ref="A76:A116" si="2">+A75+1</f>
        <v>55</v>
      </c>
      <c r="B76" s="55"/>
      <c r="C76" s="63" t="s">
        <v>121</v>
      </c>
      <c r="D76" s="54" t="s">
        <v>214</v>
      </c>
      <c r="E76" s="18"/>
      <c r="F76" s="54" t="s">
        <v>122</v>
      </c>
    </row>
    <row r="77" spans="1:6">
      <c r="A77" s="65">
        <f t="shared" si="2"/>
        <v>56</v>
      </c>
      <c r="B77" s="55"/>
      <c r="C77" s="63" t="s">
        <v>123</v>
      </c>
      <c r="D77" s="54" t="s">
        <v>124</v>
      </c>
      <c r="E77" s="18"/>
      <c r="F77" s="54" t="s">
        <v>124</v>
      </c>
    </row>
    <row r="78" spans="1:6">
      <c r="A78" s="65">
        <f t="shared" si="2"/>
        <v>57</v>
      </c>
      <c r="B78" s="55"/>
      <c r="C78" s="63" t="s">
        <v>125</v>
      </c>
      <c r="D78" s="54" t="s">
        <v>126</v>
      </c>
      <c r="E78" s="18"/>
      <c r="F78" s="54" t="s">
        <v>325</v>
      </c>
    </row>
    <row r="79" spans="1:6">
      <c r="A79" s="65">
        <f t="shared" si="2"/>
        <v>58</v>
      </c>
      <c r="B79" s="55"/>
      <c r="C79" s="63" t="s">
        <v>127</v>
      </c>
      <c r="D79" s="54" t="s">
        <v>128</v>
      </c>
      <c r="E79" s="18"/>
      <c r="F79" s="54" t="s">
        <v>128</v>
      </c>
    </row>
    <row r="80" spans="1:6">
      <c r="A80" s="65">
        <f t="shared" si="2"/>
        <v>59</v>
      </c>
      <c r="B80" s="55"/>
      <c r="C80" s="63" t="s">
        <v>129</v>
      </c>
      <c r="D80" s="54" t="s">
        <v>130</v>
      </c>
      <c r="E80" s="18"/>
      <c r="F80" s="54" t="s">
        <v>324</v>
      </c>
    </row>
    <row r="81" spans="1:7">
      <c r="A81" s="65">
        <f t="shared" si="2"/>
        <v>60</v>
      </c>
      <c r="B81" s="55"/>
      <c r="C81" s="63" t="s">
        <v>131</v>
      </c>
      <c r="D81" s="54"/>
      <c r="E81" s="18"/>
      <c r="F81" s="54" t="s">
        <v>323</v>
      </c>
    </row>
    <row r="82" spans="1:7">
      <c r="A82" s="65">
        <f t="shared" si="2"/>
        <v>61</v>
      </c>
      <c r="B82" s="55"/>
      <c r="C82" s="63" t="s">
        <v>132</v>
      </c>
      <c r="D82" s="54" t="s">
        <v>322</v>
      </c>
      <c r="E82" s="18"/>
      <c r="F82" s="54" t="s">
        <v>321</v>
      </c>
    </row>
    <row r="83" spans="1:7">
      <c r="A83" s="65">
        <f t="shared" si="2"/>
        <v>62</v>
      </c>
      <c r="B83" s="55"/>
      <c r="C83" s="63" t="s">
        <v>81</v>
      </c>
      <c r="D83" s="68" t="s">
        <v>82</v>
      </c>
      <c r="E83" s="18"/>
      <c r="F83" s="68" t="s">
        <v>82</v>
      </c>
    </row>
    <row r="84" spans="1:7">
      <c r="A84" s="65">
        <f t="shared" si="2"/>
        <v>63</v>
      </c>
      <c r="B84" s="55"/>
      <c r="C84" s="63" t="s">
        <v>320</v>
      </c>
      <c r="D84" s="54"/>
      <c r="E84" s="18"/>
      <c r="F84" s="54"/>
    </row>
    <row r="85" spans="1:7">
      <c r="A85" s="65">
        <f t="shared" si="2"/>
        <v>64</v>
      </c>
      <c r="B85" s="55"/>
      <c r="C85" s="55"/>
      <c r="D85" s="54"/>
      <c r="E85" s="18"/>
      <c r="F85" s="54"/>
    </row>
    <row r="86" spans="1:7">
      <c r="A86" s="65">
        <f t="shared" si="2"/>
        <v>65</v>
      </c>
      <c r="B86" s="55"/>
      <c r="C86" s="63" t="s">
        <v>133</v>
      </c>
      <c r="D86" s="54"/>
      <c r="E86" s="18"/>
      <c r="F86" s="54"/>
    </row>
    <row r="87" spans="1:7">
      <c r="A87" s="65">
        <f t="shared" si="2"/>
        <v>66</v>
      </c>
      <c r="B87" s="55"/>
      <c r="C87" s="63" t="s">
        <v>74</v>
      </c>
      <c r="D87" s="54" t="s">
        <v>134</v>
      </c>
      <c r="E87" s="18"/>
      <c r="F87" s="54" t="s">
        <v>319</v>
      </c>
    </row>
    <row r="88" spans="1:7">
      <c r="A88" s="65">
        <f t="shared" si="2"/>
        <v>67</v>
      </c>
      <c r="B88" s="55"/>
      <c r="C88" s="63" t="s">
        <v>317</v>
      </c>
      <c r="D88" s="63" t="str">
        <f>"See Workpaper 2 (line 13)"</f>
        <v>See Workpaper 2 (line 13)</v>
      </c>
      <c r="E88" s="18"/>
      <c r="F88" s="63" t="s">
        <v>318</v>
      </c>
    </row>
    <row r="89" spans="1:7">
      <c r="A89" s="65">
        <f t="shared" si="2"/>
        <v>68</v>
      </c>
      <c r="B89" s="55"/>
      <c r="C89" s="63" t="s">
        <v>317</v>
      </c>
      <c r="D89" s="63" t="s">
        <v>316</v>
      </c>
      <c r="E89" s="18"/>
      <c r="F89" s="63" t="s">
        <v>315</v>
      </c>
    </row>
    <row r="90" spans="1:7">
      <c r="A90" s="65">
        <f t="shared" si="2"/>
        <v>69</v>
      </c>
      <c r="B90" s="55"/>
      <c r="C90" s="63" t="s">
        <v>135</v>
      </c>
      <c r="D90" s="54" t="s">
        <v>136</v>
      </c>
      <c r="E90" s="18"/>
      <c r="F90" s="54" t="s">
        <v>314</v>
      </c>
    </row>
    <row r="91" spans="1:7">
      <c r="A91" s="65">
        <f t="shared" si="2"/>
        <v>70</v>
      </c>
      <c r="B91" s="55"/>
      <c r="C91" s="63" t="s">
        <v>81</v>
      </c>
      <c r="D91" s="54" t="s">
        <v>137</v>
      </c>
      <c r="E91" s="18"/>
      <c r="F91" s="54" t="s">
        <v>137</v>
      </c>
    </row>
    <row r="92" spans="1:7">
      <c r="A92" s="65">
        <f t="shared" si="2"/>
        <v>71</v>
      </c>
      <c r="B92" s="55"/>
      <c r="C92" s="63" t="s">
        <v>313</v>
      </c>
      <c r="D92" s="54"/>
      <c r="E92" s="18"/>
      <c r="F92" s="54"/>
    </row>
    <row r="93" spans="1:7">
      <c r="A93" s="65">
        <f t="shared" si="2"/>
        <v>72</v>
      </c>
      <c r="B93" s="55"/>
      <c r="C93" s="63"/>
      <c r="D93" s="54"/>
      <c r="E93" s="18"/>
      <c r="F93" s="54"/>
    </row>
    <row r="94" spans="1:7">
      <c r="A94" s="65">
        <f t="shared" si="2"/>
        <v>73</v>
      </c>
      <c r="B94" s="55"/>
      <c r="C94" s="63" t="s">
        <v>138</v>
      </c>
      <c r="D94" s="55"/>
      <c r="E94" s="18"/>
      <c r="F94" s="55"/>
    </row>
    <row r="95" spans="1:7">
      <c r="A95" s="65">
        <f t="shared" si="2"/>
        <v>74</v>
      </c>
      <c r="B95" s="55"/>
      <c r="C95" s="63" t="s">
        <v>139</v>
      </c>
      <c r="D95" s="55"/>
      <c r="E95" s="18"/>
      <c r="F95" s="55"/>
    </row>
    <row r="96" spans="1:7">
      <c r="A96" s="65">
        <f t="shared" si="2"/>
        <v>75</v>
      </c>
      <c r="B96" s="55"/>
      <c r="C96" s="63" t="s">
        <v>140</v>
      </c>
      <c r="D96" s="54" t="s">
        <v>215</v>
      </c>
      <c r="E96" s="18"/>
      <c r="F96" s="54" t="s">
        <v>369</v>
      </c>
      <c r="G96" s="54"/>
    </row>
    <row r="97" spans="1:6">
      <c r="A97" s="65">
        <f t="shared" si="2"/>
        <v>76</v>
      </c>
      <c r="B97" s="55"/>
      <c r="C97" s="63" t="s">
        <v>141</v>
      </c>
      <c r="D97" s="54" t="s">
        <v>142</v>
      </c>
      <c r="E97" s="18"/>
      <c r="F97" s="54" t="s">
        <v>370</v>
      </c>
    </row>
    <row r="98" spans="1:6">
      <c r="A98" s="65">
        <f t="shared" si="2"/>
        <v>77</v>
      </c>
      <c r="B98" s="55"/>
      <c r="C98" s="63" t="s">
        <v>143</v>
      </c>
      <c r="D98" s="54" t="s">
        <v>89</v>
      </c>
      <c r="E98" s="18"/>
      <c r="F98" s="54" t="s">
        <v>89</v>
      </c>
    </row>
    <row r="99" spans="1:6">
      <c r="A99" s="65">
        <f t="shared" si="2"/>
        <v>78</v>
      </c>
      <c r="B99" s="55"/>
      <c r="C99" s="63" t="s">
        <v>144</v>
      </c>
      <c r="D99" s="54" t="s">
        <v>145</v>
      </c>
      <c r="E99" s="18"/>
      <c r="F99" s="54" t="s">
        <v>368</v>
      </c>
    </row>
    <row r="100" spans="1:6">
      <c r="A100" s="65">
        <f t="shared" si="2"/>
        <v>79</v>
      </c>
      <c r="B100" s="55"/>
      <c r="C100" s="63" t="s">
        <v>146</v>
      </c>
      <c r="D100" s="54" t="s">
        <v>142</v>
      </c>
      <c r="E100" s="18"/>
      <c r="F100" s="54" t="s">
        <v>370</v>
      </c>
    </row>
    <row r="101" spans="1:6">
      <c r="A101" s="65">
        <f t="shared" si="2"/>
        <v>80</v>
      </c>
      <c r="B101" s="55"/>
      <c r="C101" s="63" t="s">
        <v>147</v>
      </c>
      <c r="D101" s="54" t="s">
        <v>142</v>
      </c>
      <c r="E101" s="18"/>
      <c r="F101" s="54" t="s">
        <v>370</v>
      </c>
    </row>
    <row r="102" spans="1:6">
      <c r="A102" s="65">
        <f t="shared" si="2"/>
        <v>81</v>
      </c>
      <c r="B102" s="55"/>
      <c r="C102" s="63" t="s">
        <v>312</v>
      </c>
      <c r="D102" s="54"/>
      <c r="E102" s="18"/>
      <c r="F102" s="54"/>
    </row>
    <row r="103" spans="1:6">
      <c r="A103" s="65">
        <f t="shared" si="2"/>
        <v>82</v>
      </c>
      <c r="B103" s="55"/>
      <c r="C103" s="63"/>
      <c r="D103" s="54"/>
      <c r="E103" s="18"/>
      <c r="F103" s="54"/>
    </row>
    <row r="104" spans="1:6">
      <c r="A104" s="65">
        <f t="shared" si="2"/>
        <v>83</v>
      </c>
      <c r="B104" s="55"/>
      <c r="C104" s="63"/>
      <c r="D104" s="54"/>
      <c r="E104" s="18"/>
      <c r="F104" s="54"/>
    </row>
    <row r="105" spans="1:6">
      <c r="A105" s="65">
        <f t="shared" si="2"/>
        <v>84</v>
      </c>
      <c r="B105" s="55"/>
      <c r="C105" s="63" t="s">
        <v>148</v>
      </c>
      <c r="D105" s="54" t="s">
        <v>149</v>
      </c>
      <c r="E105" s="18"/>
      <c r="F105" s="54" t="s">
        <v>149</v>
      </c>
    </row>
    <row r="106" spans="1:6">
      <c r="A106" s="65">
        <f t="shared" si="2"/>
        <v>85</v>
      </c>
      <c r="B106" s="55"/>
      <c r="C106" s="72" t="s">
        <v>150</v>
      </c>
      <c r="D106" s="54"/>
      <c r="E106" s="18"/>
      <c r="F106" s="54"/>
    </row>
    <row r="107" spans="1:6">
      <c r="A107" s="65">
        <f t="shared" si="2"/>
        <v>86</v>
      </c>
      <c r="B107" s="55"/>
      <c r="C107" s="55" t="s">
        <v>151</v>
      </c>
      <c r="D107" s="54"/>
      <c r="E107" s="18"/>
      <c r="F107" s="54"/>
    </row>
    <row r="108" spans="1:6">
      <c r="A108" s="65">
        <f t="shared" si="2"/>
        <v>87</v>
      </c>
      <c r="B108" s="55"/>
      <c r="C108" s="63" t="s">
        <v>311</v>
      </c>
      <c r="D108" s="54"/>
      <c r="E108" s="18"/>
      <c r="F108" s="54"/>
    </row>
    <row r="109" spans="1:6">
      <c r="A109" s="65">
        <f t="shared" si="2"/>
        <v>88</v>
      </c>
      <c r="B109" s="55"/>
      <c r="C109" s="63" t="s">
        <v>152</v>
      </c>
      <c r="D109" s="54"/>
      <c r="E109" s="18"/>
      <c r="F109" s="54"/>
    </row>
    <row r="110" spans="1:6">
      <c r="A110" s="65">
        <f t="shared" si="2"/>
        <v>89</v>
      </c>
      <c r="B110" s="55"/>
      <c r="C110" s="72" t="s">
        <v>374</v>
      </c>
      <c r="D110" s="56" t="s">
        <v>375</v>
      </c>
      <c r="E110" s="18"/>
      <c r="F110" s="56" t="s">
        <v>375</v>
      </c>
    </row>
    <row r="111" spans="1:6">
      <c r="A111" s="65">
        <f t="shared" si="2"/>
        <v>90</v>
      </c>
      <c r="B111" s="55"/>
      <c r="C111" s="73" t="s">
        <v>153</v>
      </c>
      <c r="D111" s="55" t="s">
        <v>310</v>
      </c>
      <c r="E111" s="18"/>
      <c r="F111" s="55" t="s">
        <v>310</v>
      </c>
    </row>
    <row r="112" spans="1:6">
      <c r="A112" s="65">
        <f t="shared" si="2"/>
        <v>91</v>
      </c>
      <c r="B112" s="55"/>
      <c r="C112" s="74"/>
      <c r="D112" s="75"/>
      <c r="E112" s="18"/>
      <c r="F112" s="18"/>
    </row>
    <row r="113" spans="1:6">
      <c r="A113" s="65">
        <f t="shared" si="2"/>
        <v>92</v>
      </c>
      <c r="B113" s="55"/>
      <c r="C113" s="63" t="s">
        <v>154</v>
      </c>
      <c r="D113" s="76"/>
      <c r="E113" s="18"/>
      <c r="F113" s="18"/>
    </row>
    <row r="114" spans="1:6">
      <c r="A114" s="65">
        <f t="shared" si="2"/>
        <v>93</v>
      </c>
      <c r="B114" s="55"/>
      <c r="C114" s="73" t="s">
        <v>309</v>
      </c>
      <c r="D114" s="55"/>
      <c r="E114" s="18"/>
      <c r="F114" s="18"/>
    </row>
    <row r="115" spans="1:6">
      <c r="A115" s="65">
        <f t="shared" si="2"/>
        <v>94</v>
      </c>
      <c r="B115" s="55"/>
      <c r="C115" s="63"/>
      <c r="D115" s="55"/>
      <c r="E115" s="18"/>
      <c r="F115" s="18"/>
    </row>
    <row r="116" spans="1:6">
      <c r="A116" s="65">
        <f t="shared" si="2"/>
        <v>95</v>
      </c>
      <c r="B116" s="55"/>
      <c r="C116" s="63" t="s">
        <v>308</v>
      </c>
      <c r="D116" s="54"/>
      <c r="E116" s="18"/>
      <c r="F116" s="18"/>
    </row>
    <row r="117" spans="1:6">
      <c r="A117" s="18"/>
      <c r="B117" s="18"/>
      <c r="C117" s="18"/>
      <c r="D117" s="18"/>
      <c r="E117" s="18"/>
      <c r="F117" s="18"/>
    </row>
    <row r="118" spans="1:6" ht="15.75">
      <c r="A118" s="208" t="s">
        <v>155</v>
      </c>
      <c r="B118" s="208"/>
      <c r="C118" s="208"/>
      <c r="D118" s="208"/>
      <c r="E118" s="208"/>
      <c r="F118" s="208"/>
    </row>
    <row r="119" spans="1:6" ht="15.75">
      <c r="A119" s="77"/>
      <c r="B119" s="77"/>
      <c r="C119" s="77"/>
      <c r="D119" s="77"/>
      <c r="E119" s="77"/>
      <c r="F119" s="77"/>
    </row>
    <row r="120" spans="1:6">
      <c r="A120" s="18"/>
      <c r="B120" s="18"/>
      <c r="C120" s="18"/>
      <c r="D120" s="18"/>
      <c r="E120" s="18"/>
      <c r="F120" s="18"/>
    </row>
    <row r="121" spans="1:6" ht="15.75">
      <c r="A121" s="78" t="s">
        <v>3</v>
      </c>
      <c r="B121" s="79"/>
      <c r="C121" s="80"/>
      <c r="D121" s="61" t="s">
        <v>65</v>
      </c>
      <c r="E121" s="18"/>
      <c r="F121" s="61" t="s">
        <v>117</v>
      </c>
    </row>
    <row r="122" spans="1:6">
      <c r="A122" s="78" t="s">
        <v>5</v>
      </c>
      <c r="B122" s="79"/>
      <c r="C122" s="81" t="s">
        <v>156</v>
      </c>
      <c r="D122" s="82"/>
      <c r="E122" s="82"/>
      <c r="F122" s="18"/>
    </row>
    <row r="123" spans="1:6">
      <c r="A123" s="78"/>
      <c r="B123" s="79"/>
      <c r="C123" s="81"/>
      <c r="D123" s="83" t="s">
        <v>64</v>
      </c>
      <c r="E123" s="18"/>
      <c r="F123" s="84" t="s">
        <v>64</v>
      </c>
    </row>
    <row r="124" spans="1:6">
      <c r="A124" s="78">
        <v>96</v>
      </c>
      <c r="B124" s="79"/>
      <c r="C124" s="81" t="s">
        <v>157</v>
      </c>
      <c r="D124" s="83" t="s">
        <v>307</v>
      </c>
      <c r="E124" s="83"/>
      <c r="F124" s="83" t="s">
        <v>307</v>
      </c>
    </row>
    <row r="125" spans="1:6">
      <c r="A125" s="78">
        <f t="shared" ref="A125:A156" si="3">+A124+1</f>
        <v>97</v>
      </c>
      <c r="B125" s="79"/>
      <c r="C125" s="81" t="s">
        <v>158</v>
      </c>
      <c r="D125" s="79" t="s">
        <v>51</v>
      </c>
      <c r="E125" s="79"/>
      <c r="F125" s="85" t="s">
        <v>306</v>
      </c>
    </row>
    <row r="126" spans="1:6">
      <c r="A126" s="78">
        <f t="shared" si="3"/>
        <v>98</v>
      </c>
      <c r="B126" s="79"/>
      <c r="C126" s="81" t="s">
        <v>159</v>
      </c>
      <c r="D126" s="83" t="s">
        <v>51</v>
      </c>
      <c r="E126" s="82"/>
      <c r="F126" s="85" t="s">
        <v>160</v>
      </c>
    </row>
    <row r="127" spans="1:6">
      <c r="A127" s="78">
        <f t="shared" si="3"/>
        <v>99</v>
      </c>
      <c r="B127" s="79"/>
      <c r="C127" s="81" t="s">
        <v>305</v>
      </c>
      <c r="D127" s="82"/>
      <c r="E127" s="83"/>
      <c r="F127" s="18"/>
    </row>
    <row r="128" spans="1:6">
      <c r="A128" s="78">
        <f t="shared" si="3"/>
        <v>100</v>
      </c>
      <c r="B128" s="79"/>
      <c r="C128" s="81" t="s">
        <v>304</v>
      </c>
      <c r="D128" s="82"/>
      <c r="E128" s="83"/>
      <c r="F128" s="18"/>
    </row>
    <row r="129" spans="1:6">
      <c r="A129" s="78">
        <f t="shared" si="3"/>
        <v>101</v>
      </c>
      <c r="B129" s="79"/>
      <c r="C129" s="81" t="s">
        <v>303</v>
      </c>
      <c r="D129" s="82"/>
      <c r="E129" s="83"/>
      <c r="F129" s="18"/>
    </row>
    <row r="130" spans="1:6">
      <c r="A130" s="78">
        <f t="shared" si="3"/>
        <v>102</v>
      </c>
      <c r="B130" s="79"/>
      <c r="C130" s="81" t="s">
        <v>302</v>
      </c>
      <c r="D130" s="82"/>
      <c r="E130" s="83"/>
      <c r="F130" s="18"/>
    </row>
    <row r="131" spans="1:6">
      <c r="A131" s="78">
        <f t="shared" si="3"/>
        <v>103</v>
      </c>
      <c r="B131" s="79"/>
      <c r="C131" s="79"/>
      <c r="D131" s="82"/>
      <c r="E131" s="83"/>
      <c r="F131" s="18"/>
    </row>
    <row r="132" spans="1:6">
      <c r="A132" s="78">
        <f t="shared" si="3"/>
        <v>104</v>
      </c>
      <c r="B132" s="79"/>
      <c r="C132" s="81" t="s">
        <v>301</v>
      </c>
      <c r="D132" s="86"/>
      <c r="E132" s="86"/>
      <c r="F132" s="18"/>
    </row>
    <row r="133" spans="1:6">
      <c r="A133" s="78">
        <f t="shared" si="3"/>
        <v>105</v>
      </c>
      <c r="B133" s="79"/>
      <c r="C133" s="79"/>
      <c r="D133" s="79"/>
      <c r="E133" s="79"/>
      <c r="F133" s="18"/>
    </row>
    <row r="134" spans="1:6">
      <c r="A134" s="78">
        <f t="shared" si="3"/>
        <v>106</v>
      </c>
      <c r="B134" s="79"/>
      <c r="C134" s="81" t="s">
        <v>161</v>
      </c>
      <c r="D134" s="83" t="s">
        <v>64</v>
      </c>
      <c r="E134" s="18"/>
      <c r="F134" s="87" t="s">
        <v>64</v>
      </c>
    </row>
    <row r="135" spans="1:6">
      <c r="A135" s="78">
        <f t="shared" si="3"/>
        <v>107</v>
      </c>
      <c r="B135" s="79"/>
      <c r="C135" s="81" t="s">
        <v>162</v>
      </c>
      <c r="D135" s="83" t="s">
        <v>300</v>
      </c>
      <c r="E135" s="18"/>
      <c r="F135" s="83" t="s">
        <v>300</v>
      </c>
    </row>
    <row r="136" spans="1:6">
      <c r="A136" s="78">
        <f t="shared" si="3"/>
        <v>108</v>
      </c>
      <c r="B136" s="79"/>
      <c r="C136" s="81" t="s">
        <v>163</v>
      </c>
      <c r="D136" s="79" t="s">
        <v>51</v>
      </c>
      <c r="E136" s="18"/>
      <c r="F136" s="85" t="s">
        <v>299</v>
      </c>
    </row>
    <row r="137" spans="1:6">
      <c r="A137" s="78">
        <f t="shared" si="3"/>
        <v>109</v>
      </c>
      <c r="B137" s="79"/>
      <c r="C137" s="81" t="s">
        <v>164</v>
      </c>
      <c r="D137" s="79" t="s">
        <v>51</v>
      </c>
      <c r="E137" s="18"/>
      <c r="F137" s="85" t="s">
        <v>160</v>
      </c>
    </row>
    <row r="138" spans="1:6">
      <c r="A138" s="78">
        <f t="shared" si="3"/>
        <v>110</v>
      </c>
      <c r="B138" s="79"/>
      <c r="C138" s="81" t="s">
        <v>298</v>
      </c>
      <c r="D138" s="82"/>
      <c r="E138" s="83"/>
      <c r="F138" s="85" t="s">
        <v>297</v>
      </c>
    </row>
    <row r="139" spans="1:6">
      <c r="A139" s="78">
        <f t="shared" si="3"/>
        <v>111</v>
      </c>
      <c r="B139" s="79"/>
      <c r="C139" s="79"/>
      <c r="D139" s="82"/>
      <c r="E139" s="83"/>
      <c r="F139" s="18"/>
    </row>
    <row r="140" spans="1:6">
      <c r="A140" s="78">
        <f t="shared" si="3"/>
        <v>112</v>
      </c>
      <c r="B140" s="79"/>
      <c r="C140" s="81" t="s">
        <v>296</v>
      </c>
      <c r="D140" s="86"/>
      <c r="E140" s="86"/>
      <c r="F140" s="18"/>
    </row>
    <row r="141" spans="1:6">
      <c r="A141" s="78">
        <f t="shared" si="3"/>
        <v>113</v>
      </c>
      <c r="B141" s="79"/>
      <c r="C141" s="79"/>
      <c r="D141" s="82"/>
      <c r="E141" s="83"/>
      <c r="F141" s="18"/>
    </row>
    <row r="142" spans="1:6">
      <c r="A142" s="78">
        <f t="shared" si="3"/>
        <v>114</v>
      </c>
      <c r="B142" s="79"/>
      <c r="C142" s="81" t="s">
        <v>84</v>
      </c>
      <c r="D142" s="83" t="s">
        <v>64</v>
      </c>
      <c r="E142" s="18"/>
      <c r="F142" s="88" t="s">
        <v>64</v>
      </c>
    </row>
    <row r="143" spans="1:6">
      <c r="A143" s="78">
        <f t="shared" si="3"/>
        <v>115</v>
      </c>
      <c r="B143" s="79"/>
      <c r="C143" s="79" t="s">
        <v>165</v>
      </c>
      <c r="D143" s="83" t="s">
        <v>295</v>
      </c>
      <c r="E143" s="18"/>
      <c r="F143" s="83" t="s">
        <v>295</v>
      </c>
    </row>
    <row r="144" spans="1:6">
      <c r="A144" s="78">
        <f t="shared" si="3"/>
        <v>116</v>
      </c>
      <c r="B144" s="79"/>
      <c r="C144" s="81" t="s">
        <v>158</v>
      </c>
      <c r="D144" s="83" t="s">
        <v>51</v>
      </c>
      <c r="E144" s="86"/>
      <c r="F144" s="85" t="s">
        <v>294</v>
      </c>
    </row>
    <row r="145" spans="1:6">
      <c r="A145" s="78">
        <f t="shared" si="3"/>
        <v>117</v>
      </c>
      <c r="B145" s="79"/>
      <c r="C145" s="79" t="s">
        <v>293</v>
      </c>
      <c r="D145" s="82"/>
      <c r="E145" s="83"/>
      <c r="F145" s="18"/>
    </row>
    <row r="146" spans="1:6">
      <c r="A146" s="78">
        <f t="shared" si="3"/>
        <v>118</v>
      </c>
      <c r="B146" s="79"/>
      <c r="C146" s="81" t="s">
        <v>292</v>
      </c>
      <c r="D146" s="82"/>
      <c r="E146" s="83"/>
      <c r="F146" s="18"/>
    </row>
    <row r="147" spans="1:6">
      <c r="A147" s="78">
        <f t="shared" si="3"/>
        <v>119</v>
      </c>
      <c r="B147" s="79"/>
      <c r="C147" s="81" t="s">
        <v>291</v>
      </c>
      <c r="D147" s="82"/>
      <c r="E147" s="83"/>
      <c r="F147" s="18"/>
    </row>
    <row r="148" spans="1:6">
      <c r="A148" s="78">
        <f t="shared" si="3"/>
        <v>120</v>
      </c>
      <c r="B148" s="79"/>
      <c r="C148" s="81" t="s">
        <v>290</v>
      </c>
      <c r="D148" s="82"/>
      <c r="E148" s="83"/>
      <c r="F148" s="18"/>
    </row>
    <row r="149" spans="1:6">
      <c r="A149" s="78">
        <f t="shared" si="3"/>
        <v>121</v>
      </c>
      <c r="B149" s="79"/>
      <c r="C149" s="79"/>
      <c r="D149" s="82"/>
      <c r="E149" s="83"/>
      <c r="F149" s="18"/>
    </row>
    <row r="150" spans="1:6">
      <c r="A150" s="78">
        <f t="shared" si="3"/>
        <v>122</v>
      </c>
      <c r="B150" s="79"/>
      <c r="C150" s="81" t="s">
        <v>289</v>
      </c>
      <c r="D150" s="82"/>
      <c r="E150" s="83"/>
      <c r="F150" s="18"/>
    </row>
    <row r="151" spans="1:6">
      <c r="A151" s="78">
        <f t="shared" si="3"/>
        <v>123</v>
      </c>
      <c r="B151" s="79"/>
      <c r="C151" s="79"/>
      <c r="D151" s="82"/>
      <c r="E151" s="18"/>
      <c r="F151" s="18"/>
    </row>
    <row r="152" spans="1:6">
      <c r="A152" s="78">
        <f t="shared" si="3"/>
        <v>124</v>
      </c>
      <c r="B152" s="79"/>
      <c r="C152" s="79"/>
      <c r="D152" s="83" t="s">
        <v>64</v>
      </c>
      <c r="E152" s="18"/>
      <c r="F152" s="89" t="s">
        <v>64</v>
      </c>
    </row>
    <row r="153" spans="1:6">
      <c r="A153" s="78">
        <f t="shared" si="3"/>
        <v>125</v>
      </c>
      <c r="B153" s="79"/>
      <c r="C153" s="79" t="s">
        <v>166</v>
      </c>
      <c r="D153" s="83" t="s">
        <v>87</v>
      </c>
      <c r="E153" s="18"/>
      <c r="F153" s="83" t="s">
        <v>87</v>
      </c>
    </row>
    <row r="154" spans="1:6">
      <c r="A154" s="78">
        <f t="shared" si="3"/>
        <v>126</v>
      </c>
      <c r="B154" s="79"/>
      <c r="C154" s="79" t="s">
        <v>167</v>
      </c>
      <c r="D154" s="82"/>
      <c r="E154" s="18"/>
      <c r="F154" s="85" t="s">
        <v>288</v>
      </c>
    </row>
    <row r="155" spans="1:6">
      <c r="A155" s="78">
        <f t="shared" si="3"/>
        <v>127</v>
      </c>
      <c r="B155" s="79"/>
      <c r="C155" s="81" t="s">
        <v>287</v>
      </c>
      <c r="D155" s="82"/>
      <c r="E155" s="83"/>
      <c r="F155" s="85" t="s">
        <v>286</v>
      </c>
    </row>
    <row r="156" spans="1:6">
      <c r="A156" s="78">
        <f t="shared" si="3"/>
        <v>128</v>
      </c>
      <c r="B156" s="79"/>
      <c r="C156" s="79"/>
      <c r="D156" s="82"/>
      <c r="E156" s="83"/>
      <c r="F156" s="18"/>
    </row>
    <row r="157" spans="1:6">
      <c r="A157" s="78">
        <f t="shared" ref="A157:A187" si="4">+A156+1</f>
        <v>129</v>
      </c>
      <c r="B157" s="79"/>
      <c r="C157" s="81" t="s">
        <v>285</v>
      </c>
      <c r="D157" s="82"/>
      <c r="E157" s="83"/>
      <c r="F157" s="18"/>
    </row>
    <row r="158" spans="1:6">
      <c r="A158" s="78">
        <f t="shared" si="4"/>
        <v>130</v>
      </c>
      <c r="B158" s="79"/>
      <c r="C158" s="79"/>
      <c r="D158" s="82"/>
      <c r="E158" s="83"/>
      <c r="F158" s="18"/>
    </row>
    <row r="159" spans="1:6">
      <c r="A159" s="78">
        <f t="shared" si="4"/>
        <v>131</v>
      </c>
      <c r="B159" s="79"/>
      <c r="C159" s="82" t="s">
        <v>168</v>
      </c>
      <c r="D159" s="83"/>
      <c r="E159" s="83"/>
      <c r="F159" s="18"/>
    </row>
    <row r="160" spans="1:6">
      <c r="A160" s="78">
        <f t="shared" si="4"/>
        <v>132</v>
      </c>
      <c r="B160" s="79"/>
      <c r="C160" s="82"/>
      <c r="D160" s="83" t="s">
        <v>64</v>
      </c>
      <c r="E160" s="18"/>
      <c r="F160" s="83" t="s">
        <v>64</v>
      </c>
    </row>
    <row r="161" spans="1:6">
      <c r="A161" s="78">
        <f t="shared" si="4"/>
        <v>133</v>
      </c>
      <c r="B161" s="79"/>
      <c r="C161" s="82" t="s">
        <v>74</v>
      </c>
      <c r="D161" s="83" t="s">
        <v>169</v>
      </c>
      <c r="E161" s="18"/>
      <c r="F161" s="83" t="s">
        <v>169</v>
      </c>
    </row>
    <row r="162" spans="1:6">
      <c r="A162" s="78">
        <f t="shared" si="4"/>
        <v>134</v>
      </c>
      <c r="B162" s="79"/>
      <c r="C162" s="82" t="s">
        <v>170</v>
      </c>
      <c r="D162" s="83" t="s">
        <v>171</v>
      </c>
      <c r="E162" s="18"/>
      <c r="F162" s="83" t="s">
        <v>171</v>
      </c>
    </row>
    <row r="163" spans="1:6">
      <c r="A163" s="78">
        <f t="shared" si="4"/>
        <v>135</v>
      </c>
      <c r="B163" s="79"/>
      <c r="C163" s="82" t="s">
        <v>172</v>
      </c>
      <c r="D163" s="83" t="s">
        <v>173</v>
      </c>
      <c r="E163" s="18"/>
      <c r="F163" s="83" t="s">
        <v>173</v>
      </c>
    </row>
    <row r="164" spans="1:6">
      <c r="A164" s="78">
        <f t="shared" si="4"/>
        <v>136</v>
      </c>
      <c r="B164" s="79"/>
      <c r="C164" s="82" t="s">
        <v>284</v>
      </c>
      <c r="D164" s="83"/>
      <c r="E164" s="83"/>
      <c r="F164" s="18"/>
    </row>
    <row r="165" spans="1:6">
      <c r="A165" s="78">
        <f t="shared" si="4"/>
        <v>137</v>
      </c>
      <c r="B165" s="79"/>
      <c r="C165" s="82"/>
      <c r="D165" s="83"/>
      <c r="E165" s="83"/>
      <c r="F165" s="18"/>
    </row>
    <row r="166" spans="1:6">
      <c r="A166" s="78">
        <f t="shared" si="4"/>
        <v>138</v>
      </c>
      <c r="B166" s="79"/>
      <c r="C166" s="82" t="s">
        <v>174</v>
      </c>
      <c r="D166" s="83"/>
      <c r="E166" s="18"/>
      <c r="F166" s="18"/>
    </row>
    <row r="167" spans="1:6">
      <c r="A167" s="78">
        <f t="shared" si="4"/>
        <v>139</v>
      </c>
      <c r="B167" s="79"/>
      <c r="C167" s="82" t="s">
        <v>175</v>
      </c>
      <c r="D167" s="90" t="s">
        <v>268</v>
      </c>
      <c r="E167" s="18"/>
      <c r="F167" s="90" t="s">
        <v>268</v>
      </c>
    </row>
    <row r="168" spans="1:6">
      <c r="A168" s="78">
        <f t="shared" si="4"/>
        <v>140</v>
      </c>
      <c r="B168" s="79"/>
      <c r="C168" s="82" t="s">
        <v>176</v>
      </c>
      <c r="D168" s="90" t="s">
        <v>269</v>
      </c>
      <c r="E168" s="18"/>
      <c r="F168" s="90" t="s">
        <v>269</v>
      </c>
    </row>
    <row r="169" spans="1:6">
      <c r="A169" s="78">
        <f t="shared" si="4"/>
        <v>141</v>
      </c>
      <c r="B169" s="79"/>
      <c r="C169" s="82" t="s">
        <v>283</v>
      </c>
      <c r="D169" s="83"/>
      <c r="E169" s="18"/>
      <c r="F169" s="18"/>
    </row>
    <row r="170" spans="1:6">
      <c r="A170" s="78">
        <f t="shared" si="4"/>
        <v>142</v>
      </c>
      <c r="B170" s="79"/>
      <c r="C170" s="82"/>
      <c r="D170" s="83"/>
      <c r="E170" s="79"/>
      <c r="F170" s="18"/>
    </row>
    <row r="171" spans="1:6">
      <c r="A171" s="78">
        <f t="shared" si="4"/>
        <v>143</v>
      </c>
      <c r="B171" s="91"/>
      <c r="C171" s="82" t="s">
        <v>177</v>
      </c>
      <c r="D171" s="83" t="s">
        <v>64</v>
      </c>
      <c r="E171" s="83"/>
      <c r="F171" s="92" t="s">
        <v>64</v>
      </c>
    </row>
    <row r="172" spans="1:6">
      <c r="A172" s="78">
        <f t="shared" si="4"/>
        <v>144</v>
      </c>
      <c r="B172" s="91"/>
      <c r="C172" s="82" t="s">
        <v>178</v>
      </c>
      <c r="D172" s="83" t="s">
        <v>179</v>
      </c>
      <c r="E172" s="83"/>
      <c r="F172" s="92" t="s">
        <v>179</v>
      </c>
    </row>
    <row r="173" spans="1:6">
      <c r="A173" s="78">
        <f t="shared" si="4"/>
        <v>145</v>
      </c>
      <c r="B173" s="93"/>
      <c r="C173" s="82"/>
      <c r="D173" s="83"/>
      <c r="E173" s="83"/>
      <c r="F173" s="92"/>
    </row>
    <row r="174" spans="1:6">
      <c r="A174" s="78">
        <f t="shared" si="4"/>
        <v>146</v>
      </c>
      <c r="B174" s="91"/>
      <c r="C174" s="82" t="s">
        <v>180</v>
      </c>
      <c r="D174" s="83" t="s">
        <v>181</v>
      </c>
      <c r="E174" s="83"/>
      <c r="F174" s="92" t="s">
        <v>181</v>
      </c>
    </row>
    <row r="175" spans="1:6">
      <c r="A175" s="78">
        <f t="shared" si="4"/>
        <v>147</v>
      </c>
      <c r="B175" s="91"/>
      <c r="C175" s="82"/>
      <c r="D175" s="83"/>
      <c r="E175" s="83"/>
      <c r="F175" s="92"/>
    </row>
    <row r="176" spans="1:6">
      <c r="A176" s="78">
        <f t="shared" si="4"/>
        <v>148</v>
      </c>
      <c r="B176" s="91"/>
      <c r="C176" s="82" t="s">
        <v>182</v>
      </c>
      <c r="D176" s="83" t="s">
        <v>64</v>
      </c>
      <c r="E176" s="83"/>
      <c r="F176" s="92" t="s">
        <v>64</v>
      </c>
    </row>
    <row r="177" spans="1:6">
      <c r="A177" s="78">
        <f t="shared" si="4"/>
        <v>149</v>
      </c>
      <c r="B177" s="91"/>
      <c r="C177" s="82" t="s">
        <v>183</v>
      </c>
      <c r="D177" s="83" t="s">
        <v>184</v>
      </c>
      <c r="E177" s="82"/>
      <c r="F177" s="92" t="s">
        <v>184</v>
      </c>
    </row>
    <row r="178" spans="1:6">
      <c r="A178" s="78">
        <f t="shared" si="4"/>
        <v>150</v>
      </c>
      <c r="B178" s="91"/>
      <c r="C178" s="82" t="s">
        <v>185</v>
      </c>
      <c r="D178" s="83" t="s">
        <v>186</v>
      </c>
      <c r="E178" s="83"/>
      <c r="F178" s="92" t="s">
        <v>186</v>
      </c>
    </row>
    <row r="179" spans="1:6">
      <c r="A179" s="78">
        <f t="shared" si="4"/>
        <v>151</v>
      </c>
      <c r="B179" s="91"/>
      <c r="C179" s="82" t="s">
        <v>187</v>
      </c>
      <c r="D179" s="83" t="s">
        <v>188</v>
      </c>
      <c r="E179" s="83"/>
      <c r="F179" s="92" t="s">
        <v>188</v>
      </c>
    </row>
    <row r="180" spans="1:6">
      <c r="A180" s="78">
        <f t="shared" si="4"/>
        <v>152</v>
      </c>
      <c r="B180" s="91"/>
      <c r="C180" s="82" t="s">
        <v>189</v>
      </c>
      <c r="D180" s="83" t="s">
        <v>190</v>
      </c>
      <c r="E180" s="83"/>
      <c r="F180" s="92" t="s">
        <v>190</v>
      </c>
    </row>
    <row r="181" spans="1:6">
      <c r="A181" s="78">
        <f t="shared" si="4"/>
        <v>153</v>
      </c>
      <c r="B181" s="91"/>
      <c r="C181" s="94" t="s">
        <v>191</v>
      </c>
      <c r="D181" s="82" t="s">
        <v>282</v>
      </c>
      <c r="E181" s="82"/>
      <c r="F181" s="82" t="s">
        <v>282</v>
      </c>
    </row>
    <row r="182" spans="1:6">
      <c r="A182" s="78">
        <f t="shared" si="4"/>
        <v>154</v>
      </c>
      <c r="B182" s="79"/>
      <c r="C182" s="82"/>
      <c r="D182" s="83"/>
      <c r="E182" s="83"/>
      <c r="F182" s="92"/>
    </row>
    <row r="183" spans="1:6">
      <c r="A183" s="78">
        <f t="shared" si="4"/>
        <v>155</v>
      </c>
      <c r="B183" s="79"/>
      <c r="C183" s="82"/>
      <c r="D183" s="83" t="s">
        <v>64</v>
      </c>
      <c r="E183" s="18"/>
      <c r="F183" s="92" t="s">
        <v>64</v>
      </c>
    </row>
    <row r="184" spans="1:6">
      <c r="A184" s="78">
        <f t="shared" si="4"/>
        <v>156</v>
      </c>
      <c r="B184" s="79"/>
      <c r="C184" s="81" t="s">
        <v>192</v>
      </c>
      <c r="D184" s="95" t="s">
        <v>193</v>
      </c>
      <c r="E184" s="18"/>
      <c r="F184" s="96" t="s">
        <v>270</v>
      </c>
    </row>
    <row r="185" spans="1:6">
      <c r="A185" s="78">
        <f t="shared" si="4"/>
        <v>157</v>
      </c>
      <c r="B185" s="79"/>
      <c r="C185" s="81" t="s">
        <v>194</v>
      </c>
      <c r="D185" s="97" t="s">
        <v>186</v>
      </c>
      <c r="E185" s="18"/>
      <c r="F185" s="96" t="s">
        <v>186</v>
      </c>
    </row>
    <row r="186" spans="1:6">
      <c r="A186" s="78">
        <f t="shared" si="4"/>
        <v>158</v>
      </c>
      <c r="B186" s="79"/>
      <c r="C186" s="94" t="s">
        <v>195</v>
      </c>
      <c r="D186" s="97" t="s">
        <v>281</v>
      </c>
      <c r="E186" s="18"/>
      <c r="F186" s="97" t="s">
        <v>281</v>
      </c>
    </row>
    <row r="187" spans="1:6">
      <c r="A187" s="78">
        <f t="shared" si="4"/>
        <v>159</v>
      </c>
      <c r="B187" s="79"/>
      <c r="C187" s="82" t="s">
        <v>280</v>
      </c>
      <c r="D187" s="79"/>
      <c r="E187" s="18"/>
      <c r="F187" s="18"/>
    </row>
    <row r="188" spans="1:6">
      <c r="A188" s="18"/>
      <c r="B188" s="18"/>
      <c r="C188" s="18"/>
      <c r="D188" s="18"/>
      <c r="E188" s="18"/>
      <c r="F188" s="18"/>
    </row>
    <row r="189" spans="1:6">
      <c r="A189" s="18"/>
      <c r="B189" s="18" t="s">
        <v>196</v>
      </c>
      <c r="C189" s="18"/>
      <c r="D189" s="18"/>
      <c r="E189" s="18"/>
      <c r="F189" s="18"/>
    </row>
    <row r="190" spans="1:6">
      <c r="A190" s="18"/>
      <c r="B190" s="18"/>
      <c r="C190" s="98" t="s">
        <v>197</v>
      </c>
      <c r="D190" s="18"/>
      <c r="E190" s="18"/>
      <c r="F190" s="18"/>
    </row>
    <row r="191" spans="1:6">
      <c r="A191" s="18"/>
      <c r="B191" s="18"/>
      <c r="C191" s="98"/>
      <c r="D191" s="18"/>
      <c r="E191" s="18"/>
      <c r="F191" s="18"/>
    </row>
    <row r="192" spans="1:6">
      <c r="A192" s="18"/>
      <c r="B192" s="18"/>
      <c r="C192" s="18" t="s">
        <v>279</v>
      </c>
      <c r="D192" s="18"/>
      <c r="E192" s="18"/>
      <c r="F192" s="18"/>
    </row>
    <row r="193" spans="1:6">
      <c r="A193" s="18"/>
      <c r="B193" s="18"/>
      <c r="C193" s="18"/>
      <c r="D193" s="18"/>
      <c r="E193" s="18"/>
      <c r="F193" s="18"/>
    </row>
    <row r="194" spans="1:6">
      <c r="A194" s="18"/>
      <c r="B194" s="18"/>
      <c r="C194" s="18" t="s">
        <v>198</v>
      </c>
      <c r="D194" s="18"/>
      <c r="E194" s="18"/>
      <c r="F194" s="18"/>
    </row>
    <row r="196" spans="1:6">
      <c r="C196" t="s">
        <v>278</v>
      </c>
    </row>
    <row r="198" spans="1:6">
      <c r="C198" t="s">
        <v>277</v>
      </c>
    </row>
  </sheetData>
  <mergeCells count="3">
    <mergeCell ref="A118:F118"/>
    <mergeCell ref="A1:F1"/>
    <mergeCell ref="A2:F2"/>
  </mergeCells>
  <pageMargins left="0.7" right="0.7" top="0.75" bottom="0.75" header="0.3" footer="0.3"/>
  <pageSetup scale="49" fitToHeight="3" orientation="portrait" r:id="rId1"/>
  <headerFooter>
    <oddHeader>&amp;C&amp;"Arial MT,Bold"&amp;10ESTIMATED SERVICE YEAR ATRR
BLACK HILLS POWER, INC.
SUPPORTING SCHEDULES&amp;RPage &amp;P of &amp;N</oddHeader>
  </headerFooter>
  <rowBreaks count="2" manualBreakCount="2">
    <brk id="66" max="16383" man="1"/>
    <brk id="11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6CE02-10C7-4788-B523-5A55A9838017}">
  <dimension ref="A1:O30"/>
  <sheetViews>
    <sheetView zoomScale="80" zoomScaleNormal="80" workbookViewId="0">
      <selection activeCell="K36" sqref="K36"/>
    </sheetView>
  </sheetViews>
  <sheetFormatPr defaultRowHeight="15"/>
  <cols>
    <col min="1" max="1" width="20.5546875" bestFit="1" customWidth="1"/>
    <col min="2" max="2" width="24.5546875" bestFit="1" customWidth="1"/>
    <col min="3" max="13" width="12" bestFit="1" customWidth="1"/>
    <col min="14" max="14" width="13.109375" bestFit="1" customWidth="1"/>
    <col min="15" max="15" width="10.88671875" bestFit="1" customWidth="1"/>
  </cols>
  <sheetData>
    <row r="1" spans="1:15" s="205" customFormat="1" ht="15.75">
      <c r="A1" s="203" t="s">
        <v>392</v>
      </c>
      <c r="B1" s="204">
        <v>45261</v>
      </c>
      <c r="C1" s="204">
        <v>45292</v>
      </c>
      <c r="D1" s="204">
        <v>45323</v>
      </c>
      <c r="E1" s="204">
        <v>45352</v>
      </c>
      <c r="F1" s="204">
        <v>45383</v>
      </c>
      <c r="G1" s="204">
        <v>45413</v>
      </c>
      <c r="H1" s="204">
        <v>45444</v>
      </c>
      <c r="I1" s="204">
        <v>45474</v>
      </c>
      <c r="J1" s="204">
        <v>45505</v>
      </c>
      <c r="K1" s="204">
        <v>45536</v>
      </c>
      <c r="L1" s="204">
        <v>45566</v>
      </c>
      <c r="M1" s="204">
        <v>45597</v>
      </c>
      <c r="N1" s="204">
        <v>45627</v>
      </c>
    </row>
    <row r="2" spans="1:15">
      <c r="A2" s="102" t="s">
        <v>393</v>
      </c>
      <c r="B2" s="103">
        <v>173003547.72</v>
      </c>
      <c r="C2" s="103">
        <v>175350031.56999999</v>
      </c>
      <c r="D2" s="103">
        <v>176311978.81000003</v>
      </c>
      <c r="E2" s="103">
        <v>175828518.35999998</v>
      </c>
      <c r="F2" s="103">
        <v>176759059.41</v>
      </c>
      <c r="G2" s="103">
        <v>177852205.66999999</v>
      </c>
      <c r="H2" s="103">
        <v>175467913.38999996</v>
      </c>
      <c r="I2" s="103">
        <v>180050329.15000004</v>
      </c>
      <c r="J2" s="103">
        <v>181151053.65000001</v>
      </c>
      <c r="K2" s="103">
        <v>177643838.63999999</v>
      </c>
      <c r="L2" s="103">
        <v>180575942.82000002</v>
      </c>
      <c r="M2" s="103">
        <v>180398099.68000001</v>
      </c>
      <c r="N2" s="103">
        <v>180780932.79000005</v>
      </c>
    </row>
    <row r="3" spans="1:15">
      <c r="A3" s="102" t="s">
        <v>394</v>
      </c>
      <c r="B3" s="103">
        <v>76836318.970000014</v>
      </c>
      <c r="C3" s="103">
        <v>78043991.140000001</v>
      </c>
      <c r="D3" s="103">
        <v>78691902.549999997</v>
      </c>
      <c r="E3" s="103">
        <v>78624909.410000011</v>
      </c>
      <c r="F3" s="103">
        <v>79271677.470000029</v>
      </c>
      <c r="G3" s="103">
        <v>79918493.109999999</v>
      </c>
      <c r="H3" s="103">
        <v>80555188.070000038</v>
      </c>
      <c r="I3" s="103">
        <v>81212176.689999998</v>
      </c>
      <c r="J3" s="103">
        <v>81859145.770000011</v>
      </c>
      <c r="K3" s="103">
        <v>82435535.949999973</v>
      </c>
      <c r="L3" s="103">
        <v>83132946.039999992</v>
      </c>
      <c r="M3" s="103">
        <v>83722152.689999998</v>
      </c>
      <c r="N3" s="103">
        <v>83564685.75999999</v>
      </c>
    </row>
    <row r="4" spans="1:15">
      <c r="A4" s="102" t="s">
        <v>226</v>
      </c>
      <c r="B4" s="103">
        <v>43694717.117543302</v>
      </c>
      <c r="C4" s="103">
        <v>44437751.690000013</v>
      </c>
      <c r="D4" s="103">
        <v>44866661.289999992</v>
      </c>
      <c r="E4" s="103">
        <v>45376425.912414707</v>
      </c>
      <c r="F4" s="103">
        <v>45962177.650000006</v>
      </c>
      <c r="G4" s="103">
        <v>46484988.840000004</v>
      </c>
      <c r="H4" s="103">
        <v>46960023.740000002</v>
      </c>
      <c r="I4" s="103">
        <v>47530185.029999994</v>
      </c>
      <c r="J4" s="103">
        <v>48099240.18</v>
      </c>
      <c r="K4" s="103">
        <v>48607230.020000003</v>
      </c>
      <c r="L4" s="103">
        <v>49237689.789999992</v>
      </c>
      <c r="M4" s="103">
        <v>49780336.07</v>
      </c>
      <c r="N4" s="103">
        <v>50271466.990000002</v>
      </c>
    </row>
    <row r="5" spans="1:15">
      <c r="A5" s="102" t="s">
        <v>395</v>
      </c>
      <c r="B5" s="103">
        <v>172715898.86650962</v>
      </c>
      <c r="C5" s="103">
        <v>175573038.50999999</v>
      </c>
      <c r="D5" s="103">
        <v>176515843.19</v>
      </c>
      <c r="E5" s="103">
        <v>175139470.57900304</v>
      </c>
      <c r="F5" s="103">
        <v>178361978.75</v>
      </c>
      <c r="G5" s="103">
        <v>179264904.67999995</v>
      </c>
      <c r="H5" s="103">
        <v>177678167.03763869</v>
      </c>
      <c r="I5" s="103">
        <v>181456490.49999997</v>
      </c>
      <c r="J5" s="103">
        <v>182611565.27000001</v>
      </c>
      <c r="K5" s="103">
        <v>180424729.4011125</v>
      </c>
      <c r="L5" s="103">
        <v>184664733.84999999</v>
      </c>
      <c r="M5" s="103">
        <v>185375555.37</v>
      </c>
      <c r="N5" s="103">
        <v>181963879.92309201</v>
      </c>
    </row>
    <row r="6" spans="1:15">
      <c r="A6" s="102" t="s">
        <v>396</v>
      </c>
      <c r="B6" s="103">
        <v>33571611.18</v>
      </c>
      <c r="C6" s="103">
        <v>33903743.399999999</v>
      </c>
      <c r="D6" s="103">
        <v>34252934.489999995</v>
      </c>
      <c r="E6" s="103">
        <v>34812332.679999992</v>
      </c>
      <c r="F6" s="103">
        <v>35005241.030000001</v>
      </c>
      <c r="G6" s="103">
        <v>34729502.310000002</v>
      </c>
      <c r="H6" s="103">
        <v>34676800.109999999</v>
      </c>
      <c r="I6" s="103">
        <v>35103338.489999995</v>
      </c>
      <c r="J6" s="103">
        <v>35361323.399999991</v>
      </c>
      <c r="K6" s="103">
        <v>35483164.410000011</v>
      </c>
      <c r="L6" s="103">
        <v>36237677.780000001</v>
      </c>
      <c r="M6" s="103">
        <v>36638120.559999995</v>
      </c>
      <c r="N6" s="103">
        <v>36107560.659999996</v>
      </c>
    </row>
    <row r="7" spans="1:15">
      <c r="A7" s="102" t="s">
        <v>207</v>
      </c>
      <c r="B7" s="103">
        <v>2681910.25</v>
      </c>
      <c r="C7" s="103">
        <v>2710589.66</v>
      </c>
      <c r="D7" s="103">
        <v>2742175.9</v>
      </c>
      <c r="E7" s="103">
        <v>2769283.1899999995</v>
      </c>
      <c r="F7" s="103">
        <v>2805348.38</v>
      </c>
      <c r="G7" s="103">
        <v>2836934.62</v>
      </c>
      <c r="H7" s="103">
        <v>2772475.8499999996</v>
      </c>
      <c r="I7" s="103">
        <v>2803487.25</v>
      </c>
      <c r="J7" s="103">
        <v>2834498.65</v>
      </c>
      <c r="K7" s="103">
        <v>2865510.05</v>
      </c>
      <c r="L7" s="103">
        <v>2896521.45</v>
      </c>
      <c r="M7" s="103">
        <v>2927580.7699999996</v>
      </c>
      <c r="N7" s="103">
        <v>2816174.81</v>
      </c>
    </row>
    <row r="8" spans="1:15">
      <c r="A8" s="101" t="s">
        <v>397</v>
      </c>
      <c r="B8" s="104">
        <f>SUM(B2:B7)</f>
        <v>502504004.1040529</v>
      </c>
      <c r="C8" s="104">
        <f t="shared" ref="C8:N8" si="0">SUM(C2:C7)</f>
        <v>510019145.96999997</v>
      </c>
      <c r="D8" s="104">
        <f t="shared" si="0"/>
        <v>513381496.22999996</v>
      </c>
      <c r="E8" s="104">
        <f t="shared" si="0"/>
        <v>512550940.13141775</v>
      </c>
      <c r="F8" s="104">
        <f t="shared" si="0"/>
        <v>518165482.69000006</v>
      </c>
      <c r="G8" s="104">
        <f t="shared" si="0"/>
        <v>521087029.22999996</v>
      </c>
      <c r="H8" s="104">
        <f t="shared" si="0"/>
        <v>518110568.19763875</v>
      </c>
      <c r="I8" s="104">
        <f t="shared" si="0"/>
        <v>528156007.11000001</v>
      </c>
      <c r="J8" s="104">
        <f t="shared" si="0"/>
        <v>531916826.91999996</v>
      </c>
      <c r="K8" s="104">
        <f t="shared" si="0"/>
        <v>527460008.47111249</v>
      </c>
      <c r="L8" s="104">
        <f t="shared" si="0"/>
        <v>536745511.72999996</v>
      </c>
      <c r="M8" s="104">
        <f t="shared" si="0"/>
        <v>538841845.13999999</v>
      </c>
      <c r="N8" s="104">
        <f t="shared" si="0"/>
        <v>535504700.93309206</v>
      </c>
      <c r="O8" t="s">
        <v>398</v>
      </c>
    </row>
    <row r="9" spans="1:15">
      <c r="A9" s="101"/>
      <c r="B9" s="103"/>
      <c r="C9" s="103"/>
      <c r="D9" s="103"/>
      <c r="E9" s="103"/>
      <c r="F9" s="103"/>
      <c r="G9" s="103"/>
      <c r="H9" s="103"/>
      <c r="I9" s="103"/>
      <c r="J9" s="103"/>
      <c r="K9" s="103"/>
      <c r="L9" s="103"/>
      <c r="M9" s="103"/>
      <c r="N9" s="103"/>
    </row>
    <row r="10" spans="1:15" ht="15.75">
      <c r="A10" s="203" t="s">
        <v>399</v>
      </c>
      <c r="B10" s="103"/>
      <c r="C10" s="103"/>
      <c r="D10" s="103"/>
      <c r="E10" s="103"/>
      <c r="F10" s="103"/>
      <c r="G10" s="103"/>
      <c r="H10" s="103"/>
      <c r="I10" s="103"/>
      <c r="J10" s="103"/>
      <c r="K10" s="103"/>
      <c r="L10" s="103"/>
      <c r="M10" s="103"/>
      <c r="N10" s="103"/>
    </row>
    <row r="11" spans="1:15">
      <c r="A11" s="102" t="s">
        <v>393</v>
      </c>
      <c r="B11" s="103">
        <v>0</v>
      </c>
      <c r="C11" s="103">
        <v>0</v>
      </c>
      <c r="D11" s="103">
        <v>0</v>
      </c>
      <c r="E11" s="103">
        <v>0</v>
      </c>
      <c r="F11" s="103">
        <v>0</v>
      </c>
      <c r="G11" s="103">
        <v>0</v>
      </c>
      <c r="H11" s="103">
        <v>0</v>
      </c>
      <c r="I11" s="103">
        <v>0</v>
      </c>
      <c r="J11" s="103">
        <v>0</v>
      </c>
      <c r="K11" s="103">
        <v>0</v>
      </c>
      <c r="L11" s="103">
        <v>0</v>
      </c>
      <c r="M11" s="103">
        <v>0</v>
      </c>
      <c r="N11" s="103">
        <v>0</v>
      </c>
    </row>
    <row r="12" spans="1:15">
      <c r="A12" s="102" t="s">
        <v>394</v>
      </c>
      <c r="B12" s="103">
        <v>0</v>
      </c>
      <c r="C12" s="103">
        <v>0</v>
      </c>
      <c r="D12" s="103">
        <v>0</v>
      </c>
      <c r="E12" s="103">
        <v>0</v>
      </c>
      <c r="F12" s="103">
        <v>0</v>
      </c>
      <c r="G12" s="103">
        <v>0</v>
      </c>
      <c r="H12" s="103">
        <v>0</v>
      </c>
      <c r="I12" s="103">
        <v>0</v>
      </c>
      <c r="J12" s="103">
        <v>0</v>
      </c>
      <c r="K12" s="103">
        <v>0</v>
      </c>
      <c r="L12" s="103">
        <v>0</v>
      </c>
      <c r="M12" s="103">
        <v>0</v>
      </c>
      <c r="N12" s="103">
        <v>0</v>
      </c>
    </row>
    <row r="13" spans="1:15">
      <c r="A13" s="102" t="s">
        <v>226</v>
      </c>
      <c r="B13" s="103">
        <v>1140648.240779429</v>
      </c>
      <c r="C13" s="103">
        <v>1120736.0227945112</v>
      </c>
      <c r="D13" s="103">
        <v>1100662.672270678</v>
      </c>
      <c r="E13" s="103">
        <v>1080535.4752225168</v>
      </c>
      <c r="F13" s="103">
        <v>1060374.8085395889</v>
      </c>
      <c r="G13" s="103">
        <v>1040182.6182978887</v>
      </c>
      <c r="H13" s="103">
        <v>1019979.0284821417</v>
      </c>
      <c r="I13" s="103">
        <v>999780.80431046779</v>
      </c>
      <c r="J13" s="103">
        <v>979559.14264747372</v>
      </c>
      <c r="K13" s="103">
        <v>959401.14553988504</v>
      </c>
      <c r="L13" s="103">
        <v>939328.58515530312</v>
      </c>
      <c r="M13" s="103">
        <v>919261.85717946978</v>
      </c>
      <c r="N13" s="103">
        <v>899220.74718871934</v>
      </c>
    </row>
    <row r="14" spans="1:15">
      <c r="A14" s="102" t="s">
        <v>395</v>
      </c>
      <c r="B14" s="103">
        <v>0</v>
      </c>
      <c r="C14" s="103">
        <v>0</v>
      </c>
      <c r="D14" s="103">
        <v>0</v>
      </c>
      <c r="E14" s="103">
        <v>0</v>
      </c>
      <c r="F14" s="103">
        <v>0</v>
      </c>
      <c r="G14" s="103">
        <v>0</v>
      </c>
      <c r="H14" s="103">
        <v>0</v>
      </c>
      <c r="I14" s="103">
        <v>0</v>
      </c>
      <c r="J14" s="103">
        <v>0</v>
      </c>
      <c r="K14" s="103">
        <v>0</v>
      </c>
      <c r="L14" s="103">
        <v>0</v>
      </c>
      <c r="M14" s="103">
        <v>0</v>
      </c>
      <c r="N14" s="103">
        <v>0</v>
      </c>
    </row>
    <row r="15" spans="1:15">
      <c r="A15" s="102" t="s">
        <v>396</v>
      </c>
      <c r="B15" s="103">
        <v>25393070.970214736</v>
      </c>
      <c r="C15" s="103">
        <v>25713101.46377328</v>
      </c>
      <c r="D15" s="103">
        <v>26034094.062197071</v>
      </c>
      <c r="E15" s="103">
        <v>26356445.320727356</v>
      </c>
      <c r="F15" s="103">
        <v>26680162.939326573</v>
      </c>
      <c r="G15" s="103">
        <v>27003852.763306405</v>
      </c>
      <c r="H15" s="103">
        <v>27326946.281674828</v>
      </c>
      <c r="I15" s="103">
        <v>27650973.366602696</v>
      </c>
      <c r="J15" s="103">
        <v>27976890.379647899</v>
      </c>
      <c r="K15" s="103">
        <v>28303836.281891767</v>
      </c>
      <c r="L15" s="103">
        <v>28684234.449262492</v>
      </c>
      <c r="M15" s="103">
        <v>29103170.634477828</v>
      </c>
      <c r="N15" s="103">
        <v>29522506.734766901</v>
      </c>
    </row>
    <row r="16" spans="1:15">
      <c r="A16" s="102" t="s">
        <v>207</v>
      </c>
      <c r="B16" s="103">
        <v>-628494.51714642334</v>
      </c>
      <c r="C16" s="103">
        <v>-635009.60219238163</v>
      </c>
      <c r="D16" s="103">
        <v>-641525.76566154859</v>
      </c>
      <c r="E16" s="103">
        <v>-648041.92913071532</v>
      </c>
      <c r="F16" s="103">
        <v>-654558.09259988205</v>
      </c>
      <c r="G16" s="103">
        <v>-661074.25606904877</v>
      </c>
      <c r="H16" s="103">
        <v>-667526.37047004851</v>
      </c>
      <c r="I16" s="103">
        <v>-673914.4158028817</v>
      </c>
      <c r="J16" s="103">
        <v>-680302.46113571513</v>
      </c>
      <c r="K16" s="103">
        <v>-686690.50646854832</v>
      </c>
      <c r="L16" s="103">
        <v>-693078.55180138152</v>
      </c>
      <c r="M16" s="103">
        <v>-699472.44630088157</v>
      </c>
      <c r="N16" s="103">
        <v>-705869.5257293816</v>
      </c>
    </row>
    <row r="17" spans="1:15">
      <c r="A17" s="101" t="s">
        <v>400</v>
      </c>
      <c r="B17" s="104">
        <f>SUM(B11:B16)</f>
        <v>25905224.693847742</v>
      </c>
      <c r="C17" s="104">
        <f t="shared" ref="C17:N17" si="1">SUM(C11:C16)</f>
        <v>26198827.884375408</v>
      </c>
      <c r="D17" s="104">
        <f t="shared" si="1"/>
        <v>26493230.9688062</v>
      </c>
      <c r="E17" s="104">
        <f t="shared" si="1"/>
        <v>26788938.866819158</v>
      </c>
      <c r="F17" s="104">
        <f t="shared" si="1"/>
        <v>27085979.655266277</v>
      </c>
      <c r="G17" s="104">
        <f t="shared" si="1"/>
        <v>27382961.125535246</v>
      </c>
      <c r="H17" s="104">
        <f t="shared" si="1"/>
        <v>27679398.939686924</v>
      </c>
      <c r="I17" s="104">
        <f t="shared" si="1"/>
        <v>27976839.755110282</v>
      </c>
      <c r="J17" s="104">
        <f t="shared" si="1"/>
        <v>28276147.061159659</v>
      </c>
      <c r="K17" s="104">
        <f t="shared" si="1"/>
        <v>28576546.920963101</v>
      </c>
      <c r="L17" s="104">
        <f t="shared" si="1"/>
        <v>28930484.482616417</v>
      </c>
      <c r="M17" s="104">
        <f t="shared" si="1"/>
        <v>29322960.045356415</v>
      </c>
      <c r="N17" s="104">
        <f t="shared" si="1"/>
        <v>29715857.956226241</v>
      </c>
    </row>
    <row r="18" spans="1:15">
      <c r="A18" s="101"/>
      <c r="B18" s="103"/>
      <c r="C18" s="103"/>
      <c r="D18" s="103"/>
      <c r="E18" s="103"/>
      <c r="F18" s="103"/>
      <c r="G18" s="103"/>
      <c r="H18" s="103"/>
      <c r="I18" s="103"/>
      <c r="J18" s="103"/>
      <c r="K18" s="103"/>
      <c r="L18" s="103"/>
      <c r="M18" s="103"/>
      <c r="N18" s="103"/>
    </row>
    <row r="19" spans="1:15" ht="15.75">
      <c r="A19" s="206" t="s">
        <v>401</v>
      </c>
      <c r="B19" s="103"/>
      <c r="C19" s="103"/>
      <c r="D19" s="103"/>
      <c r="E19" s="103"/>
      <c r="F19" s="103"/>
      <c r="G19" s="103"/>
      <c r="H19" s="103"/>
      <c r="I19" s="103"/>
      <c r="J19" s="103"/>
      <c r="K19" s="103"/>
      <c r="L19" s="103"/>
      <c r="M19" s="103"/>
      <c r="N19" s="103"/>
    </row>
    <row r="20" spans="1:15">
      <c r="A20" s="102" t="s">
        <v>393</v>
      </c>
      <c r="B20" s="103">
        <f t="shared" ref="B20:N25" si="2">+B2+B11</f>
        <v>173003547.72</v>
      </c>
      <c r="C20" s="103">
        <f t="shared" si="2"/>
        <v>175350031.56999999</v>
      </c>
      <c r="D20" s="103">
        <f t="shared" si="2"/>
        <v>176311978.81000003</v>
      </c>
      <c r="E20" s="103">
        <f t="shared" si="2"/>
        <v>175828518.35999998</v>
      </c>
      <c r="F20" s="103">
        <f t="shared" si="2"/>
        <v>176759059.41</v>
      </c>
      <c r="G20" s="103">
        <f t="shared" si="2"/>
        <v>177852205.66999999</v>
      </c>
      <c r="H20" s="103">
        <f t="shared" si="2"/>
        <v>175467913.38999996</v>
      </c>
      <c r="I20" s="103">
        <f t="shared" si="2"/>
        <v>180050329.15000004</v>
      </c>
      <c r="J20" s="103">
        <f t="shared" si="2"/>
        <v>181151053.65000001</v>
      </c>
      <c r="K20" s="103">
        <f t="shared" si="2"/>
        <v>177643838.63999999</v>
      </c>
      <c r="L20" s="103">
        <f t="shared" si="2"/>
        <v>180575942.82000002</v>
      </c>
      <c r="M20" s="103">
        <f t="shared" si="2"/>
        <v>180398099.68000001</v>
      </c>
      <c r="N20" s="103">
        <f t="shared" si="2"/>
        <v>180780932.79000005</v>
      </c>
    </row>
    <row r="21" spans="1:15">
      <c r="A21" s="102" t="s">
        <v>394</v>
      </c>
      <c r="B21" s="103">
        <f t="shared" si="2"/>
        <v>76836318.970000014</v>
      </c>
      <c r="C21" s="103">
        <f t="shared" si="2"/>
        <v>78043991.140000001</v>
      </c>
      <c r="D21" s="103">
        <f t="shared" si="2"/>
        <v>78691902.549999997</v>
      </c>
      <c r="E21" s="103">
        <f t="shared" si="2"/>
        <v>78624909.410000011</v>
      </c>
      <c r="F21" s="103">
        <f t="shared" si="2"/>
        <v>79271677.470000029</v>
      </c>
      <c r="G21" s="103">
        <f t="shared" si="2"/>
        <v>79918493.109999999</v>
      </c>
      <c r="H21" s="103">
        <f t="shared" si="2"/>
        <v>80555188.070000038</v>
      </c>
      <c r="I21" s="103">
        <f t="shared" si="2"/>
        <v>81212176.689999998</v>
      </c>
      <c r="J21" s="103">
        <f t="shared" si="2"/>
        <v>81859145.770000011</v>
      </c>
      <c r="K21" s="103">
        <f t="shared" si="2"/>
        <v>82435535.949999973</v>
      </c>
      <c r="L21" s="103">
        <f t="shared" si="2"/>
        <v>83132946.039999992</v>
      </c>
      <c r="M21" s="103">
        <f t="shared" si="2"/>
        <v>83722152.689999998</v>
      </c>
      <c r="N21" s="103">
        <f t="shared" si="2"/>
        <v>83564685.75999999</v>
      </c>
    </row>
    <row r="22" spans="1:15">
      <c r="A22" s="102" t="s">
        <v>226</v>
      </c>
      <c r="B22" s="103">
        <f t="shared" si="2"/>
        <v>44835365.358322732</v>
      </c>
      <c r="C22" s="103">
        <f t="shared" si="2"/>
        <v>45558487.712794527</v>
      </c>
      <c r="D22" s="103">
        <f t="shared" si="2"/>
        <v>45967323.96227067</v>
      </c>
      <c r="E22" s="103">
        <f t="shared" si="2"/>
        <v>46456961.387637228</v>
      </c>
      <c r="F22" s="103">
        <f t="shared" si="2"/>
        <v>47022552.458539598</v>
      </c>
      <c r="G22" s="103">
        <f t="shared" si="2"/>
        <v>47525171.458297893</v>
      </c>
      <c r="H22" s="103">
        <f t="shared" si="2"/>
        <v>47980002.768482141</v>
      </c>
      <c r="I22" s="103">
        <f t="shared" si="2"/>
        <v>48529965.834310465</v>
      </c>
      <c r="J22" s="103">
        <f t="shared" si="2"/>
        <v>49078799.322647475</v>
      </c>
      <c r="K22" s="103">
        <f t="shared" si="2"/>
        <v>49566631.165539891</v>
      </c>
      <c r="L22" s="103">
        <f t="shared" si="2"/>
        <v>50177018.375155292</v>
      </c>
      <c r="M22" s="103">
        <f t="shared" si="2"/>
        <v>50699597.927179471</v>
      </c>
      <c r="N22" s="103">
        <f t="shared" si="2"/>
        <v>51170687.737188719</v>
      </c>
    </row>
    <row r="23" spans="1:15">
      <c r="A23" s="102" t="s">
        <v>395</v>
      </c>
      <c r="B23" s="103">
        <f t="shared" si="2"/>
        <v>172715898.86650962</v>
      </c>
      <c r="C23" s="103">
        <f t="shared" si="2"/>
        <v>175573038.50999999</v>
      </c>
      <c r="D23" s="103">
        <f t="shared" si="2"/>
        <v>176515843.19</v>
      </c>
      <c r="E23" s="103">
        <f t="shared" si="2"/>
        <v>175139470.57900304</v>
      </c>
      <c r="F23" s="103">
        <f t="shared" si="2"/>
        <v>178361978.75</v>
      </c>
      <c r="G23" s="103">
        <f t="shared" si="2"/>
        <v>179264904.67999995</v>
      </c>
      <c r="H23" s="103">
        <f t="shared" si="2"/>
        <v>177678167.03763869</v>
      </c>
      <c r="I23" s="103">
        <f t="shared" si="2"/>
        <v>181456490.49999997</v>
      </c>
      <c r="J23" s="103">
        <f t="shared" si="2"/>
        <v>182611565.27000001</v>
      </c>
      <c r="K23" s="103">
        <f t="shared" si="2"/>
        <v>180424729.4011125</v>
      </c>
      <c r="L23" s="103">
        <f t="shared" si="2"/>
        <v>184664733.84999999</v>
      </c>
      <c r="M23" s="103">
        <f t="shared" si="2"/>
        <v>185375555.37</v>
      </c>
      <c r="N23" s="103">
        <f t="shared" si="2"/>
        <v>181963879.92309201</v>
      </c>
    </row>
    <row r="24" spans="1:15">
      <c r="A24" s="102" t="s">
        <v>396</v>
      </c>
      <c r="B24" s="103">
        <f t="shared" si="2"/>
        <v>58964682.150214732</v>
      </c>
      <c r="C24" s="103">
        <f t="shared" si="2"/>
        <v>59616844.863773279</v>
      </c>
      <c r="D24" s="103">
        <f t="shared" si="2"/>
        <v>60287028.552197069</v>
      </c>
      <c r="E24" s="103">
        <f t="shared" si="2"/>
        <v>61168778.000727348</v>
      </c>
      <c r="F24" s="103">
        <f t="shared" si="2"/>
        <v>61685403.969326571</v>
      </c>
      <c r="G24" s="103">
        <f t="shared" si="2"/>
        <v>61733355.073306412</v>
      </c>
      <c r="H24" s="103">
        <f t="shared" si="2"/>
        <v>62003746.391674832</v>
      </c>
      <c r="I24" s="103">
        <f t="shared" si="2"/>
        <v>62754311.856602691</v>
      </c>
      <c r="J24" s="103">
        <f t="shared" si="2"/>
        <v>63338213.779647887</v>
      </c>
      <c r="K24" s="103">
        <f t="shared" si="2"/>
        <v>63787000.691891775</v>
      </c>
      <c r="L24" s="103">
        <f t="shared" si="2"/>
        <v>64921912.229262494</v>
      </c>
      <c r="M24" s="103">
        <f t="shared" si="2"/>
        <v>65741291.194477826</v>
      </c>
      <c r="N24" s="103">
        <f t="shared" si="2"/>
        <v>65630067.394766897</v>
      </c>
    </row>
    <row r="25" spans="1:15">
      <c r="A25" s="102" t="s">
        <v>207</v>
      </c>
      <c r="B25" s="103">
        <f t="shared" si="2"/>
        <v>2053415.7328535765</v>
      </c>
      <c r="C25" s="103">
        <f t="shared" si="2"/>
        <v>2075580.0578076185</v>
      </c>
      <c r="D25" s="103">
        <f t="shared" si="2"/>
        <v>2100650.1343384515</v>
      </c>
      <c r="E25" s="103">
        <f t="shared" si="2"/>
        <v>2121241.2608692842</v>
      </c>
      <c r="F25" s="103">
        <f t="shared" si="2"/>
        <v>2150790.2874001181</v>
      </c>
      <c r="G25" s="103">
        <f t="shared" si="2"/>
        <v>2175860.3639309513</v>
      </c>
      <c r="H25" s="103">
        <f t="shared" si="2"/>
        <v>2104949.4795299512</v>
      </c>
      <c r="I25" s="103">
        <f t="shared" si="2"/>
        <v>2129572.8341971184</v>
      </c>
      <c r="J25" s="103">
        <f t="shared" si="2"/>
        <v>2154196.1888642847</v>
      </c>
      <c r="K25" s="103">
        <f t="shared" si="2"/>
        <v>2178819.5435314514</v>
      </c>
      <c r="L25" s="103">
        <f t="shared" si="2"/>
        <v>2203442.8981986186</v>
      </c>
      <c r="M25" s="103">
        <f t="shared" si="2"/>
        <v>2228108.3236991181</v>
      </c>
      <c r="N25" s="103">
        <f t="shared" si="2"/>
        <v>2110305.2842706186</v>
      </c>
    </row>
    <row r="26" spans="1:15" s="205" customFormat="1" ht="16.5" thickBot="1">
      <c r="A26" s="203" t="s">
        <v>402</v>
      </c>
      <c r="B26" s="207">
        <f>SUM(B20:B25)</f>
        <v>528409228.79790068</v>
      </c>
      <c r="C26" s="207">
        <f t="shared" ref="C26:N26" si="3">SUM(C20:C25)</f>
        <v>536217973.85437542</v>
      </c>
      <c r="D26" s="207">
        <f t="shared" si="3"/>
        <v>539874727.19880629</v>
      </c>
      <c r="E26" s="207">
        <f t="shared" si="3"/>
        <v>539339878.99823689</v>
      </c>
      <c r="F26" s="207">
        <f t="shared" si="3"/>
        <v>545251462.34526634</v>
      </c>
      <c r="G26" s="207">
        <f t="shared" si="3"/>
        <v>548469990.35553515</v>
      </c>
      <c r="H26" s="207">
        <f t="shared" si="3"/>
        <v>545789967.13732564</v>
      </c>
      <c r="I26" s="207">
        <f t="shared" si="3"/>
        <v>556132846.86511028</v>
      </c>
      <c r="J26" s="207">
        <f t="shared" si="3"/>
        <v>560192973.98115969</v>
      </c>
      <c r="K26" s="207">
        <f t="shared" si="3"/>
        <v>556036555.39207554</v>
      </c>
      <c r="L26" s="207">
        <f t="shared" si="3"/>
        <v>565675996.21261632</v>
      </c>
      <c r="M26" s="207">
        <f t="shared" si="3"/>
        <v>568164805.18535638</v>
      </c>
      <c r="N26" s="207">
        <f t="shared" si="3"/>
        <v>565220558.88931835</v>
      </c>
      <c r="O26" t="s">
        <v>403</v>
      </c>
    </row>
    <row r="27" spans="1:15" ht="15.75" thickTop="1"/>
    <row r="28" spans="1:15">
      <c r="A28" s="102"/>
      <c r="B28" s="105"/>
      <c r="N28" s="105"/>
    </row>
    <row r="29" spans="1:15">
      <c r="A29" s="102"/>
      <c r="B29" s="106"/>
      <c r="N29" s="106"/>
    </row>
    <row r="30" spans="1:15">
      <c r="A30" s="102"/>
      <c r="B30" s="106"/>
      <c r="N30" s="10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118"/>
  <sheetViews>
    <sheetView workbookViewId="0">
      <selection activeCell="G15" sqref="G15"/>
    </sheetView>
  </sheetViews>
  <sheetFormatPr defaultColWidth="7.109375" defaultRowHeight="12.75"/>
  <cols>
    <col min="1" max="1" width="5.5546875" style="1" customWidth="1"/>
    <col min="2" max="2" width="35.5546875" style="1" customWidth="1"/>
    <col min="3" max="3" width="14.77734375" style="1" customWidth="1"/>
    <col min="4" max="4" width="11.109375" style="15" customWidth="1"/>
    <col min="5" max="5" width="7.109375" style="1"/>
    <col min="6" max="6" width="10" style="1" bestFit="1" customWidth="1"/>
    <col min="7" max="16384" width="7.109375" style="1"/>
  </cols>
  <sheetData>
    <row r="2" spans="1:10">
      <c r="C2" s="19" t="s">
        <v>376</v>
      </c>
      <c r="D2" s="1">
        <v>2026</v>
      </c>
      <c r="F2" s="2"/>
    </row>
    <row r="3" spans="1:10">
      <c r="A3" s="210" t="s">
        <v>0</v>
      </c>
      <c r="B3" s="210"/>
      <c r="C3" s="210"/>
      <c r="D3" s="210"/>
      <c r="F3" s="3"/>
    </row>
    <row r="4" spans="1:10">
      <c r="A4" s="210" t="s">
        <v>1</v>
      </c>
      <c r="B4" s="210"/>
      <c r="C4" s="210"/>
      <c r="D4" s="210"/>
    </row>
    <row r="5" spans="1:10">
      <c r="A5" s="210" t="s">
        <v>2</v>
      </c>
      <c r="B5" s="210"/>
      <c r="C5" s="210"/>
      <c r="D5" s="210"/>
    </row>
    <row r="6" spans="1:10">
      <c r="B6" s="211"/>
      <c r="C6" s="211"/>
      <c r="D6" s="211"/>
      <c r="G6" s="51"/>
    </row>
    <row r="7" spans="1:10">
      <c r="A7" s="23" t="s">
        <v>3</v>
      </c>
      <c r="C7" s="4" t="s">
        <v>4</v>
      </c>
      <c r="D7" s="57"/>
    </row>
    <row r="8" spans="1:10">
      <c r="A8" s="5" t="s">
        <v>5</v>
      </c>
      <c r="C8" s="6" t="s">
        <v>6</v>
      </c>
      <c r="D8" s="58" t="s">
        <v>7</v>
      </c>
    </row>
    <row r="9" spans="1:10">
      <c r="A9" s="23">
        <v>1</v>
      </c>
      <c r="B9" s="1" t="s">
        <v>8</v>
      </c>
      <c r="C9" s="1" t="s">
        <v>9</v>
      </c>
      <c r="D9" s="7">
        <v>22400</v>
      </c>
      <c r="G9" s="50"/>
      <c r="H9" s="51"/>
    </row>
    <row r="10" spans="1:10">
      <c r="A10" s="23">
        <v>2</v>
      </c>
      <c r="B10" s="1" t="s">
        <v>10</v>
      </c>
      <c r="C10" s="1" t="s">
        <v>272</v>
      </c>
      <c r="D10" s="7">
        <v>1035201</v>
      </c>
      <c r="F10" s="40"/>
      <c r="G10" s="50"/>
      <c r="H10" s="51"/>
      <c r="J10" s="51"/>
    </row>
    <row r="11" spans="1:10">
      <c r="A11" s="23">
        <v>3</v>
      </c>
      <c r="B11" s="1" t="s">
        <v>11</v>
      </c>
      <c r="C11" s="1" t="s">
        <v>12</v>
      </c>
      <c r="D11" s="7">
        <v>376213</v>
      </c>
      <c r="F11" s="7"/>
      <c r="G11" s="50"/>
      <c r="H11" s="51"/>
    </row>
    <row r="12" spans="1:10" ht="14.25">
      <c r="A12" s="23">
        <v>4</v>
      </c>
      <c r="B12" s="1" t="s">
        <v>13</v>
      </c>
      <c r="C12" s="1" t="s">
        <v>55</v>
      </c>
      <c r="D12" s="7">
        <v>0</v>
      </c>
      <c r="F12" s="20"/>
      <c r="G12" s="50"/>
    </row>
    <row r="13" spans="1:10" ht="13.5" thickBot="1">
      <c r="A13" s="23">
        <v>5</v>
      </c>
      <c r="B13" s="8" t="s">
        <v>14</v>
      </c>
      <c r="D13" s="9">
        <f>SUM(D9:D12)</f>
        <v>1433814</v>
      </c>
      <c r="G13" s="20"/>
    </row>
    <row r="14" spans="1:10" ht="13.5" thickTop="1">
      <c r="A14" s="23">
        <v>6</v>
      </c>
    </row>
    <row r="15" spans="1:10">
      <c r="A15" s="23">
        <v>7</v>
      </c>
    </row>
    <row r="16" spans="1:10">
      <c r="A16" s="23">
        <v>8</v>
      </c>
      <c r="B16" s="10" t="s">
        <v>15</v>
      </c>
      <c r="D16" s="7"/>
      <c r="G16" s="21"/>
    </row>
    <row r="17" spans="1:8">
      <c r="A17" s="23">
        <v>9</v>
      </c>
      <c r="D17" s="7"/>
      <c r="H17" s="21"/>
    </row>
    <row r="18" spans="1:8">
      <c r="A18" s="23">
        <v>10</v>
      </c>
      <c r="B18" s="1" t="s">
        <v>16</v>
      </c>
      <c r="D18" s="7"/>
    </row>
    <row r="19" spans="1:8" ht="12.75" customHeight="1">
      <c r="A19" s="23">
        <v>11</v>
      </c>
      <c r="D19" s="7"/>
      <c r="H19" s="21"/>
    </row>
    <row r="20" spans="1:8">
      <c r="A20" s="23">
        <v>12</v>
      </c>
      <c r="D20" s="7"/>
    </row>
    <row r="21" spans="1:8">
      <c r="A21" s="23">
        <v>13</v>
      </c>
      <c r="D21" s="11"/>
    </row>
    <row r="22" spans="1:8" ht="16.5" customHeight="1">
      <c r="A22" s="23">
        <v>14</v>
      </c>
      <c r="B22" s="1" t="s">
        <v>17</v>
      </c>
      <c r="C22" s="10"/>
      <c r="D22" s="12">
        <f>SUM(D18:D21)</f>
        <v>0</v>
      </c>
    </row>
    <row r="23" spans="1:8">
      <c r="A23" s="23">
        <v>15</v>
      </c>
      <c r="D23" s="7"/>
    </row>
    <row r="24" spans="1:8" ht="13.5" thickBot="1">
      <c r="A24" s="23">
        <v>16</v>
      </c>
      <c r="B24" s="1" t="s">
        <v>18</v>
      </c>
      <c r="D24" s="9">
        <f>+D22/3</f>
        <v>0</v>
      </c>
    </row>
    <row r="25" spans="1:8" ht="13.5" thickTop="1">
      <c r="A25" s="23">
        <v>17</v>
      </c>
      <c r="D25" s="16"/>
    </row>
    <row r="26" spans="1:8">
      <c r="A26" s="23">
        <v>18</v>
      </c>
      <c r="D26" s="16"/>
    </row>
    <row r="27" spans="1:8">
      <c r="A27" s="23">
        <v>19</v>
      </c>
      <c r="B27" s="10" t="s">
        <v>50</v>
      </c>
      <c r="D27" s="16"/>
    </row>
    <row r="28" spans="1:8" ht="14.25">
      <c r="A28" s="23">
        <v>20</v>
      </c>
      <c r="B28" s="1" t="s">
        <v>53</v>
      </c>
      <c r="C28" s="1" t="s">
        <v>56</v>
      </c>
      <c r="D28" s="7">
        <v>0</v>
      </c>
      <c r="G28" s="50"/>
    </row>
    <row r="29" spans="1:8" ht="14.25">
      <c r="A29" s="23">
        <v>21</v>
      </c>
      <c r="B29" s="1" t="s">
        <v>54</v>
      </c>
      <c r="C29" s="1" t="s">
        <v>56</v>
      </c>
      <c r="D29" s="7">
        <v>325698.09000000003</v>
      </c>
      <c r="G29" s="50"/>
    </row>
    <row r="30" spans="1:8" ht="13.5" thickBot="1">
      <c r="A30" s="23">
        <v>22</v>
      </c>
      <c r="B30" s="1" t="s">
        <v>50</v>
      </c>
      <c r="D30" s="9">
        <f>SUM(D28:D29)</f>
        <v>325698.09000000003</v>
      </c>
      <c r="G30" s="50"/>
    </row>
    <row r="31" spans="1:8" ht="13.5" thickTop="1">
      <c r="A31" s="23">
        <v>23</v>
      </c>
      <c r="D31" s="16"/>
    </row>
    <row r="32" spans="1:8">
      <c r="A32" s="23">
        <v>24</v>
      </c>
      <c r="B32" s="1" t="s">
        <v>52</v>
      </c>
      <c r="D32" s="16"/>
    </row>
    <row r="33" spans="1:4">
      <c r="A33" s="23">
        <v>25</v>
      </c>
      <c r="B33" s="1" t="s">
        <v>57</v>
      </c>
    </row>
    <row r="34" spans="1:4">
      <c r="A34" s="23">
        <v>26</v>
      </c>
      <c r="B34" s="1" t="s">
        <v>19</v>
      </c>
      <c r="D34" s="1"/>
    </row>
    <row r="35" spans="1:4">
      <c r="A35" s="23">
        <v>27</v>
      </c>
      <c r="B35" s="1" t="s">
        <v>58</v>
      </c>
    </row>
    <row r="36" spans="1:4">
      <c r="A36" s="23">
        <v>28</v>
      </c>
      <c r="B36" s="1" t="s">
        <v>59</v>
      </c>
    </row>
    <row r="117" spans="7:8">
      <c r="G117" s="1" t="s">
        <v>20</v>
      </c>
      <c r="H117" s="1">
        <f>+J186</f>
        <v>0</v>
      </c>
    </row>
    <row r="118" spans="7:8">
      <c r="H118" s="1">
        <f>+H117</f>
        <v>0</v>
      </c>
    </row>
  </sheetData>
  <mergeCells count="4">
    <mergeCell ref="A3:D3"/>
    <mergeCell ref="A4:D4"/>
    <mergeCell ref="A5:D5"/>
    <mergeCell ref="B6:D6"/>
  </mergeCells>
  <printOptions horizontalCentered="1"/>
  <pageMargins left="0.75" right="0.75" top="1" bottom="1" header="0.5" footer="0.5"/>
  <pageSetup orientation="portrait" r:id="rId1"/>
  <headerFooter alignWithMargins="0">
    <oddHeader>&amp;L&amp;8 2016 BHP-Workpaper 1 Supplemental Supporting Schedules&amp;C&amp;"Arial MT,Bold"&amp;10
ACTUAL SERVICE YEAR ATRR&amp;"Arial MT,Regular"&amp;12
&amp;"Arial MT,Bold"&amp;10BLACK HILLS POWER, INC.
SUPPORTING SCHEDULES&amp;R&amp;10Page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P115"/>
  <sheetViews>
    <sheetView zoomScaleNormal="100" workbookViewId="0">
      <selection activeCell="I11" sqref="I11"/>
    </sheetView>
  </sheetViews>
  <sheetFormatPr defaultColWidth="7.109375" defaultRowHeight="12.75"/>
  <cols>
    <col min="1" max="1" width="4.33203125" style="1" customWidth="1"/>
    <col min="2" max="2" width="8.21875" style="1" customWidth="1"/>
    <col min="3" max="3" width="35.77734375" style="1" customWidth="1"/>
    <col min="4" max="4" width="1.6640625" style="15" customWidth="1"/>
    <col min="5" max="5" width="11.6640625" style="1" bestFit="1" customWidth="1"/>
    <col min="6" max="6" width="1.88671875" style="1" customWidth="1"/>
    <col min="7" max="7" width="10.77734375" style="1" bestFit="1" customWidth="1"/>
    <col min="8" max="12" width="7.109375" style="1"/>
    <col min="13" max="13" width="9.77734375" style="1" bestFit="1" customWidth="1"/>
    <col min="14" max="16384" width="7.109375" style="1"/>
  </cols>
  <sheetData>
    <row r="2" spans="1:16">
      <c r="B2" s="212"/>
      <c r="C2" s="212"/>
      <c r="D2" s="212"/>
    </row>
    <row r="3" spans="1:16">
      <c r="B3" s="177"/>
      <c r="C3" s="30"/>
      <c r="D3" s="30"/>
      <c r="F3" s="19"/>
    </row>
    <row r="4" spans="1:16">
      <c r="A4" s="210" t="s">
        <v>21</v>
      </c>
      <c r="B4" s="210"/>
      <c r="C4" s="210"/>
      <c r="D4" s="210"/>
      <c r="E4" s="210"/>
      <c r="F4" s="210"/>
      <c r="G4" s="210"/>
    </row>
    <row r="5" spans="1:16">
      <c r="A5" s="210" t="s">
        <v>497</v>
      </c>
      <c r="B5" s="210"/>
      <c r="C5" s="210"/>
      <c r="D5" s="210"/>
      <c r="E5" s="210"/>
      <c r="F5" s="210"/>
      <c r="G5" s="210"/>
    </row>
    <row r="6" spans="1:16">
      <c r="A6" s="210" t="s">
        <v>2</v>
      </c>
      <c r="B6" s="210"/>
      <c r="C6" s="210"/>
      <c r="D6" s="210"/>
      <c r="E6" s="210"/>
      <c r="F6" s="210"/>
      <c r="G6" s="210"/>
    </row>
    <row r="7" spans="1:16">
      <c r="B7" s="177"/>
      <c r="C7" s="30"/>
      <c r="D7" s="30"/>
    </row>
    <row r="8" spans="1:16">
      <c r="A8" s="23" t="s">
        <v>3</v>
      </c>
      <c r="D8" s="178"/>
      <c r="E8" s="178"/>
    </row>
    <row r="9" spans="1:16">
      <c r="A9" s="23" t="s">
        <v>5</v>
      </c>
      <c r="D9" s="179"/>
      <c r="E9" s="4" t="s">
        <v>22</v>
      </c>
      <c r="F9" s="4"/>
      <c r="G9" s="4" t="s">
        <v>23</v>
      </c>
    </row>
    <row r="10" spans="1:16">
      <c r="A10" s="182"/>
      <c r="B10" s="183"/>
      <c r="C10" s="183"/>
      <c r="D10" s="183"/>
      <c r="E10" s="183"/>
      <c r="F10" s="183"/>
      <c r="G10" s="184" t="s">
        <v>24</v>
      </c>
    </row>
    <row r="11" spans="1:16">
      <c r="B11" s="13" t="s">
        <v>25</v>
      </c>
      <c r="C11" s="13" t="s">
        <v>26</v>
      </c>
      <c r="D11" s="183"/>
      <c r="E11" s="13" t="s">
        <v>27</v>
      </c>
      <c r="F11" s="183"/>
      <c r="G11" s="13" t="s">
        <v>28</v>
      </c>
    </row>
    <row r="12" spans="1:16">
      <c r="A12" s="23">
        <v>1</v>
      </c>
      <c r="B12" s="184">
        <v>354</v>
      </c>
      <c r="C12" s="183" t="s">
        <v>29</v>
      </c>
      <c r="D12" s="183"/>
      <c r="E12" s="185">
        <v>617947.29</v>
      </c>
      <c r="F12" s="185"/>
      <c r="G12" s="185"/>
      <c r="N12" s="186"/>
      <c r="O12" s="186"/>
      <c r="P12" s="186"/>
    </row>
    <row r="13" spans="1:16" ht="12.75" customHeight="1">
      <c r="A13" s="23">
        <v>2</v>
      </c>
      <c r="B13" s="184">
        <v>355</v>
      </c>
      <c r="C13" s="183" t="s">
        <v>30</v>
      </c>
      <c r="D13" s="183"/>
      <c r="E13" s="185">
        <v>112489323.15999998</v>
      </c>
      <c r="F13" s="185"/>
      <c r="G13" s="185"/>
      <c r="N13" s="186"/>
      <c r="O13" s="186"/>
      <c r="P13" s="186"/>
    </row>
    <row r="14" spans="1:16">
      <c r="A14" s="23">
        <v>3</v>
      </c>
      <c r="B14" s="184">
        <v>356</v>
      </c>
      <c r="C14" s="183" t="s">
        <v>31</v>
      </c>
      <c r="D14" s="183"/>
      <c r="E14" s="185">
        <v>91415715.359999999</v>
      </c>
      <c r="F14" s="185"/>
      <c r="G14" s="185"/>
      <c r="N14" s="186"/>
      <c r="O14" s="186"/>
      <c r="P14" s="186"/>
    </row>
    <row r="15" spans="1:16">
      <c r="A15" s="23">
        <v>4</v>
      </c>
      <c r="B15" s="184">
        <v>359</v>
      </c>
      <c r="C15" s="183" t="s">
        <v>32</v>
      </c>
      <c r="D15" s="183"/>
      <c r="E15" s="185">
        <v>6920.2800000000007</v>
      </c>
      <c r="F15" s="185"/>
      <c r="G15" s="185"/>
      <c r="N15" s="186"/>
      <c r="O15" s="186"/>
      <c r="P15" s="186"/>
    </row>
    <row r="16" spans="1:16">
      <c r="A16" s="23">
        <v>5</v>
      </c>
      <c r="B16" s="183"/>
      <c r="C16" s="187" t="s">
        <v>33</v>
      </c>
      <c r="D16" s="183"/>
      <c r="E16" s="188">
        <f>SUM(E12:E15)</f>
        <v>204529906.09</v>
      </c>
      <c r="F16" s="185"/>
      <c r="G16" s="188">
        <v>23909168.0426814</v>
      </c>
      <c r="N16" s="186"/>
      <c r="O16" s="186"/>
      <c r="P16" s="186"/>
    </row>
    <row r="17" spans="1:16">
      <c r="A17" s="23">
        <v>6</v>
      </c>
      <c r="B17" s="183"/>
      <c r="C17" s="187"/>
      <c r="D17" s="183"/>
      <c r="E17" s="185"/>
      <c r="F17" s="185"/>
      <c r="G17" s="185"/>
      <c r="N17" s="186"/>
      <c r="O17" s="186"/>
      <c r="P17" s="186"/>
    </row>
    <row r="18" spans="1:16">
      <c r="A18" s="23">
        <v>7</v>
      </c>
      <c r="B18" s="184">
        <v>353</v>
      </c>
      <c r="C18" s="187" t="s">
        <v>34</v>
      </c>
      <c r="D18" s="183"/>
      <c r="E18" s="185">
        <v>40388122.299585998</v>
      </c>
      <c r="F18" s="185"/>
      <c r="G18" s="185">
        <v>13416465.490362998</v>
      </c>
      <c r="N18" s="186"/>
      <c r="O18" s="186"/>
      <c r="P18" s="186"/>
    </row>
    <row r="19" spans="1:16">
      <c r="A19" s="23">
        <v>9</v>
      </c>
      <c r="B19" s="184">
        <v>352</v>
      </c>
      <c r="C19" s="187" t="s">
        <v>35</v>
      </c>
      <c r="D19" s="183"/>
      <c r="E19" s="185">
        <v>1100351.68</v>
      </c>
      <c r="F19" s="185"/>
      <c r="G19" s="185">
        <v>629965.80110311706</v>
      </c>
      <c r="N19" s="186"/>
      <c r="O19" s="186"/>
      <c r="P19" s="186"/>
    </row>
    <row r="20" spans="1:16">
      <c r="A20" s="23">
        <v>10</v>
      </c>
      <c r="B20" s="183"/>
      <c r="C20" s="183" t="s">
        <v>36</v>
      </c>
      <c r="D20" s="183"/>
      <c r="E20" s="188">
        <f>SUM(E16:E19)</f>
        <v>246018380.06958601</v>
      </c>
      <c r="F20" s="185"/>
      <c r="G20" s="188">
        <f>SUM(G16:G19)</f>
        <v>37955599.334147513</v>
      </c>
      <c r="N20" s="186"/>
      <c r="O20" s="186"/>
      <c r="P20" s="186"/>
    </row>
    <row r="21" spans="1:16">
      <c r="A21" s="23">
        <v>11</v>
      </c>
      <c r="B21" s="183"/>
      <c r="C21" s="183"/>
      <c r="D21" s="183"/>
      <c r="E21" s="185"/>
      <c r="F21" s="185"/>
      <c r="G21" s="185"/>
      <c r="N21" s="186"/>
      <c r="O21" s="186"/>
      <c r="P21" s="186"/>
    </row>
    <row r="22" spans="1:16">
      <c r="A22" s="23">
        <v>12</v>
      </c>
      <c r="B22" s="184">
        <v>350</v>
      </c>
      <c r="C22" s="187" t="s">
        <v>37</v>
      </c>
      <c r="D22" s="183"/>
      <c r="E22" s="185">
        <v>9541142.7199999988</v>
      </c>
      <c r="F22" s="185"/>
      <c r="G22" s="185"/>
      <c r="N22" s="186"/>
      <c r="O22" s="186"/>
      <c r="P22" s="186"/>
    </row>
    <row r="23" spans="1:16">
      <c r="A23" s="23">
        <v>13</v>
      </c>
      <c r="B23" s="184">
        <v>350</v>
      </c>
      <c r="C23" s="187" t="s">
        <v>38</v>
      </c>
      <c r="D23" s="183"/>
      <c r="E23" s="189">
        <v>384308.74</v>
      </c>
      <c r="F23" s="183"/>
      <c r="G23" s="183"/>
      <c r="N23" s="186"/>
      <c r="O23" s="186"/>
      <c r="P23" s="186"/>
    </row>
    <row r="24" spans="1:16">
      <c r="A24" s="23">
        <v>14</v>
      </c>
      <c r="B24" s="183"/>
      <c r="C24" s="183"/>
      <c r="D24" s="183"/>
      <c r="E24" s="183"/>
      <c r="F24" s="183"/>
      <c r="G24" s="183"/>
      <c r="N24" s="186"/>
      <c r="O24" s="186"/>
      <c r="P24" s="186"/>
    </row>
    <row r="25" spans="1:16">
      <c r="A25" s="23">
        <v>15</v>
      </c>
      <c r="B25" s="183"/>
      <c r="C25" s="183" t="s">
        <v>39</v>
      </c>
      <c r="D25" s="180"/>
      <c r="E25" s="185">
        <f>E20+E22+E23</f>
        <v>255943831.52958602</v>
      </c>
      <c r="F25" s="183"/>
      <c r="G25" s="185">
        <f>G20+G22+G23</f>
        <v>37955599.334147513</v>
      </c>
      <c r="N25" s="186"/>
      <c r="O25" s="186"/>
      <c r="P25" s="186"/>
    </row>
    <row r="26" spans="1:16">
      <c r="A26" s="23">
        <v>16</v>
      </c>
      <c r="B26" s="183"/>
      <c r="C26" s="183"/>
      <c r="D26" s="183"/>
      <c r="E26" s="185"/>
      <c r="F26" s="185"/>
      <c r="G26" s="185"/>
      <c r="N26" s="186"/>
      <c r="O26" s="186"/>
      <c r="P26" s="186"/>
    </row>
    <row r="27" spans="1:16">
      <c r="A27" s="23">
        <v>17</v>
      </c>
      <c r="B27" s="184">
        <v>352</v>
      </c>
      <c r="C27" s="183" t="s">
        <v>40</v>
      </c>
      <c r="D27" s="183"/>
      <c r="E27" s="185">
        <v>32823.367830000003</v>
      </c>
      <c r="F27" s="185"/>
      <c r="G27" s="185"/>
      <c r="N27" s="186"/>
      <c r="O27" s="186"/>
      <c r="P27" s="186"/>
    </row>
    <row r="28" spans="1:16">
      <c r="A28" s="23">
        <v>18</v>
      </c>
      <c r="B28" s="184">
        <v>353</v>
      </c>
      <c r="C28" s="183" t="s">
        <v>40</v>
      </c>
      <c r="D28" s="183"/>
      <c r="E28" s="185">
        <v>1318452.8450619997</v>
      </c>
      <c r="F28" s="185"/>
      <c r="G28" s="185"/>
      <c r="N28" s="186"/>
      <c r="O28" s="186"/>
      <c r="P28" s="186"/>
    </row>
    <row r="29" spans="1:16">
      <c r="A29" s="23">
        <v>19</v>
      </c>
      <c r="B29" s="184">
        <v>355</v>
      </c>
      <c r="C29" s="183" t="s">
        <v>40</v>
      </c>
      <c r="D29" s="183"/>
      <c r="E29" s="185">
        <v>1641770.24</v>
      </c>
      <c r="F29" s="185"/>
      <c r="G29" s="185"/>
      <c r="N29" s="186"/>
      <c r="O29" s="186"/>
      <c r="P29" s="186"/>
    </row>
    <row r="30" spans="1:16">
      <c r="A30" s="23">
        <v>20</v>
      </c>
      <c r="B30" s="184">
        <v>356</v>
      </c>
      <c r="C30" s="183" t="s">
        <v>40</v>
      </c>
      <c r="D30" s="183"/>
      <c r="E30" s="185">
        <v>865996.255</v>
      </c>
      <c r="F30" s="185"/>
      <c r="G30" s="185"/>
      <c r="N30" s="186"/>
      <c r="O30" s="186"/>
      <c r="P30" s="186"/>
    </row>
    <row r="31" spans="1:16">
      <c r="A31" s="23">
        <v>21</v>
      </c>
      <c r="B31" s="183"/>
      <c r="C31" s="187" t="s">
        <v>41</v>
      </c>
      <c r="D31" s="183"/>
      <c r="E31" s="188">
        <f>SUM(E27:E30)</f>
        <v>3859042.7078919997</v>
      </c>
      <c r="F31" s="185"/>
      <c r="G31" s="188">
        <v>585554.46612269268</v>
      </c>
      <c r="N31" s="186"/>
      <c r="O31" s="186"/>
      <c r="P31" s="186"/>
    </row>
    <row r="32" spans="1:16">
      <c r="A32" s="23">
        <v>22</v>
      </c>
      <c r="B32" s="183"/>
      <c r="C32" s="187"/>
      <c r="D32" s="183"/>
      <c r="E32" s="185"/>
      <c r="F32" s="185"/>
      <c r="G32" s="185"/>
      <c r="N32" s="186"/>
      <c r="O32" s="186"/>
      <c r="P32" s="186"/>
    </row>
    <row r="33" spans="1:16">
      <c r="A33" s="23">
        <v>23</v>
      </c>
      <c r="B33" s="180" t="s">
        <v>42</v>
      </c>
      <c r="C33" s="187"/>
      <c r="D33" s="183"/>
      <c r="E33" s="189">
        <f>+E31+E25</f>
        <v>259802874.23747802</v>
      </c>
      <c r="F33" s="185"/>
      <c r="G33" s="189">
        <f>+G31+G25</f>
        <v>38541153.800270207</v>
      </c>
      <c r="N33" s="186"/>
      <c r="O33" s="186"/>
      <c r="P33" s="186"/>
    </row>
    <row r="34" spans="1:16">
      <c r="A34" s="23">
        <v>24</v>
      </c>
      <c r="B34" s="180"/>
      <c r="C34" s="187"/>
      <c r="D34" s="183"/>
      <c r="E34" s="188"/>
      <c r="F34" s="185"/>
      <c r="G34" s="185"/>
      <c r="N34" s="186"/>
      <c r="O34" s="186"/>
      <c r="P34" s="186"/>
    </row>
    <row r="35" spans="1:16">
      <c r="A35" s="23">
        <v>25</v>
      </c>
      <c r="B35" s="183" t="s">
        <v>43</v>
      </c>
      <c r="C35" s="187"/>
      <c r="D35" s="183"/>
      <c r="E35" s="189">
        <v>299412905</v>
      </c>
      <c r="F35" s="185"/>
      <c r="G35" s="189">
        <v>50271467</v>
      </c>
      <c r="N35" s="186"/>
      <c r="O35" s="186"/>
      <c r="P35" s="186"/>
    </row>
    <row r="36" spans="1:16">
      <c r="A36" s="23">
        <v>26</v>
      </c>
      <c r="B36" s="183"/>
      <c r="C36" s="187"/>
      <c r="D36" s="183"/>
      <c r="E36" s="185"/>
      <c r="F36" s="185"/>
      <c r="G36" s="188"/>
      <c r="N36" s="186"/>
      <c r="O36" s="186"/>
      <c r="P36" s="186"/>
    </row>
    <row r="37" spans="1:16" ht="13.5" thickBot="1">
      <c r="A37" s="23">
        <v>27</v>
      </c>
      <c r="B37" s="183"/>
      <c r="C37" s="183" t="s">
        <v>44</v>
      </c>
      <c r="D37" s="183"/>
      <c r="E37" s="190">
        <f>+E35-E33</f>
        <v>39610030.762521982</v>
      </c>
      <c r="F37" s="185"/>
      <c r="G37" s="190">
        <f>+G35-G33</f>
        <v>11730313.199729793</v>
      </c>
      <c r="N37" s="186"/>
      <c r="O37" s="186"/>
      <c r="P37" s="186"/>
    </row>
    <row r="38" spans="1:16" ht="13.5" thickTop="1">
      <c r="A38" s="23">
        <v>28</v>
      </c>
      <c r="B38" s="183"/>
      <c r="C38" s="187"/>
      <c r="D38" s="183"/>
      <c r="E38" s="185"/>
      <c r="F38" s="185"/>
      <c r="G38" s="185"/>
      <c r="N38" s="186"/>
      <c r="O38" s="186"/>
      <c r="P38" s="186"/>
    </row>
    <row r="39" spans="1:16">
      <c r="A39" s="23">
        <v>29</v>
      </c>
      <c r="B39" s="184">
        <v>362</v>
      </c>
      <c r="C39" s="183" t="s">
        <v>40</v>
      </c>
      <c r="D39" s="183"/>
      <c r="E39" s="185">
        <v>4999838.0199999996</v>
      </c>
      <c r="F39" s="185"/>
      <c r="G39" s="185">
        <v>2319925.11</v>
      </c>
      <c r="N39" s="186"/>
      <c r="O39" s="186"/>
      <c r="P39" s="186"/>
    </row>
    <row r="40" spans="1:16">
      <c r="A40" s="23">
        <v>30</v>
      </c>
      <c r="B40" s="184">
        <v>362</v>
      </c>
      <c r="C40" s="183" t="s">
        <v>45</v>
      </c>
      <c r="D40" s="183"/>
      <c r="E40" s="185">
        <v>5086671.4000000004</v>
      </c>
      <c r="F40" s="185"/>
      <c r="G40" s="185">
        <v>1831619.86</v>
      </c>
      <c r="N40" s="186"/>
      <c r="O40" s="186"/>
      <c r="P40" s="186"/>
    </row>
    <row r="41" spans="1:16">
      <c r="A41" s="23">
        <v>31</v>
      </c>
      <c r="B41" s="183"/>
      <c r="C41" s="183"/>
      <c r="D41" s="183"/>
      <c r="E41" s="188"/>
      <c r="F41" s="185"/>
      <c r="G41" s="188"/>
      <c r="N41" s="186"/>
      <c r="O41" s="186"/>
      <c r="P41" s="186"/>
    </row>
    <row r="42" spans="1:16">
      <c r="A42" s="23">
        <v>32</v>
      </c>
      <c r="B42" s="180" t="s">
        <v>46</v>
      </c>
      <c r="C42" s="187"/>
      <c r="D42" s="183"/>
      <c r="E42" s="189">
        <f>SUM(E39:E41)</f>
        <v>10086509.42</v>
      </c>
      <c r="F42" s="185"/>
      <c r="G42" s="189">
        <f>SUM(G39:G41)</f>
        <v>4151544.9699999997</v>
      </c>
      <c r="N42" s="186"/>
      <c r="O42" s="186"/>
      <c r="P42" s="186"/>
    </row>
    <row r="43" spans="1:16">
      <c r="A43" s="23">
        <v>33</v>
      </c>
      <c r="B43" s="180"/>
      <c r="C43" s="187"/>
      <c r="D43" s="183"/>
      <c r="E43" s="185"/>
      <c r="F43" s="185"/>
      <c r="G43" s="185"/>
      <c r="N43" s="186"/>
      <c r="O43" s="186"/>
      <c r="P43" s="186"/>
    </row>
    <row r="44" spans="1:16">
      <c r="A44" s="23">
        <v>34</v>
      </c>
      <c r="B44" s="183" t="s">
        <v>47</v>
      </c>
      <c r="C44" s="187"/>
      <c r="D44" s="183"/>
      <c r="E44" s="185">
        <v>565178194</v>
      </c>
      <c r="F44" s="185"/>
      <c r="G44" s="185">
        <v>181963880</v>
      </c>
      <c r="N44" s="186"/>
      <c r="O44" s="186"/>
      <c r="P44" s="186"/>
    </row>
    <row r="45" spans="1:16" ht="13.5" thickBot="1">
      <c r="A45" s="23">
        <v>35</v>
      </c>
      <c r="B45" s="183"/>
      <c r="C45" s="183" t="s">
        <v>48</v>
      </c>
      <c r="D45" s="183"/>
      <c r="E45" s="191">
        <f>+E44-E42</f>
        <v>555091684.58000004</v>
      </c>
      <c r="F45" s="185"/>
      <c r="G45" s="191">
        <f>+G44-G42</f>
        <v>177812335.03</v>
      </c>
      <c r="N45" s="186"/>
      <c r="O45" s="186"/>
      <c r="P45" s="186"/>
    </row>
    <row r="46" spans="1:16" ht="13.5" thickTop="1">
      <c r="A46" s="23">
        <v>36</v>
      </c>
      <c r="B46" s="183"/>
      <c r="C46" s="187"/>
      <c r="D46" s="183"/>
      <c r="E46" s="185"/>
      <c r="F46" s="185"/>
      <c r="G46" s="185"/>
      <c r="N46" s="186"/>
      <c r="O46" s="186"/>
      <c r="P46" s="186"/>
    </row>
    <row r="47" spans="1:16" ht="13.5" thickBot="1">
      <c r="A47" s="23">
        <v>37</v>
      </c>
      <c r="B47" s="183"/>
      <c r="C47" s="180" t="s">
        <v>49</v>
      </c>
      <c r="D47" s="183"/>
      <c r="E47" s="14">
        <f>+E42+E33</f>
        <v>269889383.65747803</v>
      </c>
      <c r="F47" s="185"/>
      <c r="G47" s="14">
        <f>+G42+G33</f>
        <v>42692698.770270206</v>
      </c>
      <c r="N47" s="186"/>
      <c r="O47" s="186"/>
      <c r="P47" s="186"/>
    </row>
    <row r="48" spans="1:16" ht="13.5" thickTop="1">
      <c r="A48" s="23">
        <v>38</v>
      </c>
    </row>
    <row r="49" spans="1:2">
      <c r="A49" s="23">
        <v>39</v>
      </c>
      <c r="B49" s="1" t="s">
        <v>60</v>
      </c>
    </row>
    <row r="50" spans="1:2">
      <c r="A50" s="23">
        <v>40</v>
      </c>
      <c r="B50" s="181" t="s">
        <v>61</v>
      </c>
    </row>
    <row r="51" spans="1:2">
      <c r="A51" s="23">
        <v>41</v>
      </c>
      <c r="B51" s="181" t="s">
        <v>63</v>
      </c>
    </row>
    <row r="52" spans="1:2">
      <c r="A52" s="23">
        <v>42</v>
      </c>
      <c r="B52" s="181" t="s">
        <v>62</v>
      </c>
    </row>
    <row r="114" spans="6:6">
      <c r="F114" s="1">
        <f>+H183</f>
        <v>0</v>
      </c>
    </row>
    <row r="115" spans="6:6">
      <c r="F115" s="1">
        <f>+F114</f>
        <v>0</v>
      </c>
    </row>
  </sheetData>
  <mergeCells count="4">
    <mergeCell ref="B2:D2"/>
    <mergeCell ref="A4:G4"/>
    <mergeCell ref="A5:G5"/>
    <mergeCell ref="A6:G6"/>
  </mergeCells>
  <printOptions horizontalCentered="1"/>
  <pageMargins left="0.5" right="0.25" top="1" bottom="1" header="0.5" footer="0.5"/>
  <pageSetup scale="98" orientation="portrait" r:id="rId1"/>
  <headerFooter alignWithMargins="0">
    <oddHeader>&amp;L&amp;8 2016 BHP-Workpaper 4 Supplemental Supporting Schedules&amp;C&amp;"Arial MT,Bold"&amp;10
ACTUAL SERVICE YEAR ATRR
BLACK HILLS POWER, INC.
SUPPORTING SCHEDULES&amp;R&amp;10Page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N60"/>
  <sheetViews>
    <sheetView workbookViewId="0">
      <selection activeCell="N11" sqref="N11:N15"/>
    </sheetView>
  </sheetViews>
  <sheetFormatPr defaultRowHeight="12.75"/>
  <cols>
    <col min="1" max="1" width="6.109375" style="17" customWidth="1"/>
    <col min="2" max="4" width="11.77734375" style="17" customWidth="1"/>
    <col min="5" max="6" width="9.88671875" style="17" customWidth="1"/>
    <col min="7" max="7" width="15.109375" style="17" bestFit="1" customWidth="1"/>
    <col min="8" max="11" width="8.88671875" style="17"/>
    <col min="12" max="12" width="10.6640625" style="17" bestFit="1" customWidth="1"/>
    <col min="13" max="13" width="8.88671875" style="17"/>
    <col min="14" max="14" width="54.109375" style="17" customWidth="1"/>
    <col min="15" max="256" width="8.88671875" style="17"/>
    <col min="257" max="257" width="6.109375" style="17" customWidth="1"/>
    <col min="258" max="260" width="11.77734375" style="17" customWidth="1"/>
    <col min="261" max="262" width="9.88671875" style="17" customWidth="1"/>
    <col min="263" max="263" width="15.109375" style="17" bestFit="1" customWidth="1"/>
    <col min="264" max="512" width="8.88671875" style="17"/>
    <col min="513" max="513" width="6.109375" style="17" customWidth="1"/>
    <col min="514" max="516" width="11.77734375" style="17" customWidth="1"/>
    <col min="517" max="518" width="9.88671875" style="17" customWidth="1"/>
    <col min="519" max="519" width="15.109375" style="17" bestFit="1" customWidth="1"/>
    <col min="520" max="768" width="8.88671875" style="17"/>
    <col min="769" max="769" width="6.109375" style="17" customWidth="1"/>
    <col min="770" max="772" width="11.77734375" style="17" customWidth="1"/>
    <col min="773" max="774" width="9.88671875" style="17" customWidth="1"/>
    <col min="775" max="775" width="15.109375" style="17" bestFit="1" customWidth="1"/>
    <col min="776" max="1024" width="8.88671875" style="17"/>
    <col min="1025" max="1025" width="6.109375" style="17" customWidth="1"/>
    <col min="1026" max="1028" width="11.77734375" style="17" customWidth="1"/>
    <col min="1029" max="1030" width="9.88671875" style="17" customWidth="1"/>
    <col min="1031" max="1031" width="15.109375" style="17" bestFit="1" customWidth="1"/>
    <col min="1032" max="1280" width="8.88671875" style="17"/>
    <col min="1281" max="1281" width="6.109375" style="17" customWidth="1"/>
    <col min="1282" max="1284" width="11.77734375" style="17" customWidth="1"/>
    <col min="1285" max="1286" width="9.88671875" style="17" customWidth="1"/>
    <col min="1287" max="1287" width="15.109375" style="17" bestFit="1" customWidth="1"/>
    <col min="1288" max="1536" width="8.88671875" style="17"/>
    <col min="1537" max="1537" width="6.109375" style="17" customWidth="1"/>
    <col min="1538" max="1540" width="11.77734375" style="17" customWidth="1"/>
    <col min="1541" max="1542" width="9.88671875" style="17" customWidth="1"/>
    <col min="1543" max="1543" width="15.109375" style="17" bestFit="1" customWidth="1"/>
    <col min="1544" max="1792" width="8.88671875" style="17"/>
    <col min="1793" max="1793" width="6.109375" style="17" customWidth="1"/>
    <col min="1794" max="1796" width="11.77734375" style="17" customWidth="1"/>
    <col min="1797" max="1798" width="9.88671875" style="17" customWidth="1"/>
    <col min="1799" max="1799" width="15.109375" style="17" bestFit="1" customWidth="1"/>
    <col min="1800" max="2048" width="8.88671875" style="17"/>
    <col min="2049" max="2049" width="6.109375" style="17" customWidth="1"/>
    <col min="2050" max="2052" width="11.77734375" style="17" customWidth="1"/>
    <col min="2053" max="2054" width="9.88671875" style="17" customWidth="1"/>
    <col min="2055" max="2055" width="15.109375" style="17" bestFit="1" customWidth="1"/>
    <col min="2056" max="2304" width="8.88671875" style="17"/>
    <col min="2305" max="2305" width="6.109375" style="17" customWidth="1"/>
    <col min="2306" max="2308" width="11.77734375" style="17" customWidth="1"/>
    <col min="2309" max="2310" width="9.88671875" style="17" customWidth="1"/>
    <col min="2311" max="2311" width="15.109375" style="17" bestFit="1" customWidth="1"/>
    <col min="2312" max="2560" width="8.88671875" style="17"/>
    <col min="2561" max="2561" width="6.109375" style="17" customWidth="1"/>
    <col min="2562" max="2564" width="11.77734375" style="17" customWidth="1"/>
    <col min="2565" max="2566" width="9.88671875" style="17" customWidth="1"/>
    <col min="2567" max="2567" width="15.109375" style="17" bestFit="1" customWidth="1"/>
    <col min="2568" max="2816" width="8.88671875" style="17"/>
    <col min="2817" max="2817" width="6.109375" style="17" customWidth="1"/>
    <col min="2818" max="2820" width="11.77734375" style="17" customWidth="1"/>
    <col min="2821" max="2822" width="9.88671875" style="17" customWidth="1"/>
    <col min="2823" max="2823" width="15.109375" style="17" bestFit="1" customWidth="1"/>
    <col min="2824" max="3072" width="8.88671875" style="17"/>
    <col min="3073" max="3073" width="6.109375" style="17" customWidth="1"/>
    <col min="3074" max="3076" width="11.77734375" style="17" customWidth="1"/>
    <col min="3077" max="3078" width="9.88671875" style="17" customWidth="1"/>
    <col min="3079" max="3079" width="15.109375" style="17" bestFit="1" customWidth="1"/>
    <col min="3080" max="3328" width="8.88671875" style="17"/>
    <col min="3329" max="3329" width="6.109375" style="17" customWidth="1"/>
    <col min="3330" max="3332" width="11.77734375" style="17" customWidth="1"/>
    <col min="3333" max="3334" width="9.88671875" style="17" customWidth="1"/>
    <col min="3335" max="3335" width="15.109375" style="17" bestFit="1" customWidth="1"/>
    <col min="3336" max="3584" width="8.88671875" style="17"/>
    <col min="3585" max="3585" width="6.109375" style="17" customWidth="1"/>
    <col min="3586" max="3588" width="11.77734375" style="17" customWidth="1"/>
    <col min="3589" max="3590" width="9.88671875" style="17" customWidth="1"/>
    <col min="3591" max="3591" width="15.109375" style="17" bestFit="1" customWidth="1"/>
    <col min="3592" max="3840" width="8.88671875" style="17"/>
    <col min="3841" max="3841" width="6.109375" style="17" customWidth="1"/>
    <col min="3842" max="3844" width="11.77734375" style="17" customWidth="1"/>
    <col min="3845" max="3846" width="9.88671875" style="17" customWidth="1"/>
    <col min="3847" max="3847" width="15.109375" style="17" bestFit="1" customWidth="1"/>
    <col min="3848" max="4096" width="8.88671875" style="17"/>
    <col min="4097" max="4097" width="6.109375" style="17" customWidth="1"/>
    <col min="4098" max="4100" width="11.77734375" style="17" customWidth="1"/>
    <col min="4101" max="4102" width="9.88671875" style="17" customWidth="1"/>
    <col min="4103" max="4103" width="15.109375" style="17" bestFit="1" customWidth="1"/>
    <col min="4104" max="4352" width="8.88671875" style="17"/>
    <col min="4353" max="4353" width="6.109375" style="17" customWidth="1"/>
    <col min="4354" max="4356" width="11.77734375" style="17" customWidth="1"/>
    <col min="4357" max="4358" width="9.88671875" style="17" customWidth="1"/>
    <col min="4359" max="4359" width="15.109375" style="17" bestFit="1" customWidth="1"/>
    <col min="4360" max="4608" width="8.88671875" style="17"/>
    <col min="4609" max="4609" width="6.109375" style="17" customWidth="1"/>
    <col min="4610" max="4612" width="11.77734375" style="17" customWidth="1"/>
    <col min="4613" max="4614" width="9.88671875" style="17" customWidth="1"/>
    <col min="4615" max="4615" width="15.109375" style="17" bestFit="1" customWidth="1"/>
    <col min="4616" max="4864" width="8.88671875" style="17"/>
    <col min="4865" max="4865" width="6.109375" style="17" customWidth="1"/>
    <col min="4866" max="4868" width="11.77734375" style="17" customWidth="1"/>
    <col min="4869" max="4870" width="9.88671875" style="17" customWidth="1"/>
    <col min="4871" max="4871" width="15.109375" style="17" bestFit="1" customWidth="1"/>
    <col min="4872" max="5120" width="8.88671875" style="17"/>
    <col min="5121" max="5121" width="6.109375" style="17" customWidth="1"/>
    <col min="5122" max="5124" width="11.77734375" style="17" customWidth="1"/>
    <col min="5125" max="5126" width="9.88671875" style="17" customWidth="1"/>
    <col min="5127" max="5127" width="15.109375" style="17" bestFit="1" customWidth="1"/>
    <col min="5128" max="5376" width="8.88671875" style="17"/>
    <col min="5377" max="5377" width="6.109375" style="17" customWidth="1"/>
    <col min="5378" max="5380" width="11.77734375" style="17" customWidth="1"/>
    <col min="5381" max="5382" width="9.88671875" style="17" customWidth="1"/>
    <col min="5383" max="5383" width="15.109375" style="17" bestFit="1" customWidth="1"/>
    <col min="5384" max="5632" width="8.88671875" style="17"/>
    <col min="5633" max="5633" width="6.109375" style="17" customWidth="1"/>
    <col min="5634" max="5636" width="11.77734375" style="17" customWidth="1"/>
    <col min="5637" max="5638" width="9.88671875" style="17" customWidth="1"/>
    <col min="5639" max="5639" width="15.109375" style="17" bestFit="1" customWidth="1"/>
    <col min="5640" max="5888" width="8.88671875" style="17"/>
    <col min="5889" max="5889" width="6.109375" style="17" customWidth="1"/>
    <col min="5890" max="5892" width="11.77734375" style="17" customWidth="1"/>
    <col min="5893" max="5894" width="9.88671875" style="17" customWidth="1"/>
    <col min="5895" max="5895" width="15.109375" style="17" bestFit="1" customWidth="1"/>
    <col min="5896" max="6144" width="8.88671875" style="17"/>
    <col min="6145" max="6145" width="6.109375" style="17" customWidth="1"/>
    <col min="6146" max="6148" width="11.77734375" style="17" customWidth="1"/>
    <col min="6149" max="6150" width="9.88671875" style="17" customWidth="1"/>
    <col min="6151" max="6151" width="15.109375" style="17" bestFit="1" customWidth="1"/>
    <col min="6152" max="6400" width="8.88671875" style="17"/>
    <col min="6401" max="6401" width="6.109375" style="17" customWidth="1"/>
    <col min="6402" max="6404" width="11.77734375" style="17" customWidth="1"/>
    <col min="6405" max="6406" width="9.88671875" style="17" customWidth="1"/>
    <col min="6407" max="6407" width="15.109375" style="17" bestFit="1" customWidth="1"/>
    <col min="6408" max="6656" width="8.88671875" style="17"/>
    <col min="6657" max="6657" width="6.109375" style="17" customWidth="1"/>
    <col min="6658" max="6660" width="11.77734375" style="17" customWidth="1"/>
    <col min="6661" max="6662" width="9.88671875" style="17" customWidth="1"/>
    <col min="6663" max="6663" width="15.109375" style="17" bestFit="1" customWidth="1"/>
    <col min="6664" max="6912" width="8.88671875" style="17"/>
    <col min="6913" max="6913" width="6.109375" style="17" customWidth="1"/>
    <col min="6914" max="6916" width="11.77734375" style="17" customWidth="1"/>
    <col min="6917" max="6918" width="9.88671875" style="17" customWidth="1"/>
    <col min="6919" max="6919" width="15.109375" style="17" bestFit="1" customWidth="1"/>
    <col min="6920" max="7168" width="8.88671875" style="17"/>
    <col min="7169" max="7169" width="6.109375" style="17" customWidth="1"/>
    <col min="7170" max="7172" width="11.77734375" style="17" customWidth="1"/>
    <col min="7173" max="7174" width="9.88671875" style="17" customWidth="1"/>
    <col min="7175" max="7175" width="15.109375" style="17" bestFit="1" customWidth="1"/>
    <col min="7176" max="7424" width="8.88671875" style="17"/>
    <col min="7425" max="7425" width="6.109375" style="17" customWidth="1"/>
    <col min="7426" max="7428" width="11.77734375" style="17" customWidth="1"/>
    <col min="7429" max="7430" width="9.88671875" style="17" customWidth="1"/>
    <col min="7431" max="7431" width="15.109375" style="17" bestFit="1" customWidth="1"/>
    <col min="7432" max="7680" width="8.88671875" style="17"/>
    <col min="7681" max="7681" width="6.109375" style="17" customWidth="1"/>
    <col min="7682" max="7684" width="11.77734375" style="17" customWidth="1"/>
    <col min="7685" max="7686" width="9.88671875" style="17" customWidth="1"/>
    <col min="7687" max="7687" width="15.109375" style="17" bestFit="1" customWidth="1"/>
    <col min="7688" max="7936" width="8.88671875" style="17"/>
    <col min="7937" max="7937" width="6.109375" style="17" customWidth="1"/>
    <col min="7938" max="7940" width="11.77734375" style="17" customWidth="1"/>
    <col min="7941" max="7942" width="9.88671875" style="17" customWidth="1"/>
    <col min="7943" max="7943" width="15.109375" style="17" bestFit="1" customWidth="1"/>
    <col min="7944" max="8192" width="8.88671875" style="17"/>
    <col min="8193" max="8193" width="6.109375" style="17" customWidth="1"/>
    <col min="8194" max="8196" width="11.77734375" style="17" customWidth="1"/>
    <col min="8197" max="8198" width="9.88671875" style="17" customWidth="1"/>
    <col min="8199" max="8199" width="15.109375" style="17" bestFit="1" customWidth="1"/>
    <col min="8200" max="8448" width="8.88671875" style="17"/>
    <col min="8449" max="8449" width="6.109375" style="17" customWidth="1"/>
    <col min="8450" max="8452" width="11.77734375" style="17" customWidth="1"/>
    <col min="8453" max="8454" width="9.88671875" style="17" customWidth="1"/>
    <col min="8455" max="8455" width="15.109375" style="17" bestFit="1" customWidth="1"/>
    <col min="8456" max="8704" width="8.88671875" style="17"/>
    <col min="8705" max="8705" width="6.109375" style="17" customWidth="1"/>
    <col min="8706" max="8708" width="11.77734375" style="17" customWidth="1"/>
    <col min="8709" max="8710" width="9.88671875" style="17" customWidth="1"/>
    <col min="8711" max="8711" width="15.109375" style="17" bestFit="1" customWidth="1"/>
    <col min="8712" max="8960" width="8.88671875" style="17"/>
    <col min="8961" max="8961" width="6.109375" style="17" customWidth="1"/>
    <col min="8962" max="8964" width="11.77734375" style="17" customWidth="1"/>
    <col min="8965" max="8966" width="9.88671875" style="17" customWidth="1"/>
    <col min="8967" max="8967" width="15.109375" style="17" bestFit="1" customWidth="1"/>
    <col min="8968" max="9216" width="8.88671875" style="17"/>
    <col min="9217" max="9217" width="6.109375" style="17" customWidth="1"/>
    <col min="9218" max="9220" width="11.77734375" style="17" customWidth="1"/>
    <col min="9221" max="9222" width="9.88671875" style="17" customWidth="1"/>
    <col min="9223" max="9223" width="15.109375" style="17" bestFit="1" customWidth="1"/>
    <col min="9224" max="9472" width="8.88671875" style="17"/>
    <col min="9473" max="9473" width="6.109375" style="17" customWidth="1"/>
    <col min="9474" max="9476" width="11.77734375" style="17" customWidth="1"/>
    <col min="9477" max="9478" width="9.88671875" style="17" customWidth="1"/>
    <col min="9479" max="9479" width="15.109375" style="17" bestFit="1" customWidth="1"/>
    <col min="9480" max="9728" width="8.88671875" style="17"/>
    <col min="9729" max="9729" width="6.109375" style="17" customWidth="1"/>
    <col min="9730" max="9732" width="11.77734375" style="17" customWidth="1"/>
    <col min="9733" max="9734" width="9.88671875" style="17" customWidth="1"/>
    <col min="9735" max="9735" width="15.109375" style="17" bestFit="1" customWidth="1"/>
    <col min="9736" max="9984" width="8.88671875" style="17"/>
    <col min="9985" max="9985" width="6.109375" style="17" customWidth="1"/>
    <col min="9986" max="9988" width="11.77734375" style="17" customWidth="1"/>
    <col min="9989" max="9990" width="9.88671875" style="17" customWidth="1"/>
    <col min="9991" max="9991" width="15.109375" style="17" bestFit="1" customWidth="1"/>
    <col min="9992" max="10240" width="8.88671875" style="17"/>
    <col min="10241" max="10241" width="6.109375" style="17" customWidth="1"/>
    <col min="10242" max="10244" width="11.77734375" style="17" customWidth="1"/>
    <col min="10245" max="10246" width="9.88671875" style="17" customWidth="1"/>
    <col min="10247" max="10247" width="15.109375" style="17" bestFit="1" customWidth="1"/>
    <col min="10248" max="10496" width="8.88671875" style="17"/>
    <col min="10497" max="10497" width="6.109375" style="17" customWidth="1"/>
    <col min="10498" max="10500" width="11.77734375" style="17" customWidth="1"/>
    <col min="10501" max="10502" width="9.88671875" style="17" customWidth="1"/>
    <col min="10503" max="10503" width="15.109375" style="17" bestFit="1" customWidth="1"/>
    <col min="10504" max="10752" width="8.88671875" style="17"/>
    <col min="10753" max="10753" width="6.109375" style="17" customWidth="1"/>
    <col min="10754" max="10756" width="11.77734375" style="17" customWidth="1"/>
    <col min="10757" max="10758" width="9.88671875" style="17" customWidth="1"/>
    <col min="10759" max="10759" width="15.109375" style="17" bestFit="1" customWidth="1"/>
    <col min="10760" max="11008" width="8.88671875" style="17"/>
    <col min="11009" max="11009" width="6.109375" style="17" customWidth="1"/>
    <col min="11010" max="11012" width="11.77734375" style="17" customWidth="1"/>
    <col min="11013" max="11014" width="9.88671875" style="17" customWidth="1"/>
    <col min="11015" max="11015" width="15.109375" style="17" bestFit="1" customWidth="1"/>
    <col min="11016" max="11264" width="8.88671875" style="17"/>
    <col min="11265" max="11265" width="6.109375" style="17" customWidth="1"/>
    <col min="11266" max="11268" width="11.77734375" style="17" customWidth="1"/>
    <col min="11269" max="11270" width="9.88671875" style="17" customWidth="1"/>
    <col min="11271" max="11271" width="15.109375" style="17" bestFit="1" customWidth="1"/>
    <col min="11272" max="11520" width="8.88671875" style="17"/>
    <col min="11521" max="11521" width="6.109375" style="17" customWidth="1"/>
    <col min="11522" max="11524" width="11.77734375" style="17" customWidth="1"/>
    <col min="11525" max="11526" width="9.88671875" style="17" customWidth="1"/>
    <col min="11527" max="11527" width="15.109375" style="17" bestFit="1" customWidth="1"/>
    <col min="11528" max="11776" width="8.88671875" style="17"/>
    <col min="11777" max="11777" width="6.109375" style="17" customWidth="1"/>
    <col min="11778" max="11780" width="11.77734375" style="17" customWidth="1"/>
    <col min="11781" max="11782" width="9.88671875" style="17" customWidth="1"/>
    <col min="11783" max="11783" width="15.109375" style="17" bestFit="1" customWidth="1"/>
    <col min="11784" max="12032" width="8.88671875" style="17"/>
    <col min="12033" max="12033" width="6.109375" style="17" customWidth="1"/>
    <col min="12034" max="12036" width="11.77734375" style="17" customWidth="1"/>
    <col min="12037" max="12038" width="9.88671875" style="17" customWidth="1"/>
    <col min="12039" max="12039" width="15.109375" style="17" bestFit="1" customWidth="1"/>
    <col min="12040" max="12288" width="8.88671875" style="17"/>
    <col min="12289" max="12289" width="6.109375" style="17" customWidth="1"/>
    <col min="12290" max="12292" width="11.77734375" style="17" customWidth="1"/>
    <col min="12293" max="12294" width="9.88671875" style="17" customWidth="1"/>
    <col min="12295" max="12295" width="15.109375" style="17" bestFit="1" customWidth="1"/>
    <col min="12296" max="12544" width="8.88671875" style="17"/>
    <col min="12545" max="12545" width="6.109375" style="17" customWidth="1"/>
    <col min="12546" max="12548" width="11.77734375" style="17" customWidth="1"/>
    <col min="12549" max="12550" width="9.88671875" style="17" customWidth="1"/>
    <col min="12551" max="12551" width="15.109375" style="17" bestFit="1" customWidth="1"/>
    <col min="12552" max="12800" width="8.88671875" style="17"/>
    <col min="12801" max="12801" width="6.109375" style="17" customWidth="1"/>
    <col min="12802" max="12804" width="11.77734375" style="17" customWidth="1"/>
    <col min="12805" max="12806" width="9.88671875" style="17" customWidth="1"/>
    <col min="12807" max="12807" width="15.109375" style="17" bestFit="1" customWidth="1"/>
    <col min="12808" max="13056" width="8.88671875" style="17"/>
    <col min="13057" max="13057" width="6.109375" style="17" customWidth="1"/>
    <col min="13058" max="13060" width="11.77734375" style="17" customWidth="1"/>
    <col min="13061" max="13062" width="9.88671875" style="17" customWidth="1"/>
    <col min="13063" max="13063" width="15.109375" style="17" bestFit="1" customWidth="1"/>
    <col min="13064" max="13312" width="8.88671875" style="17"/>
    <col min="13313" max="13313" width="6.109375" style="17" customWidth="1"/>
    <col min="13314" max="13316" width="11.77734375" style="17" customWidth="1"/>
    <col min="13317" max="13318" width="9.88671875" style="17" customWidth="1"/>
    <col min="13319" max="13319" width="15.109375" style="17" bestFit="1" customWidth="1"/>
    <col min="13320" max="13568" width="8.88671875" style="17"/>
    <col min="13569" max="13569" width="6.109375" style="17" customWidth="1"/>
    <col min="13570" max="13572" width="11.77734375" style="17" customWidth="1"/>
    <col min="13573" max="13574" width="9.88671875" style="17" customWidth="1"/>
    <col min="13575" max="13575" width="15.109375" style="17" bestFit="1" customWidth="1"/>
    <col min="13576" max="13824" width="8.88671875" style="17"/>
    <col min="13825" max="13825" width="6.109375" style="17" customWidth="1"/>
    <col min="13826" max="13828" width="11.77734375" style="17" customWidth="1"/>
    <col min="13829" max="13830" width="9.88671875" style="17" customWidth="1"/>
    <col min="13831" max="13831" width="15.109375" style="17" bestFit="1" customWidth="1"/>
    <col min="13832" max="14080" width="8.88671875" style="17"/>
    <col min="14081" max="14081" width="6.109375" style="17" customWidth="1"/>
    <col min="14082" max="14084" width="11.77734375" style="17" customWidth="1"/>
    <col min="14085" max="14086" width="9.88671875" style="17" customWidth="1"/>
    <col min="14087" max="14087" width="15.109375" style="17" bestFit="1" customWidth="1"/>
    <col min="14088" max="14336" width="8.88671875" style="17"/>
    <col min="14337" max="14337" width="6.109375" style="17" customWidth="1"/>
    <col min="14338" max="14340" width="11.77734375" style="17" customWidth="1"/>
    <col min="14341" max="14342" width="9.88671875" style="17" customWidth="1"/>
    <col min="14343" max="14343" width="15.109375" style="17" bestFit="1" customWidth="1"/>
    <col min="14344" max="14592" width="8.88671875" style="17"/>
    <col min="14593" max="14593" width="6.109375" style="17" customWidth="1"/>
    <col min="14594" max="14596" width="11.77734375" style="17" customWidth="1"/>
    <col min="14597" max="14598" width="9.88671875" style="17" customWidth="1"/>
    <col min="14599" max="14599" width="15.109375" style="17" bestFit="1" customWidth="1"/>
    <col min="14600" max="14848" width="8.88671875" style="17"/>
    <col min="14849" max="14849" width="6.109375" style="17" customWidth="1"/>
    <col min="14850" max="14852" width="11.77734375" style="17" customWidth="1"/>
    <col min="14853" max="14854" width="9.88671875" style="17" customWidth="1"/>
    <col min="14855" max="14855" width="15.109375" style="17" bestFit="1" customWidth="1"/>
    <col min="14856" max="15104" width="8.88671875" style="17"/>
    <col min="15105" max="15105" width="6.109375" style="17" customWidth="1"/>
    <col min="15106" max="15108" width="11.77734375" style="17" customWidth="1"/>
    <col min="15109" max="15110" width="9.88671875" style="17" customWidth="1"/>
    <col min="15111" max="15111" width="15.109375" style="17" bestFit="1" customWidth="1"/>
    <col min="15112" max="15360" width="8.88671875" style="17"/>
    <col min="15361" max="15361" width="6.109375" style="17" customWidth="1"/>
    <col min="15362" max="15364" width="11.77734375" style="17" customWidth="1"/>
    <col min="15365" max="15366" width="9.88671875" style="17" customWidth="1"/>
    <col min="15367" max="15367" width="15.109375" style="17" bestFit="1" customWidth="1"/>
    <col min="15368" max="15616" width="8.88671875" style="17"/>
    <col min="15617" max="15617" width="6.109375" style="17" customWidth="1"/>
    <col min="15618" max="15620" width="11.77734375" style="17" customWidth="1"/>
    <col min="15621" max="15622" width="9.88671875" style="17" customWidth="1"/>
    <col min="15623" max="15623" width="15.109375" style="17" bestFit="1" customWidth="1"/>
    <col min="15624" max="15872" width="8.88671875" style="17"/>
    <col min="15873" max="15873" width="6.109375" style="17" customWidth="1"/>
    <col min="15874" max="15876" width="11.77734375" style="17" customWidth="1"/>
    <col min="15877" max="15878" width="9.88671875" style="17" customWidth="1"/>
    <col min="15879" max="15879" width="15.109375" style="17" bestFit="1" customWidth="1"/>
    <col min="15880" max="16128" width="8.88671875" style="17"/>
    <col min="16129" max="16129" width="6.109375" style="17" customWidth="1"/>
    <col min="16130" max="16132" width="11.77734375" style="17" customWidth="1"/>
    <col min="16133" max="16134" width="9.88671875" style="17" customWidth="1"/>
    <col min="16135" max="16135" width="15.109375" style="17" bestFit="1" customWidth="1"/>
    <col min="16136" max="16384" width="8.88671875" style="17"/>
  </cols>
  <sheetData>
    <row r="3" spans="1:14">
      <c r="A3" s="210" t="s">
        <v>220</v>
      </c>
      <c r="B3" s="210"/>
      <c r="C3" s="210"/>
      <c r="D3" s="210"/>
      <c r="E3" s="210"/>
      <c r="F3" s="210"/>
      <c r="G3" s="210"/>
    </row>
    <row r="4" spans="1:14">
      <c r="A4" s="210" t="s">
        <v>221</v>
      </c>
      <c r="B4" s="210"/>
      <c r="C4" s="210"/>
      <c r="D4" s="210"/>
      <c r="E4" s="210"/>
      <c r="F4" s="210"/>
      <c r="G4" s="210"/>
    </row>
    <row r="5" spans="1:14">
      <c r="A5" s="210" t="s">
        <v>2</v>
      </c>
      <c r="B5" s="210"/>
      <c r="C5" s="210"/>
      <c r="D5" s="210"/>
      <c r="E5" s="210"/>
      <c r="F5" s="210"/>
      <c r="G5" s="210"/>
    </row>
    <row r="6" spans="1:14">
      <c r="A6" s="30"/>
      <c r="B6" s="30"/>
      <c r="C6" s="30"/>
      <c r="D6" s="30"/>
      <c r="E6" s="30"/>
      <c r="F6" s="30"/>
      <c r="G6" s="30"/>
    </row>
    <row r="7" spans="1:14">
      <c r="B7" s="4" t="s">
        <v>22</v>
      </c>
      <c r="C7" s="4" t="s">
        <v>23</v>
      </c>
      <c r="D7" s="4" t="s">
        <v>222</v>
      </c>
      <c r="E7" s="4" t="s">
        <v>223</v>
      </c>
      <c r="F7" s="4" t="s">
        <v>224</v>
      </c>
      <c r="G7" s="4" t="s">
        <v>225</v>
      </c>
    </row>
    <row r="8" spans="1:14">
      <c r="A8" s="23" t="s">
        <v>3</v>
      </c>
      <c r="C8" s="6" t="s">
        <v>17</v>
      </c>
      <c r="D8" s="6" t="s">
        <v>226</v>
      </c>
      <c r="E8" s="6" t="s">
        <v>227</v>
      </c>
      <c r="G8" s="6" t="s">
        <v>228</v>
      </c>
    </row>
    <row r="9" spans="1:14">
      <c r="A9" s="5" t="s">
        <v>5</v>
      </c>
      <c r="B9" s="37" t="s">
        <v>229</v>
      </c>
      <c r="C9" s="37" t="s">
        <v>230</v>
      </c>
      <c r="D9" s="37" t="s">
        <v>231</v>
      </c>
      <c r="E9" s="37" t="s">
        <v>232</v>
      </c>
      <c r="F9" s="37" t="s">
        <v>233</v>
      </c>
      <c r="G9" s="37" t="s">
        <v>234</v>
      </c>
    </row>
    <row r="10" spans="1:14">
      <c r="A10" s="23"/>
      <c r="B10" s="6"/>
      <c r="C10" s="6"/>
      <c r="D10" s="6"/>
      <c r="E10" s="6"/>
      <c r="F10" s="6"/>
      <c r="G10" s="6"/>
    </row>
    <row r="11" spans="1:14">
      <c r="A11" s="23"/>
      <c r="B11" s="192" t="s">
        <v>235</v>
      </c>
      <c r="N11" s="193"/>
    </row>
    <row r="12" spans="1:14" ht="15">
      <c r="A12" s="23">
        <v>1</v>
      </c>
      <c r="B12" s="200">
        <v>45261</v>
      </c>
      <c r="C12" s="201" t="s">
        <v>236</v>
      </c>
      <c r="D12" s="52"/>
      <c r="F12" s="24"/>
      <c r="G12" s="52">
        <v>-29973058</v>
      </c>
      <c r="I12" s="202"/>
    </row>
    <row r="13" spans="1:14">
      <c r="A13" s="23">
        <f t="shared" ref="A13:A56" si="0">+A12+1</f>
        <v>2</v>
      </c>
      <c r="B13" s="200"/>
      <c r="C13" s="52"/>
      <c r="D13" s="52"/>
      <c r="F13" s="24"/>
      <c r="G13" s="52"/>
    </row>
    <row r="14" spans="1:14" ht="15">
      <c r="A14" s="23">
        <f t="shared" si="0"/>
        <v>3</v>
      </c>
      <c r="B14" s="200">
        <v>45627</v>
      </c>
      <c r="C14" s="52">
        <v>-689596.30605404032</v>
      </c>
      <c r="D14" s="52">
        <v>-566564</v>
      </c>
      <c r="E14" s="24"/>
      <c r="F14" s="194">
        <v>1</v>
      </c>
      <c r="G14" s="52">
        <f>ROUND(+D14*F14,0)</f>
        <v>-566564</v>
      </c>
      <c r="I14" s="202"/>
    </row>
    <row r="15" spans="1:14">
      <c r="A15" s="23">
        <f t="shared" si="0"/>
        <v>4</v>
      </c>
      <c r="B15" s="200">
        <v>45658</v>
      </c>
      <c r="C15" s="52">
        <v>-61360.970204520025</v>
      </c>
      <c r="D15" s="52">
        <v>-50413</v>
      </c>
      <c r="E15" s="24">
        <f>365-30</f>
        <v>335</v>
      </c>
      <c r="F15" s="194">
        <f t="shared" ref="F15:F26" si="1">ROUND(+E15/365,6)</f>
        <v>0.91780799999999996</v>
      </c>
      <c r="G15" s="52">
        <f>ROUND(+D15*F15,0)</f>
        <v>-46269</v>
      </c>
      <c r="I15" s="195"/>
      <c r="J15" s="195"/>
      <c r="L15" s="196"/>
      <c r="N15" s="197"/>
    </row>
    <row r="16" spans="1:14">
      <c r="A16" s="23">
        <f t="shared" si="0"/>
        <v>5</v>
      </c>
      <c r="B16" s="200">
        <v>45689</v>
      </c>
      <c r="C16" s="52">
        <v>-122721.94040904005</v>
      </c>
      <c r="D16" s="52">
        <v>-100827</v>
      </c>
      <c r="E16" s="24">
        <f>+E15-28</f>
        <v>307</v>
      </c>
      <c r="F16" s="194">
        <f t="shared" si="1"/>
        <v>0.84109599999999995</v>
      </c>
      <c r="G16" s="52">
        <f t="shared" ref="G16:G26" si="2">ROUND(+D16*F16,0)</f>
        <v>-84805</v>
      </c>
      <c r="I16" s="195"/>
      <c r="J16" s="195"/>
    </row>
    <row r="17" spans="1:14">
      <c r="A17" s="23">
        <f t="shared" si="0"/>
        <v>6</v>
      </c>
      <c r="B17" s="200">
        <v>45717</v>
      </c>
      <c r="C17" s="52">
        <v>-184082.91061356006</v>
      </c>
      <c r="D17" s="52">
        <v>-151240</v>
      </c>
      <c r="E17" s="24">
        <f>+E16-31</f>
        <v>276</v>
      </c>
      <c r="F17" s="194">
        <f t="shared" si="1"/>
        <v>0.75616399999999995</v>
      </c>
      <c r="G17" s="52">
        <f t="shared" si="2"/>
        <v>-114362</v>
      </c>
      <c r="I17" s="195"/>
      <c r="J17" s="195"/>
    </row>
    <row r="18" spans="1:14">
      <c r="A18" s="23">
        <f t="shared" si="0"/>
        <v>7</v>
      </c>
      <c r="B18" s="200">
        <v>45748</v>
      </c>
      <c r="C18" s="52">
        <v>-245443.8808180801</v>
      </c>
      <c r="D18" s="52">
        <v>-201654</v>
      </c>
      <c r="E18" s="24">
        <f>+E17-30</f>
        <v>246</v>
      </c>
      <c r="F18" s="194">
        <f t="shared" si="1"/>
        <v>0.67397300000000004</v>
      </c>
      <c r="G18" s="52">
        <f t="shared" si="2"/>
        <v>-135909</v>
      </c>
      <c r="I18" s="195"/>
      <c r="J18" s="195"/>
      <c r="N18" s="193"/>
    </row>
    <row r="19" spans="1:14">
      <c r="A19" s="23">
        <f t="shared" si="0"/>
        <v>8</v>
      </c>
      <c r="B19" s="200">
        <v>45778</v>
      </c>
      <c r="C19" s="52">
        <v>-306804.85102260014</v>
      </c>
      <c r="D19" s="52">
        <v>-252067</v>
      </c>
      <c r="E19" s="24">
        <f>+E18-31</f>
        <v>215</v>
      </c>
      <c r="F19" s="194">
        <f t="shared" si="1"/>
        <v>0.58904100000000004</v>
      </c>
      <c r="G19" s="52">
        <f t="shared" si="2"/>
        <v>-148478</v>
      </c>
      <c r="I19" s="195"/>
      <c r="J19" s="195"/>
      <c r="N19" s="193"/>
    </row>
    <row r="20" spans="1:14">
      <c r="A20" s="23">
        <f t="shared" si="0"/>
        <v>9</v>
      </c>
      <c r="B20" s="200">
        <v>45809</v>
      </c>
      <c r="C20" s="52">
        <v>-368165.82122712018</v>
      </c>
      <c r="D20" s="52">
        <v>-302481</v>
      </c>
      <c r="E20" s="24">
        <f>+E19-30</f>
        <v>185</v>
      </c>
      <c r="F20" s="194">
        <f t="shared" si="1"/>
        <v>0.50684899999999999</v>
      </c>
      <c r="G20" s="52">
        <f t="shared" si="2"/>
        <v>-153312</v>
      </c>
      <c r="I20" s="195"/>
      <c r="J20" s="195"/>
    </row>
    <row r="21" spans="1:14">
      <c r="A21" s="23">
        <f t="shared" si="0"/>
        <v>10</v>
      </c>
      <c r="B21" s="200">
        <v>45839</v>
      </c>
      <c r="C21" s="52">
        <v>-429526.79143164022</v>
      </c>
      <c r="D21" s="52">
        <v>-352894</v>
      </c>
      <c r="E21" s="24">
        <f>+E20-31</f>
        <v>154</v>
      </c>
      <c r="F21" s="194">
        <f t="shared" si="1"/>
        <v>0.42191800000000002</v>
      </c>
      <c r="G21" s="52">
        <f t="shared" si="2"/>
        <v>-148892</v>
      </c>
      <c r="I21" s="195"/>
      <c r="J21" s="195"/>
    </row>
    <row r="22" spans="1:14">
      <c r="A22" s="23">
        <f t="shared" si="0"/>
        <v>11</v>
      </c>
      <c r="B22" s="200">
        <v>45870</v>
      </c>
      <c r="C22" s="52">
        <v>-490887.76163616026</v>
      </c>
      <c r="D22" s="52">
        <v>-403307</v>
      </c>
      <c r="E22" s="24">
        <f>+E21-31</f>
        <v>123</v>
      </c>
      <c r="F22" s="194">
        <f t="shared" si="1"/>
        <v>0.33698600000000001</v>
      </c>
      <c r="G22" s="52">
        <f t="shared" si="2"/>
        <v>-135909</v>
      </c>
      <c r="I22" s="195"/>
      <c r="J22" s="195"/>
    </row>
    <row r="23" spans="1:14">
      <c r="A23" s="23">
        <f t="shared" si="0"/>
        <v>12</v>
      </c>
      <c r="B23" s="200">
        <v>45901</v>
      </c>
      <c r="C23" s="52">
        <v>-552248.73184068024</v>
      </c>
      <c r="D23" s="52">
        <v>-453721</v>
      </c>
      <c r="E23" s="24">
        <f>+E22-30</f>
        <v>93</v>
      </c>
      <c r="F23" s="194">
        <f t="shared" si="1"/>
        <v>0.25479499999999999</v>
      </c>
      <c r="G23" s="52">
        <f t="shared" si="2"/>
        <v>-115606</v>
      </c>
      <c r="I23" s="195"/>
      <c r="J23" s="195"/>
    </row>
    <row r="24" spans="1:14">
      <c r="A24" s="23">
        <f t="shared" si="0"/>
        <v>13</v>
      </c>
      <c r="B24" s="200">
        <v>45931</v>
      </c>
      <c r="C24" s="52">
        <v>-613609.70204520028</v>
      </c>
      <c r="D24" s="52">
        <v>-504134</v>
      </c>
      <c r="E24" s="24">
        <f>+E23-31</f>
        <v>62</v>
      </c>
      <c r="F24" s="194">
        <f t="shared" si="1"/>
        <v>0.16986299999999999</v>
      </c>
      <c r="G24" s="52">
        <f t="shared" si="2"/>
        <v>-85634</v>
      </c>
      <c r="I24" s="195"/>
      <c r="J24" s="195"/>
    </row>
    <row r="25" spans="1:14">
      <c r="A25" s="23">
        <f t="shared" si="0"/>
        <v>14</v>
      </c>
      <c r="B25" s="200">
        <v>45962</v>
      </c>
      <c r="C25" s="52">
        <v>-674970.67224972032</v>
      </c>
      <c r="D25" s="52">
        <v>-554548</v>
      </c>
      <c r="E25" s="24">
        <f>+E24-30</f>
        <v>32</v>
      </c>
      <c r="F25" s="194">
        <f t="shared" si="1"/>
        <v>8.7670999999999999E-2</v>
      </c>
      <c r="G25" s="52">
        <f t="shared" si="2"/>
        <v>-48618</v>
      </c>
      <c r="I25" s="195"/>
      <c r="J25" s="195"/>
    </row>
    <row r="26" spans="1:14">
      <c r="A26" s="23">
        <f t="shared" si="0"/>
        <v>15</v>
      </c>
      <c r="B26" s="200">
        <v>45992</v>
      </c>
      <c r="C26" s="52">
        <v>-736331.64245424035</v>
      </c>
      <c r="D26" s="52">
        <v>-604961</v>
      </c>
      <c r="E26" s="24">
        <f>+E25-31</f>
        <v>1</v>
      </c>
      <c r="F26" s="194">
        <f t="shared" si="1"/>
        <v>2.7399999999999998E-3</v>
      </c>
      <c r="G26" s="52">
        <f t="shared" si="2"/>
        <v>-1658</v>
      </c>
      <c r="I26" s="195"/>
      <c r="J26" s="195"/>
    </row>
    <row r="27" spans="1:14">
      <c r="A27" s="23">
        <f t="shared" si="0"/>
        <v>16</v>
      </c>
      <c r="F27" s="35" t="s">
        <v>237</v>
      </c>
      <c r="G27" s="45">
        <f>SUM(G12:G26)</f>
        <v>-31759074</v>
      </c>
    </row>
    <row r="28" spans="1:14">
      <c r="A28" s="23">
        <f t="shared" si="0"/>
        <v>17</v>
      </c>
    </row>
    <row r="29" spans="1:14">
      <c r="A29" s="23">
        <f t="shared" si="0"/>
        <v>18</v>
      </c>
    </row>
    <row r="30" spans="1:14">
      <c r="A30" s="23">
        <f t="shared" si="0"/>
        <v>19</v>
      </c>
      <c r="B30" s="192" t="s">
        <v>404</v>
      </c>
    </row>
    <row r="31" spans="1:14">
      <c r="A31" s="23">
        <f t="shared" si="0"/>
        <v>20</v>
      </c>
      <c r="B31" s="200">
        <v>45261</v>
      </c>
      <c r="C31" s="201" t="s">
        <v>236</v>
      </c>
      <c r="D31" s="52"/>
      <c r="F31" s="24"/>
      <c r="G31" s="52">
        <f>+'BHP WP 8.1 EDIT-DDIT'!M42</f>
        <v>-12569574.438960001</v>
      </c>
    </row>
    <row r="32" spans="1:14">
      <c r="A32" s="23">
        <f t="shared" si="0"/>
        <v>21</v>
      </c>
      <c r="B32" s="200"/>
      <c r="C32" s="52"/>
      <c r="D32" s="52"/>
      <c r="F32" s="24"/>
      <c r="G32" s="52"/>
    </row>
    <row r="33" spans="1:7">
      <c r="A33" s="23">
        <f t="shared" si="0"/>
        <v>22</v>
      </c>
      <c r="B33" s="200">
        <v>45627</v>
      </c>
      <c r="C33" s="52">
        <f>+'BHP WP 8.1 EDIT-DDIT'!N42</f>
        <v>397307.73265822779</v>
      </c>
      <c r="D33" s="52">
        <f>C33</f>
        <v>397307.73265822779</v>
      </c>
      <c r="E33" s="24"/>
      <c r="F33" s="194">
        <v>1</v>
      </c>
      <c r="G33" s="52">
        <f>ROUND(+D33*F33,0)</f>
        <v>397308</v>
      </c>
    </row>
    <row r="34" spans="1:7">
      <c r="A34" s="23">
        <f t="shared" si="0"/>
        <v>23</v>
      </c>
      <c r="C34" s="52"/>
      <c r="D34" s="52"/>
      <c r="E34" s="24"/>
      <c r="F34" s="24"/>
      <c r="G34" s="52"/>
    </row>
    <row r="35" spans="1:7">
      <c r="A35" s="23">
        <f t="shared" si="0"/>
        <v>24</v>
      </c>
      <c r="B35" s="200">
        <v>45658</v>
      </c>
      <c r="C35" s="52">
        <f t="shared" ref="C35:C46" si="3">$C$33/12</f>
        <v>33108.977721518982</v>
      </c>
      <c r="D35" s="52">
        <f>C35</f>
        <v>33108.977721518982</v>
      </c>
      <c r="E35" s="24">
        <f>365-30</f>
        <v>335</v>
      </c>
      <c r="F35" s="194">
        <f t="shared" ref="F35:F46" si="4">ROUND(+E35/365,6)</f>
        <v>0.91780799999999996</v>
      </c>
      <c r="G35" s="52">
        <f>ROUND(+D35*F35,0)</f>
        <v>30388</v>
      </c>
    </row>
    <row r="36" spans="1:7">
      <c r="A36" s="23">
        <f t="shared" si="0"/>
        <v>25</v>
      </c>
      <c r="B36" s="200">
        <v>45689</v>
      </c>
      <c r="C36" s="52">
        <f t="shared" si="3"/>
        <v>33108.977721518982</v>
      </c>
      <c r="D36" s="52">
        <f t="shared" ref="D36:D46" si="5">C36</f>
        <v>33108.977721518982</v>
      </c>
      <c r="E36" s="24">
        <f>+E35-28</f>
        <v>307</v>
      </c>
      <c r="F36" s="194">
        <f t="shared" si="4"/>
        <v>0.84109599999999995</v>
      </c>
      <c r="G36" s="52">
        <f t="shared" ref="G36:G46" si="6">ROUND(+D36*F36,0)</f>
        <v>27848</v>
      </c>
    </row>
    <row r="37" spans="1:7">
      <c r="A37" s="23">
        <f t="shared" si="0"/>
        <v>26</v>
      </c>
      <c r="B37" s="200">
        <v>45717</v>
      </c>
      <c r="C37" s="52">
        <f t="shared" si="3"/>
        <v>33108.977721518982</v>
      </c>
      <c r="D37" s="52">
        <f t="shared" si="5"/>
        <v>33108.977721518982</v>
      </c>
      <c r="E37" s="24">
        <f>+E36-31</f>
        <v>276</v>
      </c>
      <c r="F37" s="194">
        <f t="shared" si="4"/>
        <v>0.75616399999999995</v>
      </c>
      <c r="G37" s="52">
        <f t="shared" si="6"/>
        <v>25036</v>
      </c>
    </row>
    <row r="38" spans="1:7">
      <c r="A38" s="23">
        <f t="shared" si="0"/>
        <v>27</v>
      </c>
      <c r="B38" s="200">
        <v>45748</v>
      </c>
      <c r="C38" s="52">
        <f t="shared" si="3"/>
        <v>33108.977721518982</v>
      </c>
      <c r="D38" s="52">
        <f t="shared" si="5"/>
        <v>33108.977721518982</v>
      </c>
      <c r="E38" s="24">
        <f>+E37-30</f>
        <v>246</v>
      </c>
      <c r="F38" s="194">
        <f t="shared" si="4"/>
        <v>0.67397300000000004</v>
      </c>
      <c r="G38" s="52">
        <f t="shared" si="6"/>
        <v>22315</v>
      </c>
    </row>
    <row r="39" spans="1:7">
      <c r="A39" s="23">
        <f t="shared" si="0"/>
        <v>28</v>
      </c>
      <c r="B39" s="200">
        <v>45778</v>
      </c>
      <c r="C39" s="52">
        <f t="shared" si="3"/>
        <v>33108.977721518982</v>
      </c>
      <c r="D39" s="52">
        <f t="shared" si="5"/>
        <v>33108.977721518982</v>
      </c>
      <c r="E39" s="24">
        <f>+E38-31</f>
        <v>215</v>
      </c>
      <c r="F39" s="194">
        <f t="shared" si="4"/>
        <v>0.58904100000000004</v>
      </c>
      <c r="G39" s="52">
        <f t="shared" si="6"/>
        <v>19503</v>
      </c>
    </row>
    <row r="40" spans="1:7">
      <c r="A40" s="23">
        <f t="shared" si="0"/>
        <v>29</v>
      </c>
      <c r="B40" s="200">
        <v>45809</v>
      </c>
      <c r="C40" s="52">
        <f t="shared" si="3"/>
        <v>33108.977721518982</v>
      </c>
      <c r="D40" s="52">
        <f t="shared" si="5"/>
        <v>33108.977721518982</v>
      </c>
      <c r="E40" s="24">
        <f>+E39-30</f>
        <v>185</v>
      </c>
      <c r="F40" s="194">
        <f t="shared" si="4"/>
        <v>0.50684899999999999</v>
      </c>
      <c r="G40" s="52">
        <f t="shared" si="6"/>
        <v>16781</v>
      </c>
    </row>
    <row r="41" spans="1:7">
      <c r="A41" s="23">
        <f t="shared" si="0"/>
        <v>30</v>
      </c>
      <c r="B41" s="200">
        <v>45839</v>
      </c>
      <c r="C41" s="52">
        <f t="shared" si="3"/>
        <v>33108.977721518982</v>
      </c>
      <c r="D41" s="52">
        <f t="shared" si="5"/>
        <v>33108.977721518982</v>
      </c>
      <c r="E41" s="24">
        <f>+E40-31</f>
        <v>154</v>
      </c>
      <c r="F41" s="194">
        <f t="shared" si="4"/>
        <v>0.42191800000000002</v>
      </c>
      <c r="G41" s="52">
        <f t="shared" si="6"/>
        <v>13969</v>
      </c>
    </row>
    <row r="42" spans="1:7">
      <c r="A42" s="23">
        <f t="shared" si="0"/>
        <v>31</v>
      </c>
      <c r="B42" s="200">
        <v>45870</v>
      </c>
      <c r="C42" s="52">
        <f t="shared" si="3"/>
        <v>33108.977721518982</v>
      </c>
      <c r="D42" s="52">
        <f t="shared" si="5"/>
        <v>33108.977721518982</v>
      </c>
      <c r="E42" s="24">
        <f>+E41-31</f>
        <v>123</v>
      </c>
      <c r="F42" s="194">
        <f t="shared" si="4"/>
        <v>0.33698600000000001</v>
      </c>
      <c r="G42" s="52">
        <f t="shared" si="6"/>
        <v>11157</v>
      </c>
    </row>
    <row r="43" spans="1:7">
      <c r="A43" s="23">
        <f t="shared" si="0"/>
        <v>32</v>
      </c>
      <c r="B43" s="200">
        <v>45901</v>
      </c>
      <c r="C43" s="52">
        <f t="shared" si="3"/>
        <v>33108.977721518982</v>
      </c>
      <c r="D43" s="52">
        <f t="shared" si="5"/>
        <v>33108.977721518982</v>
      </c>
      <c r="E43" s="24">
        <f>+E42-30</f>
        <v>93</v>
      </c>
      <c r="F43" s="194">
        <f t="shared" si="4"/>
        <v>0.25479499999999999</v>
      </c>
      <c r="G43" s="52">
        <f t="shared" si="6"/>
        <v>8436</v>
      </c>
    </row>
    <row r="44" spans="1:7">
      <c r="A44" s="23">
        <f t="shared" si="0"/>
        <v>33</v>
      </c>
      <c r="B44" s="200">
        <v>45931</v>
      </c>
      <c r="C44" s="52">
        <f t="shared" si="3"/>
        <v>33108.977721518982</v>
      </c>
      <c r="D44" s="52">
        <f t="shared" si="5"/>
        <v>33108.977721518982</v>
      </c>
      <c r="E44" s="24">
        <f>+E43-31</f>
        <v>62</v>
      </c>
      <c r="F44" s="194">
        <f t="shared" si="4"/>
        <v>0.16986299999999999</v>
      </c>
      <c r="G44" s="52">
        <f t="shared" si="6"/>
        <v>5624</v>
      </c>
    </row>
    <row r="45" spans="1:7">
      <c r="A45" s="23">
        <f t="shared" si="0"/>
        <v>34</v>
      </c>
      <c r="B45" s="200">
        <v>45962</v>
      </c>
      <c r="C45" s="52">
        <f t="shared" si="3"/>
        <v>33108.977721518982</v>
      </c>
      <c r="D45" s="52">
        <f t="shared" si="5"/>
        <v>33108.977721518982</v>
      </c>
      <c r="E45" s="24">
        <f>+E44-30</f>
        <v>32</v>
      </c>
      <c r="F45" s="194">
        <f t="shared" si="4"/>
        <v>8.7670999999999999E-2</v>
      </c>
      <c r="G45" s="52">
        <f t="shared" si="6"/>
        <v>2903</v>
      </c>
    </row>
    <row r="46" spans="1:7">
      <c r="A46" s="23">
        <f t="shared" si="0"/>
        <v>35</v>
      </c>
      <c r="B46" s="200">
        <v>45992</v>
      </c>
      <c r="C46" s="52">
        <f t="shared" si="3"/>
        <v>33108.977721518982</v>
      </c>
      <c r="D46" s="52">
        <f t="shared" si="5"/>
        <v>33108.977721518982</v>
      </c>
      <c r="E46" s="24">
        <f>+E45-31</f>
        <v>1</v>
      </c>
      <c r="F46" s="194">
        <f t="shared" si="4"/>
        <v>2.7399999999999998E-3</v>
      </c>
      <c r="G46" s="52">
        <f t="shared" si="6"/>
        <v>91</v>
      </c>
    </row>
    <row r="47" spans="1:7">
      <c r="A47" s="23">
        <f t="shared" si="0"/>
        <v>36</v>
      </c>
      <c r="F47" s="35" t="s">
        <v>405</v>
      </c>
      <c r="G47" s="45">
        <f>SUM(G31:G46)</f>
        <v>-11988215.438960001</v>
      </c>
    </row>
    <row r="48" spans="1:7">
      <c r="A48" s="23">
        <f t="shared" si="0"/>
        <v>37</v>
      </c>
      <c r="B48" s="198"/>
    </row>
    <row r="49" spans="1:7">
      <c r="A49" s="23">
        <f t="shared" si="0"/>
        <v>38</v>
      </c>
      <c r="B49" s="198"/>
    </row>
    <row r="50" spans="1:7">
      <c r="A50" s="23">
        <f t="shared" si="0"/>
        <v>39</v>
      </c>
      <c r="B50" s="213" t="s">
        <v>238</v>
      </c>
      <c r="C50" s="213"/>
      <c r="D50" s="213"/>
      <c r="E50" s="213"/>
      <c r="F50" s="213"/>
      <c r="G50" s="213"/>
    </row>
    <row r="51" spans="1:7" ht="12.75" customHeight="1">
      <c r="A51" s="23">
        <f t="shared" si="0"/>
        <v>40</v>
      </c>
      <c r="B51" s="213"/>
      <c r="C51" s="213"/>
      <c r="D51" s="213"/>
      <c r="E51" s="213"/>
      <c r="F51" s="213"/>
      <c r="G51" s="213"/>
    </row>
    <row r="52" spans="1:7">
      <c r="A52" s="23">
        <f t="shared" si="0"/>
        <v>41</v>
      </c>
      <c r="B52" s="213"/>
      <c r="C52" s="213"/>
      <c r="D52" s="213"/>
      <c r="E52" s="213"/>
      <c r="F52" s="213"/>
      <c r="G52" s="213"/>
    </row>
    <row r="53" spans="1:7">
      <c r="A53" s="23">
        <f t="shared" si="0"/>
        <v>42</v>
      </c>
      <c r="B53" s="17" t="s">
        <v>239</v>
      </c>
      <c r="C53" s="199"/>
      <c r="D53" s="199"/>
      <c r="E53" s="199"/>
      <c r="F53" s="199"/>
      <c r="G53" s="199"/>
    </row>
    <row r="54" spans="1:7">
      <c r="A54" s="23">
        <f t="shared" si="0"/>
        <v>43</v>
      </c>
      <c r="B54" s="17" t="s">
        <v>240</v>
      </c>
      <c r="C54" s="199"/>
      <c r="D54" s="199"/>
      <c r="E54" s="199"/>
      <c r="F54" s="199"/>
      <c r="G54" s="199"/>
    </row>
    <row r="55" spans="1:7">
      <c r="A55" s="23">
        <f t="shared" si="0"/>
        <v>44</v>
      </c>
      <c r="B55" s="17" t="s">
        <v>241</v>
      </c>
    </row>
    <row r="56" spans="1:7">
      <c r="A56" s="23">
        <f t="shared" si="0"/>
        <v>45</v>
      </c>
      <c r="B56" s="17" t="s">
        <v>271</v>
      </c>
    </row>
    <row r="57" spans="1:7">
      <c r="A57" s="23"/>
    </row>
    <row r="58" spans="1:7">
      <c r="A58" s="23"/>
    </row>
    <row r="59" spans="1:7">
      <c r="A59" s="23"/>
    </row>
    <row r="60" spans="1:7">
      <c r="A60" s="23"/>
    </row>
  </sheetData>
  <mergeCells count="4">
    <mergeCell ref="A3:G3"/>
    <mergeCell ref="A4:G4"/>
    <mergeCell ref="A5:G5"/>
    <mergeCell ref="B50:G52"/>
  </mergeCells>
  <pageMargins left="0.7" right="0.7" top="0.75" bottom="0.75" header="0.3" footer="0.3"/>
  <pageSetup scale="90" orientation="portrait" verticalDpi="0" r:id="rId1"/>
  <headerFooter>
    <oddHeader>&amp;CESTIMATED SERVICE YEAR ATRR
BLACK HILLS POWER, INC.</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7166-8860-4E35-A1D7-60C17E7E1968}">
  <sheetPr>
    <pageSetUpPr fitToPage="1"/>
  </sheetPr>
  <dimension ref="A1:R64"/>
  <sheetViews>
    <sheetView topLeftCell="B1" zoomScale="85" zoomScaleNormal="85" workbookViewId="0">
      <selection activeCell="G14" sqref="G14"/>
    </sheetView>
  </sheetViews>
  <sheetFormatPr defaultColWidth="8.88671875" defaultRowHeight="15"/>
  <cols>
    <col min="1" max="1" width="8.88671875" style="136" hidden="1" customWidth="1"/>
    <col min="2" max="2" width="8.88671875" style="136" customWidth="1"/>
    <col min="3" max="3" width="48.44140625" style="136" customWidth="1"/>
    <col min="4" max="4" width="10.44140625" style="136" customWidth="1"/>
    <col min="5" max="5" width="9.6640625" style="136" customWidth="1"/>
    <col min="6" max="6" width="11.88671875" style="136" customWidth="1"/>
    <col min="7" max="7" width="15.109375" style="136" bestFit="1" customWidth="1"/>
    <col min="8" max="8" width="11.88671875" style="136" customWidth="1"/>
    <col min="9" max="9" width="10.88671875" style="136" bestFit="1" customWidth="1"/>
    <col min="10" max="10" width="15.109375" style="136" customWidth="1"/>
    <col min="11" max="11" width="13.21875" style="136" customWidth="1"/>
    <col min="12" max="12" width="8.88671875" style="136"/>
    <col min="13" max="13" width="12.44140625" style="136" bestFit="1" customWidth="1"/>
    <col min="14" max="14" width="13.109375" style="136" customWidth="1"/>
    <col min="15" max="15" width="12.109375" style="136" customWidth="1"/>
    <col min="16" max="16" width="12.44140625" style="136" bestFit="1" customWidth="1"/>
    <col min="17" max="17" width="8.88671875" style="136"/>
    <col min="18" max="18" width="17" style="136" customWidth="1"/>
    <col min="19" max="16384" width="8.88671875" style="136"/>
  </cols>
  <sheetData>
    <row r="1" spans="2:18">
      <c r="H1" s="137" t="s">
        <v>406</v>
      </c>
    </row>
    <row r="2" spans="2:18">
      <c r="H2" s="137"/>
    </row>
    <row r="3" spans="2:18">
      <c r="B3" s="215" t="s">
        <v>407</v>
      </c>
      <c r="C3" s="215"/>
      <c r="D3" s="215"/>
      <c r="E3" s="215"/>
      <c r="F3" s="215"/>
      <c r="G3" s="215"/>
      <c r="H3" s="215"/>
      <c r="I3" s="215"/>
      <c r="J3" s="215"/>
      <c r="K3" s="215"/>
      <c r="L3" s="215"/>
      <c r="M3" s="215"/>
      <c r="N3" s="215"/>
      <c r="O3" s="215"/>
      <c r="P3" s="215"/>
      <c r="Q3" s="215"/>
      <c r="R3" s="215"/>
    </row>
    <row r="4" spans="2:18">
      <c r="B4" s="215" t="s">
        <v>2</v>
      </c>
      <c r="C4" s="215"/>
      <c r="D4" s="215"/>
      <c r="E4" s="215"/>
      <c r="F4" s="215"/>
      <c r="G4" s="215"/>
      <c r="H4" s="215"/>
      <c r="I4" s="215"/>
      <c r="J4" s="215"/>
      <c r="K4" s="215"/>
      <c r="L4" s="215"/>
      <c r="M4" s="215"/>
      <c r="N4" s="215"/>
      <c r="O4" s="215"/>
      <c r="P4" s="215"/>
      <c r="Q4" s="215"/>
      <c r="R4" s="215"/>
    </row>
    <row r="5" spans="2:18">
      <c r="B5" s="216" t="s">
        <v>408</v>
      </c>
      <c r="C5" s="216"/>
      <c r="D5" s="216"/>
      <c r="E5" s="216"/>
      <c r="F5" s="216"/>
      <c r="G5" s="216"/>
      <c r="H5" s="216"/>
      <c r="I5" s="139">
        <v>2024</v>
      </c>
      <c r="J5" s="140"/>
      <c r="K5" s="140"/>
      <c r="L5" s="140"/>
      <c r="M5" s="140"/>
      <c r="N5" s="140"/>
      <c r="O5" s="140"/>
      <c r="P5" s="140"/>
      <c r="Q5" s="140"/>
      <c r="R5" s="140"/>
    </row>
    <row r="6" spans="2:18">
      <c r="B6" s="140"/>
      <c r="C6" s="140"/>
      <c r="D6" s="140"/>
      <c r="E6" s="140"/>
      <c r="F6" s="140"/>
      <c r="G6" s="140"/>
      <c r="H6" s="140"/>
      <c r="I6" s="140"/>
      <c r="J6" s="140"/>
      <c r="K6" s="140"/>
      <c r="L6" s="107"/>
      <c r="M6" s="138"/>
      <c r="N6" s="138"/>
      <c r="O6" s="138"/>
      <c r="P6" s="140"/>
      <c r="Q6" s="138"/>
      <c r="R6" s="138"/>
    </row>
    <row r="7" spans="2:18">
      <c r="B7" s="138"/>
      <c r="C7" s="138"/>
      <c r="D7" s="138"/>
      <c r="E7" s="138"/>
      <c r="F7" s="138"/>
      <c r="G7" s="141"/>
      <c r="H7" s="141"/>
      <c r="I7" s="141"/>
      <c r="J7" s="141"/>
      <c r="K7" s="138"/>
      <c r="L7" s="108"/>
      <c r="M7" s="141"/>
      <c r="N7" s="141"/>
      <c r="O7" s="141"/>
      <c r="P7" s="141"/>
      <c r="Q7" s="142"/>
      <c r="R7" s="142"/>
    </row>
    <row r="8" spans="2:18">
      <c r="B8" s="138"/>
      <c r="C8" s="143"/>
      <c r="D8" s="143"/>
      <c r="E8" s="143"/>
      <c r="F8" s="143"/>
      <c r="G8" s="144">
        <v>45261</v>
      </c>
      <c r="H8" s="145" t="s">
        <v>499</v>
      </c>
      <c r="I8" s="145" t="s">
        <v>499</v>
      </c>
      <c r="J8" s="144">
        <v>45627</v>
      </c>
      <c r="K8" s="146"/>
      <c r="L8" s="109"/>
      <c r="M8" s="144">
        <f>+G8</f>
        <v>45261</v>
      </c>
      <c r="N8" s="144" t="str">
        <f>+H8</f>
        <v>2024</v>
      </c>
      <c r="O8" s="145" t="str">
        <f>I8</f>
        <v>2024</v>
      </c>
      <c r="P8" s="144">
        <f>J8</f>
        <v>45627</v>
      </c>
      <c r="Q8" s="142"/>
      <c r="R8" s="142"/>
    </row>
    <row r="9" spans="2:18" ht="15.75" thickBot="1">
      <c r="B9" s="147" t="s">
        <v>5</v>
      </c>
      <c r="C9" s="148" t="s">
        <v>22</v>
      </c>
      <c r="D9" s="148" t="s">
        <v>409</v>
      </c>
      <c r="E9" s="148" t="s">
        <v>410</v>
      </c>
      <c r="F9" s="148" t="s">
        <v>411</v>
      </c>
      <c r="G9" s="148" t="s">
        <v>23</v>
      </c>
      <c r="H9" s="148" t="s">
        <v>222</v>
      </c>
      <c r="I9" s="148" t="s">
        <v>223</v>
      </c>
      <c r="J9" s="148" t="s">
        <v>224</v>
      </c>
      <c r="K9" s="217" t="s">
        <v>225</v>
      </c>
      <c r="L9" s="217"/>
      <c r="M9" s="148" t="s">
        <v>412</v>
      </c>
      <c r="N9" s="148" t="s">
        <v>413</v>
      </c>
      <c r="O9" s="148" t="s">
        <v>414</v>
      </c>
      <c r="P9" s="148" t="s">
        <v>415</v>
      </c>
      <c r="Q9" s="148" t="s">
        <v>416</v>
      </c>
      <c r="R9" s="148" t="s">
        <v>417</v>
      </c>
    </row>
    <row r="10" spans="2:18">
      <c r="B10" s="141"/>
      <c r="C10" s="141"/>
      <c r="D10" s="141"/>
      <c r="E10" s="141"/>
      <c r="F10" s="141"/>
      <c r="G10" s="143"/>
      <c r="H10" s="143"/>
      <c r="I10" s="143"/>
      <c r="J10" s="143"/>
      <c r="K10" s="149"/>
      <c r="L10" s="110"/>
      <c r="M10" s="149"/>
      <c r="N10" s="149"/>
      <c r="O10" s="143"/>
      <c r="P10" s="149"/>
      <c r="Q10" s="143"/>
      <c r="R10" s="143"/>
    </row>
    <row r="11" spans="2:18" ht="54" customHeight="1">
      <c r="B11" s="150" t="s">
        <v>418</v>
      </c>
      <c r="C11" s="150" t="s">
        <v>419</v>
      </c>
      <c r="D11" s="150" t="s">
        <v>420</v>
      </c>
      <c r="E11" s="151" t="s">
        <v>25</v>
      </c>
      <c r="F11" s="151" t="s">
        <v>421</v>
      </c>
      <c r="G11" s="151" t="s">
        <v>422</v>
      </c>
      <c r="H11" s="151" t="s">
        <v>423</v>
      </c>
      <c r="I11" s="151" t="s">
        <v>424</v>
      </c>
      <c r="J11" s="151" t="s">
        <v>425</v>
      </c>
      <c r="K11" s="218" t="s">
        <v>426</v>
      </c>
      <c r="L11" s="219"/>
      <c r="M11" s="151" t="s">
        <v>427</v>
      </c>
      <c r="N11" s="151" t="s">
        <v>428</v>
      </c>
      <c r="O11" s="151" t="s">
        <v>429</v>
      </c>
      <c r="P11" s="151" t="s">
        <v>430</v>
      </c>
      <c r="Q11" s="151" t="s">
        <v>431</v>
      </c>
      <c r="R11" s="151" t="s">
        <v>432</v>
      </c>
    </row>
    <row r="12" spans="2:18">
      <c r="B12" s="149"/>
      <c r="C12" s="149"/>
      <c r="D12" s="149"/>
      <c r="E12" s="149"/>
      <c r="F12" s="149"/>
      <c r="G12" s="152"/>
      <c r="H12" s="152"/>
      <c r="I12" s="152"/>
      <c r="J12" s="152"/>
      <c r="K12" s="143"/>
      <c r="L12" s="143"/>
      <c r="M12" s="152"/>
      <c r="N12" s="152"/>
      <c r="O12" s="152"/>
      <c r="P12" s="152"/>
      <c r="Q12" s="152"/>
      <c r="R12" s="152"/>
    </row>
    <row r="13" spans="2:18">
      <c r="B13" s="153">
        <v>1</v>
      </c>
      <c r="C13" s="220" t="s">
        <v>433</v>
      </c>
      <c r="D13" s="221"/>
      <c r="E13" s="221"/>
      <c r="F13" s="221"/>
      <c r="G13" s="221"/>
      <c r="H13" s="221"/>
      <c r="I13" s="221"/>
      <c r="J13" s="221"/>
      <c r="K13" s="221"/>
      <c r="L13" s="221"/>
      <c r="M13" s="221"/>
      <c r="N13" s="221"/>
      <c r="O13" s="221"/>
      <c r="P13" s="221"/>
      <c r="Q13" s="221"/>
      <c r="R13" s="221"/>
    </row>
    <row r="14" spans="2:18">
      <c r="B14" s="153">
        <f>B13+1</f>
        <v>2</v>
      </c>
      <c r="C14" s="154" t="s">
        <v>434</v>
      </c>
      <c r="D14" s="154" t="s">
        <v>435</v>
      </c>
      <c r="E14" s="155" t="s">
        <v>436</v>
      </c>
      <c r="F14" s="155"/>
      <c r="G14" s="111">
        <v>627658.25544303819</v>
      </c>
      <c r="H14" s="111"/>
      <c r="I14" s="111">
        <f>J14-G14</f>
        <v>153163.18405063567</v>
      </c>
      <c r="J14" s="111">
        <v>780821.43949367385</v>
      </c>
      <c r="K14" s="156" t="s">
        <v>437</v>
      </c>
      <c r="L14" s="112">
        <v>0</v>
      </c>
      <c r="M14" s="113">
        <f t="shared" ref="M14:P15" si="0">G14*$L14</f>
        <v>0</v>
      </c>
      <c r="N14" s="113">
        <f t="shared" si="0"/>
        <v>0</v>
      </c>
      <c r="O14" s="113">
        <f t="shared" si="0"/>
        <v>0</v>
      </c>
      <c r="P14" s="113">
        <f t="shared" si="0"/>
        <v>0</v>
      </c>
      <c r="Q14" s="157" t="s">
        <v>438</v>
      </c>
      <c r="R14" s="114" t="s">
        <v>439</v>
      </c>
    </row>
    <row r="15" spans="2:18">
      <c r="B15" s="153">
        <f>B14+1</f>
        <v>3</v>
      </c>
      <c r="C15" s="154" t="s">
        <v>440</v>
      </c>
      <c r="D15" s="158"/>
      <c r="E15" s="154"/>
      <c r="F15" s="154"/>
      <c r="G15" s="115"/>
      <c r="H15" s="115"/>
      <c r="I15" s="115"/>
      <c r="J15" s="115"/>
      <c r="K15" s="116"/>
      <c r="L15" s="117"/>
      <c r="M15" s="118">
        <f t="shared" si="0"/>
        <v>0</v>
      </c>
      <c r="N15" s="118">
        <f t="shared" si="0"/>
        <v>0</v>
      </c>
      <c r="O15" s="118">
        <f t="shared" si="0"/>
        <v>0</v>
      </c>
      <c r="P15" s="118">
        <f t="shared" si="0"/>
        <v>0</v>
      </c>
      <c r="Q15" s="116"/>
      <c r="R15" s="116"/>
    </row>
    <row r="16" spans="2:18">
      <c r="B16" s="153">
        <v>50</v>
      </c>
      <c r="C16" s="159" t="s">
        <v>441</v>
      </c>
      <c r="D16" s="159"/>
      <c r="E16" s="159"/>
      <c r="F16" s="159"/>
      <c r="G16" s="119">
        <f>SUM(G14:G15)</f>
        <v>627658.25544303819</v>
      </c>
      <c r="H16" s="119">
        <f>SUM(H14:H15)</f>
        <v>0</v>
      </c>
      <c r="I16" s="119">
        <f>SUM(I14:I15)</f>
        <v>153163.18405063567</v>
      </c>
      <c r="J16" s="119">
        <f>SUM(J14:J15)</f>
        <v>780821.43949367385</v>
      </c>
      <c r="K16" s="149"/>
      <c r="L16" s="110"/>
      <c r="M16" s="119">
        <f>SUM(M14:M15)</f>
        <v>0</v>
      </c>
      <c r="N16" s="119">
        <f>SUM(N14:N15)</f>
        <v>0</v>
      </c>
      <c r="O16" s="119">
        <f>SUM(O14:O15)</f>
        <v>0</v>
      </c>
      <c r="P16" s="119">
        <f>SUM(P14:P15)</f>
        <v>0</v>
      </c>
      <c r="Q16" s="120"/>
      <c r="R16" s="120"/>
    </row>
    <row r="17" spans="2:18">
      <c r="B17" s="153"/>
      <c r="C17" s="159"/>
      <c r="D17" s="159"/>
      <c r="E17" s="159"/>
      <c r="F17" s="159"/>
      <c r="G17" s="121"/>
      <c r="H17" s="121"/>
      <c r="I17" s="121"/>
      <c r="J17" s="121"/>
      <c r="K17" s="149"/>
      <c r="L17" s="110"/>
      <c r="M17" s="121"/>
      <c r="N17" s="121"/>
      <c r="O17" s="121"/>
      <c r="P17" s="121"/>
      <c r="Q17" s="120"/>
      <c r="R17" s="120"/>
    </row>
    <row r="18" spans="2:18">
      <c r="B18" s="153">
        <v>51</v>
      </c>
      <c r="C18" s="154" t="s">
        <v>442</v>
      </c>
      <c r="D18" s="154" t="s">
        <v>435</v>
      </c>
      <c r="E18" s="155">
        <v>283</v>
      </c>
      <c r="F18" s="122"/>
      <c r="G18" s="111">
        <f>-G14*0.21</f>
        <v>-131808.23364303802</v>
      </c>
      <c r="H18" s="111">
        <f>J18-G18</f>
        <v>-32164.268650633487</v>
      </c>
      <c r="I18" s="111">
        <v>0</v>
      </c>
      <c r="J18" s="111">
        <f>-J14*0.21</f>
        <v>-163972.50229367151</v>
      </c>
      <c r="K18" s="156" t="s">
        <v>437</v>
      </c>
      <c r="L18" s="112">
        <v>0</v>
      </c>
      <c r="M18" s="113">
        <f t="shared" ref="M18:P19" si="1">G18*$L18</f>
        <v>0</v>
      </c>
      <c r="N18" s="113">
        <f t="shared" si="1"/>
        <v>0</v>
      </c>
      <c r="O18" s="113">
        <f t="shared" si="1"/>
        <v>0</v>
      </c>
      <c r="P18" s="113">
        <f t="shared" si="1"/>
        <v>0</v>
      </c>
      <c r="Q18" s="157" t="s">
        <v>438</v>
      </c>
      <c r="R18" s="114" t="s">
        <v>439</v>
      </c>
    </row>
    <row r="19" spans="2:18">
      <c r="B19" s="153">
        <v>52</v>
      </c>
      <c r="C19" s="154" t="s">
        <v>440</v>
      </c>
      <c r="D19" s="158"/>
      <c r="E19" s="154"/>
      <c r="F19" s="160"/>
      <c r="G19" s="161"/>
      <c r="H19" s="123"/>
      <c r="I19" s="123"/>
      <c r="J19" s="123"/>
      <c r="K19" s="123"/>
      <c r="L19" s="116"/>
      <c r="M19" s="118">
        <f t="shared" si="1"/>
        <v>0</v>
      </c>
      <c r="N19" s="118">
        <f t="shared" si="1"/>
        <v>0</v>
      </c>
      <c r="O19" s="118">
        <f t="shared" si="1"/>
        <v>0</v>
      </c>
      <c r="P19" s="118">
        <f t="shared" si="1"/>
        <v>0</v>
      </c>
      <c r="Q19" s="116"/>
      <c r="R19" s="116"/>
    </row>
    <row r="20" spans="2:18">
      <c r="B20" s="153">
        <v>150</v>
      </c>
      <c r="C20" s="159" t="s">
        <v>443</v>
      </c>
      <c r="D20" s="159"/>
      <c r="E20" s="159"/>
      <c r="F20" s="159"/>
      <c r="G20" s="121">
        <f>SUM(G18:G19)</f>
        <v>-131808.23364303802</v>
      </c>
      <c r="H20" s="121">
        <f>SUM(H18:H19)</f>
        <v>-32164.268650633487</v>
      </c>
      <c r="I20" s="121">
        <f>SUM(I18:I19)</f>
        <v>0</v>
      </c>
      <c r="J20" s="121">
        <f>SUM(J18:J19)</f>
        <v>-163972.50229367151</v>
      </c>
      <c r="K20" s="149"/>
      <c r="L20" s="110"/>
      <c r="M20" s="121">
        <f>SUM(M18:M19)</f>
        <v>0</v>
      </c>
      <c r="N20" s="121">
        <f>SUM(N18:N19)</f>
        <v>0</v>
      </c>
      <c r="O20" s="121">
        <f>SUM(O18:O19)</f>
        <v>0</v>
      </c>
      <c r="P20" s="121">
        <f>SUM(P18:P19)</f>
        <v>0</v>
      </c>
      <c r="Q20" s="120"/>
      <c r="R20" s="120"/>
    </row>
    <row r="21" spans="2:18">
      <c r="B21" s="153">
        <v>151</v>
      </c>
      <c r="C21" s="159"/>
      <c r="D21" s="159"/>
      <c r="E21" s="159"/>
      <c r="F21" s="159"/>
      <c r="G21" s="121"/>
      <c r="H21" s="121"/>
      <c r="I21" s="121"/>
      <c r="J21" s="121"/>
      <c r="K21" s="149"/>
      <c r="L21" s="110"/>
      <c r="M21" s="121"/>
      <c r="N21" s="121"/>
      <c r="O21" s="121"/>
      <c r="P21" s="121"/>
      <c r="Q21" s="120"/>
      <c r="R21" s="120"/>
    </row>
    <row r="22" spans="2:18">
      <c r="B22" s="153">
        <v>152</v>
      </c>
      <c r="C22" s="159" t="s">
        <v>444</v>
      </c>
      <c r="D22" s="159"/>
      <c r="E22" s="159"/>
      <c r="F22" s="159"/>
      <c r="G22" s="121">
        <f>G16+G20</f>
        <v>495850.02180000016</v>
      </c>
      <c r="H22" s="121">
        <f>H16+H20</f>
        <v>-32164.268650633487</v>
      </c>
      <c r="I22" s="121">
        <f>I16+I20</f>
        <v>153163.18405063567</v>
      </c>
      <c r="J22" s="121">
        <f>J16+J20</f>
        <v>616848.93720000237</v>
      </c>
      <c r="K22" s="149"/>
      <c r="L22" s="110"/>
      <c r="M22" s="121">
        <f>M16+M20</f>
        <v>0</v>
      </c>
      <c r="N22" s="121">
        <f>N16+N20</f>
        <v>0</v>
      </c>
      <c r="O22" s="121">
        <f>O16+O20</f>
        <v>0</v>
      </c>
      <c r="P22" s="121">
        <f>P16+P20</f>
        <v>0</v>
      </c>
      <c r="Q22" s="120"/>
      <c r="R22" s="120"/>
    </row>
    <row r="23" spans="2:18">
      <c r="B23" s="153"/>
      <c r="C23" s="159"/>
      <c r="D23" s="159"/>
      <c r="E23" s="159"/>
      <c r="F23" s="159"/>
      <c r="G23" s="121"/>
      <c r="H23" s="121"/>
      <c r="I23" s="121"/>
      <c r="J23" s="121"/>
      <c r="K23" s="149"/>
      <c r="L23" s="110"/>
      <c r="M23" s="121"/>
      <c r="N23" s="121"/>
      <c r="O23" s="121"/>
      <c r="P23" s="121"/>
      <c r="Q23" s="120"/>
      <c r="R23" s="120"/>
    </row>
    <row r="24" spans="2:18">
      <c r="B24" s="153">
        <v>200</v>
      </c>
      <c r="C24" s="220" t="s">
        <v>445</v>
      </c>
      <c r="D24" s="221"/>
      <c r="E24" s="221"/>
      <c r="F24" s="221"/>
      <c r="G24" s="221"/>
      <c r="H24" s="221"/>
      <c r="I24" s="221"/>
      <c r="J24" s="221"/>
      <c r="K24" s="221"/>
      <c r="L24" s="221"/>
      <c r="M24" s="221"/>
      <c r="N24" s="221"/>
      <c r="O24" s="221"/>
      <c r="P24" s="221"/>
      <c r="Q24" s="221"/>
      <c r="R24" s="221"/>
    </row>
    <row r="25" spans="2:18">
      <c r="B25" s="153">
        <f t="shared" ref="B25:B27" si="2">B24+1</f>
        <v>201</v>
      </c>
      <c r="C25" s="154" t="s">
        <v>446</v>
      </c>
      <c r="D25" s="154" t="s">
        <v>435</v>
      </c>
      <c r="E25" s="155" t="s">
        <v>447</v>
      </c>
      <c r="F25" s="155"/>
      <c r="G25" s="111">
        <v>-75682763.200000003</v>
      </c>
      <c r="H25" s="111">
        <v>2029825.316455696</v>
      </c>
      <c r="I25" s="111">
        <f>J25-H25-G25</f>
        <v>132735.87354432046</v>
      </c>
      <c r="J25" s="111">
        <v>-73520202.00999999</v>
      </c>
      <c r="K25" s="157" t="s">
        <v>448</v>
      </c>
      <c r="L25" s="124">
        <v>0.1464</v>
      </c>
      <c r="M25" s="113">
        <f t="shared" ref="M25:P29" si="3">G25*$L25</f>
        <v>-11079956.532480001</v>
      </c>
      <c r="N25" s="113">
        <f t="shared" si="3"/>
        <v>297166.42632911389</v>
      </c>
      <c r="O25" s="113">
        <f t="shared" si="3"/>
        <v>19432.531886888515</v>
      </c>
      <c r="P25" s="113">
        <f t="shared" si="3"/>
        <v>-10763357.574263999</v>
      </c>
      <c r="Q25" s="157" t="s">
        <v>449</v>
      </c>
      <c r="R25" s="125" t="s">
        <v>450</v>
      </c>
    </row>
    <row r="26" spans="2:18">
      <c r="B26" s="153">
        <f t="shared" si="2"/>
        <v>202</v>
      </c>
      <c r="C26" s="154" t="s">
        <v>451</v>
      </c>
      <c r="D26" s="154" t="s">
        <v>435</v>
      </c>
      <c r="E26" s="155" t="s">
        <v>447</v>
      </c>
      <c r="F26" s="155"/>
      <c r="G26" s="111">
        <v>-10174985.700000001</v>
      </c>
      <c r="H26" s="111">
        <v>684025.31645569613</v>
      </c>
      <c r="I26" s="111">
        <f>J26-H26-G26</f>
        <v>3069.2335443068296</v>
      </c>
      <c r="J26" s="111">
        <v>-9487891.1499999985</v>
      </c>
      <c r="K26" s="157" t="s">
        <v>448</v>
      </c>
      <c r="L26" s="124">
        <v>0.1464</v>
      </c>
      <c r="M26" s="113">
        <f t="shared" si="3"/>
        <v>-1489617.9064800001</v>
      </c>
      <c r="N26" s="113">
        <f t="shared" si="3"/>
        <v>100141.30632911391</v>
      </c>
      <c r="O26" s="113">
        <f t="shared" si="3"/>
        <v>449.33579088651987</v>
      </c>
      <c r="P26" s="113">
        <f t="shared" si="3"/>
        <v>-1389027.2643599999</v>
      </c>
      <c r="Q26" s="125" t="s">
        <v>449</v>
      </c>
      <c r="R26" s="126" t="s">
        <v>450</v>
      </c>
    </row>
    <row r="27" spans="2:18">
      <c r="B27" s="153">
        <f t="shared" si="2"/>
        <v>203</v>
      </c>
      <c r="C27" s="162" t="s">
        <v>452</v>
      </c>
      <c r="D27" s="163" t="s">
        <v>435</v>
      </c>
      <c r="E27" s="164" t="s">
        <v>447</v>
      </c>
      <c r="F27" s="155"/>
      <c r="G27" s="111"/>
      <c r="H27" s="111">
        <f>-G27</f>
        <v>0</v>
      </c>
      <c r="I27" s="111"/>
      <c r="J27" s="111">
        <f t="shared" ref="J27" si="4">SUM(G27:I27)</f>
        <v>0</v>
      </c>
      <c r="K27" s="127" t="s">
        <v>453</v>
      </c>
      <c r="L27" s="124">
        <v>1</v>
      </c>
      <c r="M27" s="115">
        <f t="shared" si="3"/>
        <v>0</v>
      </c>
      <c r="N27" s="115">
        <f t="shared" si="3"/>
        <v>0</v>
      </c>
      <c r="O27" s="115">
        <f t="shared" si="3"/>
        <v>0</v>
      </c>
      <c r="P27" s="115">
        <f t="shared" si="3"/>
        <v>0</v>
      </c>
      <c r="Q27" s="128" t="s">
        <v>449</v>
      </c>
      <c r="R27" s="129" t="s">
        <v>454</v>
      </c>
    </row>
    <row r="28" spans="2:18">
      <c r="B28" s="165">
        <f>B27+1</f>
        <v>204</v>
      </c>
      <c r="C28" s="163" t="s">
        <v>455</v>
      </c>
      <c r="D28" s="166" t="s">
        <v>435</v>
      </c>
      <c r="E28" s="155"/>
      <c r="F28" s="155"/>
      <c r="G28" s="111">
        <v>-202660.52</v>
      </c>
      <c r="H28" s="111"/>
      <c r="I28" s="111">
        <v>-37599</v>
      </c>
      <c r="J28" s="111">
        <v>-240260.28</v>
      </c>
      <c r="K28" s="157" t="s">
        <v>437</v>
      </c>
      <c r="L28" s="124">
        <v>0</v>
      </c>
      <c r="M28" s="115">
        <f t="shared" si="3"/>
        <v>0</v>
      </c>
      <c r="N28" s="115">
        <f t="shared" si="3"/>
        <v>0</v>
      </c>
      <c r="O28" s="115">
        <f t="shared" si="3"/>
        <v>0</v>
      </c>
      <c r="P28" s="115">
        <f t="shared" si="3"/>
        <v>0</v>
      </c>
      <c r="Q28" s="128" t="s">
        <v>438</v>
      </c>
      <c r="R28" s="114" t="s">
        <v>439</v>
      </c>
    </row>
    <row r="29" spans="2:18">
      <c r="B29" s="165">
        <f>B28+1</f>
        <v>205</v>
      </c>
      <c r="C29" s="154" t="s">
        <v>440</v>
      </c>
      <c r="D29" s="158"/>
      <c r="E29" s="154"/>
      <c r="F29" s="154"/>
      <c r="G29" s="115"/>
      <c r="H29" s="115"/>
      <c r="I29" s="115"/>
      <c r="J29" s="115"/>
      <c r="K29" s="116"/>
      <c r="L29" s="117"/>
      <c r="M29" s="130">
        <f t="shared" si="3"/>
        <v>0</v>
      </c>
      <c r="N29" s="130">
        <f t="shared" si="3"/>
        <v>0</v>
      </c>
      <c r="O29" s="130">
        <f t="shared" si="3"/>
        <v>0</v>
      </c>
      <c r="P29" s="130">
        <f t="shared" si="3"/>
        <v>0</v>
      </c>
      <c r="Q29" s="116"/>
      <c r="R29" s="116"/>
    </row>
    <row r="30" spans="2:18">
      <c r="B30" s="153">
        <v>299</v>
      </c>
      <c r="C30" s="159" t="s">
        <v>456</v>
      </c>
      <c r="D30" s="159"/>
      <c r="E30" s="159"/>
      <c r="F30" s="159"/>
      <c r="G30" s="119">
        <f>SUM(G25:G29)</f>
        <v>-86060409.420000002</v>
      </c>
      <c r="H30" s="119">
        <f>SUM(H25:H29)</f>
        <v>2713850.632911392</v>
      </c>
      <c r="I30" s="119">
        <f>SUM(I25:I29)</f>
        <v>98206.107088627294</v>
      </c>
      <c r="J30" s="119">
        <f>SUM(J25:J29)</f>
        <v>-83248353.439999998</v>
      </c>
      <c r="K30" s="149"/>
      <c r="L30" s="110"/>
      <c r="M30" s="119">
        <f>SUM(M25:M29)</f>
        <v>-12569574.438960001</v>
      </c>
      <c r="N30" s="119">
        <f>SUM(N25:N29)</f>
        <v>397307.73265822779</v>
      </c>
      <c r="O30" s="119">
        <f>SUM(O25:O29)</f>
        <v>19881.867677775033</v>
      </c>
      <c r="P30" s="119">
        <f>SUM(P25:P29)</f>
        <v>-12152384.838623999</v>
      </c>
      <c r="Q30" s="120"/>
      <c r="R30" s="120"/>
    </row>
    <row r="31" spans="2:18">
      <c r="B31" s="153"/>
      <c r="C31" s="159"/>
      <c r="D31" s="159"/>
      <c r="E31" s="159"/>
      <c r="F31" s="159"/>
      <c r="G31" s="121"/>
      <c r="H31" s="121"/>
      <c r="I31" s="121"/>
      <c r="J31" s="121"/>
      <c r="K31" s="149"/>
      <c r="L31" s="110"/>
      <c r="M31" s="121"/>
      <c r="N31" s="121"/>
      <c r="O31" s="121"/>
      <c r="P31" s="121"/>
      <c r="Q31" s="120"/>
      <c r="R31" s="120"/>
    </row>
    <row r="32" spans="2:18">
      <c r="B32" s="153">
        <v>300</v>
      </c>
      <c r="C32" s="154" t="s">
        <v>457</v>
      </c>
      <c r="D32" s="154" t="s">
        <v>435</v>
      </c>
      <c r="E32" s="155">
        <v>190</v>
      </c>
      <c r="F32" s="155"/>
      <c r="G32" s="111" cm="1">
        <f t="array" ref="G32">-SUM(G25:G26*0.21)</f>
        <v>18030127.269000001</v>
      </c>
      <c r="H32" s="111" cm="1">
        <f t="array" ref="H32">-SUM(H25:H26*0.21)</f>
        <v>-569908.63291139225</v>
      </c>
      <c r="I32" s="111" cm="1">
        <f t="array" ref="I32">-SUM(I25:I26*0.21)</f>
        <v>-28519.072488611731</v>
      </c>
      <c r="J32" s="111">
        <f t="shared" ref="J32:J34" si="5">SUM(G32:I32)</f>
        <v>17431699.563599996</v>
      </c>
      <c r="K32" s="157" t="s">
        <v>448</v>
      </c>
      <c r="L32" s="124">
        <v>0.1464</v>
      </c>
      <c r="M32" s="113">
        <f t="shared" ref="M32:P35" si="6">G32*$L32</f>
        <v>2639610.6321816002</v>
      </c>
      <c r="N32" s="113">
        <f t="shared" si="6"/>
        <v>-83434.623858227831</v>
      </c>
      <c r="O32" s="113">
        <f t="shared" si="6"/>
        <v>-4175.1922123327577</v>
      </c>
      <c r="P32" s="113">
        <f t="shared" si="6"/>
        <v>2552000.8161110394</v>
      </c>
      <c r="Q32" s="157" t="s">
        <v>449</v>
      </c>
      <c r="R32" s="125" t="s">
        <v>450</v>
      </c>
    </row>
    <row r="33" spans="2:18">
      <c r="B33" s="153">
        <f>B32+1</f>
        <v>301</v>
      </c>
      <c r="C33" s="163" t="s">
        <v>458</v>
      </c>
      <c r="D33" s="154" t="s">
        <v>435</v>
      </c>
      <c r="E33" s="155">
        <v>190</v>
      </c>
      <c r="F33" s="155"/>
      <c r="G33" s="111">
        <f t="shared" ref="G33:I34" si="7">-G27*0.21</f>
        <v>0</v>
      </c>
      <c r="H33" s="111">
        <f t="shared" si="7"/>
        <v>0</v>
      </c>
      <c r="I33" s="111">
        <f t="shared" si="7"/>
        <v>0</v>
      </c>
      <c r="J33" s="111">
        <f t="shared" si="5"/>
        <v>0</v>
      </c>
      <c r="K33" s="127" t="s">
        <v>459</v>
      </c>
      <c r="L33" s="124">
        <v>1</v>
      </c>
      <c r="M33" s="115">
        <f t="shared" si="6"/>
        <v>0</v>
      </c>
      <c r="N33" s="115">
        <f t="shared" si="6"/>
        <v>0</v>
      </c>
      <c r="O33" s="115">
        <f t="shared" si="6"/>
        <v>0</v>
      </c>
      <c r="P33" s="115">
        <f t="shared" si="6"/>
        <v>0</v>
      </c>
      <c r="Q33" s="128" t="s">
        <v>449</v>
      </c>
      <c r="R33" s="129" t="s">
        <v>454</v>
      </c>
    </row>
    <row r="34" spans="2:18">
      <c r="B34" s="165">
        <f>B33+1</f>
        <v>302</v>
      </c>
      <c r="C34" s="163" t="s">
        <v>460</v>
      </c>
      <c r="D34" s="163" t="s">
        <v>435</v>
      </c>
      <c r="E34" s="164">
        <v>190</v>
      </c>
      <c r="F34" s="155"/>
      <c r="G34" s="111">
        <f t="shared" si="7"/>
        <v>42558.709199999998</v>
      </c>
      <c r="H34" s="111">
        <f t="shared" si="7"/>
        <v>0</v>
      </c>
      <c r="I34" s="111">
        <f t="shared" si="7"/>
        <v>7895.79</v>
      </c>
      <c r="J34" s="111">
        <f t="shared" si="5"/>
        <v>50454.499199999998</v>
      </c>
      <c r="K34" s="157" t="s">
        <v>437</v>
      </c>
      <c r="L34" s="124">
        <v>0</v>
      </c>
      <c r="M34" s="115">
        <f t="shared" si="6"/>
        <v>0</v>
      </c>
      <c r="N34" s="115">
        <f t="shared" si="6"/>
        <v>0</v>
      </c>
      <c r="O34" s="115">
        <f t="shared" si="6"/>
        <v>0</v>
      </c>
      <c r="P34" s="115">
        <f t="shared" si="6"/>
        <v>0</v>
      </c>
      <c r="Q34" s="128" t="s">
        <v>438</v>
      </c>
      <c r="R34" s="114" t="s">
        <v>439</v>
      </c>
    </row>
    <row r="35" spans="2:18">
      <c r="B35" s="165">
        <f>B34+1</f>
        <v>303</v>
      </c>
      <c r="C35" s="154" t="s">
        <v>440</v>
      </c>
      <c r="D35" s="154"/>
      <c r="E35" s="154"/>
      <c r="F35" s="160"/>
      <c r="G35" s="161"/>
      <c r="H35" s="123"/>
      <c r="I35" s="123"/>
      <c r="J35" s="123"/>
      <c r="K35" s="123"/>
      <c r="L35" s="116"/>
      <c r="M35" s="118">
        <f t="shared" si="6"/>
        <v>0</v>
      </c>
      <c r="N35" s="118">
        <f t="shared" si="6"/>
        <v>0</v>
      </c>
      <c r="O35" s="118">
        <f t="shared" si="6"/>
        <v>0</v>
      </c>
      <c r="P35" s="118">
        <f t="shared" si="6"/>
        <v>0</v>
      </c>
      <c r="Q35" s="116"/>
      <c r="R35" s="116"/>
    </row>
    <row r="36" spans="2:18">
      <c r="B36" s="153">
        <v>350</v>
      </c>
      <c r="C36" s="159" t="s">
        <v>461</v>
      </c>
      <c r="D36" s="159"/>
      <c r="G36" s="121">
        <f>SUM(G32:G35)</f>
        <v>18072685.9782</v>
      </c>
      <c r="H36" s="121">
        <f>SUM(H32:H35)</f>
        <v>-569908.63291139225</v>
      </c>
      <c r="I36" s="121">
        <f>SUM(I32:I35)</f>
        <v>-20623.282488611731</v>
      </c>
      <c r="J36" s="121">
        <f>SUM(J32:J35)</f>
        <v>17482154.062799998</v>
      </c>
      <c r="K36" s="149"/>
      <c r="L36" s="110"/>
      <c r="M36" s="121">
        <f>SUM(M32:M35)</f>
        <v>2639610.6321816002</v>
      </c>
      <c r="N36" s="121">
        <f>SUM(N32:N35)</f>
        <v>-83434.623858227831</v>
      </c>
      <c r="O36" s="121">
        <f>SUM(O32:O35)</f>
        <v>-4175.1922123327577</v>
      </c>
      <c r="P36" s="121">
        <f>SUM(P32:P35)</f>
        <v>2552000.8161110394</v>
      </c>
      <c r="Q36" s="120"/>
      <c r="R36" s="120"/>
    </row>
    <row r="37" spans="2:18">
      <c r="B37" s="153">
        <f>B36+1</f>
        <v>351</v>
      </c>
      <c r="C37" s="159"/>
      <c r="D37" s="159"/>
      <c r="G37" s="121"/>
      <c r="H37" s="121"/>
      <c r="I37" s="121"/>
      <c r="J37" s="121"/>
      <c r="K37" s="149"/>
      <c r="L37" s="110"/>
      <c r="M37" s="121"/>
      <c r="N37" s="121"/>
      <c r="O37" s="121"/>
      <c r="P37" s="121"/>
      <c r="Q37" s="120"/>
      <c r="R37" s="120"/>
    </row>
    <row r="38" spans="2:18">
      <c r="B38" s="153">
        <f>B37+1</f>
        <v>352</v>
      </c>
      <c r="C38" s="159" t="s">
        <v>462</v>
      </c>
      <c r="D38" s="159"/>
      <c r="E38" s="159"/>
      <c r="F38" s="159"/>
      <c r="G38" s="121">
        <f>G30+G36</f>
        <v>-67987723.441799998</v>
      </c>
      <c r="H38" s="121">
        <f>H30+H36</f>
        <v>2143942</v>
      </c>
      <c r="I38" s="121">
        <f>I30+I36</f>
        <v>77582.824600015563</v>
      </c>
      <c r="J38" s="121">
        <f>J30+J36</f>
        <v>-65766199.3772</v>
      </c>
      <c r="K38" s="149"/>
      <c r="L38" s="110"/>
      <c r="M38" s="121">
        <f>M30+M36</f>
        <v>-9929963.8067784011</v>
      </c>
      <c r="N38" s="121">
        <f>N30+N36</f>
        <v>313873.10879999993</v>
      </c>
      <c r="O38" s="121">
        <f>O30+O36</f>
        <v>15706.675465442277</v>
      </c>
      <c r="P38" s="121">
        <f>P30+P36</f>
        <v>-9600384.0225129593</v>
      </c>
      <c r="Q38" s="120"/>
      <c r="R38" s="120"/>
    </row>
    <row r="39" spans="2:18">
      <c r="B39" s="153"/>
      <c r="C39" s="159"/>
      <c r="D39" s="159"/>
      <c r="E39" s="159"/>
      <c r="F39" s="159"/>
      <c r="G39" s="121"/>
      <c r="H39" s="121"/>
      <c r="I39" s="121"/>
      <c r="J39" s="121"/>
      <c r="K39" s="149"/>
      <c r="L39" s="110"/>
      <c r="M39" s="121"/>
      <c r="N39" s="121"/>
      <c r="O39" s="121"/>
      <c r="P39" s="121"/>
      <c r="Q39" s="120"/>
      <c r="R39" s="120"/>
    </row>
    <row r="40" spans="2:18">
      <c r="B40" s="153">
        <v>353</v>
      </c>
      <c r="C40" s="220" t="s">
        <v>463</v>
      </c>
      <c r="D40" s="221"/>
      <c r="E40" s="221"/>
      <c r="F40" s="221"/>
      <c r="G40" s="221"/>
      <c r="H40" s="221"/>
      <c r="I40" s="221"/>
      <c r="J40" s="221"/>
      <c r="K40" s="221"/>
      <c r="L40" s="221"/>
      <c r="M40" s="221"/>
      <c r="N40" s="221"/>
      <c r="O40" s="221"/>
      <c r="P40" s="221"/>
      <c r="Q40" s="221"/>
      <c r="R40" s="221"/>
    </row>
    <row r="41" spans="2:18">
      <c r="B41" s="153">
        <f t="shared" ref="B41:B46" si="8">B40+1</f>
        <v>354</v>
      </c>
      <c r="C41" s="159"/>
      <c r="D41" s="159"/>
      <c r="E41" s="154"/>
      <c r="F41" s="159"/>
      <c r="G41" s="121"/>
      <c r="H41" s="121"/>
      <c r="I41" s="121"/>
      <c r="J41" s="121"/>
      <c r="K41" s="149"/>
      <c r="L41" s="110"/>
      <c r="M41" s="121"/>
      <c r="N41" s="121"/>
      <c r="O41" s="121"/>
      <c r="P41" s="121"/>
      <c r="Q41" s="120"/>
      <c r="R41" s="120"/>
    </row>
    <row r="42" spans="2:18">
      <c r="B42" s="153">
        <f t="shared" si="8"/>
        <v>355</v>
      </c>
      <c r="C42" s="167" t="s">
        <v>464</v>
      </c>
      <c r="D42" s="159"/>
      <c r="E42" s="159"/>
      <c r="F42" s="159"/>
      <c r="G42" s="121">
        <f>+G16+G30</f>
        <v>-85432751.164556965</v>
      </c>
      <c r="H42" s="121">
        <f>+H16+H30</f>
        <v>2713850.632911392</v>
      </c>
      <c r="I42" s="121">
        <f>+I16+I30</f>
        <v>251369.29113926296</v>
      </c>
      <c r="J42" s="121">
        <f>+J16+J30</f>
        <v>-82467532.000506327</v>
      </c>
      <c r="K42" s="131"/>
      <c r="L42" s="121"/>
      <c r="M42" s="121">
        <f>+M16+M30</f>
        <v>-12569574.438960001</v>
      </c>
      <c r="N42" s="121">
        <f>+N16+N30</f>
        <v>397307.73265822779</v>
      </c>
      <c r="O42" s="121">
        <f>+O16+O30</f>
        <v>19881.867677775033</v>
      </c>
      <c r="P42" s="121">
        <f>+P16+P30</f>
        <v>-12152384.838623999</v>
      </c>
      <c r="Q42" s="120"/>
      <c r="R42" s="120"/>
    </row>
    <row r="43" spans="2:18">
      <c r="B43" s="153">
        <f t="shared" si="8"/>
        <v>356</v>
      </c>
      <c r="C43" s="159" t="s">
        <v>465</v>
      </c>
      <c r="D43" s="159"/>
      <c r="E43" s="159"/>
      <c r="F43" s="159"/>
      <c r="G43" s="132">
        <f>G20+G36</f>
        <v>17940877.744556963</v>
      </c>
      <c r="H43" s="132">
        <f>H20+H36</f>
        <v>-602072.90156202577</v>
      </c>
      <c r="I43" s="132">
        <f>I20+I36</f>
        <v>-20623.282488611731</v>
      </c>
      <c r="J43" s="132">
        <f>J20+J36</f>
        <v>17318181.560506325</v>
      </c>
      <c r="K43" s="133"/>
      <c r="L43" s="132"/>
      <c r="M43" s="132">
        <f>M20+M36</f>
        <v>2639610.6321816002</v>
      </c>
      <c r="N43" s="132">
        <f>N20+N36</f>
        <v>-83434.623858227831</v>
      </c>
      <c r="O43" s="132">
        <f>O20+O36</f>
        <v>-4175.1922123327577</v>
      </c>
      <c r="P43" s="132">
        <f>P20+P36</f>
        <v>2552000.8161110394</v>
      </c>
      <c r="Q43" s="120"/>
      <c r="R43" s="120"/>
    </row>
    <row r="44" spans="2:18">
      <c r="B44" s="153">
        <f t="shared" si="8"/>
        <v>357</v>
      </c>
      <c r="C44" s="159" t="s">
        <v>466</v>
      </c>
      <c r="D44" s="159"/>
      <c r="E44" s="159"/>
      <c r="F44" s="159"/>
      <c r="G44" s="121">
        <f>SUM(G42:G43)</f>
        <v>-67491873.420000002</v>
      </c>
      <c r="H44" s="121">
        <f>SUM(H42:H43)</f>
        <v>2111777.7313493663</v>
      </c>
      <c r="I44" s="121">
        <f>SUM(I42:I43)</f>
        <v>230746.00865065123</v>
      </c>
      <c r="J44" s="121">
        <f>SUM(J42:J43)</f>
        <v>-65149350.439999998</v>
      </c>
      <c r="K44" s="131"/>
      <c r="L44" s="121"/>
      <c r="M44" s="121">
        <f>SUM(M42:M43)</f>
        <v>-9929963.8067784011</v>
      </c>
      <c r="N44" s="121">
        <f>SUM(N42:N43)</f>
        <v>313873.10879999993</v>
      </c>
      <c r="O44" s="121">
        <f>SUM(O42:O43)</f>
        <v>15706.675465442277</v>
      </c>
      <c r="P44" s="121">
        <f>SUM(P42:P43)</f>
        <v>-9600384.0225129593</v>
      </c>
      <c r="Q44" s="120"/>
      <c r="R44" s="120"/>
    </row>
    <row r="45" spans="2:18">
      <c r="B45" s="153">
        <f t="shared" si="8"/>
        <v>358</v>
      </c>
      <c r="C45" s="159" t="s">
        <v>467</v>
      </c>
      <c r="D45" s="159"/>
      <c r="E45" s="159"/>
      <c r="F45" s="159"/>
      <c r="G45" s="121"/>
      <c r="H45" s="121"/>
      <c r="I45" s="121"/>
      <c r="J45" s="121">
        <f>(J42+G42)/2</f>
        <v>-83950141.582531646</v>
      </c>
      <c r="K45" s="131"/>
      <c r="L45" s="121"/>
      <c r="M45" s="121"/>
      <c r="N45" s="121"/>
      <c r="O45" s="121"/>
      <c r="P45" s="121">
        <f>(P42+M42)/2</f>
        <v>-12360979.638792001</v>
      </c>
      <c r="R45" s="120"/>
    </row>
    <row r="46" spans="2:18" ht="15.75">
      <c r="B46" s="153">
        <f t="shared" si="8"/>
        <v>359</v>
      </c>
      <c r="C46" s="159" t="s">
        <v>468</v>
      </c>
      <c r="D46" s="159"/>
      <c r="E46" s="159"/>
      <c r="F46" s="159"/>
      <c r="G46" s="134"/>
      <c r="H46" s="134"/>
      <c r="I46" s="134"/>
      <c r="J46" s="168"/>
      <c r="K46" s="131"/>
      <c r="L46" s="121"/>
      <c r="M46" s="121"/>
      <c r="N46" s="121"/>
      <c r="O46" s="121"/>
      <c r="P46" s="135">
        <f>P44/J44</f>
        <v>0.14735962765054023</v>
      </c>
      <c r="Q46" s="169"/>
      <c r="R46" s="120"/>
    </row>
    <row r="47" spans="2:18" ht="15.75">
      <c r="B47" s="153"/>
      <c r="C47" s="159"/>
      <c r="D47" s="159"/>
      <c r="E47" s="159"/>
      <c r="F47" s="159"/>
      <c r="G47"/>
      <c r="H47"/>
      <c r="I47"/>
      <c r="J47"/>
      <c r="K47" s="131"/>
      <c r="L47" s="121"/>
      <c r="M47" s="121"/>
      <c r="N47" s="121"/>
      <c r="O47" s="121"/>
      <c r="Q47" s="120"/>
      <c r="R47" s="120"/>
    </row>
    <row r="48" spans="2:18">
      <c r="B48" s="170" t="s">
        <v>52</v>
      </c>
    </row>
    <row r="49" spans="2:18" ht="91.5" customHeight="1">
      <c r="B49" s="171" t="s">
        <v>469</v>
      </c>
      <c r="C49" s="214" t="s">
        <v>470</v>
      </c>
      <c r="D49" s="214"/>
      <c r="E49" s="214"/>
      <c r="F49" s="214"/>
      <c r="G49" s="214"/>
      <c r="H49" s="214"/>
      <c r="I49" s="214"/>
      <c r="J49" s="214"/>
      <c r="K49" s="214"/>
      <c r="L49" s="214"/>
      <c r="M49" s="214"/>
      <c r="N49" s="214"/>
      <c r="O49" s="214"/>
      <c r="P49" s="214"/>
      <c r="Q49" s="172"/>
      <c r="R49" s="172"/>
    </row>
    <row r="50" spans="2:18" ht="21" customHeight="1">
      <c r="B50" s="171" t="s">
        <v>471</v>
      </c>
      <c r="C50" s="214" t="s">
        <v>472</v>
      </c>
      <c r="D50" s="214"/>
      <c r="E50" s="214"/>
      <c r="F50" s="214"/>
      <c r="G50" s="214"/>
      <c r="H50" s="214"/>
      <c r="I50" s="214"/>
      <c r="J50" s="214"/>
      <c r="K50" s="214"/>
      <c r="L50" s="214"/>
      <c r="M50" s="214"/>
      <c r="N50" s="214"/>
      <c r="O50" s="214"/>
      <c r="P50" s="214"/>
      <c r="Q50" s="172"/>
      <c r="R50" s="172"/>
    </row>
    <row r="51" spans="2:18" ht="22.35" customHeight="1">
      <c r="B51" s="171" t="s">
        <v>473</v>
      </c>
      <c r="C51" s="214" t="s">
        <v>474</v>
      </c>
      <c r="D51" s="214"/>
      <c r="E51" s="214"/>
      <c r="F51" s="214"/>
      <c r="G51" s="214"/>
      <c r="H51" s="214"/>
      <c r="I51" s="214"/>
      <c r="J51" s="214"/>
      <c r="K51" s="214"/>
      <c r="L51" s="214"/>
      <c r="M51" s="214"/>
      <c r="N51" s="214"/>
      <c r="O51" s="214"/>
      <c r="P51" s="214"/>
      <c r="Q51" s="173"/>
      <c r="R51" s="173"/>
    </row>
    <row r="52" spans="2:18" ht="36.6" customHeight="1">
      <c r="B52" s="171" t="s">
        <v>475</v>
      </c>
      <c r="C52" s="214" t="s">
        <v>476</v>
      </c>
      <c r="D52" s="214"/>
      <c r="E52" s="214"/>
      <c r="F52" s="214"/>
      <c r="G52" s="214"/>
      <c r="H52" s="214"/>
      <c r="I52" s="214"/>
      <c r="J52" s="214"/>
      <c r="K52" s="214"/>
      <c r="L52" s="214"/>
      <c r="M52" s="214"/>
      <c r="N52" s="214"/>
      <c r="O52" s="214"/>
      <c r="P52" s="214"/>
      <c r="Q52" s="173"/>
      <c r="R52" s="173"/>
    </row>
    <row r="53" spans="2:18" ht="21" customHeight="1">
      <c r="B53" s="171" t="s">
        <v>477</v>
      </c>
      <c r="C53" s="214" t="s">
        <v>478</v>
      </c>
      <c r="D53" s="214"/>
      <c r="E53" s="214"/>
      <c r="F53" s="214"/>
      <c r="G53" s="214"/>
      <c r="H53" s="214"/>
      <c r="I53" s="214"/>
      <c r="J53" s="214"/>
      <c r="K53" s="214"/>
      <c r="L53" s="214"/>
      <c r="M53" s="214"/>
      <c r="N53" s="214"/>
      <c r="O53" s="214"/>
      <c r="P53" s="214"/>
    </row>
    <row r="54" spans="2:18" ht="34.15" customHeight="1">
      <c r="B54" s="171" t="s">
        <v>479</v>
      </c>
      <c r="C54" s="214" t="s">
        <v>480</v>
      </c>
      <c r="D54" s="214"/>
      <c r="E54" s="214"/>
      <c r="F54" s="214"/>
      <c r="G54" s="214"/>
      <c r="H54" s="214"/>
      <c r="I54" s="214"/>
      <c r="J54" s="214"/>
      <c r="K54" s="214"/>
      <c r="L54" s="214"/>
      <c r="M54" s="214"/>
      <c r="N54" s="214"/>
      <c r="O54" s="214"/>
      <c r="P54" s="214"/>
    </row>
    <row r="55" spans="2:18" ht="54.95" customHeight="1">
      <c r="B55" s="171" t="s">
        <v>481</v>
      </c>
      <c r="C55" s="222" t="s">
        <v>482</v>
      </c>
      <c r="D55" s="214"/>
      <c r="E55" s="214"/>
      <c r="F55" s="214"/>
      <c r="G55" s="214"/>
      <c r="H55" s="214"/>
      <c r="I55" s="214"/>
      <c r="J55" s="214"/>
      <c r="K55" s="214"/>
      <c r="L55" s="214"/>
      <c r="M55" s="214"/>
      <c r="N55" s="214"/>
      <c r="O55" s="214"/>
      <c r="P55" s="214"/>
    </row>
    <row r="56" spans="2:18" ht="32.450000000000003" customHeight="1">
      <c r="B56" s="171" t="s">
        <v>483</v>
      </c>
      <c r="C56" s="214" t="s">
        <v>484</v>
      </c>
      <c r="D56" s="214"/>
      <c r="E56" s="214"/>
      <c r="F56" s="214"/>
      <c r="G56" s="214"/>
      <c r="H56" s="214"/>
      <c r="I56" s="214"/>
      <c r="J56" s="214"/>
      <c r="K56" s="214"/>
      <c r="L56" s="214"/>
      <c r="M56" s="214"/>
      <c r="N56" s="214"/>
      <c r="O56" s="214"/>
      <c r="P56" s="214"/>
    </row>
    <row r="57" spans="2:18" ht="32.450000000000003" customHeight="1">
      <c r="B57" s="171" t="s">
        <v>485</v>
      </c>
      <c r="C57" s="214" t="s">
        <v>486</v>
      </c>
      <c r="D57" s="214"/>
      <c r="E57" s="214"/>
      <c r="F57" s="214"/>
      <c r="G57" s="214"/>
      <c r="H57" s="214"/>
      <c r="I57" s="214"/>
      <c r="J57" s="214"/>
      <c r="K57" s="214"/>
      <c r="L57" s="214"/>
      <c r="M57" s="214"/>
      <c r="N57" s="214"/>
      <c r="O57" s="214"/>
      <c r="P57" s="214"/>
    </row>
    <row r="58" spans="2:18" ht="46.35" customHeight="1">
      <c r="B58" s="171" t="s">
        <v>487</v>
      </c>
      <c r="C58" s="222" t="s">
        <v>488</v>
      </c>
      <c r="D58" s="222"/>
      <c r="E58" s="222"/>
      <c r="F58" s="222"/>
      <c r="G58" s="222"/>
      <c r="H58" s="222"/>
      <c r="I58" s="222"/>
      <c r="J58" s="222"/>
      <c r="K58" s="222"/>
      <c r="L58" s="222"/>
      <c r="M58" s="222"/>
      <c r="N58" s="222"/>
      <c r="O58" s="222"/>
      <c r="P58" s="222"/>
    </row>
    <row r="59" spans="2:18" ht="44.25" customHeight="1">
      <c r="B59" s="171" t="s">
        <v>489</v>
      </c>
      <c r="C59" s="214" t="s">
        <v>490</v>
      </c>
      <c r="D59" s="214"/>
      <c r="E59" s="214"/>
      <c r="F59" s="214"/>
      <c r="G59" s="214"/>
      <c r="H59" s="214"/>
      <c r="I59" s="214"/>
      <c r="J59" s="214"/>
      <c r="K59" s="214"/>
      <c r="L59" s="214"/>
      <c r="M59" s="214"/>
      <c r="N59" s="214"/>
      <c r="O59" s="214"/>
      <c r="P59" s="214"/>
    </row>
    <row r="60" spans="2:18" s="175" customFormat="1" ht="71.45" customHeight="1">
      <c r="B60" s="174" t="s">
        <v>491</v>
      </c>
      <c r="C60" s="222" t="s">
        <v>492</v>
      </c>
      <c r="D60" s="223"/>
      <c r="E60" s="223"/>
      <c r="F60" s="223"/>
      <c r="G60" s="223"/>
      <c r="H60" s="223"/>
      <c r="I60" s="223"/>
      <c r="J60" s="223"/>
      <c r="K60" s="223"/>
      <c r="L60" s="223"/>
      <c r="M60" s="223"/>
      <c r="N60" s="223"/>
      <c r="O60" s="223"/>
      <c r="P60" s="223"/>
    </row>
    <row r="61" spans="2:18" ht="27.6" customHeight="1">
      <c r="B61" s="174" t="s">
        <v>493</v>
      </c>
      <c r="C61" s="222" t="s">
        <v>494</v>
      </c>
      <c r="D61" s="223"/>
      <c r="E61" s="223"/>
      <c r="F61" s="223"/>
      <c r="G61" s="223"/>
      <c r="H61" s="223"/>
      <c r="I61" s="223"/>
      <c r="J61" s="223"/>
      <c r="K61" s="223"/>
      <c r="L61" s="223"/>
      <c r="M61" s="223"/>
      <c r="N61" s="223"/>
      <c r="O61" s="223"/>
      <c r="P61" s="223"/>
    </row>
    <row r="62" spans="2:18">
      <c r="B62" s="174" t="s">
        <v>495</v>
      </c>
      <c r="C62" s="222" t="s">
        <v>496</v>
      </c>
      <c r="D62" s="223"/>
      <c r="E62" s="223"/>
      <c r="F62" s="223"/>
      <c r="G62" s="223"/>
      <c r="H62" s="223"/>
      <c r="I62" s="223"/>
      <c r="J62" s="223"/>
      <c r="K62" s="223"/>
      <c r="L62" s="223"/>
      <c r="M62" s="223"/>
      <c r="N62" s="223"/>
      <c r="O62" s="223"/>
      <c r="P62" s="223"/>
    </row>
    <row r="63" spans="2:18">
      <c r="C63" s="176"/>
    </row>
    <row r="64" spans="2:18">
      <c r="C64" s="176"/>
    </row>
  </sheetData>
  <mergeCells count="22">
    <mergeCell ref="C59:P59"/>
    <mergeCell ref="C60:P60"/>
    <mergeCell ref="C61:P61"/>
    <mergeCell ref="C62:P62"/>
    <mergeCell ref="C53:P53"/>
    <mergeCell ref="C54:P54"/>
    <mergeCell ref="C55:P55"/>
    <mergeCell ref="C56:P56"/>
    <mergeCell ref="C57:P57"/>
    <mergeCell ref="C58:P58"/>
    <mergeCell ref="C52:P52"/>
    <mergeCell ref="B3:R3"/>
    <mergeCell ref="B4:R4"/>
    <mergeCell ref="B5:H5"/>
    <mergeCell ref="K9:L9"/>
    <mergeCell ref="K11:L11"/>
    <mergeCell ref="C13:R13"/>
    <mergeCell ref="C24:R24"/>
    <mergeCell ref="C40:R40"/>
    <mergeCell ref="C49:P49"/>
    <mergeCell ref="C50:P50"/>
    <mergeCell ref="C51:P51"/>
  </mergeCells>
  <pageMargins left="0.25" right="0.25" top="0.5" bottom="0.25" header="0.3" footer="0.3"/>
  <pageSetup scale="45" orientation="landscape"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X39"/>
  <sheetViews>
    <sheetView workbookViewId="0">
      <selection activeCell="R9" sqref="R9"/>
    </sheetView>
  </sheetViews>
  <sheetFormatPr defaultRowHeight="15"/>
  <cols>
    <col min="1" max="1" width="3.44140625" bestFit="1" customWidth="1"/>
    <col min="2" max="2" width="3.44140625" customWidth="1"/>
    <col min="3" max="3" width="13.33203125" customWidth="1"/>
    <col min="4" max="4" width="2.77734375" customWidth="1"/>
    <col min="5" max="5" width="15.33203125" customWidth="1"/>
    <col min="6" max="6" width="3" customWidth="1"/>
    <col min="7" max="7" width="11.88671875" bestFit="1" customWidth="1"/>
    <col min="8" max="8" width="3" customWidth="1"/>
    <col min="9" max="9" width="11.88671875" bestFit="1" customWidth="1"/>
    <col min="10" max="10" width="3" customWidth="1"/>
    <col min="11" max="11" width="11.88671875" customWidth="1"/>
    <col min="12" max="12" width="3" customWidth="1"/>
    <col min="13" max="13" width="11.88671875" customWidth="1"/>
    <col min="14" max="14" width="3.109375" customWidth="1"/>
    <col min="15" max="15" width="13.5546875" bestFit="1" customWidth="1"/>
    <col min="16" max="17" width="9.33203125" customWidth="1"/>
    <col min="18" max="18" width="9.6640625" bestFit="1" customWidth="1"/>
    <col min="20" max="20" width="9.21875" bestFit="1" customWidth="1"/>
    <col min="22" max="22" width="10.88671875" bestFit="1" customWidth="1"/>
    <col min="263" max="263" width="3.44140625" bestFit="1" customWidth="1"/>
    <col min="264" max="264" width="3.44140625" customWidth="1"/>
    <col min="265" max="265" width="13.33203125" customWidth="1"/>
    <col min="266" max="266" width="2.77734375" customWidth="1"/>
    <col min="267" max="267" width="15.33203125" customWidth="1"/>
    <col min="268" max="268" width="3" customWidth="1"/>
    <col min="269" max="269" width="11.88671875" bestFit="1" customWidth="1"/>
    <col min="270" max="270" width="3.109375" customWidth="1"/>
    <col min="271" max="271" width="13.5546875" bestFit="1" customWidth="1"/>
    <col min="272" max="273" width="9.33203125" customWidth="1"/>
    <col min="519" max="519" width="3.44140625" bestFit="1" customWidth="1"/>
    <col min="520" max="520" width="3.44140625" customWidth="1"/>
    <col min="521" max="521" width="13.33203125" customWidth="1"/>
    <col min="522" max="522" width="2.77734375" customWidth="1"/>
    <col min="523" max="523" width="15.33203125" customWidth="1"/>
    <col min="524" max="524" width="3" customWidth="1"/>
    <col min="525" max="525" width="11.88671875" bestFit="1" customWidth="1"/>
    <col min="526" max="526" width="3.109375" customWidth="1"/>
    <col min="527" max="527" width="13.5546875" bestFit="1" customWidth="1"/>
    <col min="528" max="529" width="9.33203125" customWidth="1"/>
    <col min="775" max="775" width="3.44140625" bestFit="1" customWidth="1"/>
    <col min="776" max="776" width="3.44140625" customWidth="1"/>
    <col min="777" max="777" width="13.33203125" customWidth="1"/>
    <col min="778" max="778" width="2.77734375" customWidth="1"/>
    <col min="779" max="779" width="15.33203125" customWidth="1"/>
    <col min="780" max="780" width="3" customWidth="1"/>
    <col min="781" max="781" width="11.88671875" bestFit="1" customWidth="1"/>
    <col min="782" max="782" width="3.109375" customWidth="1"/>
    <col min="783" max="783" width="13.5546875" bestFit="1" customWidth="1"/>
    <col min="784" max="785" width="9.33203125" customWidth="1"/>
    <col min="1031" max="1031" width="3.44140625" bestFit="1" customWidth="1"/>
    <col min="1032" max="1032" width="3.44140625" customWidth="1"/>
    <col min="1033" max="1033" width="13.33203125" customWidth="1"/>
    <col min="1034" max="1034" width="2.77734375" customWidth="1"/>
    <col min="1035" max="1035" width="15.33203125" customWidth="1"/>
    <col min="1036" max="1036" width="3" customWidth="1"/>
    <col min="1037" max="1037" width="11.88671875" bestFit="1" customWidth="1"/>
    <col min="1038" max="1038" width="3.109375" customWidth="1"/>
    <col min="1039" max="1039" width="13.5546875" bestFit="1" customWidth="1"/>
    <col min="1040" max="1041" width="9.33203125" customWidth="1"/>
    <col min="1287" max="1287" width="3.44140625" bestFit="1" customWidth="1"/>
    <col min="1288" max="1288" width="3.44140625" customWidth="1"/>
    <col min="1289" max="1289" width="13.33203125" customWidth="1"/>
    <col min="1290" max="1290" width="2.77734375" customWidth="1"/>
    <col min="1291" max="1291" width="15.33203125" customWidth="1"/>
    <col min="1292" max="1292" width="3" customWidth="1"/>
    <col min="1293" max="1293" width="11.88671875" bestFit="1" customWidth="1"/>
    <col min="1294" max="1294" width="3.109375" customWidth="1"/>
    <col min="1295" max="1295" width="13.5546875" bestFit="1" customWidth="1"/>
    <col min="1296" max="1297" width="9.33203125" customWidth="1"/>
    <col min="1543" max="1543" width="3.44140625" bestFit="1" customWidth="1"/>
    <col min="1544" max="1544" width="3.44140625" customWidth="1"/>
    <col min="1545" max="1545" width="13.33203125" customWidth="1"/>
    <col min="1546" max="1546" width="2.77734375" customWidth="1"/>
    <col min="1547" max="1547" width="15.33203125" customWidth="1"/>
    <col min="1548" max="1548" width="3" customWidth="1"/>
    <col min="1549" max="1549" width="11.88671875" bestFit="1" customWidth="1"/>
    <col min="1550" max="1550" width="3.109375" customWidth="1"/>
    <col min="1551" max="1551" width="13.5546875" bestFit="1" customWidth="1"/>
    <col min="1552" max="1553" width="9.33203125" customWidth="1"/>
    <col min="1799" max="1799" width="3.44140625" bestFit="1" customWidth="1"/>
    <col min="1800" max="1800" width="3.44140625" customWidth="1"/>
    <col min="1801" max="1801" width="13.33203125" customWidth="1"/>
    <col min="1802" max="1802" width="2.77734375" customWidth="1"/>
    <col min="1803" max="1803" width="15.33203125" customWidth="1"/>
    <col min="1804" max="1804" width="3" customWidth="1"/>
    <col min="1805" max="1805" width="11.88671875" bestFit="1" customWidth="1"/>
    <col min="1806" max="1806" width="3.109375" customWidth="1"/>
    <col min="1807" max="1807" width="13.5546875" bestFit="1" customWidth="1"/>
    <col min="1808" max="1809" width="9.33203125" customWidth="1"/>
    <col min="2055" max="2055" width="3.44140625" bestFit="1" customWidth="1"/>
    <col min="2056" max="2056" width="3.44140625" customWidth="1"/>
    <col min="2057" max="2057" width="13.33203125" customWidth="1"/>
    <col min="2058" max="2058" width="2.77734375" customWidth="1"/>
    <col min="2059" max="2059" width="15.33203125" customWidth="1"/>
    <col min="2060" max="2060" width="3" customWidth="1"/>
    <col min="2061" max="2061" width="11.88671875" bestFit="1" customWidth="1"/>
    <col min="2062" max="2062" width="3.109375" customWidth="1"/>
    <col min="2063" max="2063" width="13.5546875" bestFit="1" customWidth="1"/>
    <col min="2064" max="2065" width="9.33203125" customWidth="1"/>
    <col min="2311" max="2311" width="3.44140625" bestFit="1" customWidth="1"/>
    <col min="2312" max="2312" width="3.44140625" customWidth="1"/>
    <col min="2313" max="2313" width="13.33203125" customWidth="1"/>
    <col min="2314" max="2314" width="2.77734375" customWidth="1"/>
    <col min="2315" max="2315" width="15.33203125" customWidth="1"/>
    <col min="2316" max="2316" width="3" customWidth="1"/>
    <col min="2317" max="2317" width="11.88671875" bestFit="1" customWidth="1"/>
    <col min="2318" max="2318" width="3.109375" customWidth="1"/>
    <col min="2319" max="2319" width="13.5546875" bestFit="1" customWidth="1"/>
    <col min="2320" max="2321" width="9.33203125" customWidth="1"/>
    <col min="2567" max="2567" width="3.44140625" bestFit="1" customWidth="1"/>
    <col min="2568" max="2568" width="3.44140625" customWidth="1"/>
    <col min="2569" max="2569" width="13.33203125" customWidth="1"/>
    <col min="2570" max="2570" width="2.77734375" customWidth="1"/>
    <col min="2571" max="2571" width="15.33203125" customWidth="1"/>
    <col min="2572" max="2572" width="3" customWidth="1"/>
    <col min="2573" max="2573" width="11.88671875" bestFit="1" customWidth="1"/>
    <col min="2574" max="2574" width="3.109375" customWidth="1"/>
    <col min="2575" max="2575" width="13.5546875" bestFit="1" customWidth="1"/>
    <col min="2576" max="2577" width="9.33203125" customWidth="1"/>
    <col min="2823" max="2823" width="3.44140625" bestFit="1" customWidth="1"/>
    <col min="2824" max="2824" width="3.44140625" customWidth="1"/>
    <col min="2825" max="2825" width="13.33203125" customWidth="1"/>
    <col min="2826" max="2826" width="2.77734375" customWidth="1"/>
    <col min="2827" max="2827" width="15.33203125" customWidth="1"/>
    <col min="2828" max="2828" width="3" customWidth="1"/>
    <col min="2829" max="2829" width="11.88671875" bestFit="1" customWidth="1"/>
    <col min="2830" max="2830" width="3.109375" customWidth="1"/>
    <col min="2831" max="2831" width="13.5546875" bestFit="1" customWidth="1"/>
    <col min="2832" max="2833" width="9.33203125" customWidth="1"/>
    <col min="3079" max="3079" width="3.44140625" bestFit="1" customWidth="1"/>
    <col min="3080" max="3080" width="3.44140625" customWidth="1"/>
    <col min="3081" max="3081" width="13.33203125" customWidth="1"/>
    <col min="3082" max="3082" width="2.77734375" customWidth="1"/>
    <col min="3083" max="3083" width="15.33203125" customWidth="1"/>
    <col min="3084" max="3084" width="3" customWidth="1"/>
    <col min="3085" max="3085" width="11.88671875" bestFit="1" customWidth="1"/>
    <col min="3086" max="3086" width="3.109375" customWidth="1"/>
    <col min="3087" max="3087" width="13.5546875" bestFit="1" customWidth="1"/>
    <col min="3088" max="3089" width="9.33203125" customWidth="1"/>
    <col min="3335" max="3335" width="3.44140625" bestFit="1" customWidth="1"/>
    <col min="3336" max="3336" width="3.44140625" customWidth="1"/>
    <col min="3337" max="3337" width="13.33203125" customWidth="1"/>
    <col min="3338" max="3338" width="2.77734375" customWidth="1"/>
    <col min="3339" max="3339" width="15.33203125" customWidth="1"/>
    <col min="3340" max="3340" width="3" customWidth="1"/>
    <col min="3341" max="3341" width="11.88671875" bestFit="1" customWidth="1"/>
    <col min="3342" max="3342" width="3.109375" customWidth="1"/>
    <col min="3343" max="3343" width="13.5546875" bestFit="1" customWidth="1"/>
    <col min="3344" max="3345" width="9.33203125" customWidth="1"/>
    <col min="3591" max="3591" width="3.44140625" bestFit="1" customWidth="1"/>
    <col min="3592" max="3592" width="3.44140625" customWidth="1"/>
    <col min="3593" max="3593" width="13.33203125" customWidth="1"/>
    <col min="3594" max="3594" width="2.77734375" customWidth="1"/>
    <col min="3595" max="3595" width="15.33203125" customWidth="1"/>
    <col min="3596" max="3596" width="3" customWidth="1"/>
    <col min="3597" max="3597" width="11.88671875" bestFit="1" customWidth="1"/>
    <col min="3598" max="3598" width="3.109375" customWidth="1"/>
    <col min="3599" max="3599" width="13.5546875" bestFit="1" customWidth="1"/>
    <col min="3600" max="3601" width="9.33203125" customWidth="1"/>
    <col min="3847" max="3847" width="3.44140625" bestFit="1" customWidth="1"/>
    <col min="3848" max="3848" width="3.44140625" customWidth="1"/>
    <col min="3849" max="3849" width="13.33203125" customWidth="1"/>
    <col min="3850" max="3850" width="2.77734375" customWidth="1"/>
    <col min="3851" max="3851" width="15.33203125" customWidth="1"/>
    <col min="3852" max="3852" width="3" customWidth="1"/>
    <col min="3853" max="3853" width="11.88671875" bestFit="1" customWidth="1"/>
    <col min="3854" max="3854" width="3.109375" customWidth="1"/>
    <col min="3855" max="3855" width="13.5546875" bestFit="1" customWidth="1"/>
    <col min="3856" max="3857" width="9.33203125" customWidth="1"/>
    <col min="4103" max="4103" width="3.44140625" bestFit="1" customWidth="1"/>
    <col min="4104" max="4104" width="3.44140625" customWidth="1"/>
    <col min="4105" max="4105" width="13.33203125" customWidth="1"/>
    <col min="4106" max="4106" width="2.77734375" customWidth="1"/>
    <col min="4107" max="4107" width="15.33203125" customWidth="1"/>
    <col min="4108" max="4108" width="3" customWidth="1"/>
    <col min="4109" max="4109" width="11.88671875" bestFit="1" customWidth="1"/>
    <col min="4110" max="4110" width="3.109375" customWidth="1"/>
    <col min="4111" max="4111" width="13.5546875" bestFit="1" customWidth="1"/>
    <col min="4112" max="4113" width="9.33203125" customWidth="1"/>
    <col min="4359" max="4359" width="3.44140625" bestFit="1" customWidth="1"/>
    <col min="4360" max="4360" width="3.44140625" customWidth="1"/>
    <col min="4361" max="4361" width="13.33203125" customWidth="1"/>
    <col min="4362" max="4362" width="2.77734375" customWidth="1"/>
    <col min="4363" max="4363" width="15.33203125" customWidth="1"/>
    <col min="4364" max="4364" width="3" customWidth="1"/>
    <col min="4365" max="4365" width="11.88671875" bestFit="1" customWidth="1"/>
    <col min="4366" max="4366" width="3.109375" customWidth="1"/>
    <col min="4367" max="4367" width="13.5546875" bestFit="1" customWidth="1"/>
    <col min="4368" max="4369" width="9.33203125" customWidth="1"/>
    <col min="4615" max="4615" width="3.44140625" bestFit="1" customWidth="1"/>
    <col min="4616" max="4616" width="3.44140625" customWidth="1"/>
    <col min="4617" max="4617" width="13.33203125" customWidth="1"/>
    <col min="4618" max="4618" width="2.77734375" customWidth="1"/>
    <col min="4619" max="4619" width="15.33203125" customWidth="1"/>
    <col min="4620" max="4620" width="3" customWidth="1"/>
    <col min="4621" max="4621" width="11.88671875" bestFit="1" customWidth="1"/>
    <col min="4622" max="4622" width="3.109375" customWidth="1"/>
    <col min="4623" max="4623" width="13.5546875" bestFit="1" customWidth="1"/>
    <col min="4624" max="4625" width="9.33203125" customWidth="1"/>
    <col min="4871" max="4871" width="3.44140625" bestFit="1" customWidth="1"/>
    <col min="4872" max="4872" width="3.44140625" customWidth="1"/>
    <col min="4873" max="4873" width="13.33203125" customWidth="1"/>
    <col min="4874" max="4874" width="2.77734375" customWidth="1"/>
    <col min="4875" max="4875" width="15.33203125" customWidth="1"/>
    <col min="4876" max="4876" width="3" customWidth="1"/>
    <col min="4877" max="4877" width="11.88671875" bestFit="1" customWidth="1"/>
    <col min="4878" max="4878" width="3.109375" customWidth="1"/>
    <col min="4879" max="4879" width="13.5546875" bestFit="1" customWidth="1"/>
    <col min="4880" max="4881" width="9.33203125" customWidth="1"/>
    <col min="5127" max="5127" width="3.44140625" bestFit="1" customWidth="1"/>
    <col min="5128" max="5128" width="3.44140625" customWidth="1"/>
    <col min="5129" max="5129" width="13.33203125" customWidth="1"/>
    <col min="5130" max="5130" width="2.77734375" customWidth="1"/>
    <col min="5131" max="5131" width="15.33203125" customWidth="1"/>
    <col min="5132" max="5132" width="3" customWidth="1"/>
    <col min="5133" max="5133" width="11.88671875" bestFit="1" customWidth="1"/>
    <col min="5134" max="5134" width="3.109375" customWidth="1"/>
    <col min="5135" max="5135" width="13.5546875" bestFit="1" customWidth="1"/>
    <col min="5136" max="5137" width="9.33203125" customWidth="1"/>
    <col min="5383" max="5383" width="3.44140625" bestFit="1" customWidth="1"/>
    <col min="5384" max="5384" width="3.44140625" customWidth="1"/>
    <col min="5385" max="5385" width="13.33203125" customWidth="1"/>
    <col min="5386" max="5386" width="2.77734375" customWidth="1"/>
    <col min="5387" max="5387" width="15.33203125" customWidth="1"/>
    <col min="5388" max="5388" width="3" customWidth="1"/>
    <col min="5389" max="5389" width="11.88671875" bestFit="1" customWidth="1"/>
    <col min="5390" max="5390" width="3.109375" customWidth="1"/>
    <col min="5391" max="5391" width="13.5546875" bestFit="1" customWidth="1"/>
    <col min="5392" max="5393" width="9.33203125" customWidth="1"/>
    <col min="5639" max="5639" width="3.44140625" bestFit="1" customWidth="1"/>
    <col min="5640" max="5640" width="3.44140625" customWidth="1"/>
    <col min="5641" max="5641" width="13.33203125" customWidth="1"/>
    <col min="5642" max="5642" width="2.77734375" customWidth="1"/>
    <col min="5643" max="5643" width="15.33203125" customWidth="1"/>
    <col min="5644" max="5644" width="3" customWidth="1"/>
    <col min="5645" max="5645" width="11.88671875" bestFit="1" customWidth="1"/>
    <col min="5646" max="5646" width="3.109375" customWidth="1"/>
    <col min="5647" max="5647" width="13.5546875" bestFit="1" customWidth="1"/>
    <col min="5648" max="5649" width="9.33203125" customWidth="1"/>
    <col min="5895" max="5895" width="3.44140625" bestFit="1" customWidth="1"/>
    <col min="5896" max="5896" width="3.44140625" customWidth="1"/>
    <col min="5897" max="5897" width="13.33203125" customWidth="1"/>
    <col min="5898" max="5898" width="2.77734375" customWidth="1"/>
    <col min="5899" max="5899" width="15.33203125" customWidth="1"/>
    <col min="5900" max="5900" width="3" customWidth="1"/>
    <col min="5901" max="5901" width="11.88671875" bestFit="1" customWidth="1"/>
    <col min="5902" max="5902" width="3.109375" customWidth="1"/>
    <col min="5903" max="5903" width="13.5546875" bestFit="1" customWidth="1"/>
    <col min="5904" max="5905" width="9.33203125" customWidth="1"/>
    <col min="6151" max="6151" width="3.44140625" bestFit="1" customWidth="1"/>
    <col min="6152" max="6152" width="3.44140625" customWidth="1"/>
    <col min="6153" max="6153" width="13.33203125" customWidth="1"/>
    <col min="6154" max="6154" width="2.77734375" customWidth="1"/>
    <col min="6155" max="6155" width="15.33203125" customWidth="1"/>
    <col min="6156" max="6156" width="3" customWidth="1"/>
    <col min="6157" max="6157" width="11.88671875" bestFit="1" customWidth="1"/>
    <col min="6158" max="6158" width="3.109375" customWidth="1"/>
    <col min="6159" max="6159" width="13.5546875" bestFit="1" customWidth="1"/>
    <col min="6160" max="6161" width="9.33203125" customWidth="1"/>
    <col min="6407" max="6407" width="3.44140625" bestFit="1" customWidth="1"/>
    <col min="6408" max="6408" width="3.44140625" customWidth="1"/>
    <col min="6409" max="6409" width="13.33203125" customWidth="1"/>
    <col min="6410" max="6410" width="2.77734375" customWidth="1"/>
    <col min="6411" max="6411" width="15.33203125" customWidth="1"/>
    <col min="6412" max="6412" width="3" customWidth="1"/>
    <col min="6413" max="6413" width="11.88671875" bestFit="1" customWidth="1"/>
    <col min="6414" max="6414" width="3.109375" customWidth="1"/>
    <col min="6415" max="6415" width="13.5546875" bestFit="1" customWidth="1"/>
    <col min="6416" max="6417" width="9.33203125" customWidth="1"/>
    <col min="6663" max="6663" width="3.44140625" bestFit="1" customWidth="1"/>
    <col min="6664" max="6664" width="3.44140625" customWidth="1"/>
    <col min="6665" max="6665" width="13.33203125" customWidth="1"/>
    <col min="6666" max="6666" width="2.77734375" customWidth="1"/>
    <col min="6667" max="6667" width="15.33203125" customWidth="1"/>
    <col min="6668" max="6668" width="3" customWidth="1"/>
    <col min="6669" max="6669" width="11.88671875" bestFit="1" customWidth="1"/>
    <col min="6670" max="6670" width="3.109375" customWidth="1"/>
    <col min="6671" max="6671" width="13.5546875" bestFit="1" customWidth="1"/>
    <col min="6672" max="6673" width="9.33203125" customWidth="1"/>
    <col min="6919" max="6919" width="3.44140625" bestFit="1" customWidth="1"/>
    <col min="6920" max="6920" width="3.44140625" customWidth="1"/>
    <col min="6921" max="6921" width="13.33203125" customWidth="1"/>
    <col min="6922" max="6922" width="2.77734375" customWidth="1"/>
    <col min="6923" max="6923" width="15.33203125" customWidth="1"/>
    <col min="6924" max="6924" width="3" customWidth="1"/>
    <col min="6925" max="6925" width="11.88671875" bestFit="1" customWidth="1"/>
    <col min="6926" max="6926" width="3.109375" customWidth="1"/>
    <col min="6927" max="6927" width="13.5546875" bestFit="1" customWidth="1"/>
    <col min="6928" max="6929" width="9.33203125" customWidth="1"/>
    <col min="7175" max="7175" width="3.44140625" bestFit="1" customWidth="1"/>
    <col min="7176" max="7176" width="3.44140625" customWidth="1"/>
    <col min="7177" max="7177" width="13.33203125" customWidth="1"/>
    <col min="7178" max="7178" width="2.77734375" customWidth="1"/>
    <col min="7179" max="7179" width="15.33203125" customWidth="1"/>
    <col min="7180" max="7180" width="3" customWidth="1"/>
    <col min="7181" max="7181" width="11.88671875" bestFit="1" customWidth="1"/>
    <col min="7182" max="7182" width="3.109375" customWidth="1"/>
    <col min="7183" max="7183" width="13.5546875" bestFit="1" customWidth="1"/>
    <col min="7184" max="7185" width="9.33203125" customWidth="1"/>
    <col min="7431" max="7431" width="3.44140625" bestFit="1" customWidth="1"/>
    <col min="7432" max="7432" width="3.44140625" customWidth="1"/>
    <col min="7433" max="7433" width="13.33203125" customWidth="1"/>
    <col min="7434" max="7434" width="2.77734375" customWidth="1"/>
    <col min="7435" max="7435" width="15.33203125" customWidth="1"/>
    <col min="7436" max="7436" width="3" customWidth="1"/>
    <col min="7437" max="7437" width="11.88671875" bestFit="1" customWidth="1"/>
    <col min="7438" max="7438" width="3.109375" customWidth="1"/>
    <col min="7439" max="7439" width="13.5546875" bestFit="1" customWidth="1"/>
    <col min="7440" max="7441" width="9.33203125" customWidth="1"/>
    <col min="7687" max="7687" width="3.44140625" bestFit="1" customWidth="1"/>
    <col min="7688" max="7688" width="3.44140625" customWidth="1"/>
    <col min="7689" max="7689" width="13.33203125" customWidth="1"/>
    <col min="7690" max="7690" width="2.77734375" customWidth="1"/>
    <col min="7691" max="7691" width="15.33203125" customWidth="1"/>
    <col min="7692" max="7692" width="3" customWidth="1"/>
    <col min="7693" max="7693" width="11.88671875" bestFit="1" customWidth="1"/>
    <col min="7694" max="7694" width="3.109375" customWidth="1"/>
    <col min="7695" max="7695" width="13.5546875" bestFit="1" customWidth="1"/>
    <col min="7696" max="7697" width="9.33203125" customWidth="1"/>
    <col min="7943" max="7943" width="3.44140625" bestFit="1" customWidth="1"/>
    <col min="7944" max="7944" width="3.44140625" customWidth="1"/>
    <col min="7945" max="7945" width="13.33203125" customWidth="1"/>
    <col min="7946" max="7946" width="2.77734375" customWidth="1"/>
    <col min="7947" max="7947" width="15.33203125" customWidth="1"/>
    <col min="7948" max="7948" width="3" customWidth="1"/>
    <col min="7949" max="7949" width="11.88671875" bestFit="1" customWidth="1"/>
    <col min="7950" max="7950" width="3.109375" customWidth="1"/>
    <col min="7951" max="7951" width="13.5546875" bestFit="1" customWidth="1"/>
    <col min="7952" max="7953" width="9.33203125" customWidth="1"/>
    <col min="8199" max="8199" width="3.44140625" bestFit="1" customWidth="1"/>
    <col min="8200" max="8200" width="3.44140625" customWidth="1"/>
    <col min="8201" max="8201" width="13.33203125" customWidth="1"/>
    <col min="8202" max="8202" width="2.77734375" customWidth="1"/>
    <col min="8203" max="8203" width="15.33203125" customWidth="1"/>
    <col min="8204" max="8204" width="3" customWidth="1"/>
    <col min="8205" max="8205" width="11.88671875" bestFit="1" customWidth="1"/>
    <col min="8206" max="8206" width="3.109375" customWidth="1"/>
    <col min="8207" max="8207" width="13.5546875" bestFit="1" customWidth="1"/>
    <col min="8208" max="8209" width="9.33203125" customWidth="1"/>
    <col min="8455" max="8455" width="3.44140625" bestFit="1" customWidth="1"/>
    <col min="8456" max="8456" width="3.44140625" customWidth="1"/>
    <col min="8457" max="8457" width="13.33203125" customWidth="1"/>
    <col min="8458" max="8458" width="2.77734375" customWidth="1"/>
    <col min="8459" max="8459" width="15.33203125" customWidth="1"/>
    <col min="8460" max="8460" width="3" customWidth="1"/>
    <col min="8461" max="8461" width="11.88671875" bestFit="1" customWidth="1"/>
    <col min="8462" max="8462" width="3.109375" customWidth="1"/>
    <col min="8463" max="8463" width="13.5546875" bestFit="1" customWidth="1"/>
    <col min="8464" max="8465" width="9.33203125" customWidth="1"/>
    <col min="8711" max="8711" width="3.44140625" bestFit="1" customWidth="1"/>
    <col min="8712" max="8712" width="3.44140625" customWidth="1"/>
    <col min="8713" max="8713" width="13.33203125" customWidth="1"/>
    <col min="8714" max="8714" width="2.77734375" customWidth="1"/>
    <col min="8715" max="8715" width="15.33203125" customWidth="1"/>
    <col min="8716" max="8716" width="3" customWidth="1"/>
    <col min="8717" max="8717" width="11.88671875" bestFit="1" customWidth="1"/>
    <col min="8718" max="8718" width="3.109375" customWidth="1"/>
    <col min="8719" max="8719" width="13.5546875" bestFit="1" customWidth="1"/>
    <col min="8720" max="8721" width="9.33203125" customWidth="1"/>
    <col min="8967" max="8967" width="3.44140625" bestFit="1" customWidth="1"/>
    <col min="8968" max="8968" width="3.44140625" customWidth="1"/>
    <col min="8969" max="8969" width="13.33203125" customWidth="1"/>
    <col min="8970" max="8970" width="2.77734375" customWidth="1"/>
    <col min="8971" max="8971" width="15.33203125" customWidth="1"/>
    <col min="8972" max="8972" width="3" customWidth="1"/>
    <col min="8973" max="8973" width="11.88671875" bestFit="1" customWidth="1"/>
    <col min="8974" max="8974" width="3.109375" customWidth="1"/>
    <col min="8975" max="8975" width="13.5546875" bestFit="1" customWidth="1"/>
    <col min="8976" max="8977" width="9.33203125" customWidth="1"/>
    <col min="9223" max="9223" width="3.44140625" bestFit="1" customWidth="1"/>
    <col min="9224" max="9224" width="3.44140625" customWidth="1"/>
    <col min="9225" max="9225" width="13.33203125" customWidth="1"/>
    <col min="9226" max="9226" width="2.77734375" customWidth="1"/>
    <col min="9227" max="9227" width="15.33203125" customWidth="1"/>
    <col min="9228" max="9228" width="3" customWidth="1"/>
    <col min="9229" max="9229" width="11.88671875" bestFit="1" customWidth="1"/>
    <col min="9230" max="9230" width="3.109375" customWidth="1"/>
    <col min="9231" max="9231" width="13.5546875" bestFit="1" customWidth="1"/>
    <col min="9232" max="9233" width="9.33203125" customWidth="1"/>
    <col min="9479" max="9479" width="3.44140625" bestFit="1" customWidth="1"/>
    <col min="9480" max="9480" width="3.44140625" customWidth="1"/>
    <col min="9481" max="9481" width="13.33203125" customWidth="1"/>
    <col min="9482" max="9482" width="2.77734375" customWidth="1"/>
    <col min="9483" max="9483" width="15.33203125" customWidth="1"/>
    <col min="9484" max="9484" width="3" customWidth="1"/>
    <col min="9485" max="9485" width="11.88671875" bestFit="1" customWidth="1"/>
    <col min="9486" max="9486" width="3.109375" customWidth="1"/>
    <col min="9487" max="9487" width="13.5546875" bestFit="1" customWidth="1"/>
    <col min="9488" max="9489" width="9.33203125" customWidth="1"/>
    <col min="9735" max="9735" width="3.44140625" bestFit="1" customWidth="1"/>
    <col min="9736" max="9736" width="3.44140625" customWidth="1"/>
    <col min="9737" max="9737" width="13.33203125" customWidth="1"/>
    <col min="9738" max="9738" width="2.77734375" customWidth="1"/>
    <col min="9739" max="9739" width="15.33203125" customWidth="1"/>
    <col min="9740" max="9740" width="3" customWidth="1"/>
    <col min="9741" max="9741" width="11.88671875" bestFit="1" customWidth="1"/>
    <col min="9742" max="9742" width="3.109375" customWidth="1"/>
    <col min="9743" max="9743" width="13.5546875" bestFit="1" customWidth="1"/>
    <col min="9744" max="9745" width="9.33203125" customWidth="1"/>
    <col min="9991" max="9991" width="3.44140625" bestFit="1" customWidth="1"/>
    <col min="9992" max="9992" width="3.44140625" customWidth="1"/>
    <col min="9993" max="9993" width="13.33203125" customWidth="1"/>
    <col min="9994" max="9994" width="2.77734375" customWidth="1"/>
    <col min="9995" max="9995" width="15.33203125" customWidth="1"/>
    <col min="9996" max="9996" width="3" customWidth="1"/>
    <col min="9997" max="9997" width="11.88671875" bestFit="1" customWidth="1"/>
    <col min="9998" max="9998" width="3.109375" customWidth="1"/>
    <col min="9999" max="9999" width="13.5546875" bestFit="1" customWidth="1"/>
    <col min="10000" max="10001" width="9.33203125" customWidth="1"/>
    <col min="10247" max="10247" width="3.44140625" bestFit="1" customWidth="1"/>
    <col min="10248" max="10248" width="3.44140625" customWidth="1"/>
    <col min="10249" max="10249" width="13.33203125" customWidth="1"/>
    <col min="10250" max="10250" width="2.77734375" customWidth="1"/>
    <col min="10251" max="10251" width="15.33203125" customWidth="1"/>
    <col min="10252" max="10252" width="3" customWidth="1"/>
    <col min="10253" max="10253" width="11.88671875" bestFit="1" customWidth="1"/>
    <col min="10254" max="10254" width="3.109375" customWidth="1"/>
    <col min="10255" max="10255" width="13.5546875" bestFit="1" customWidth="1"/>
    <col min="10256" max="10257" width="9.33203125" customWidth="1"/>
    <col min="10503" max="10503" width="3.44140625" bestFit="1" customWidth="1"/>
    <col min="10504" max="10504" width="3.44140625" customWidth="1"/>
    <col min="10505" max="10505" width="13.33203125" customWidth="1"/>
    <col min="10506" max="10506" width="2.77734375" customWidth="1"/>
    <col min="10507" max="10507" width="15.33203125" customWidth="1"/>
    <col min="10508" max="10508" width="3" customWidth="1"/>
    <col min="10509" max="10509" width="11.88671875" bestFit="1" customWidth="1"/>
    <col min="10510" max="10510" width="3.109375" customWidth="1"/>
    <col min="10511" max="10511" width="13.5546875" bestFit="1" customWidth="1"/>
    <col min="10512" max="10513" width="9.33203125" customWidth="1"/>
    <col min="10759" max="10759" width="3.44140625" bestFit="1" customWidth="1"/>
    <col min="10760" max="10760" width="3.44140625" customWidth="1"/>
    <col min="10761" max="10761" width="13.33203125" customWidth="1"/>
    <col min="10762" max="10762" width="2.77734375" customWidth="1"/>
    <col min="10763" max="10763" width="15.33203125" customWidth="1"/>
    <col min="10764" max="10764" width="3" customWidth="1"/>
    <col min="10765" max="10765" width="11.88671875" bestFit="1" customWidth="1"/>
    <col min="10766" max="10766" width="3.109375" customWidth="1"/>
    <col min="10767" max="10767" width="13.5546875" bestFit="1" customWidth="1"/>
    <col min="10768" max="10769" width="9.33203125" customWidth="1"/>
    <col min="11015" max="11015" width="3.44140625" bestFit="1" customWidth="1"/>
    <col min="11016" max="11016" width="3.44140625" customWidth="1"/>
    <col min="11017" max="11017" width="13.33203125" customWidth="1"/>
    <col min="11018" max="11018" width="2.77734375" customWidth="1"/>
    <col min="11019" max="11019" width="15.33203125" customWidth="1"/>
    <col min="11020" max="11020" width="3" customWidth="1"/>
    <col min="11021" max="11021" width="11.88671875" bestFit="1" customWidth="1"/>
    <col min="11022" max="11022" width="3.109375" customWidth="1"/>
    <col min="11023" max="11023" width="13.5546875" bestFit="1" customWidth="1"/>
    <col min="11024" max="11025" width="9.33203125" customWidth="1"/>
    <col min="11271" max="11271" width="3.44140625" bestFit="1" customWidth="1"/>
    <col min="11272" max="11272" width="3.44140625" customWidth="1"/>
    <col min="11273" max="11273" width="13.33203125" customWidth="1"/>
    <col min="11274" max="11274" width="2.77734375" customWidth="1"/>
    <col min="11275" max="11275" width="15.33203125" customWidth="1"/>
    <col min="11276" max="11276" width="3" customWidth="1"/>
    <col min="11277" max="11277" width="11.88671875" bestFit="1" customWidth="1"/>
    <col min="11278" max="11278" width="3.109375" customWidth="1"/>
    <col min="11279" max="11279" width="13.5546875" bestFit="1" customWidth="1"/>
    <col min="11280" max="11281" width="9.33203125" customWidth="1"/>
    <col min="11527" max="11527" width="3.44140625" bestFit="1" customWidth="1"/>
    <col min="11528" max="11528" width="3.44140625" customWidth="1"/>
    <col min="11529" max="11529" width="13.33203125" customWidth="1"/>
    <col min="11530" max="11530" width="2.77734375" customWidth="1"/>
    <col min="11531" max="11531" width="15.33203125" customWidth="1"/>
    <col min="11532" max="11532" width="3" customWidth="1"/>
    <col min="11533" max="11533" width="11.88671875" bestFit="1" customWidth="1"/>
    <col min="11534" max="11534" width="3.109375" customWidth="1"/>
    <col min="11535" max="11535" width="13.5546875" bestFit="1" customWidth="1"/>
    <col min="11536" max="11537" width="9.33203125" customWidth="1"/>
    <col min="11783" max="11783" width="3.44140625" bestFit="1" customWidth="1"/>
    <col min="11784" max="11784" width="3.44140625" customWidth="1"/>
    <col min="11785" max="11785" width="13.33203125" customWidth="1"/>
    <col min="11786" max="11786" width="2.77734375" customWidth="1"/>
    <col min="11787" max="11787" width="15.33203125" customWidth="1"/>
    <col min="11788" max="11788" width="3" customWidth="1"/>
    <col min="11789" max="11789" width="11.88671875" bestFit="1" customWidth="1"/>
    <col min="11790" max="11790" width="3.109375" customWidth="1"/>
    <col min="11791" max="11791" width="13.5546875" bestFit="1" customWidth="1"/>
    <col min="11792" max="11793" width="9.33203125" customWidth="1"/>
    <col min="12039" max="12039" width="3.44140625" bestFit="1" customWidth="1"/>
    <col min="12040" max="12040" width="3.44140625" customWidth="1"/>
    <col min="12041" max="12041" width="13.33203125" customWidth="1"/>
    <col min="12042" max="12042" width="2.77734375" customWidth="1"/>
    <col min="12043" max="12043" width="15.33203125" customWidth="1"/>
    <col min="12044" max="12044" width="3" customWidth="1"/>
    <col min="12045" max="12045" width="11.88671875" bestFit="1" customWidth="1"/>
    <col min="12046" max="12046" width="3.109375" customWidth="1"/>
    <col min="12047" max="12047" width="13.5546875" bestFit="1" customWidth="1"/>
    <col min="12048" max="12049" width="9.33203125" customWidth="1"/>
    <col min="12295" max="12295" width="3.44140625" bestFit="1" customWidth="1"/>
    <col min="12296" max="12296" width="3.44140625" customWidth="1"/>
    <col min="12297" max="12297" width="13.33203125" customWidth="1"/>
    <col min="12298" max="12298" width="2.77734375" customWidth="1"/>
    <col min="12299" max="12299" width="15.33203125" customWidth="1"/>
    <col min="12300" max="12300" width="3" customWidth="1"/>
    <col min="12301" max="12301" width="11.88671875" bestFit="1" customWidth="1"/>
    <col min="12302" max="12302" width="3.109375" customWidth="1"/>
    <col min="12303" max="12303" width="13.5546875" bestFit="1" customWidth="1"/>
    <col min="12304" max="12305" width="9.33203125" customWidth="1"/>
    <col min="12551" max="12551" width="3.44140625" bestFit="1" customWidth="1"/>
    <col min="12552" max="12552" width="3.44140625" customWidth="1"/>
    <col min="12553" max="12553" width="13.33203125" customWidth="1"/>
    <col min="12554" max="12554" width="2.77734375" customWidth="1"/>
    <col min="12555" max="12555" width="15.33203125" customWidth="1"/>
    <col min="12556" max="12556" width="3" customWidth="1"/>
    <col min="12557" max="12557" width="11.88671875" bestFit="1" customWidth="1"/>
    <col min="12558" max="12558" width="3.109375" customWidth="1"/>
    <col min="12559" max="12559" width="13.5546875" bestFit="1" customWidth="1"/>
    <col min="12560" max="12561" width="9.33203125" customWidth="1"/>
    <col min="12807" max="12807" width="3.44140625" bestFit="1" customWidth="1"/>
    <col min="12808" max="12808" width="3.44140625" customWidth="1"/>
    <col min="12809" max="12809" width="13.33203125" customWidth="1"/>
    <col min="12810" max="12810" width="2.77734375" customWidth="1"/>
    <col min="12811" max="12811" width="15.33203125" customWidth="1"/>
    <col min="12812" max="12812" width="3" customWidth="1"/>
    <col min="12813" max="12813" width="11.88671875" bestFit="1" customWidth="1"/>
    <col min="12814" max="12814" width="3.109375" customWidth="1"/>
    <col min="12815" max="12815" width="13.5546875" bestFit="1" customWidth="1"/>
    <col min="12816" max="12817" width="9.33203125" customWidth="1"/>
    <col min="13063" max="13063" width="3.44140625" bestFit="1" customWidth="1"/>
    <col min="13064" max="13064" width="3.44140625" customWidth="1"/>
    <col min="13065" max="13065" width="13.33203125" customWidth="1"/>
    <col min="13066" max="13066" width="2.77734375" customWidth="1"/>
    <col min="13067" max="13067" width="15.33203125" customWidth="1"/>
    <col min="13068" max="13068" width="3" customWidth="1"/>
    <col min="13069" max="13069" width="11.88671875" bestFit="1" customWidth="1"/>
    <col min="13070" max="13070" width="3.109375" customWidth="1"/>
    <col min="13071" max="13071" width="13.5546875" bestFit="1" customWidth="1"/>
    <col min="13072" max="13073" width="9.33203125" customWidth="1"/>
    <col min="13319" max="13319" width="3.44140625" bestFit="1" customWidth="1"/>
    <col min="13320" max="13320" width="3.44140625" customWidth="1"/>
    <col min="13321" max="13321" width="13.33203125" customWidth="1"/>
    <col min="13322" max="13322" width="2.77734375" customWidth="1"/>
    <col min="13323" max="13323" width="15.33203125" customWidth="1"/>
    <col min="13324" max="13324" width="3" customWidth="1"/>
    <col min="13325" max="13325" width="11.88671875" bestFit="1" customWidth="1"/>
    <col min="13326" max="13326" width="3.109375" customWidth="1"/>
    <col min="13327" max="13327" width="13.5546875" bestFit="1" customWidth="1"/>
    <col min="13328" max="13329" width="9.33203125" customWidth="1"/>
    <col min="13575" max="13575" width="3.44140625" bestFit="1" customWidth="1"/>
    <col min="13576" max="13576" width="3.44140625" customWidth="1"/>
    <col min="13577" max="13577" width="13.33203125" customWidth="1"/>
    <col min="13578" max="13578" width="2.77734375" customWidth="1"/>
    <col min="13579" max="13579" width="15.33203125" customWidth="1"/>
    <col min="13580" max="13580" width="3" customWidth="1"/>
    <col min="13581" max="13581" width="11.88671875" bestFit="1" customWidth="1"/>
    <col min="13582" max="13582" width="3.109375" customWidth="1"/>
    <col min="13583" max="13583" width="13.5546875" bestFit="1" customWidth="1"/>
    <col min="13584" max="13585" width="9.33203125" customWidth="1"/>
    <col min="13831" max="13831" width="3.44140625" bestFit="1" customWidth="1"/>
    <col min="13832" max="13832" width="3.44140625" customWidth="1"/>
    <col min="13833" max="13833" width="13.33203125" customWidth="1"/>
    <col min="13834" max="13834" width="2.77734375" customWidth="1"/>
    <col min="13835" max="13835" width="15.33203125" customWidth="1"/>
    <col min="13836" max="13836" width="3" customWidth="1"/>
    <col min="13837" max="13837" width="11.88671875" bestFit="1" customWidth="1"/>
    <col min="13838" max="13838" width="3.109375" customWidth="1"/>
    <col min="13839" max="13839" width="13.5546875" bestFit="1" customWidth="1"/>
    <col min="13840" max="13841" width="9.33203125" customWidth="1"/>
    <col min="14087" max="14087" width="3.44140625" bestFit="1" customWidth="1"/>
    <col min="14088" max="14088" width="3.44140625" customWidth="1"/>
    <col min="14089" max="14089" width="13.33203125" customWidth="1"/>
    <col min="14090" max="14090" width="2.77734375" customWidth="1"/>
    <col min="14091" max="14091" width="15.33203125" customWidth="1"/>
    <col min="14092" max="14092" width="3" customWidth="1"/>
    <col min="14093" max="14093" width="11.88671875" bestFit="1" customWidth="1"/>
    <col min="14094" max="14094" width="3.109375" customWidth="1"/>
    <col min="14095" max="14095" width="13.5546875" bestFit="1" customWidth="1"/>
    <col min="14096" max="14097" width="9.33203125" customWidth="1"/>
    <col min="14343" max="14343" width="3.44140625" bestFit="1" customWidth="1"/>
    <col min="14344" max="14344" width="3.44140625" customWidth="1"/>
    <col min="14345" max="14345" width="13.33203125" customWidth="1"/>
    <col min="14346" max="14346" width="2.77734375" customWidth="1"/>
    <col min="14347" max="14347" width="15.33203125" customWidth="1"/>
    <col min="14348" max="14348" width="3" customWidth="1"/>
    <col min="14349" max="14349" width="11.88671875" bestFit="1" customWidth="1"/>
    <col min="14350" max="14350" width="3.109375" customWidth="1"/>
    <col min="14351" max="14351" width="13.5546875" bestFit="1" customWidth="1"/>
    <col min="14352" max="14353" width="9.33203125" customWidth="1"/>
    <col min="14599" max="14599" width="3.44140625" bestFit="1" customWidth="1"/>
    <col min="14600" max="14600" width="3.44140625" customWidth="1"/>
    <col min="14601" max="14601" width="13.33203125" customWidth="1"/>
    <col min="14602" max="14602" width="2.77734375" customWidth="1"/>
    <col min="14603" max="14603" width="15.33203125" customWidth="1"/>
    <col min="14604" max="14604" width="3" customWidth="1"/>
    <col min="14605" max="14605" width="11.88671875" bestFit="1" customWidth="1"/>
    <col min="14606" max="14606" width="3.109375" customWidth="1"/>
    <col min="14607" max="14607" width="13.5546875" bestFit="1" customWidth="1"/>
    <col min="14608" max="14609" width="9.33203125" customWidth="1"/>
    <col min="14855" max="14855" width="3.44140625" bestFit="1" customWidth="1"/>
    <col min="14856" max="14856" width="3.44140625" customWidth="1"/>
    <col min="14857" max="14857" width="13.33203125" customWidth="1"/>
    <col min="14858" max="14858" width="2.77734375" customWidth="1"/>
    <col min="14859" max="14859" width="15.33203125" customWidth="1"/>
    <col min="14860" max="14860" width="3" customWidth="1"/>
    <col min="14861" max="14861" width="11.88671875" bestFit="1" customWidth="1"/>
    <col min="14862" max="14862" width="3.109375" customWidth="1"/>
    <col min="14863" max="14863" width="13.5546875" bestFit="1" customWidth="1"/>
    <col min="14864" max="14865" width="9.33203125" customWidth="1"/>
    <col min="15111" max="15111" width="3.44140625" bestFit="1" customWidth="1"/>
    <col min="15112" max="15112" width="3.44140625" customWidth="1"/>
    <col min="15113" max="15113" width="13.33203125" customWidth="1"/>
    <col min="15114" max="15114" width="2.77734375" customWidth="1"/>
    <col min="15115" max="15115" width="15.33203125" customWidth="1"/>
    <col min="15116" max="15116" width="3" customWidth="1"/>
    <col min="15117" max="15117" width="11.88671875" bestFit="1" customWidth="1"/>
    <col min="15118" max="15118" width="3.109375" customWidth="1"/>
    <col min="15119" max="15119" width="13.5546875" bestFit="1" customWidth="1"/>
    <col min="15120" max="15121" width="9.33203125" customWidth="1"/>
    <col min="15367" max="15367" width="3.44140625" bestFit="1" customWidth="1"/>
    <col min="15368" max="15368" width="3.44140625" customWidth="1"/>
    <col min="15369" max="15369" width="13.33203125" customWidth="1"/>
    <col min="15370" max="15370" width="2.77734375" customWidth="1"/>
    <col min="15371" max="15371" width="15.33203125" customWidth="1"/>
    <col min="15372" max="15372" width="3" customWidth="1"/>
    <col min="15373" max="15373" width="11.88671875" bestFit="1" customWidth="1"/>
    <col min="15374" max="15374" width="3.109375" customWidth="1"/>
    <col min="15375" max="15375" width="13.5546875" bestFit="1" customWidth="1"/>
    <col min="15376" max="15377" width="9.33203125" customWidth="1"/>
    <col min="15623" max="15623" width="3.44140625" bestFit="1" customWidth="1"/>
    <col min="15624" max="15624" width="3.44140625" customWidth="1"/>
    <col min="15625" max="15625" width="13.33203125" customWidth="1"/>
    <col min="15626" max="15626" width="2.77734375" customWidth="1"/>
    <col min="15627" max="15627" width="15.33203125" customWidth="1"/>
    <col min="15628" max="15628" width="3" customWidth="1"/>
    <col min="15629" max="15629" width="11.88671875" bestFit="1" customWidth="1"/>
    <col min="15630" max="15630" width="3.109375" customWidth="1"/>
    <col min="15631" max="15631" width="13.5546875" bestFit="1" customWidth="1"/>
    <col min="15632" max="15633" width="9.33203125" customWidth="1"/>
    <col min="15879" max="15879" width="3.44140625" bestFit="1" customWidth="1"/>
    <col min="15880" max="15880" width="3.44140625" customWidth="1"/>
    <col min="15881" max="15881" width="13.33203125" customWidth="1"/>
    <col min="15882" max="15882" width="2.77734375" customWidth="1"/>
    <col min="15883" max="15883" width="15.33203125" customWidth="1"/>
    <col min="15884" max="15884" width="3" customWidth="1"/>
    <col min="15885" max="15885" width="11.88671875" bestFit="1" customWidth="1"/>
    <col min="15886" max="15886" width="3.109375" customWidth="1"/>
    <col min="15887" max="15887" width="13.5546875" bestFit="1" customWidth="1"/>
    <col min="15888" max="15889" width="9.33203125" customWidth="1"/>
    <col min="16135" max="16135" width="3.44140625" bestFit="1" customWidth="1"/>
    <col min="16136" max="16136" width="3.44140625" customWidth="1"/>
    <col min="16137" max="16137" width="13.33203125" customWidth="1"/>
    <col min="16138" max="16138" width="2.77734375" customWidth="1"/>
    <col min="16139" max="16139" width="15.33203125" customWidth="1"/>
    <col min="16140" max="16140" width="3" customWidth="1"/>
    <col min="16141" max="16141" width="11.88671875" bestFit="1" customWidth="1"/>
    <col min="16142" max="16142" width="3.109375" customWidth="1"/>
    <col min="16143" max="16143" width="13.5546875" bestFit="1" customWidth="1"/>
    <col min="16144" max="16145" width="9.33203125" customWidth="1"/>
  </cols>
  <sheetData>
    <row r="3" spans="1:24" s="17" customFormat="1" ht="15" customHeight="1">
      <c r="A3" s="210" t="s">
        <v>213</v>
      </c>
      <c r="B3" s="210"/>
      <c r="C3" s="210"/>
      <c r="D3" s="210"/>
      <c r="E3" s="210"/>
      <c r="F3" s="210"/>
      <c r="G3" s="210"/>
      <c r="H3" s="210"/>
      <c r="I3" s="210"/>
      <c r="J3" s="210"/>
      <c r="K3" s="210"/>
      <c r="L3" s="210"/>
      <c r="M3" s="210"/>
      <c r="N3" s="210"/>
      <c r="O3" s="210"/>
      <c r="P3" s="10"/>
      <c r="Q3" s="10"/>
    </row>
    <row r="4" spans="1:24" s="17" customFormat="1" ht="15" customHeight="1">
      <c r="A4" s="210" t="s">
        <v>212</v>
      </c>
      <c r="B4" s="210"/>
      <c r="C4" s="210"/>
      <c r="D4" s="210"/>
      <c r="E4" s="210"/>
      <c r="F4" s="210"/>
      <c r="G4" s="210"/>
      <c r="H4" s="210"/>
      <c r="I4" s="210"/>
      <c r="J4" s="210"/>
      <c r="K4" s="210"/>
      <c r="L4" s="210"/>
      <c r="M4" s="210"/>
      <c r="N4" s="210"/>
      <c r="O4" s="210"/>
      <c r="P4" s="10"/>
      <c r="Q4" s="10"/>
    </row>
    <row r="5" spans="1:24" s="17" customFormat="1" ht="15" customHeight="1">
      <c r="A5" s="210" t="s">
        <v>2</v>
      </c>
      <c r="B5" s="210"/>
      <c r="C5" s="210"/>
      <c r="D5" s="210"/>
      <c r="E5" s="210"/>
      <c r="F5" s="210"/>
      <c r="G5" s="210"/>
      <c r="H5" s="210"/>
      <c r="I5" s="210"/>
      <c r="J5" s="210"/>
      <c r="K5" s="210"/>
      <c r="L5" s="210"/>
      <c r="M5" s="210"/>
      <c r="N5" s="210"/>
      <c r="O5" s="210"/>
      <c r="P5" s="10"/>
      <c r="Q5" s="10"/>
    </row>
    <row r="6" spans="1:24" s="17" customFormat="1" ht="12.75">
      <c r="A6" s="30"/>
      <c r="B6" s="30"/>
      <c r="C6" s="23"/>
      <c r="D6" s="23"/>
      <c r="E6" s="23"/>
      <c r="F6" s="23"/>
      <c r="G6" s="23"/>
      <c r="H6" s="23"/>
      <c r="I6" s="23"/>
      <c r="J6" s="23"/>
      <c r="K6" s="23"/>
      <c r="L6" s="23"/>
      <c r="M6" s="23"/>
      <c r="N6" s="23"/>
      <c r="O6" s="23" t="s">
        <v>378</v>
      </c>
      <c r="P6" s="30"/>
      <c r="Q6" s="10"/>
    </row>
    <row r="7" spans="1:24" s="17" customFormat="1" ht="16.5">
      <c r="C7" s="23" t="s">
        <v>22</v>
      </c>
      <c r="D7" s="23"/>
      <c r="E7" s="23" t="s">
        <v>211</v>
      </c>
      <c r="F7" s="23"/>
      <c r="G7" s="4" t="s">
        <v>210</v>
      </c>
      <c r="H7" s="23"/>
      <c r="I7" s="4" t="s">
        <v>217</v>
      </c>
      <c r="J7" s="23"/>
      <c r="K7" s="23" t="s">
        <v>216</v>
      </c>
      <c r="L7" s="4"/>
      <c r="M7" s="23" t="s">
        <v>379</v>
      </c>
      <c r="N7" s="4"/>
      <c r="O7" s="4" t="s">
        <v>275</v>
      </c>
    </row>
    <row r="8" spans="1:24" s="17" customFormat="1" ht="12.75">
      <c r="A8" s="23" t="s">
        <v>3</v>
      </c>
      <c r="B8" s="23"/>
      <c r="C8" s="23"/>
      <c r="D8" s="23"/>
      <c r="E8" s="23" t="s">
        <v>208</v>
      </c>
      <c r="F8" s="23"/>
      <c r="G8" s="23" t="s">
        <v>207</v>
      </c>
      <c r="H8" s="23"/>
      <c r="I8" s="23"/>
      <c r="J8" s="23"/>
      <c r="K8" s="23" t="s">
        <v>380</v>
      </c>
      <c r="L8" s="23"/>
      <c r="M8" s="23" t="s">
        <v>273</v>
      </c>
      <c r="N8" s="23"/>
      <c r="O8" s="23" t="s">
        <v>206</v>
      </c>
    </row>
    <row r="9" spans="1:24" s="17" customFormat="1" ht="12.75">
      <c r="A9" s="5" t="s">
        <v>5</v>
      </c>
      <c r="B9" s="5"/>
      <c r="C9" s="5" t="s">
        <v>205</v>
      </c>
      <c r="D9" s="5"/>
      <c r="E9" s="39" t="s">
        <v>204</v>
      </c>
      <c r="F9" s="39"/>
      <c r="G9" s="38" t="s">
        <v>203</v>
      </c>
      <c r="H9" s="39"/>
      <c r="I9" s="5" t="s">
        <v>218</v>
      </c>
      <c r="J9" s="39"/>
      <c r="K9" s="5" t="s">
        <v>381</v>
      </c>
      <c r="L9" s="38"/>
      <c r="M9" s="5" t="s">
        <v>274</v>
      </c>
      <c r="N9" s="38"/>
      <c r="O9" s="37" t="s">
        <v>202</v>
      </c>
    </row>
    <row r="10" spans="1:24" s="17" customFormat="1" ht="12.75">
      <c r="A10" s="23"/>
      <c r="B10" s="36" t="s">
        <v>377</v>
      </c>
      <c r="D10" s="35"/>
      <c r="E10" s="34"/>
      <c r="F10" s="34"/>
      <c r="G10" s="33"/>
      <c r="H10" s="34"/>
      <c r="I10" s="33"/>
      <c r="J10" s="34"/>
      <c r="K10" s="33"/>
      <c r="L10" s="33"/>
      <c r="M10" s="33"/>
      <c r="N10" s="33"/>
      <c r="O10" s="6"/>
    </row>
    <row r="11" spans="1:24" s="17" customFormat="1">
      <c r="A11" s="23">
        <v>1</v>
      </c>
      <c r="B11" s="23"/>
      <c r="C11" s="42">
        <v>45261</v>
      </c>
      <c r="D11" s="42"/>
      <c r="E11" s="41">
        <v>41569581.637386873</v>
      </c>
      <c r="F11" s="4"/>
      <c r="G11" s="41">
        <v>2053415.65285358</v>
      </c>
      <c r="H11" s="4"/>
      <c r="I11" s="41">
        <v>13348012.492827874</v>
      </c>
      <c r="J11" s="4"/>
      <c r="K11" s="41">
        <v>3361022</v>
      </c>
      <c r="L11" s="4"/>
      <c r="M11" s="41">
        <v>24764576.453068312</v>
      </c>
      <c r="N11" s="4"/>
      <c r="O11" s="4">
        <f>E11+G11+I11-M11+K11</f>
        <v>35567455.330000013</v>
      </c>
      <c r="P11" s="4"/>
      <c r="Q11" s="51"/>
      <c r="T11" s="43"/>
      <c r="U11" s="43"/>
    </row>
    <row r="12" spans="1:24" s="17" customFormat="1">
      <c r="A12" s="27">
        <v>2</v>
      </c>
      <c r="B12" s="27"/>
      <c r="C12" s="42">
        <v>45292</v>
      </c>
      <c r="D12" s="42"/>
      <c r="E12" s="41">
        <v>42116820.854715087</v>
      </c>
      <c r="F12" s="4"/>
      <c r="G12" s="41">
        <v>2075579.9778076184</v>
      </c>
      <c r="H12" s="4"/>
      <c r="I12" s="41">
        <v>13520930.539058195</v>
      </c>
      <c r="J12" s="4"/>
      <c r="K12" s="41">
        <v>3386576</v>
      </c>
      <c r="L12" s="4"/>
      <c r="M12" s="41">
        <v>25078091.861580897</v>
      </c>
      <c r="N12" s="4"/>
      <c r="O12" s="4">
        <f>E12+G12+I12-M12+K12</f>
        <v>36021815.510000005</v>
      </c>
      <c r="P12" s="29"/>
      <c r="Q12" s="29"/>
      <c r="T12" s="43"/>
      <c r="U12" s="43"/>
    </row>
    <row r="13" spans="1:24">
      <c r="A13" s="27">
        <v>3</v>
      </c>
      <c r="B13" s="27"/>
      <c r="C13" s="42">
        <v>45323</v>
      </c>
      <c r="D13" s="42"/>
      <c r="E13" s="41">
        <v>42556903.019332945</v>
      </c>
      <c r="F13" s="4"/>
      <c r="G13" s="41">
        <v>2100650.0543384515</v>
      </c>
      <c r="H13" s="4"/>
      <c r="I13" s="41">
        <v>13720524.752864121</v>
      </c>
      <c r="J13" s="4"/>
      <c r="K13" s="41">
        <v>3414740</v>
      </c>
      <c r="L13" s="4"/>
      <c r="M13" s="41">
        <v>25392568.296535522</v>
      </c>
      <c r="N13" s="4"/>
      <c r="O13" s="4">
        <f>E13+G13+I13-M13+K13</f>
        <v>36400249.530000001</v>
      </c>
      <c r="P13" s="28"/>
      <c r="Q13" s="28"/>
      <c r="R13" s="17"/>
      <c r="T13" s="43"/>
      <c r="U13" s="43"/>
      <c r="V13" s="17"/>
      <c r="X13" s="17"/>
    </row>
    <row r="14" spans="1:24">
      <c r="A14" s="27">
        <v>4</v>
      </c>
      <c r="B14" s="27"/>
      <c r="C14" s="42">
        <v>45352</v>
      </c>
      <c r="D14" s="42"/>
      <c r="E14" s="41">
        <v>42964292.277616173</v>
      </c>
      <c r="F14" s="4"/>
      <c r="G14" s="41">
        <v>2121241.1808692799</v>
      </c>
      <c r="H14" s="4"/>
      <c r="I14" s="41">
        <v>13914994.423111189</v>
      </c>
      <c r="J14" s="4"/>
      <c r="K14" s="41">
        <v>3442996</v>
      </c>
      <c r="L14" s="4"/>
      <c r="M14" s="41">
        <v>25708403.391596641</v>
      </c>
      <c r="N14" s="4"/>
      <c r="O14" s="4">
        <f>E14+G14+I14-M14+K14</f>
        <v>36735120.489999995</v>
      </c>
      <c r="P14" s="22"/>
      <c r="Q14" s="22"/>
      <c r="R14" s="17"/>
      <c r="T14" s="43"/>
      <c r="U14" s="43"/>
      <c r="V14" s="17"/>
      <c r="X14" s="17"/>
    </row>
    <row r="15" spans="1:24">
      <c r="A15" s="27">
        <v>5</v>
      </c>
      <c r="B15" s="27"/>
      <c r="C15" s="42">
        <v>45383</v>
      </c>
      <c r="D15" s="42"/>
      <c r="E15" s="41">
        <v>43402637.165117897</v>
      </c>
      <c r="F15" s="4"/>
      <c r="G15" s="41">
        <v>2150790.207400118</v>
      </c>
      <c r="H15" s="4"/>
      <c r="I15" s="41">
        <v>14109299.484208671</v>
      </c>
      <c r="J15" s="4"/>
      <c r="K15" s="41">
        <v>3471343</v>
      </c>
      <c r="L15" s="4"/>
      <c r="M15" s="41">
        <v>26025604.846726689</v>
      </c>
      <c r="N15" s="4"/>
      <c r="O15" s="4">
        <f>E15+G15+I15-M15+K15</f>
        <v>37108465.010000005</v>
      </c>
      <c r="P15" s="22"/>
      <c r="Q15" s="22"/>
      <c r="R15" s="17"/>
      <c r="T15" s="43"/>
      <c r="U15" s="43"/>
      <c r="V15" s="17"/>
      <c r="X15" s="17"/>
    </row>
    <row r="16" spans="1:24">
      <c r="A16" s="27">
        <v>6</v>
      </c>
      <c r="B16" s="27"/>
      <c r="C16" s="42">
        <v>45413</v>
      </c>
      <c r="D16" s="42"/>
      <c r="E16" s="41">
        <v>43696650.668588847</v>
      </c>
      <c r="F16" s="4"/>
      <c r="G16" s="41">
        <v>2175860.2839309513</v>
      </c>
      <c r="H16" s="4"/>
      <c r="I16" s="41">
        <v>14309338.254717562</v>
      </c>
      <c r="J16" s="4"/>
      <c r="K16" s="41">
        <v>3490836</v>
      </c>
      <c r="L16" s="4"/>
      <c r="M16" s="41">
        <v>26342778.507237356</v>
      </c>
      <c r="N16" s="4"/>
      <c r="O16" s="4">
        <f t="shared" ref="O16:O23" si="0">E16+G16+I16-M16+K16</f>
        <v>37329906.700000003</v>
      </c>
      <c r="P16" s="22"/>
      <c r="Q16" s="22"/>
      <c r="R16" s="17"/>
      <c r="T16" s="43"/>
      <c r="U16" s="43"/>
      <c r="V16" s="17"/>
      <c r="X16" s="17"/>
    </row>
    <row r="17" spans="1:24">
      <c r="A17" s="27">
        <v>7</v>
      </c>
      <c r="B17" s="27"/>
      <c r="C17" s="42">
        <v>45444</v>
      </c>
      <c r="D17" s="42"/>
      <c r="E17" s="41">
        <v>43851926.839498818</v>
      </c>
      <c r="F17" s="4"/>
      <c r="G17" s="41">
        <v>2104949.3995299516</v>
      </c>
      <c r="H17" s="4"/>
      <c r="I17" s="41">
        <v>14472061.852175994</v>
      </c>
      <c r="J17" s="4"/>
      <c r="K17" s="41">
        <v>3424288</v>
      </c>
      <c r="L17" s="4"/>
      <c r="M17" s="41">
        <v>26659419.911204781</v>
      </c>
      <c r="N17" s="4"/>
      <c r="O17" s="4">
        <f t="shared" si="0"/>
        <v>37193806.179999977</v>
      </c>
      <c r="R17" s="17"/>
      <c r="T17" s="43"/>
      <c r="U17" s="43"/>
      <c r="V17" s="17"/>
      <c r="X17" s="17"/>
    </row>
    <row r="18" spans="1:24">
      <c r="A18" s="27">
        <v>8</v>
      </c>
      <c r="B18" s="27"/>
      <c r="C18" s="42">
        <v>45474</v>
      </c>
      <c r="D18" s="42"/>
      <c r="E18" s="41">
        <v>44401342.241250291</v>
      </c>
      <c r="F18" s="4"/>
      <c r="G18" s="41">
        <v>2129572.7541971183</v>
      </c>
      <c r="H18" s="4"/>
      <c r="I18" s="41">
        <v>14647684.785352396</v>
      </c>
      <c r="J18" s="4"/>
      <c r="K18" s="41">
        <v>3459793</v>
      </c>
      <c r="L18" s="4"/>
      <c r="M18" s="41">
        <v>26977058.950799815</v>
      </c>
      <c r="N18" s="4"/>
      <c r="O18" s="4">
        <f t="shared" si="0"/>
        <v>37661333.829999991</v>
      </c>
      <c r="R18" s="17"/>
      <c r="T18" s="43"/>
      <c r="U18" s="43"/>
      <c r="V18" s="17"/>
      <c r="X18" s="17"/>
    </row>
    <row r="19" spans="1:24">
      <c r="A19" s="27">
        <v>9</v>
      </c>
      <c r="B19" s="27"/>
      <c r="C19" s="42">
        <v>45505</v>
      </c>
      <c r="D19" s="42"/>
      <c r="E19" s="41">
        <v>44869919.815865345</v>
      </c>
      <c r="F19" s="4"/>
      <c r="G19" s="41">
        <v>2154196.1088642851</v>
      </c>
      <c r="H19" s="4"/>
      <c r="I19" s="41">
        <v>14845670.17378255</v>
      </c>
      <c r="J19" s="4"/>
      <c r="K19" s="41">
        <v>3478694</v>
      </c>
      <c r="L19" s="4"/>
      <c r="M19" s="41">
        <v>27296587.918512184</v>
      </c>
      <c r="N19" s="4"/>
      <c r="O19" s="4">
        <f t="shared" si="0"/>
        <v>38051892.179999992</v>
      </c>
      <c r="R19" s="17"/>
      <c r="T19" s="43"/>
      <c r="U19" s="43"/>
      <c r="V19" s="17"/>
      <c r="X19" s="17"/>
    </row>
    <row r="20" spans="1:24">
      <c r="A20" s="27">
        <v>10</v>
      </c>
      <c r="B20" s="27"/>
      <c r="C20" s="42">
        <v>45536</v>
      </c>
      <c r="D20" s="42"/>
      <c r="E20" s="41">
        <v>45301434.863869853</v>
      </c>
      <c r="F20" s="4"/>
      <c r="G20" s="41">
        <v>2178819.4635314518</v>
      </c>
      <c r="H20" s="4"/>
      <c r="I20" s="41">
        <v>14923006.888021922</v>
      </c>
      <c r="J20" s="4"/>
      <c r="K20" s="41">
        <v>3506034</v>
      </c>
      <c r="L20" s="4"/>
      <c r="M20" s="41">
        <v>27617145.775423218</v>
      </c>
      <c r="N20" s="4"/>
      <c r="O20" s="4">
        <f t="shared" si="0"/>
        <v>38292149.440000013</v>
      </c>
      <c r="R20" s="17"/>
      <c r="T20" s="43"/>
      <c r="U20" s="43"/>
      <c r="V20" s="17"/>
      <c r="X20" s="17"/>
    </row>
    <row r="21" spans="1:24">
      <c r="A21" s="27">
        <v>11</v>
      </c>
      <c r="B21" s="27"/>
      <c r="C21" s="42">
        <v>45566</v>
      </c>
      <c r="D21" s="42"/>
      <c r="E21" s="41">
        <v>45824211.305787101</v>
      </c>
      <c r="F21" s="4"/>
      <c r="G21" s="41">
        <v>2203442.8181986185</v>
      </c>
      <c r="H21" s="4"/>
      <c r="I21" s="41">
        <v>15067861.643475385</v>
      </c>
      <c r="J21" s="4"/>
      <c r="K21" s="41">
        <v>3533466</v>
      </c>
      <c r="L21" s="4"/>
      <c r="M21" s="41">
        <v>27991155.897461113</v>
      </c>
      <c r="N21" s="4"/>
      <c r="O21" s="4">
        <f t="shared" si="0"/>
        <v>38637825.86999999</v>
      </c>
      <c r="R21" s="17"/>
      <c r="T21" s="43"/>
      <c r="U21" s="43"/>
      <c r="V21" s="17"/>
      <c r="X21" s="17"/>
    </row>
    <row r="22" spans="1:24">
      <c r="A22" s="27">
        <v>12</v>
      </c>
      <c r="B22" s="27"/>
      <c r="C22" s="42">
        <v>45597</v>
      </c>
      <c r="D22" s="42"/>
      <c r="E22" s="41">
        <v>46390350.973453403</v>
      </c>
      <c r="F22" s="4"/>
      <c r="G22" s="41">
        <v>2228108.243699119</v>
      </c>
      <c r="H22" s="4"/>
      <c r="I22" s="41">
        <v>15176075.7910244</v>
      </c>
      <c r="J22" s="4"/>
      <c r="K22" s="41">
        <v>3560991</v>
      </c>
      <c r="L22" s="4"/>
      <c r="M22" s="41">
        <v>28403698.188176945</v>
      </c>
      <c r="N22" s="4"/>
      <c r="O22" s="4">
        <f t="shared" si="0"/>
        <v>38951827.819999978</v>
      </c>
      <c r="R22" s="17"/>
      <c r="T22" s="43"/>
      <c r="U22" s="43"/>
      <c r="V22" s="17"/>
      <c r="X22" s="17"/>
    </row>
    <row r="23" spans="1:24">
      <c r="A23" s="27">
        <v>13</v>
      </c>
      <c r="B23" s="27"/>
      <c r="C23" s="42">
        <v>45627</v>
      </c>
      <c r="D23" s="42"/>
      <c r="E23" s="41">
        <v>46312046.884253807</v>
      </c>
      <c r="F23" s="4"/>
      <c r="G23" s="41">
        <v>2110305.204270619</v>
      </c>
      <c r="H23" s="4"/>
      <c r="I23" s="41">
        <v>15291562.100513078</v>
      </c>
      <c r="J23" s="4"/>
      <c r="K23" s="41">
        <v>3588609</v>
      </c>
      <c r="L23" s="4"/>
      <c r="M23" s="41">
        <v>28816637.20903752</v>
      </c>
      <c r="N23" s="4"/>
      <c r="O23" s="4">
        <f t="shared" si="0"/>
        <v>38485885.979999982</v>
      </c>
      <c r="R23" s="17"/>
      <c r="T23" s="43"/>
      <c r="U23" s="43"/>
      <c r="V23" s="17"/>
      <c r="X23" s="17"/>
    </row>
    <row r="24" spans="1:24">
      <c r="A24" s="27">
        <v>14</v>
      </c>
      <c r="B24" s="27"/>
      <c r="C24" s="44" t="s">
        <v>201</v>
      </c>
      <c r="D24" s="44"/>
      <c r="E24" s="4">
        <v>44096778.349748962</v>
      </c>
      <c r="F24" s="4"/>
      <c r="G24" s="4">
        <v>2137456.2576531661</v>
      </c>
      <c r="H24" s="4"/>
      <c r="I24" s="4">
        <v>14411309.475471793</v>
      </c>
      <c r="J24" s="4"/>
      <c r="K24" s="4">
        <v>3470722.153846154</v>
      </c>
      <c r="L24" s="4"/>
      <c r="M24" s="41">
        <v>26697979.015950851</v>
      </c>
      <c r="N24" s="4"/>
      <c r="O24" s="4">
        <f>AVERAGE(O11:O23)</f>
        <v>37418287.220769227</v>
      </c>
      <c r="R24" s="17"/>
      <c r="T24" s="43"/>
      <c r="V24" s="17"/>
      <c r="X24" s="17"/>
    </row>
    <row r="25" spans="1:24">
      <c r="A25" s="27">
        <f t="shared" ref="A25:A31" si="1">A24+1</f>
        <v>15</v>
      </c>
      <c r="B25" s="27"/>
      <c r="C25" s="32"/>
      <c r="D25" s="32"/>
    </row>
    <row r="26" spans="1:24">
      <c r="A26" s="27">
        <f t="shared" si="1"/>
        <v>16</v>
      </c>
      <c r="B26" s="31" t="s">
        <v>498</v>
      </c>
      <c r="C26" s="17"/>
      <c r="D26" s="31"/>
      <c r="E26" s="28"/>
      <c r="F26" s="28"/>
      <c r="G26" s="28"/>
      <c r="H26" s="28"/>
      <c r="I26" s="28"/>
    </row>
    <row r="27" spans="1:24">
      <c r="A27" s="27">
        <f t="shared" si="1"/>
        <v>17</v>
      </c>
      <c r="B27" s="31" t="s">
        <v>200</v>
      </c>
      <c r="C27" s="17"/>
      <c r="D27" s="31"/>
      <c r="E27" s="28"/>
      <c r="F27" s="28"/>
      <c r="G27" s="28"/>
      <c r="H27" s="28"/>
      <c r="I27" s="28"/>
    </row>
    <row r="28" spans="1:24">
      <c r="A28" s="27">
        <f t="shared" si="1"/>
        <v>18</v>
      </c>
      <c r="B28" s="31" t="s">
        <v>219</v>
      </c>
      <c r="C28" s="17"/>
      <c r="D28" s="31"/>
      <c r="E28" s="28"/>
      <c r="F28" s="28"/>
      <c r="G28" s="28"/>
      <c r="H28" s="28"/>
      <c r="I28" s="28"/>
    </row>
    <row r="29" spans="1:24">
      <c r="A29" s="27">
        <f t="shared" si="1"/>
        <v>19</v>
      </c>
      <c r="B29" s="31" t="s">
        <v>382</v>
      </c>
      <c r="C29" s="17"/>
      <c r="D29" s="28"/>
      <c r="E29" s="28"/>
      <c r="F29" s="28"/>
      <c r="G29" s="28"/>
      <c r="H29" s="28"/>
      <c r="I29" s="28"/>
    </row>
    <row r="30" spans="1:24">
      <c r="A30" s="27">
        <f t="shared" si="1"/>
        <v>20</v>
      </c>
      <c r="B30" s="31" t="s">
        <v>383</v>
      </c>
      <c r="C30" s="17"/>
      <c r="D30" s="28"/>
      <c r="E30" s="28"/>
      <c r="F30" s="28"/>
      <c r="G30" s="28"/>
      <c r="H30" s="28"/>
      <c r="I30" s="28"/>
    </row>
    <row r="31" spans="1:24">
      <c r="A31" s="27">
        <f t="shared" si="1"/>
        <v>21</v>
      </c>
      <c r="B31" s="31" t="s">
        <v>384</v>
      </c>
      <c r="C31" s="17"/>
      <c r="D31" s="28"/>
      <c r="E31" s="28"/>
      <c r="F31" s="28"/>
      <c r="G31" s="28"/>
      <c r="H31" s="28"/>
      <c r="I31" s="28"/>
    </row>
    <row r="32" spans="1:24">
      <c r="A32" s="27"/>
    </row>
    <row r="34" spans="1:15">
      <c r="A34" s="23"/>
      <c r="B34" s="23"/>
      <c r="C34" s="30"/>
      <c r="D34" s="30"/>
      <c r="E34" s="30"/>
      <c r="F34" s="30"/>
      <c r="G34" s="4"/>
      <c r="H34" s="30"/>
      <c r="I34" s="4"/>
      <c r="J34" s="4"/>
      <c r="K34" s="4"/>
      <c r="L34" s="4"/>
      <c r="M34" s="4"/>
      <c r="N34" s="4"/>
      <c r="O34" s="4"/>
    </row>
    <row r="35" spans="1:15">
      <c r="A35" s="23"/>
      <c r="B35" s="23"/>
      <c r="C35" s="13"/>
      <c r="D35" s="13"/>
      <c r="E35" s="13"/>
      <c r="F35" s="13"/>
      <c r="G35" s="29"/>
      <c r="H35" s="13"/>
      <c r="I35" s="29"/>
      <c r="J35" s="29"/>
      <c r="K35" s="29"/>
      <c r="L35" s="29"/>
      <c r="M35" s="29"/>
      <c r="N35" s="29"/>
      <c r="O35" s="29"/>
    </row>
    <row r="36" spans="1:15">
      <c r="A36" s="23"/>
      <c r="B36" s="23"/>
      <c r="C36" s="24"/>
      <c r="D36" s="24"/>
      <c r="G36" s="28"/>
      <c r="I36" s="28"/>
      <c r="J36" s="28"/>
      <c r="K36" s="28"/>
      <c r="L36" s="28"/>
      <c r="M36" s="28"/>
      <c r="N36" s="28"/>
      <c r="O36" s="28"/>
    </row>
    <row r="37" spans="1:15">
      <c r="A37" s="27"/>
      <c r="B37" s="27"/>
      <c r="C37" s="26"/>
      <c r="D37" s="26"/>
      <c r="E37" s="25"/>
      <c r="F37" s="25"/>
      <c r="G37" s="22"/>
      <c r="H37" s="25"/>
      <c r="I37" s="22"/>
      <c r="J37" s="22"/>
      <c r="K37" s="22"/>
      <c r="L37" s="22"/>
      <c r="M37" s="22"/>
      <c r="N37" s="22"/>
      <c r="O37" s="22"/>
    </row>
    <row r="38" spans="1:15">
      <c r="A38" s="23"/>
      <c r="B38" s="23"/>
      <c r="C38" s="24"/>
      <c r="D38" s="24"/>
      <c r="E38" s="17"/>
      <c r="F38" s="17"/>
      <c r="G38" s="22"/>
      <c r="H38" s="17"/>
      <c r="I38" s="22"/>
      <c r="J38" s="22"/>
      <c r="K38" s="22"/>
      <c r="L38" s="22"/>
      <c r="M38" s="22"/>
      <c r="N38" s="22"/>
      <c r="O38" s="22"/>
    </row>
    <row r="39" spans="1:15">
      <c r="A39" s="23"/>
      <c r="B39" s="23"/>
      <c r="C39" s="17"/>
      <c r="D39" s="17"/>
      <c r="E39" s="17"/>
      <c r="F39" s="17"/>
      <c r="G39" s="22"/>
      <c r="H39" s="17"/>
      <c r="I39" s="22"/>
      <c r="J39" s="22"/>
      <c r="K39" s="22"/>
      <c r="L39" s="22"/>
      <c r="M39" s="22"/>
      <c r="N39" s="22"/>
      <c r="O39" s="22"/>
    </row>
  </sheetData>
  <mergeCells count="3">
    <mergeCell ref="A3:O3"/>
    <mergeCell ref="A4:O4"/>
    <mergeCell ref="A5:O5"/>
  </mergeCells>
  <pageMargins left="0.7" right="0.7" top="0.75" bottom="0.75" header="0.3" footer="0.3"/>
  <pageSetup orientation="portrait" verticalDpi="0" r:id="rId1"/>
  <headerFooter>
    <oddHeader>&amp;L&amp;8 2016 BHP-Workpaper 9 Supplemental Supporting Schedules&amp;C
ACTUAL SERVICE YEAR ATRR
BLACK HILLS POWER, INC.
SUPPORTING SCHEDULES&amp;RPage &amp;P of &amp;N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V39"/>
  <sheetViews>
    <sheetView workbookViewId="0">
      <selection activeCell="F62" sqref="F62"/>
    </sheetView>
  </sheetViews>
  <sheetFormatPr defaultRowHeight="15"/>
  <cols>
    <col min="1" max="1" width="3.44140625" bestFit="1" customWidth="1"/>
    <col min="2" max="2" width="3.44140625" customWidth="1"/>
    <col min="3" max="3" width="13.33203125" customWidth="1"/>
    <col min="4" max="4" width="2.77734375" customWidth="1"/>
    <col min="5" max="5" width="15.33203125" customWidth="1"/>
    <col min="6" max="6" width="3" customWidth="1"/>
    <col min="7" max="7" width="11.88671875" bestFit="1" customWidth="1"/>
    <col min="8" max="8" width="3" customWidth="1"/>
    <col min="9" max="9" width="11.88671875" bestFit="1" customWidth="1"/>
    <col min="10" max="10" width="3.109375" customWidth="1"/>
    <col min="11" max="11" width="11.88671875" customWidth="1"/>
    <col min="12" max="12" width="3.109375" customWidth="1"/>
    <col min="13" max="13" width="13.5546875" bestFit="1" customWidth="1"/>
    <col min="14" max="15" width="9.33203125" customWidth="1"/>
    <col min="16" max="16" width="10.33203125" bestFit="1" customWidth="1"/>
    <col min="18" max="18" width="9.21875" bestFit="1" customWidth="1"/>
    <col min="20" max="20" width="10.88671875" bestFit="1" customWidth="1"/>
    <col min="261" max="261" width="3.44140625" bestFit="1" customWidth="1"/>
    <col min="262" max="262" width="3.44140625" customWidth="1"/>
    <col min="263" max="263" width="13.33203125" customWidth="1"/>
    <col min="264" max="264" width="2.77734375" customWidth="1"/>
    <col min="265" max="265" width="15.33203125" customWidth="1"/>
    <col min="266" max="266" width="3" customWidth="1"/>
    <col min="267" max="267" width="11.88671875" bestFit="1" customWidth="1"/>
    <col min="268" max="268" width="3.109375" customWidth="1"/>
    <col min="269" max="269" width="13.5546875" bestFit="1" customWidth="1"/>
    <col min="270" max="271" width="9.33203125" customWidth="1"/>
    <col min="517" max="517" width="3.44140625" bestFit="1" customWidth="1"/>
    <col min="518" max="518" width="3.44140625" customWidth="1"/>
    <col min="519" max="519" width="13.33203125" customWidth="1"/>
    <col min="520" max="520" width="2.77734375" customWidth="1"/>
    <col min="521" max="521" width="15.33203125" customWidth="1"/>
    <col min="522" max="522" width="3" customWidth="1"/>
    <col min="523" max="523" width="11.88671875" bestFit="1" customWidth="1"/>
    <col min="524" max="524" width="3.109375" customWidth="1"/>
    <col min="525" max="525" width="13.5546875" bestFit="1" customWidth="1"/>
    <col min="526" max="527" width="9.33203125" customWidth="1"/>
    <col min="773" max="773" width="3.44140625" bestFit="1" customWidth="1"/>
    <col min="774" max="774" width="3.44140625" customWidth="1"/>
    <col min="775" max="775" width="13.33203125" customWidth="1"/>
    <col min="776" max="776" width="2.77734375" customWidth="1"/>
    <col min="777" max="777" width="15.33203125" customWidth="1"/>
    <col min="778" max="778" width="3" customWidth="1"/>
    <col min="779" max="779" width="11.88671875" bestFit="1" customWidth="1"/>
    <col min="780" max="780" width="3.109375" customWidth="1"/>
    <col min="781" max="781" width="13.5546875" bestFit="1" customWidth="1"/>
    <col min="782" max="783" width="9.33203125" customWidth="1"/>
    <col min="1029" max="1029" width="3.44140625" bestFit="1" customWidth="1"/>
    <col min="1030" max="1030" width="3.44140625" customWidth="1"/>
    <col min="1031" max="1031" width="13.33203125" customWidth="1"/>
    <col min="1032" max="1032" width="2.77734375" customWidth="1"/>
    <col min="1033" max="1033" width="15.33203125" customWidth="1"/>
    <col min="1034" max="1034" width="3" customWidth="1"/>
    <col min="1035" max="1035" width="11.88671875" bestFit="1" customWidth="1"/>
    <col min="1036" max="1036" width="3.109375" customWidth="1"/>
    <col min="1037" max="1037" width="13.5546875" bestFit="1" customWidth="1"/>
    <col min="1038" max="1039" width="9.33203125" customWidth="1"/>
    <col min="1285" max="1285" width="3.44140625" bestFit="1" customWidth="1"/>
    <col min="1286" max="1286" width="3.44140625" customWidth="1"/>
    <col min="1287" max="1287" width="13.33203125" customWidth="1"/>
    <col min="1288" max="1288" width="2.77734375" customWidth="1"/>
    <col min="1289" max="1289" width="15.33203125" customWidth="1"/>
    <col min="1290" max="1290" width="3" customWidth="1"/>
    <col min="1291" max="1291" width="11.88671875" bestFit="1" customWidth="1"/>
    <col min="1292" max="1292" width="3.109375" customWidth="1"/>
    <col min="1293" max="1293" width="13.5546875" bestFit="1" customWidth="1"/>
    <col min="1294" max="1295" width="9.33203125" customWidth="1"/>
    <col min="1541" max="1541" width="3.44140625" bestFit="1" customWidth="1"/>
    <col min="1542" max="1542" width="3.44140625" customWidth="1"/>
    <col min="1543" max="1543" width="13.33203125" customWidth="1"/>
    <col min="1544" max="1544" width="2.77734375" customWidth="1"/>
    <col min="1545" max="1545" width="15.33203125" customWidth="1"/>
    <col min="1546" max="1546" width="3" customWidth="1"/>
    <col min="1547" max="1547" width="11.88671875" bestFit="1" customWidth="1"/>
    <col min="1548" max="1548" width="3.109375" customWidth="1"/>
    <col min="1549" max="1549" width="13.5546875" bestFit="1" customWidth="1"/>
    <col min="1550" max="1551" width="9.33203125" customWidth="1"/>
    <col min="1797" max="1797" width="3.44140625" bestFit="1" customWidth="1"/>
    <col min="1798" max="1798" width="3.44140625" customWidth="1"/>
    <col min="1799" max="1799" width="13.33203125" customWidth="1"/>
    <col min="1800" max="1800" width="2.77734375" customWidth="1"/>
    <col min="1801" max="1801" width="15.33203125" customWidth="1"/>
    <col min="1802" max="1802" width="3" customWidth="1"/>
    <col min="1803" max="1803" width="11.88671875" bestFit="1" customWidth="1"/>
    <col min="1804" max="1804" width="3.109375" customWidth="1"/>
    <col min="1805" max="1805" width="13.5546875" bestFit="1" customWidth="1"/>
    <col min="1806" max="1807" width="9.33203125" customWidth="1"/>
    <col min="2053" max="2053" width="3.44140625" bestFit="1" customWidth="1"/>
    <col min="2054" max="2054" width="3.44140625" customWidth="1"/>
    <col min="2055" max="2055" width="13.33203125" customWidth="1"/>
    <col min="2056" max="2056" width="2.77734375" customWidth="1"/>
    <col min="2057" max="2057" width="15.33203125" customWidth="1"/>
    <col min="2058" max="2058" width="3" customWidth="1"/>
    <col min="2059" max="2059" width="11.88671875" bestFit="1" customWidth="1"/>
    <col min="2060" max="2060" width="3.109375" customWidth="1"/>
    <col min="2061" max="2061" width="13.5546875" bestFit="1" customWidth="1"/>
    <col min="2062" max="2063" width="9.33203125" customWidth="1"/>
    <col min="2309" max="2309" width="3.44140625" bestFit="1" customWidth="1"/>
    <col min="2310" max="2310" width="3.44140625" customWidth="1"/>
    <col min="2311" max="2311" width="13.33203125" customWidth="1"/>
    <col min="2312" max="2312" width="2.77734375" customWidth="1"/>
    <col min="2313" max="2313" width="15.33203125" customWidth="1"/>
    <col min="2314" max="2314" width="3" customWidth="1"/>
    <col min="2315" max="2315" width="11.88671875" bestFit="1" customWidth="1"/>
    <col min="2316" max="2316" width="3.109375" customWidth="1"/>
    <col min="2317" max="2317" width="13.5546875" bestFit="1" customWidth="1"/>
    <col min="2318" max="2319" width="9.33203125" customWidth="1"/>
    <col min="2565" max="2565" width="3.44140625" bestFit="1" customWidth="1"/>
    <col min="2566" max="2566" width="3.44140625" customWidth="1"/>
    <col min="2567" max="2567" width="13.33203125" customWidth="1"/>
    <col min="2568" max="2568" width="2.77734375" customWidth="1"/>
    <col min="2569" max="2569" width="15.33203125" customWidth="1"/>
    <col min="2570" max="2570" width="3" customWidth="1"/>
    <col min="2571" max="2571" width="11.88671875" bestFit="1" customWidth="1"/>
    <col min="2572" max="2572" width="3.109375" customWidth="1"/>
    <col min="2573" max="2573" width="13.5546875" bestFit="1" customWidth="1"/>
    <col min="2574" max="2575" width="9.33203125" customWidth="1"/>
    <col min="2821" max="2821" width="3.44140625" bestFit="1" customWidth="1"/>
    <col min="2822" max="2822" width="3.44140625" customWidth="1"/>
    <col min="2823" max="2823" width="13.33203125" customWidth="1"/>
    <col min="2824" max="2824" width="2.77734375" customWidth="1"/>
    <col min="2825" max="2825" width="15.33203125" customWidth="1"/>
    <col min="2826" max="2826" width="3" customWidth="1"/>
    <col min="2827" max="2827" width="11.88671875" bestFit="1" customWidth="1"/>
    <col min="2828" max="2828" width="3.109375" customWidth="1"/>
    <col min="2829" max="2829" width="13.5546875" bestFit="1" customWidth="1"/>
    <col min="2830" max="2831" width="9.33203125" customWidth="1"/>
    <col min="3077" max="3077" width="3.44140625" bestFit="1" customWidth="1"/>
    <col min="3078" max="3078" width="3.44140625" customWidth="1"/>
    <col min="3079" max="3079" width="13.33203125" customWidth="1"/>
    <col min="3080" max="3080" width="2.77734375" customWidth="1"/>
    <col min="3081" max="3081" width="15.33203125" customWidth="1"/>
    <col min="3082" max="3082" width="3" customWidth="1"/>
    <col min="3083" max="3083" width="11.88671875" bestFit="1" customWidth="1"/>
    <col min="3084" max="3084" width="3.109375" customWidth="1"/>
    <col min="3085" max="3085" width="13.5546875" bestFit="1" customWidth="1"/>
    <col min="3086" max="3087" width="9.33203125" customWidth="1"/>
    <col min="3333" max="3333" width="3.44140625" bestFit="1" customWidth="1"/>
    <col min="3334" max="3334" width="3.44140625" customWidth="1"/>
    <col min="3335" max="3335" width="13.33203125" customWidth="1"/>
    <col min="3336" max="3336" width="2.77734375" customWidth="1"/>
    <col min="3337" max="3337" width="15.33203125" customWidth="1"/>
    <col min="3338" max="3338" width="3" customWidth="1"/>
    <col min="3339" max="3339" width="11.88671875" bestFit="1" customWidth="1"/>
    <col min="3340" max="3340" width="3.109375" customWidth="1"/>
    <col min="3341" max="3341" width="13.5546875" bestFit="1" customWidth="1"/>
    <col min="3342" max="3343" width="9.33203125" customWidth="1"/>
    <col min="3589" max="3589" width="3.44140625" bestFit="1" customWidth="1"/>
    <col min="3590" max="3590" width="3.44140625" customWidth="1"/>
    <col min="3591" max="3591" width="13.33203125" customWidth="1"/>
    <col min="3592" max="3592" width="2.77734375" customWidth="1"/>
    <col min="3593" max="3593" width="15.33203125" customWidth="1"/>
    <col min="3594" max="3594" width="3" customWidth="1"/>
    <col min="3595" max="3595" width="11.88671875" bestFit="1" customWidth="1"/>
    <col min="3596" max="3596" width="3.109375" customWidth="1"/>
    <col min="3597" max="3597" width="13.5546875" bestFit="1" customWidth="1"/>
    <col min="3598" max="3599" width="9.33203125" customWidth="1"/>
    <col min="3845" max="3845" width="3.44140625" bestFit="1" customWidth="1"/>
    <col min="3846" max="3846" width="3.44140625" customWidth="1"/>
    <col min="3847" max="3847" width="13.33203125" customWidth="1"/>
    <col min="3848" max="3848" width="2.77734375" customWidth="1"/>
    <col min="3849" max="3849" width="15.33203125" customWidth="1"/>
    <col min="3850" max="3850" width="3" customWidth="1"/>
    <col min="3851" max="3851" width="11.88671875" bestFit="1" customWidth="1"/>
    <col min="3852" max="3852" width="3.109375" customWidth="1"/>
    <col min="3853" max="3853" width="13.5546875" bestFit="1" customWidth="1"/>
    <col min="3854" max="3855" width="9.33203125" customWidth="1"/>
    <col min="4101" max="4101" width="3.44140625" bestFit="1" customWidth="1"/>
    <col min="4102" max="4102" width="3.44140625" customWidth="1"/>
    <col min="4103" max="4103" width="13.33203125" customWidth="1"/>
    <col min="4104" max="4104" width="2.77734375" customWidth="1"/>
    <col min="4105" max="4105" width="15.33203125" customWidth="1"/>
    <col min="4106" max="4106" width="3" customWidth="1"/>
    <col min="4107" max="4107" width="11.88671875" bestFit="1" customWidth="1"/>
    <col min="4108" max="4108" width="3.109375" customWidth="1"/>
    <col min="4109" max="4109" width="13.5546875" bestFit="1" customWidth="1"/>
    <col min="4110" max="4111" width="9.33203125" customWidth="1"/>
    <col min="4357" max="4357" width="3.44140625" bestFit="1" customWidth="1"/>
    <col min="4358" max="4358" width="3.44140625" customWidth="1"/>
    <col min="4359" max="4359" width="13.33203125" customWidth="1"/>
    <col min="4360" max="4360" width="2.77734375" customWidth="1"/>
    <col min="4361" max="4361" width="15.33203125" customWidth="1"/>
    <col min="4362" max="4362" width="3" customWidth="1"/>
    <col min="4363" max="4363" width="11.88671875" bestFit="1" customWidth="1"/>
    <col min="4364" max="4364" width="3.109375" customWidth="1"/>
    <col min="4365" max="4365" width="13.5546875" bestFit="1" customWidth="1"/>
    <col min="4366" max="4367" width="9.33203125" customWidth="1"/>
    <col min="4613" max="4613" width="3.44140625" bestFit="1" customWidth="1"/>
    <col min="4614" max="4614" width="3.44140625" customWidth="1"/>
    <col min="4615" max="4615" width="13.33203125" customWidth="1"/>
    <col min="4616" max="4616" width="2.77734375" customWidth="1"/>
    <col min="4617" max="4617" width="15.33203125" customWidth="1"/>
    <col min="4618" max="4618" width="3" customWidth="1"/>
    <col min="4619" max="4619" width="11.88671875" bestFit="1" customWidth="1"/>
    <col min="4620" max="4620" width="3.109375" customWidth="1"/>
    <col min="4621" max="4621" width="13.5546875" bestFit="1" customWidth="1"/>
    <col min="4622" max="4623" width="9.33203125" customWidth="1"/>
    <col min="4869" max="4869" width="3.44140625" bestFit="1" customWidth="1"/>
    <col min="4870" max="4870" width="3.44140625" customWidth="1"/>
    <col min="4871" max="4871" width="13.33203125" customWidth="1"/>
    <col min="4872" max="4872" width="2.77734375" customWidth="1"/>
    <col min="4873" max="4873" width="15.33203125" customWidth="1"/>
    <col min="4874" max="4874" width="3" customWidth="1"/>
    <col min="4875" max="4875" width="11.88671875" bestFit="1" customWidth="1"/>
    <col min="4876" max="4876" width="3.109375" customWidth="1"/>
    <col min="4877" max="4877" width="13.5546875" bestFit="1" customWidth="1"/>
    <col min="4878" max="4879" width="9.33203125" customWidth="1"/>
    <col min="5125" max="5125" width="3.44140625" bestFit="1" customWidth="1"/>
    <col min="5126" max="5126" width="3.44140625" customWidth="1"/>
    <col min="5127" max="5127" width="13.33203125" customWidth="1"/>
    <col min="5128" max="5128" width="2.77734375" customWidth="1"/>
    <col min="5129" max="5129" width="15.33203125" customWidth="1"/>
    <col min="5130" max="5130" width="3" customWidth="1"/>
    <col min="5131" max="5131" width="11.88671875" bestFit="1" customWidth="1"/>
    <col min="5132" max="5132" width="3.109375" customWidth="1"/>
    <col min="5133" max="5133" width="13.5546875" bestFit="1" customWidth="1"/>
    <col min="5134" max="5135" width="9.33203125" customWidth="1"/>
    <col min="5381" max="5381" width="3.44140625" bestFit="1" customWidth="1"/>
    <col min="5382" max="5382" width="3.44140625" customWidth="1"/>
    <col min="5383" max="5383" width="13.33203125" customWidth="1"/>
    <col min="5384" max="5384" width="2.77734375" customWidth="1"/>
    <col min="5385" max="5385" width="15.33203125" customWidth="1"/>
    <col min="5386" max="5386" width="3" customWidth="1"/>
    <col min="5387" max="5387" width="11.88671875" bestFit="1" customWidth="1"/>
    <col min="5388" max="5388" width="3.109375" customWidth="1"/>
    <col min="5389" max="5389" width="13.5546875" bestFit="1" customWidth="1"/>
    <col min="5390" max="5391" width="9.33203125" customWidth="1"/>
    <col min="5637" max="5637" width="3.44140625" bestFit="1" customWidth="1"/>
    <col min="5638" max="5638" width="3.44140625" customWidth="1"/>
    <col min="5639" max="5639" width="13.33203125" customWidth="1"/>
    <col min="5640" max="5640" width="2.77734375" customWidth="1"/>
    <col min="5641" max="5641" width="15.33203125" customWidth="1"/>
    <col min="5642" max="5642" width="3" customWidth="1"/>
    <col min="5643" max="5643" width="11.88671875" bestFit="1" customWidth="1"/>
    <col min="5644" max="5644" width="3.109375" customWidth="1"/>
    <col min="5645" max="5645" width="13.5546875" bestFit="1" customWidth="1"/>
    <col min="5646" max="5647" width="9.33203125" customWidth="1"/>
    <col min="5893" max="5893" width="3.44140625" bestFit="1" customWidth="1"/>
    <col min="5894" max="5894" width="3.44140625" customWidth="1"/>
    <col min="5895" max="5895" width="13.33203125" customWidth="1"/>
    <col min="5896" max="5896" width="2.77734375" customWidth="1"/>
    <col min="5897" max="5897" width="15.33203125" customWidth="1"/>
    <col min="5898" max="5898" width="3" customWidth="1"/>
    <col min="5899" max="5899" width="11.88671875" bestFit="1" customWidth="1"/>
    <col min="5900" max="5900" width="3.109375" customWidth="1"/>
    <col min="5901" max="5901" width="13.5546875" bestFit="1" customWidth="1"/>
    <col min="5902" max="5903" width="9.33203125" customWidth="1"/>
    <col min="6149" max="6149" width="3.44140625" bestFit="1" customWidth="1"/>
    <col min="6150" max="6150" width="3.44140625" customWidth="1"/>
    <col min="6151" max="6151" width="13.33203125" customWidth="1"/>
    <col min="6152" max="6152" width="2.77734375" customWidth="1"/>
    <col min="6153" max="6153" width="15.33203125" customWidth="1"/>
    <col min="6154" max="6154" width="3" customWidth="1"/>
    <col min="6155" max="6155" width="11.88671875" bestFit="1" customWidth="1"/>
    <col min="6156" max="6156" width="3.109375" customWidth="1"/>
    <col min="6157" max="6157" width="13.5546875" bestFit="1" customWidth="1"/>
    <col min="6158" max="6159" width="9.33203125" customWidth="1"/>
    <col min="6405" max="6405" width="3.44140625" bestFit="1" customWidth="1"/>
    <col min="6406" max="6406" width="3.44140625" customWidth="1"/>
    <col min="6407" max="6407" width="13.33203125" customWidth="1"/>
    <col min="6408" max="6408" width="2.77734375" customWidth="1"/>
    <col min="6409" max="6409" width="15.33203125" customWidth="1"/>
    <col min="6410" max="6410" width="3" customWidth="1"/>
    <col min="6411" max="6411" width="11.88671875" bestFit="1" customWidth="1"/>
    <col min="6412" max="6412" width="3.109375" customWidth="1"/>
    <col min="6413" max="6413" width="13.5546875" bestFit="1" customWidth="1"/>
    <col min="6414" max="6415" width="9.33203125" customWidth="1"/>
    <col min="6661" max="6661" width="3.44140625" bestFit="1" customWidth="1"/>
    <col min="6662" max="6662" width="3.44140625" customWidth="1"/>
    <col min="6663" max="6663" width="13.33203125" customWidth="1"/>
    <col min="6664" max="6664" width="2.77734375" customWidth="1"/>
    <col min="6665" max="6665" width="15.33203125" customWidth="1"/>
    <col min="6666" max="6666" width="3" customWidth="1"/>
    <col min="6667" max="6667" width="11.88671875" bestFit="1" customWidth="1"/>
    <col min="6668" max="6668" width="3.109375" customWidth="1"/>
    <col min="6669" max="6669" width="13.5546875" bestFit="1" customWidth="1"/>
    <col min="6670" max="6671" width="9.33203125" customWidth="1"/>
    <col min="6917" max="6917" width="3.44140625" bestFit="1" customWidth="1"/>
    <col min="6918" max="6918" width="3.44140625" customWidth="1"/>
    <col min="6919" max="6919" width="13.33203125" customWidth="1"/>
    <col min="6920" max="6920" width="2.77734375" customWidth="1"/>
    <col min="6921" max="6921" width="15.33203125" customWidth="1"/>
    <col min="6922" max="6922" width="3" customWidth="1"/>
    <col min="6923" max="6923" width="11.88671875" bestFit="1" customWidth="1"/>
    <col min="6924" max="6924" width="3.109375" customWidth="1"/>
    <col min="6925" max="6925" width="13.5546875" bestFit="1" customWidth="1"/>
    <col min="6926" max="6927" width="9.33203125" customWidth="1"/>
    <col min="7173" max="7173" width="3.44140625" bestFit="1" customWidth="1"/>
    <col min="7174" max="7174" width="3.44140625" customWidth="1"/>
    <col min="7175" max="7175" width="13.33203125" customWidth="1"/>
    <col min="7176" max="7176" width="2.77734375" customWidth="1"/>
    <col min="7177" max="7177" width="15.33203125" customWidth="1"/>
    <col min="7178" max="7178" width="3" customWidth="1"/>
    <col min="7179" max="7179" width="11.88671875" bestFit="1" customWidth="1"/>
    <col min="7180" max="7180" width="3.109375" customWidth="1"/>
    <col min="7181" max="7181" width="13.5546875" bestFit="1" customWidth="1"/>
    <col min="7182" max="7183" width="9.33203125" customWidth="1"/>
    <col min="7429" max="7429" width="3.44140625" bestFit="1" customWidth="1"/>
    <col min="7430" max="7430" width="3.44140625" customWidth="1"/>
    <col min="7431" max="7431" width="13.33203125" customWidth="1"/>
    <col min="7432" max="7432" width="2.77734375" customWidth="1"/>
    <col min="7433" max="7433" width="15.33203125" customWidth="1"/>
    <col min="7434" max="7434" width="3" customWidth="1"/>
    <col min="7435" max="7435" width="11.88671875" bestFit="1" customWidth="1"/>
    <col min="7436" max="7436" width="3.109375" customWidth="1"/>
    <col min="7437" max="7437" width="13.5546875" bestFit="1" customWidth="1"/>
    <col min="7438" max="7439" width="9.33203125" customWidth="1"/>
    <col min="7685" max="7685" width="3.44140625" bestFit="1" customWidth="1"/>
    <col min="7686" max="7686" width="3.44140625" customWidth="1"/>
    <col min="7687" max="7687" width="13.33203125" customWidth="1"/>
    <col min="7688" max="7688" width="2.77734375" customWidth="1"/>
    <col min="7689" max="7689" width="15.33203125" customWidth="1"/>
    <col min="7690" max="7690" width="3" customWidth="1"/>
    <col min="7691" max="7691" width="11.88671875" bestFit="1" customWidth="1"/>
    <col min="7692" max="7692" width="3.109375" customWidth="1"/>
    <col min="7693" max="7693" width="13.5546875" bestFit="1" customWidth="1"/>
    <col min="7694" max="7695" width="9.33203125" customWidth="1"/>
    <col min="7941" max="7941" width="3.44140625" bestFit="1" customWidth="1"/>
    <col min="7942" max="7942" width="3.44140625" customWidth="1"/>
    <col min="7943" max="7943" width="13.33203125" customWidth="1"/>
    <col min="7944" max="7944" width="2.77734375" customWidth="1"/>
    <col min="7945" max="7945" width="15.33203125" customWidth="1"/>
    <col min="7946" max="7946" width="3" customWidth="1"/>
    <col min="7947" max="7947" width="11.88671875" bestFit="1" customWidth="1"/>
    <col min="7948" max="7948" width="3.109375" customWidth="1"/>
    <col min="7949" max="7949" width="13.5546875" bestFit="1" customWidth="1"/>
    <col min="7950" max="7951" width="9.33203125" customWidth="1"/>
    <col min="8197" max="8197" width="3.44140625" bestFit="1" customWidth="1"/>
    <col min="8198" max="8198" width="3.44140625" customWidth="1"/>
    <col min="8199" max="8199" width="13.33203125" customWidth="1"/>
    <col min="8200" max="8200" width="2.77734375" customWidth="1"/>
    <col min="8201" max="8201" width="15.33203125" customWidth="1"/>
    <col min="8202" max="8202" width="3" customWidth="1"/>
    <col min="8203" max="8203" width="11.88671875" bestFit="1" customWidth="1"/>
    <col min="8204" max="8204" width="3.109375" customWidth="1"/>
    <col min="8205" max="8205" width="13.5546875" bestFit="1" customWidth="1"/>
    <col min="8206" max="8207" width="9.33203125" customWidth="1"/>
    <col min="8453" max="8453" width="3.44140625" bestFit="1" customWidth="1"/>
    <col min="8454" max="8454" width="3.44140625" customWidth="1"/>
    <col min="8455" max="8455" width="13.33203125" customWidth="1"/>
    <col min="8456" max="8456" width="2.77734375" customWidth="1"/>
    <col min="8457" max="8457" width="15.33203125" customWidth="1"/>
    <col min="8458" max="8458" width="3" customWidth="1"/>
    <col min="8459" max="8459" width="11.88671875" bestFit="1" customWidth="1"/>
    <col min="8460" max="8460" width="3.109375" customWidth="1"/>
    <col min="8461" max="8461" width="13.5546875" bestFit="1" customWidth="1"/>
    <col min="8462" max="8463" width="9.33203125" customWidth="1"/>
    <col min="8709" max="8709" width="3.44140625" bestFit="1" customWidth="1"/>
    <col min="8710" max="8710" width="3.44140625" customWidth="1"/>
    <col min="8711" max="8711" width="13.33203125" customWidth="1"/>
    <col min="8712" max="8712" width="2.77734375" customWidth="1"/>
    <col min="8713" max="8713" width="15.33203125" customWidth="1"/>
    <col min="8714" max="8714" width="3" customWidth="1"/>
    <col min="8715" max="8715" width="11.88671875" bestFit="1" customWidth="1"/>
    <col min="8716" max="8716" width="3.109375" customWidth="1"/>
    <col min="8717" max="8717" width="13.5546875" bestFit="1" customWidth="1"/>
    <col min="8718" max="8719" width="9.33203125" customWidth="1"/>
    <col min="8965" max="8965" width="3.44140625" bestFit="1" customWidth="1"/>
    <col min="8966" max="8966" width="3.44140625" customWidth="1"/>
    <col min="8967" max="8967" width="13.33203125" customWidth="1"/>
    <col min="8968" max="8968" width="2.77734375" customWidth="1"/>
    <col min="8969" max="8969" width="15.33203125" customWidth="1"/>
    <col min="8970" max="8970" width="3" customWidth="1"/>
    <col min="8971" max="8971" width="11.88671875" bestFit="1" customWidth="1"/>
    <col min="8972" max="8972" width="3.109375" customWidth="1"/>
    <col min="8973" max="8973" width="13.5546875" bestFit="1" customWidth="1"/>
    <col min="8974" max="8975" width="9.33203125" customWidth="1"/>
    <col min="9221" max="9221" width="3.44140625" bestFit="1" customWidth="1"/>
    <col min="9222" max="9222" width="3.44140625" customWidth="1"/>
    <col min="9223" max="9223" width="13.33203125" customWidth="1"/>
    <col min="9224" max="9224" width="2.77734375" customWidth="1"/>
    <col min="9225" max="9225" width="15.33203125" customWidth="1"/>
    <col min="9226" max="9226" width="3" customWidth="1"/>
    <col min="9227" max="9227" width="11.88671875" bestFit="1" customWidth="1"/>
    <col min="9228" max="9228" width="3.109375" customWidth="1"/>
    <col min="9229" max="9229" width="13.5546875" bestFit="1" customWidth="1"/>
    <col min="9230" max="9231" width="9.33203125" customWidth="1"/>
    <col min="9477" max="9477" width="3.44140625" bestFit="1" customWidth="1"/>
    <col min="9478" max="9478" width="3.44140625" customWidth="1"/>
    <col min="9479" max="9479" width="13.33203125" customWidth="1"/>
    <col min="9480" max="9480" width="2.77734375" customWidth="1"/>
    <col min="9481" max="9481" width="15.33203125" customWidth="1"/>
    <col min="9482" max="9482" width="3" customWidth="1"/>
    <col min="9483" max="9483" width="11.88671875" bestFit="1" customWidth="1"/>
    <col min="9484" max="9484" width="3.109375" customWidth="1"/>
    <col min="9485" max="9485" width="13.5546875" bestFit="1" customWidth="1"/>
    <col min="9486" max="9487" width="9.33203125" customWidth="1"/>
    <col min="9733" max="9733" width="3.44140625" bestFit="1" customWidth="1"/>
    <col min="9734" max="9734" width="3.44140625" customWidth="1"/>
    <col min="9735" max="9735" width="13.33203125" customWidth="1"/>
    <col min="9736" max="9736" width="2.77734375" customWidth="1"/>
    <col min="9737" max="9737" width="15.33203125" customWidth="1"/>
    <col min="9738" max="9738" width="3" customWidth="1"/>
    <col min="9739" max="9739" width="11.88671875" bestFit="1" customWidth="1"/>
    <col min="9740" max="9740" width="3.109375" customWidth="1"/>
    <col min="9741" max="9741" width="13.5546875" bestFit="1" customWidth="1"/>
    <col min="9742" max="9743" width="9.33203125" customWidth="1"/>
    <col min="9989" max="9989" width="3.44140625" bestFit="1" customWidth="1"/>
    <col min="9990" max="9990" width="3.44140625" customWidth="1"/>
    <col min="9991" max="9991" width="13.33203125" customWidth="1"/>
    <col min="9992" max="9992" width="2.77734375" customWidth="1"/>
    <col min="9993" max="9993" width="15.33203125" customWidth="1"/>
    <col min="9994" max="9994" width="3" customWidth="1"/>
    <col min="9995" max="9995" width="11.88671875" bestFit="1" customWidth="1"/>
    <col min="9996" max="9996" width="3.109375" customWidth="1"/>
    <col min="9997" max="9997" width="13.5546875" bestFit="1" customWidth="1"/>
    <col min="9998" max="9999" width="9.33203125" customWidth="1"/>
    <col min="10245" max="10245" width="3.44140625" bestFit="1" customWidth="1"/>
    <col min="10246" max="10246" width="3.44140625" customWidth="1"/>
    <col min="10247" max="10247" width="13.33203125" customWidth="1"/>
    <col min="10248" max="10248" width="2.77734375" customWidth="1"/>
    <col min="10249" max="10249" width="15.33203125" customWidth="1"/>
    <col min="10250" max="10250" width="3" customWidth="1"/>
    <col min="10251" max="10251" width="11.88671875" bestFit="1" customWidth="1"/>
    <col min="10252" max="10252" width="3.109375" customWidth="1"/>
    <col min="10253" max="10253" width="13.5546875" bestFit="1" customWidth="1"/>
    <col min="10254" max="10255" width="9.33203125" customWidth="1"/>
    <col min="10501" max="10501" width="3.44140625" bestFit="1" customWidth="1"/>
    <col min="10502" max="10502" width="3.44140625" customWidth="1"/>
    <col min="10503" max="10503" width="13.33203125" customWidth="1"/>
    <col min="10504" max="10504" width="2.77734375" customWidth="1"/>
    <col min="10505" max="10505" width="15.33203125" customWidth="1"/>
    <col min="10506" max="10506" width="3" customWidth="1"/>
    <col min="10507" max="10507" width="11.88671875" bestFit="1" customWidth="1"/>
    <col min="10508" max="10508" width="3.109375" customWidth="1"/>
    <col min="10509" max="10509" width="13.5546875" bestFit="1" customWidth="1"/>
    <col min="10510" max="10511" width="9.33203125" customWidth="1"/>
    <col min="10757" max="10757" width="3.44140625" bestFit="1" customWidth="1"/>
    <col min="10758" max="10758" width="3.44140625" customWidth="1"/>
    <col min="10759" max="10759" width="13.33203125" customWidth="1"/>
    <col min="10760" max="10760" width="2.77734375" customWidth="1"/>
    <col min="10761" max="10761" width="15.33203125" customWidth="1"/>
    <col min="10762" max="10762" width="3" customWidth="1"/>
    <col min="10763" max="10763" width="11.88671875" bestFit="1" customWidth="1"/>
    <col min="10764" max="10764" width="3.109375" customWidth="1"/>
    <col min="10765" max="10765" width="13.5546875" bestFit="1" customWidth="1"/>
    <col min="10766" max="10767" width="9.33203125" customWidth="1"/>
    <col min="11013" max="11013" width="3.44140625" bestFit="1" customWidth="1"/>
    <col min="11014" max="11014" width="3.44140625" customWidth="1"/>
    <col min="11015" max="11015" width="13.33203125" customWidth="1"/>
    <col min="11016" max="11016" width="2.77734375" customWidth="1"/>
    <col min="11017" max="11017" width="15.33203125" customWidth="1"/>
    <col min="11018" max="11018" width="3" customWidth="1"/>
    <col min="11019" max="11019" width="11.88671875" bestFit="1" customWidth="1"/>
    <col min="11020" max="11020" width="3.109375" customWidth="1"/>
    <col min="11021" max="11021" width="13.5546875" bestFit="1" customWidth="1"/>
    <col min="11022" max="11023" width="9.33203125" customWidth="1"/>
    <col min="11269" max="11269" width="3.44140625" bestFit="1" customWidth="1"/>
    <col min="11270" max="11270" width="3.44140625" customWidth="1"/>
    <col min="11271" max="11271" width="13.33203125" customWidth="1"/>
    <col min="11272" max="11272" width="2.77734375" customWidth="1"/>
    <col min="11273" max="11273" width="15.33203125" customWidth="1"/>
    <col min="11274" max="11274" width="3" customWidth="1"/>
    <col min="11275" max="11275" width="11.88671875" bestFit="1" customWidth="1"/>
    <col min="11276" max="11276" width="3.109375" customWidth="1"/>
    <col min="11277" max="11277" width="13.5546875" bestFit="1" customWidth="1"/>
    <col min="11278" max="11279" width="9.33203125" customWidth="1"/>
    <col min="11525" max="11525" width="3.44140625" bestFit="1" customWidth="1"/>
    <col min="11526" max="11526" width="3.44140625" customWidth="1"/>
    <col min="11527" max="11527" width="13.33203125" customWidth="1"/>
    <col min="11528" max="11528" width="2.77734375" customWidth="1"/>
    <col min="11529" max="11529" width="15.33203125" customWidth="1"/>
    <col min="11530" max="11530" width="3" customWidth="1"/>
    <col min="11531" max="11531" width="11.88671875" bestFit="1" customWidth="1"/>
    <col min="11532" max="11532" width="3.109375" customWidth="1"/>
    <col min="11533" max="11533" width="13.5546875" bestFit="1" customWidth="1"/>
    <col min="11534" max="11535" width="9.33203125" customWidth="1"/>
    <col min="11781" max="11781" width="3.44140625" bestFit="1" customWidth="1"/>
    <col min="11782" max="11782" width="3.44140625" customWidth="1"/>
    <col min="11783" max="11783" width="13.33203125" customWidth="1"/>
    <col min="11784" max="11784" width="2.77734375" customWidth="1"/>
    <col min="11785" max="11785" width="15.33203125" customWidth="1"/>
    <col min="11786" max="11786" width="3" customWidth="1"/>
    <col min="11787" max="11787" width="11.88671875" bestFit="1" customWidth="1"/>
    <col min="11788" max="11788" width="3.109375" customWidth="1"/>
    <col min="11789" max="11789" width="13.5546875" bestFit="1" customWidth="1"/>
    <col min="11790" max="11791" width="9.33203125" customWidth="1"/>
    <col min="12037" max="12037" width="3.44140625" bestFit="1" customWidth="1"/>
    <col min="12038" max="12038" width="3.44140625" customWidth="1"/>
    <col min="12039" max="12039" width="13.33203125" customWidth="1"/>
    <col min="12040" max="12040" width="2.77734375" customWidth="1"/>
    <col min="12041" max="12041" width="15.33203125" customWidth="1"/>
    <col min="12042" max="12042" width="3" customWidth="1"/>
    <col min="12043" max="12043" width="11.88671875" bestFit="1" customWidth="1"/>
    <col min="12044" max="12044" width="3.109375" customWidth="1"/>
    <col min="12045" max="12045" width="13.5546875" bestFit="1" customWidth="1"/>
    <col min="12046" max="12047" width="9.33203125" customWidth="1"/>
    <col min="12293" max="12293" width="3.44140625" bestFit="1" customWidth="1"/>
    <col min="12294" max="12294" width="3.44140625" customWidth="1"/>
    <col min="12295" max="12295" width="13.33203125" customWidth="1"/>
    <col min="12296" max="12296" width="2.77734375" customWidth="1"/>
    <col min="12297" max="12297" width="15.33203125" customWidth="1"/>
    <col min="12298" max="12298" width="3" customWidth="1"/>
    <col min="12299" max="12299" width="11.88671875" bestFit="1" customWidth="1"/>
    <col min="12300" max="12300" width="3.109375" customWidth="1"/>
    <col min="12301" max="12301" width="13.5546875" bestFit="1" customWidth="1"/>
    <col min="12302" max="12303" width="9.33203125" customWidth="1"/>
    <col min="12549" max="12549" width="3.44140625" bestFit="1" customWidth="1"/>
    <col min="12550" max="12550" width="3.44140625" customWidth="1"/>
    <col min="12551" max="12551" width="13.33203125" customWidth="1"/>
    <col min="12552" max="12552" width="2.77734375" customWidth="1"/>
    <col min="12553" max="12553" width="15.33203125" customWidth="1"/>
    <col min="12554" max="12554" width="3" customWidth="1"/>
    <col min="12555" max="12555" width="11.88671875" bestFit="1" customWidth="1"/>
    <col min="12556" max="12556" width="3.109375" customWidth="1"/>
    <col min="12557" max="12557" width="13.5546875" bestFit="1" customWidth="1"/>
    <col min="12558" max="12559" width="9.33203125" customWidth="1"/>
    <col min="12805" max="12805" width="3.44140625" bestFit="1" customWidth="1"/>
    <col min="12806" max="12806" width="3.44140625" customWidth="1"/>
    <col min="12807" max="12807" width="13.33203125" customWidth="1"/>
    <col min="12808" max="12808" width="2.77734375" customWidth="1"/>
    <col min="12809" max="12809" width="15.33203125" customWidth="1"/>
    <col min="12810" max="12810" width="3" customWidth="1"/>
    <col min="12811" max="12811" width="11.88671875" bestFit="1" customWidth="1"/>
    <col min="12812" max="12812" width="3.109375" customWidth="1"/>
    <col min="12813" max="12813" width="13.5546875" bestFit="1" customWidth="1"/>
    <col min="12814" max="12815" width="9.33203125" customWidth="1"/>
    <col min="13061" max="13061" width="3.44140625" bestFit="1" customWidth="1"/>
    <col min="13062" max="13062" width="3.44140625" customWidth="1"/>
    <col min="13063" max="13063" width="13.33203125" customWidth="1"/>
    <col min="13064" max="13064" width="2.77734375" customWidth="1"/>
    <col min="13065" max="13065" width="15.33203125" customWidth="1"/>
    <col min="13066" max="13066" width="3" customWidth="1"/>
    <col min="13067" max="13067" width="11.88671875" bestFit="1" customWidth="1"/>
    <col min="13068" max="13068" width="3.109375" customWidth="1"/>
    <col min="13069" max="13069" width="13.5546875" bestFit="1" customWidth="1"/>
    <col min="13070" max="13071" width="9.33203125" customWidth="1"/>
    <col min="13317" max="13317" width="3.44140625" bestFit="1" customWidth="1"/>
    <col min="13318" max="13318" width="3.44140625" customWidth="1"/>
    <col min="13319" max="13319" width="13.33203125" customWidth="1"/>
    <col min="13320" max="13320" width="2.77734375" customWidth="1"/>
    <col min="13321" max="13321" width="15.33203125" customWidth="1"/>
    <col min="13322" max="13322" width="3" customWidth="1"/>
    <col min="13323" max="13323" width="11.88671875" bestFit="1" customWidth="1"/>
    <col min="13324" max="13324" width="3.109375" customWidth="1"/>
    <col min="13325" max="13325" width="13.5546875" bestFit="1" customWidth="1"/>
    <col min="13326" max="13327" width="9.33203125" customWidth="1"/>
    <col min="13573" max="13573" width="3.44140625" bestFit="1" customWidth="1"/>
    <col min="13574" max="13574" width="3.44140625" customWidth="1"/>
    <col min="13575" max="13575" width="13.33203125" customWidth="1"/>
    <col min="13576" max="13576" width="2.77734375" customWidth="1"/>
    <col min="13577" max="13577" width="15.33203125" customWidth="1"/>
    <col min="13578" max="13578" width="3" customWidth="1"/>
    <col min="13579" max="13579" width="11.88671875" bestFit="1" customWidth="1"/>
    <col min="13580" max="13580" width="3.109375" customWidth="1"/>
    <col min="13581" max="13581" width="13.5546875" bestFit="1" customWidth="1"/>
    <col min="13582" max="13583" width="9.33203125" customWidth="1"/>
    <col min="13829" max="13829" width="3.44140625" bestFit="1" customWidth="1"/>
    <col min="13830" max="13830" width="3.44140625" customWidth="1"/>
    <col min="13831" max="13831" width="13.33203125" customWidth="1"/>
    <col min="13832" max="13832" width="2.77734375" customWidth="1"/>
    <col min="13833" max="13833" width="15.33203125" customWidth="1"/>
    <col min="13834" max="13834" width="3" customWidth="1"/>
    <col min="13835" max="13835" width="11.88671875" bestFit="1" customWidth="1"/>
    <col min="13836" max="13836" width="3.109375" customWidth="1"/>
    <col min="13837" max="13837" width="13.5546875" bestFit="1" customWidth="1"/>
    <col min="13838" max="13839" width="9.33203125" customWidth="1"/>
    <col min="14085" max="14085" width="3.44140625" bestFit="1" customWidth="1"/>
    <col min="14086" max="14086" width="3.44140625" customWidth="1"/>
    <col min="14087" max="14087" width="13.33203125" customWidth="1"/>
    <col min="14088" max="14088" width="2.77734375" customWidth="1"/>
    <col min="14089" max="14089" width="15.33203125" customWidth="1"/>
    <col min="14090" max="14090" width="3" customWidth="1"/>
    <col min="14091" max="14091" width="11.88671875" bestFit="1" customWidth="1"/>
    <col min="14092" max="14092" width="3.109375" customWidth="1"/>
    <col min="14093" max="14093" width="13.5546875" bestFit="1" customWidth="1"/>
    <col min="14094" max="14095" width="9.33203125" customWidth="1"/>
    <col min="14341" max="14341" width="3.44140625" bestFit="1" customWidth="1"/>
    <col min="14342" max="14342" width="3.44140625" customWidth="1"/>
    <col min="14343" max="14343" width="13.33203125" customWidth="1"/>
    <col min="14344" max="14344" width="2.77734375" customWidth="1"/>
    <col min="14345" max="14345" width="15.33203125" customWidth="1"/>
    <col min="14346" max="14346" width="3" customWidth="1"/>
    <col min="14347" max="14347" width="11.88671875" bestFit="1" customWidth="1"/>
    <col min="14348" max="14348" width="3.109375" customWidth="1"/>
    <col min="14349" max="14349" width="13.5546875" bestFit="1" customWidth="1"/>
    <col min="14350" max="14351" width="9.33203125" customWidth="1"/>
    <col min="14597" max="14597" width="3.44140625" bestFit="1" customWidth="1"/>
    <col min="14598" max="14598" width="3.44140625" customWidth="1"/>
    <col min="14599" max="14599" width="13.33203125" customWidth="1"/>
    <col min="14600" max="14600" width="2.77734375" customWidth="1"/>
    <col min="14601" max="14601" width="15.33203125" customWidth="1"/>
    <col min="14602" max="14602" width="3" customWidth="1"/>
    <col min="14603" max="14603" width="11.88671875" bestFit="1" customWidth="1"/>
    <col min="14604" max="14604" width="3.109375" customWidth="1"/>
    <col min="14605" max="14605" width="13.5546875" bestFit="1" customWidth="1"/>
    <col min="14606" max="14607" width="9.33203125" customWidth="1"/>
    <col min="14853" max="14853" width="3.44140625" bestFit="1" customWidth="1"/>
    <col min="14854" max="14854" width="3.44140625" customWidth="1"/>
    <col min="14855" max="14855" width="13.33203125" customWidth="1"/>
    <col min="14856" max="14856" width="2.77734375" customWidth="1"/>
    <col min="14857" max="14857" width="15.33203125" customWidth="1"/>
    <col min="14858" max="14858" width="3" customWidth="1"/>
    <col min="14859" max="14859" width="11.88671875" bestFit="1" customWidth="1"/>
    <col min="14860" max="14860" width="3.109375" customWidth="1"/>
    <col min="14861" max="14861" width="13.5546875" bestFit="1" customWidth="1"/>
    <col min="14862" max="14863" width="9.33203125" customWidth="1"/>
    <col min="15109" max="15109" width="3.44140625" bestFit="1" customWidth="1"/>
    <col min="15110" max="15110" width="3.44140625" customWidth="1"/>
    <col min="15111" max="15111" width="13.33203125" customWidth="1"/>
    <col min="15112" max="15112" width="2.77734375" customWidth="1"/>
    <col min="15113" max="15113" width="15.33203125" customWidth="1"/>
    <col min="15114" max="15114" width="3" customWidth="1"/>
    <col min="15115" max="15115" width="11.88671875" bestFit="1" customWidth="1"/>
    <col min="15116" max="15116" width="3.109375" customWidth="1"/>
    <col min="15117" max="15117" width="13.5546875" bestFit="1" customWidth="1"/>
    <col min="15118" max="15119" width="9.33203125" customWidth="1"/>
    <col min="15365" max="15365" width="3.44140625" bestFit="1" customWidth="1"/>
    <col min="15366" max="15366" width="3.44140625" customWidth="1"/>
    <col min="15367" max="15367" width="13.33203125" customWidth="1"/>
    <col min="15368" max="15368" width="2.77734375" customWidth="1"/>
    <col min="15369" max="15369" width="15.33203125" customWidth="1"/>
    <col min="15370" max="15370" width="3" customWidth="1"/>
    <col min="15371" max="15371" width="11.88671875" bestFit="1" customWidth="1"/>
    <col min="15372" max="15372" width="3.109375" customWidth="1"/>
    <col min="15373" max="15373" width="13.5546875" bestFit="1" customWidth="1"/>
    <col min="15374" max="15375" width="9.33203125" customWidth="1"/>
    <col min="15621" max="15621" width="3.44140625" bestFit="1" customWidth="1"/>
    <col min="15622" max="15622" width="3.44140625" customWidth="1"/>
    <col min="15623" max="15623" width="13.33203125" customWidth="1"/>
    <col min="15624" max="15624" width="2.77734375" customWidth="1"/>
    <col min="15625" max="15625" width="15.33203125" customWidth="1"/>
    <col min="15626" max="15626" width="3" customWidth="1"/>
    <col min="15627" max="15627" width="11.88671875" bestFit="1" customWidth="1"/>
    <col min="15628" max="15628" width="3.109375" customWidth="1"/>
    <col min="15629" max="15629" width="13.5546875" bestFit="1" customWidth="1"/>
    <col min="15630" max="15631" width="9.33203125" customWidth="1"/>
    <col min="15877" max="15877" width="3.44140625" bestFit="1" customWidth="1"/>
    <col min="15878" max="15878" width="3.44140625" customWidth="1"/>
    <col min="15879" max="15879" width="13.33203125" customWidth="1"/>
    <col min="15880" max="15880" width="2.77734375" customWidth="1"/>
    <col min="15881" max="15881" width="15.33203125" customWidth="1"/>
    <col min="15882" max="15882" width="3" customWidth="1"/>
    <col min="15883" max="15883" width="11.88671875" bestFit="1" customWidth="1"/>
    <col min="15884" max="15884" width="3.109375" customWidth="1"/>
    <col min="15885" max="15885" width="13.5546875" bestFit="1" customWidth="1"/>
    <col min="15886" max="15887" width="9.33203125" customWidth="1"/>
    <col min="16133" max="16133" width="3.44140625" bestFit="1" customWidth="1"/>
    <col min="16134" max="16134" width="3.44140625" customWidth="1"/>
    <col min="16135" max="16135" width="13.33203125" customWidth="1"/>
    <col min="16136" max="16136" width="2.77734375" customWidth="1"/>
    <col min="16137" max="16137" width="15.33203125" customWidth="1"/>
    <col min="16138" max="16138" width="3" customWidth="1"/>
    <col min="16139" max="16139" width="11.88671875" bestFit="1" customWidth="1"/>
    <col min="16140" max="16140" width="3.109375" customWidth="1"/>
    <col min="16141" max="16141" width="13.5546875" bestFit="1" customWidth="1"/>
    <col min="16142" max="16143" width="9.33203125" customWidth="1"/>
  </cols>
  <sheetData>
    <row r="3" spans="1:22" s="17" customFormat="1" ht="15" customHeight="1">
      <c r="A3" s="210" t="s">
        <v>242</v>
      </c>
      <c r="B3" s="210"/>
      <c r="C3" s="210"/>
      <c r="D3" s="210"/>
      <c r="E3" s="210"/>
      <c r="F3" s="210"/>
      <c r="G3" s="210"/>
      <c r="H3" s="210"/>
      <c r="I3" s="210"/>
      <c r="J3" s="210"/>
      <c r="K3" s="210"/>
      <c r="L3" s="210"/>
      <c r="M3" s="210"/>
      <c r="N3" s="10"/>
      <c r="O3" s="10"/>
    </row>
    <row r="4" spans="1:22" s="17" customFormat="1" ht="15" customHeight="1">
      <c r="A4" s="210" t="s">
        <v>243</v>
      </c>
      <c r="B4" s="210"/>
      <c r="C4" s="210"/>
      <c r="D4" s="210"/>
      <c r="E4" s="210"/>
      <c r="F4" s="210"/>
      <c r="G4" s="210"/>
      <c r="H4" s="210"/>
      <c r="I4" s="210"/>
      <c r="J4" s="210"/>
      <c r="K4" s="210"/>
      <c r="L4" s="210"/>
      <c r="M4" s="210"/>
      <c r="N4" s="10"/>
      <c r="O4" s="10"/>
    </row>
    <row r="5" spans="1:22" s="17" customFormat="1" ht="15" customHeight="1">
      <c r="A5" s="210" t="s">
        <v>2</v>
      </c>
      <c r="B5" s="210"/>
      <c r="C5" s="210"/>
      <c r="D5" s="210"/>
      <c r="E5" s="210"/>
      <c r="F5" s="210"/>
      <c r="G5" s="210"/>
      <c r="H5" s="210"/>
      <c r="I5" s="210"/>
      <c r="J5" s="210"/>
      <c r="K5" s="210"/>
      <c r="L5" s="210"/>
      <c r="M5" s="210"/>
      <c r="N5" s="10"/>
      <c r="O5" s="10"/>
    </row>
    <row r="6" spans="1:22" s="17" customFormat="1" ht="12.75">
      <c r="A6" s="30"/>
      <c r="B6" s="30"/>
      <c r="C6" s="23"/>
      <c r="D6" s="23"/>
      <c r="E6" s="23"/>
      <c r="F6" s="23"/>
      <c r="G6" s="23"/>
      <c r="H6" s="23"/>
      <c r="I6" s="23"/>
      <c r="J6" s="23"/>
      <c r="K6" s="23"/>
      <c r="L6" s="23"/>
      <c r="M6" s="23" t="s">
        <v>389</v>
      </c>
      <c r="N6" s="30"/>
      <c r="O6" s="10"/>
    </row>
    <row r="7" spans="1:22" s="17" customFormat="1" ht="16.5">
      <c r="C7" s="23" t="s">
        <v>22</v>
      </c>
      <c r="D7" s="23"/>
      <c r="E7" s="23" t="s">
        <v>211</v>
      </c>
      <c r="F7" s="23"/>
      <c r="G7" s="4" t="s">
        <v>210</v>
      </c>
      <c r="H7" s="23"/>
      <c r="I7" s="4" t="s">
        <v>217</v>
      </c>
      <c r="J7" s="4"/>
      <c r="K7" s="23" t="s">
        <v>216</v>
      </c>
      <c r="L7" s="4"/>
      <c r="M7" s="4" t="s">
        <v>209</v>
      </c>
    </row>
    <row r="8" spans="1:22" s="17" customFormat="1" ht="12.75">
      <c r="A8" s="23" t="s">
        <v>3</v>
      </c>
      <c r="B8" s="23"/>
      <c r="C8" s="23"/>
      <c r="D8" s="23"/>
      <c r="E8" s="23" t="s">
        <v>208</v>
      </c>
      <c r="F8" s="23"/>
      <c r="G8" s="23" t="s">
        <v>207</v>
      </c>
      <c r="H8" s="23"/>
      <c r="I8" s="23"/>
      <c r="J8" s="23"/>
      <c r="K8" s="23" t="s">
        <v>390</v>
      </c>
      <c r="L8" s="23"/>
      <c r="M8" s="23" t="s">
        <v>206</v>
      </c>
    </row>
    <row r="9" spans="1:22" s="17" customFormat="1" ht="12.75">
      <c r="A9" s="5" t="s">
        <v>5</v>
      </c>
      <c r="B9" s="5"/>
      <c r="C9" s="5" t="s">
        <v>205</v>
      </c>
      <c r="D9" s="5"/>
      <c r="E9" s="39" t="s">
        <v>204</v>
      </c>
      <c r="F9" s="39"/>
      <c r="G9" s="38" t="s">
        <v>203</v>
      </c>
      <c r="H9" s="39"/>
      <c r="I9" s="5" t="s">
        <v>218</v>
      </c>
      <c r="J9" s="38"/>
      <c r="K9" s="5" t="s">
        <v>391</v>
      </c>
      <c r="L9" s="38"/>
      <c r="M9" s="37" t="s">
        <v>202</v>
      </c>
    </row>
    <row r="10" spans="1:22" s="17" customFormat="1" ht="12.75">
      <c r="A10" s="23"/>
      <c r="B10" s="36" t="s">
        <v>385</v>
      </c>
      <c r="D10" s="35"/>
      <c r="E10" s="34"/>
      <c r="F10" s="34"/>
      <c r="G10" s="33"/>
      <c r="H10" s="34"/>
      <c r="I10" s="33"/>
      <c r="J10" s="33"/>
      <c r="K10" s="33"/>
      <c r="L10" s="33"/>
      <c r="M10" s="6"/>
    </row>
    <row r="11" spans="1:22" s="17" customFormat="1">
      <c r="A11" s="23">
        <v>1</v>
      </c>
      <c r="B11" s="23"/>
      <c r="C11" s="42">
        <v>45261</v>
      </c>
      <c r="D11" s="42"/>
      <c r="E11" s="41">
        <v>70285579.130000025</v>
      </c>
      <c r="F11" s="4"/>
      <c r="G11" s="41">
        <v>6849723.9300000016</v>
      </c>
      <c r="H11" s="4"/>
      <c r="I11" s="41">
        <v>74209169</v>
      </c>
      <c r="J11" s="4"/>
      <c r="K11" s="41">
        <v>16511625</v>
      </c>
      <c r="L11" s="4"/>
      <c r="M11" s="4">
        <f>E11+G11+K11+I11</f>
        <v>167856097.06000003</v>
      </c>
      <c r="N11" s="4"/>
      <c r="O11" s="51"/>
      <c r="R11" s="43"/>
      <c r="S11" s="43"/>
    </row>
    <row r="12" spans="1:22" s="17" customFormat="1">
      <c r="A12" s="27">
        <f t="shared" ref="A12:A30" si="0">A11+1</f>
        <v>2</v>
      </c>
      <c r="B12" s="27"/>
      <c r="C12" s="42">
        <v>45292</v>
      </c>
      <c r="D12" s="42"/>
      <c r="E12" s="41">
        <v>70500383.670000032</v>
      </c>
      <c r="F12" s="4"/>
      <c r="G12" s="41">
        <v>6852868.3000000007</v>
      </c>
      <c r="H12" s="4"/>
      <c r="I12" s="41">
        <v>74251610.929999992</v>
      </c>
      <c r="J12" s="4"/>
      <c r="K12" s="41">
        <v>16511625</v>
      </c>
      <c r="L12" s="4"/>
      <c r="M12" s="4">
        <f t="shared" ref="M12:M23" si="1">E12+G12+K12+I12</f>
        <v>168116487.90000004</v>
      </c>
      <c r="N12" s="29"/>
      <c r="O12" s="29"/>
      <c r="R12" s="43"/>
      <c r="S12" s="43"/>
    </row>
    <row r="13" spans="1:22">
      <c r="A13" s="27">
        <f t="shared" si="0"/>
        <v>3</v>
      </c>
      <c r="B13" s="27"/>
      <c r="C13" s="42">
        <v>45323</v>
      </c>
      <c r="D13" s="42"/>
      <c r="E13" s="41">
        <v>70707812.980000034</v>
      </c>
      <c r="F13" s="4"/>
      <c r="G13" s="41">
        <v>6852868.3000000007</v>
      </c>
      <c r="H13" s="4"/>
      <c r="I13" s="41">
        <v>74310930.549999997</v>
      </c>
      <c r="J13" s="4"/>
      <c r="K13" s="41">
        <v>16511625</v>
      </c>
      <c r="L13" s="4"/>
      <c r="M13" s="4">
        <f t="shared" si="1"/>
        <v>168383236.83000004</v>
      </c>
      <c r="N13" s="28"/>
      <c r="O13" s="28"/>
      <c r="P13" s="17"/>
      <c r="R13" s="43"/>
      <c r="S13" s="43"/>
      <c r="T13" s="17"/>
      <c r="V13" s="17"/>
    </row>
    <row r="14" spans="1:22">
      <c r="A14" s="27">
        <f t="shared" si="0"/>
        <v>4</v>
      </c>
      <c r="B14" s="27"/>
      <c r="C14" s="42">
        <v>45352</v>
      </c>
      <c r="D14" s="42"/>
      <c r="E14" s="41">
        <v>70765356.450000018</v>
      </c>
      <c r="F14" s="4"/>
      <c r="G14" s="41">
        <v>6852868.3000000007</v>
      </c>
      <c r="H14" s="4"/>
      <c r="I14" s="41">
        <v>74334562.00999999</v>
      </c>
      <c r="J14" s="4"/>
      <c r="K14" s="41">
        <v>16511625</v>
      </c>
      <c r="L14" s="4"/>
      <c r="M14" s="4">
        <f t="shared" si="1"/>
        <v>168464411.75999999</v>
      </c>
      <c r="N14" s="22"/>
      <c r="O14" s="22"/>
      <c r="P14" s="17"/>
      <c r="R14" s="43"/>
      <c r="S14" s="43"/>
      <c r="T14" s="17"/>
      <c r="V14" s="17"/>
    </row>
    <row r="15" spans="1:22">
      <c r="A15" s="27">
        <f t="shared" si="0"/>
        <v>5</v>
      </c>
      <c r="B15" s="27"/>
      <c r="C15" s="42">
        <v>45383</v>
      </c>
      <c r="D15" s="42"/>
      <c r="E15" s="41">
        <v>70596919.200000107</v>
      </c>
      <c r="F15" s="4"/>
      <c r="G15" s="41">
        <v>6852868.3000000007</v>
      </c>
      <c r="H15" s="4"/>
      <c r="I15" s="41">
        <v>74334562.00999999</v>
      </c>
      <c r="J15" s="4"/>
      <c r="K15" s="41">
        <v>16511464</v>
      </c>
      <c r="L15" s="4"/>
      <c r="M15" s="4">
        <f t="shared" si="1"/>
        <v>168295813.51000011</v>
      </c>
      <c r="N15" s="22"/>
      <c r="O15" s="22"/>
      <c r="P15" s="17"/>
      <c r="R15" s="43"/>
      <c r="S15" s="43"/>
      <c r="T15" s="17"/>
      <c r="V15" s="17"/>
    </row>
    <row r="16" spans="1:22">
      <c r="A16" s="27">
        <f t="shared" si="0"/>
        <v>6</v>
      </c>
      <c r="B16" s="27"/>
      <c r="C16" s="42">
        <v>45413</v>
      </c>
      <c r="D16" s="42"/>
      <c r="E16" s="41">
        <v>70403164.430000141</v>
      </c>
      <c r="F16" s="4"/>
      <c r="G16" s="41">
        <v>6852868.3000000007</v>
      </c>
      <c r="H16" s="4"/>
      <c r="I16" s="41">
        <v>74366350.179999992</v>
      </c>
      <c r="J16" s="4"/>
      <c r="K16" s="41">
        <v>16497100</v>
      </c>
      <c r="L16" s="4"/>
      <c r="M16" s="4">
        <f t="shared" si="1"/>
        <v>168119482.91000015</v>
      </c>
      <c r="N16" s="22"/>
      <c r="O16" s="22"/>
      <c r="P16" s="17"/>
      <c r="R16" s="43"/>
      <c r="S16" s="43"/>
      <c r="T16" s="17"/>
      <c r="V16" s="17"/>
    </row>
    <row r="17" spans="1:22">
      <c r="A17" s="27">
        <f t="shared" si="0"/>
        <v>7</v>
      </c>
      <c r="B17" s="27"/>
      <c r="C17" s="42">
        <v>45444</v>
      </c>
      <c r="D17" s="42"/>
      <c r="E17" s="41">
        <v>70180163.110000044</v>
      </c>
      <c r="F17" s="4"/>
      <c r="G17" s="41">
        <v>6730757.54</v>
      </c>
      <c r="H17" s="4"/>
      <c r="I17" s="41">
        <v>74316443.620000005</v>
      </c>
      <c r="J17" s="4"/>
      <c r="K17" s="41">
        <v>16612384</v>
      </c>
      <c r="L17" s="4"/>
      <c r="M17" s="4">
        <f t="shared" si="1"/>
        <v>167839748.27000004</v>
      </c>
      <c r="P17" s="17"/>
      <c r="R17" s="43"/>
      <c r="S17" s="43"/>
      <c r="T17" s="17"/>
      <c r="V17" s="17"/>
    </row>
    <row r="18" spans="1:22">
      <c r="A18" s="27">
        <f t="shared" si="0"/>
        <v>8</v>
      </c>
      <c r="B18" s="27"/>
      <c r="C18" s="42">
        <v>45474</v>
      </c>
      <c r="D18" s="42"/>
      <c r="E18" s="41">
        <v>70672050.120000109</v>
      </c>
      <c r="F18" s="4"/>
      <c r="G18" s="41">
        <v>6730757.54</v>
      </c>
      <c r="H18" s="4"/>
      <c r="I18" s="41">
        <v>74194939.940000013</v>
      </c>
      <c r="J18" s="4"/>
      <c r="K18" s="41">
        <v>16593524</v>
      </c>
      <c r="L18" s="4"/>
      <c r="M18" s="4">
        <f t="shared" si="1"/>
        <v>168191271.60000014</v>
      </c>
      <c r="P18" s="17"/>
      <c r="R18" s="43"/>
      <c r="S18" s="43"/>
      <c r="T18" s="17"/>
      <c r="V18" s="17"/>
    </row>
    <row r="19" spans="1:22">
      <c r="A19" s="27">
        <f t="shared" si="0"/>
        <v>9</v>
      </c>
      <c r="B19" s="27"/>
      <c r="C19" s="42">
        <v>45505</v>
      </c>
      <c r="D19" s="42"/>
      <c r="E19" s="41">
        <v>71010232.540000081</v>
      </c>
      <c r="F19" s="4"/>
      <c r="G19" s="41">
        <v>6730757.54</v>
      </c>
      <c r="H19" s="4"/>
      <c r="I19" s="41">
        <v>74174963.939999998</v>
      </c>
      <c r="J19" s="4"/>
      <c r="K19" s="41">
        <v>16593524</v>
      </c>
      <c r="L19" s="4"/>
      <c r="M19" s="4">
        <f t="shared" si="1"/>
        <v>168509478.0200001</v>
      </c>
      <c r="P19" s="17"/>
      <c r="R19" s="43"/>
      <c r="S19" s="43"/>
      <c r="T19" s="17"/>
      <c r="V19" s="17"/>
    </row>
    <row r="20" spans="1:22">
      <c r="A20" s="27">
        <f t="shared" si="0"/>
        <v>10</v>
      </c>
      <c r="B20" s="27"/>
      <c r="C20" s="42">
        <v>45536</v>
      </c>
      <c r="D20" s="42"/>
      <c r="E20" s="41">
        <v>71143708.610000104</v>
      </c>
      <c r="F20" s="4"/>
      <c r="G20" s="41">
        <v>6730757.54</v>
      </c>
      <c r="H20" s="4"/>
      <c r="I20" s="41">
        <v>74217434.780000001</v>
      </c>
      <c r="J20" s="4"/>
      <c r="K20" s="41">
        <v>16792412</v>
      </c>
      <c r="L20" s="4"/>
      <c r="M20" s="4">
        <f t="shared" si="1"/>
        <v>168884312.93000013</v>
      </c>
      <c r="P20" s="17"/>
      <c r="R20" s="43"/>
      <c r="S20" s="43"/>
      <c r="T20" s="17"/>
      <c r="V20" s="17"/>
    </row>
    <row r="21" spans="1:22">
      <c r="A21" s="27">
        <f t="shared" si="0"/>
        <v>11</v>
      </c>
      <c r="B21" s="27"/>
      <c r="C21" s="42">
        <v>45566</v>
      </c>
      <c r="D21" s="42"/>
      <c r="E21" s="41">
        <v>71709425.460000053</v>
      </c>
      <c r="F21" s="4"/>
      <c r="G21" s="41">
        <v>6730757.54</v>
      </c>
      <c r="H21" s="4"/>
      <c r="I21" s="41">
        <v>74227196.570000008</v>
      </c>
      <c r="J21" s="4"/>
      <c r="K21" s="41">
        <v>16792412</v>
      </c>
      <c r="L21" s="4"/>
      <c r="M21" s="4">
        <f t="shared" si="1"/>
        <v>169459791.57000005</v>
      </c>
      <c r="P21" s="17"/>
      <c r="R21" s="43"/>
      <c r="S21" s="43"/>
      <c r="T21" s="17"/>
      <c r="V21" s="17"/>
    </row>
    <row r="22" spans="1:22">
      <c r="A22" s="27">
        <f t="shared" si="0"/>
        <v>12</v>
      </c>
      <c r="B22" s="27"/>
      <c r="C22" s="42">
        <v>45597</v>
      </c>
      <c r="D22" s="42"/>
      <c r="E22" s="41">
        <v>72398204.740000054</v>
      </c>
      <c r="F22" s="4"/>
      <c r="G22" s="41">
        <v>6753757.54</v>
      </c>
      <c r="H22" s="4"/>
      <c r="I22" s="41">
        <v>74227196.570000008</v>
      </c>
      <c r="J22" s="4"/>
      <c r="K22" s="41">
        <v>16792412</v>
      </c>
      <c r="L22" s="4"/>
      <c r="M22" s="4">
        <f t="shared" si="1"/>
        <v>170171570.85000008</v>
      </c>
      <c r="P22" s="17"/>
      <c r="R22" s="43"/>
      <c r="S22" s="43"/>
      <c r="T22" s="17"/>
      <c r="V22" s="17"/>
    </row>
    <row r="23" spans="1:22">
      <c r="A23" s="27">
        <f t="shared" si="0"/>
        <v>13</v>
      </c>
      <c r="B23" s="27"/>
      <c r="C23" s="42">
        <v>45627</v>
      </c>
      <c r="D23" s="42"/>
      <c r="E23" s="41">
        <v>73208646.720000058</v>
      </c>
      <c r="F23" s="4"/>
      <c r="G23" s="41">
        <v>6753338.9000000004</v>
      </c>
      <c r="H23" s="4"/>
      <c r="I23" s="41">
        <v>74531736.210000008</v>
      </c>
      <c r="J23" s="4"/>
      <c r="K23" s="41">
        <v>16792412</v>
      </c>
      <c r="L23" s="4"/>
      <c r="M23" s="4">
        <f t="shared" si="1"/>
        <v>171286133.83000007</v>
      </c>
      <c r="P23" s="17"/>
      <c r="R23" s="43"/>
      <c r="S23" s="43"/>
      <c r="T23" s="17"/>
      <c r="V23" s="17"/>
    </row>
    <row r="24" spans="1:22">
      <c r="A24" s="27">
        <f t="shared" si="0"/>
        <v>14</v>
      </c>
      <c r="B24" s="27"/>
      <c r="C24" s="44" t="s">
        <v>201</v>
      </c>
      <c r="D24" s="44"/>
      <c r="E24" s="4">
        <f>AVERAGE(E11:E23)</f>
        <v>71044742.089230835</v>
      </c>
      <c r="F24" s="4"/>
      <c r="G24" s="4">
        <f>AVERAGE(G11:G23)</f>
        <v>6790380.7361538475</v>
      </c>
      <c r="H24" s="4"/>
      <c r="I24" s="4">
        <f>AVERAGE(I11:I23)</f>
        <v>74284392.023846164</v>
      </c>
      <c r="J24" s="4"/>
      <c r="K24" s="4">
        <f>AVERAGE(K11:K23)</f>
        <v>16617241.846153846</v>
      </c>
      <c r="L24" s="4"/>
      <c r="M24" s="4">
        <f>AVERAGE(M11:M23)</f>
        <v>168736756.69538468</v>
      </c>
      <c r="P24" s="17"/>
      <c r="R24" s="43"/>
      <c r="T24" s="17"/>
      <c r="V24" s="17"/>
    </row>
    <row r="25" spans="1:22">
      <c r="A25" s="27">
        <f t="shared" si="0"/>
        <v>15</v>
      </c>
      <c r="B25" s="27"/>
      <c r="C25" s="32"/>
      <c r="D25" s="32"/>
    </row>
    <row r="26" spans="1:22">
      <c r="A26" s="27">
        <f t="shared" si="0"/>
        <v>16</v>
      </c>
      <c r="B26" s="31" t="s">
        <v>386</v>
      </c>
      <c r="D26" s="31"/>
    </row>
    <row r="27" spans="1:22">
      <c r="A27" s="27">
        <f t="shared" si="0"/>
        <v>17</v>
      </c>
      <c r="B27" s="31" t="s">
        <v>200</v>
      </c>
      <c r="D27" s="31"/>
    </row>
    <row r="28" spans="1:22">
      <c r="A28" s="27">
        <f t="shared" si="0"/>
        <v>18</v>
      </c>
      <c r="B28" s="31" t="s">
        <v>219</v>
      </c>
      <c r="D28" s="31"/>
    </row>
    <row r="29" spans="1:22">
      <c r="A29" s="27">
        <f t="shared" si="0"/>
        <v>19</v>
      </c>
      <c r="B29" s="31" t="s">
        <v>387</v>
      </c>
    </row>
    <row r="30" spans="1:22">
      <c r="A30" s="27">
        <f t="shared" si="0"/>
        <v>20</v>
      </c>
      <c r="B30" s="31" t="s">
        <v>388</v>
      </c>
    </row>
    <row r="34" spans="1:13">
      <c r="A34" s="23"/>
      <c r="B34" s="23"/>
      <c r="C34" s="30"/>
      <c r="D34" s="30"/>
      <c r="E34" s="30"/>
      <c r="F34" s="30"/>
      <c r="G34" s="4"/>
      <c r="H34" s="30"/>
      <c r="I34" s="4"/>
      <c r="J34" s="4"/>
      <c r="K34" s="4"/>
      <c r="L34" s="4"/>
      <c r="M34" s="4"/>
    </row>
    <row r="35" spans="1:13">
      <c r="A35" s="23"/>
      <c r="B35" s="23"/>
      <c r="C35" s="13"/>
      <c r="D35" s="13"/>
      <c r="E35" s="13"/>
      <c r="F35" s="13"/>
      <c r="G35" s="29"/>
      <c r="H35" s="13"/>
      <c r="I35" s="29"/>
      <c r="J35" s="29"/>
      <c r="K35" s="29"/>
      <c r="L35" s="29"/>
      <c r="M35" s="29"/>
    </row>
    <row r="36" spans="1:13">
      <c r="A36" s="23"/>
      <c r="B36" s="23"/>
      <c r="C36" s="24"/>
      <c r="D36" s="24"/>
      <c r="G36" s="28"/>
      <c r="I36" s="28"/>
      <c r="J36" s="28"/>
      <c r="K36" s="28"/>
      <c r="L36" s="28"/>
      <c r="M36" s="28"/>
    </row>
    <row r="37" spans="1:13">
      <c r="A37" s="27"/>
      <c r="B37" s="27"/>
      <c r="C37" s="26"/>
      <c r="D37" s="26"/>
      <c r="E37" s="25"/>
      <c r="F37" s="25"/>
      <c r="G37" s="22"/>
      <c r="H37" s="25"/>
      <c r="I37" s="22"/>
      <c r="J37" s="22"/>
      <c r="K37" s="22"/>
      <c r="L37" s="22"/>
      <c r="M37" s="22"/>
    </row>
    <row r="38" spans="1:13">
      <c r="A38" s="23"/>
      <c r="B38" s="23"/>
      <c r="C38" s="24"/>
      <c r="D38" s="24"/>
      <c r="E38" s="17"/>
      <c r="F38" s="17"/>
      <c r="G38" s="22"/>
      <c r="H38" s="17"/>
      <c r="I38" s="22"/>
      <c r="J38" s="22"/>
      <c r="K38" s="22"/>
      <c r="L38" s="22"/>
      <c r="M38" s="22"/>
    </row>
    <row r="39" spans="1:13">
      <c r="A39" s="23"/>
      <c r="B39" s="23"/>
      <c r="C39" s="17"/>
      <c r="D39" s="17"/>
      <c r="E39" s="17"/>
      <c r="F39" s="17"/>
      <c r="G39" s="22"/>
      <c r="H39" s="17"/>
      <c r="I39" s="22"/>
      <c r="J39" s="22"/>
      <c r="K39" s="22"/>
      <c r="L39" s="22"/>
      <c r="M39" s="22"/>
    </row>
  </sheetData>
  <mergeCells count="3">
    <mergeCell ref="A3:M3"/>
    <mergeCell ref="A4:M4"/>
    <mergeCell ref="A5:M5"/>
  </mergeCells>
  <pageMargins left="0.7" right="0.7" top="0.75" bottom="0.75" header="0.3" footer="0.3"/>
  <pageSetup orientation="portrait" verticalDpi="0" r:id="rId1"/>
  <headerFooter>
    <oddHeader>&amp;L&amp;8 2016 BHP-Workpaper 9 Supplemental Supporting Schedules&amp;C
ACTUAL SERVICE YEAR ATRR
BLACK HILLS POWER, INC.
SUPPORTING SCHEDULES&amp;RPage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K39"/>
  <sheetViews>
    <sheetView workbookViewId="0">
      <selection activeCell="F62" sqref="F62"/>
    </sheetView>
  </sheetViews>
  <sheetFormatPr defaultRowHeight="15"/>
  <cols>
    <col min="1" max="1" width="3.44140625" bestFit="1" customWidth="1"/>
    <col min="2" max="2" width="3.44140625" customWidth="1"/>
    <col min="3" max="3" width="34.77734375" bestFit="1" customWidth="1"/>
    <col min="4" max="4" width="2.77734375" customWidth="1"/>
    <col min="5" max="5" width="13.44140625" customWidth="1"/>
    <col min="6" max="6" width="2.77734375" customWidth="1"/>
    <col min="7" max="7" width="15.33203125" customWidth="1"/>
    <col min="8" max="8" width="3" customWidth="1"/>
    <col min="12" max="12" width="11.5546875" bestFit="1" customWidth="1"/>
  </cols>
  <sheetData>
    <row r="3" spans="1:11" s="17" customFormat="1" ht="15" customHeight="1">
      <c r="A3" s="210" t="s">
        <v>244</v>
      </c>
      <c r="B3" s="210"/>
      <c r="C3" s="210"/>
      <c r="D3" s="210"/>
      <c r="E3" s="210"/>
      <c r="F3" s="210"/>
      <c r="G3" s="210"/>
      <c r="H3" s="210"/>
      <c r="I3" s="10"/>
      <c r="J3" s="10"/>
    </row>
    <row r="4" spans="1:11" s="17" customFormat="1" ht="15" customHeight="1">
      <c r="A4" s="210" t="s">
        <v>245</v>
      </c>
      <c r="B4" s="210"/>
      <c r="C4" s="210"/>
      <c r="D4" s="210"/>
      <c r="E4" s="210"/>
      <c r="F4" s="210"/>
      <c r="G4" s="210"/>
      <c r="H4" s="210"/>
      <c r="I4" s="10"/>
      <c r="J4" s="10"/>
    </row>
    <row r="5" spans="1:11" s="17" customFormat="1" ht="15" customHeight="1">
      <c r="A5" s="210" t="s">
        <v>2</v>
      </c>
      <c r="B5" s="210"/>
      <c r="C5" s="210"/>
      <c r="D5" s="210"/>
      <c r="E5" s="210"/>
      <c r="F5" s="210"/>
      <c r="G5" s="210"/>
      <c r="H5" s="210"/>
      <c r="I5" s="10"/>
      <c r="J5" s="10"/>
    </row>
    <row r="6" spans="1:11" s="17" customFormat="1" ht="12.75">
      <c r="A6" s="30"/>
      <c r="B6" s="30"/>
      <c r="C6" s="23"/>
      <c r="D6" s="23"/>
      <c r="E6" s="23"/>
      <c r="F6" s="23"/>
      <c r="G6" s="23"/>
      <c r="H6" s="23"/>
      <c r="I6" s="30"/>
      <c r="J6" s="10"/>
    </row>
    <row r="7" spans="1:11" s="17" customFormat="1" ht="12.75">
      <c r="C7" s="23" t="s">
        <v>22</v>
      </c>
      <c r="D7" s="23"/>
      <c r="E7" s="23" t="s">
        <v>23</v>
      </c>
      <c r="F7" s="23"/>
      <c r="G7" s="23" t="s">
        <v>246</v>
      </c>
      <c r="H7" s="23"/>
    </row>
    <row r="8" spans="1:11" s="17" customFormat="1" ht="12.75">
      <c r="A8" s="23" t="s">
        <v>3</v>
      </c>
      <c r="B8" s="23"/>
      <c r="C8" s="23"/>
      <c r="D8" s="23"/>
      <c r="E8" s="23"/>
      <c r="F8" s="23"/>
      <c r="G8" s="23"/>
      <c r="H8" s="23"/>
    </row>
    <row r="9" spans="1:11" s="17" customFormat="1" ht="12.75">
      <c r="A9" s="5" t="s">
        <v>5</v>
      </c>
      <c r="B9" s="5"/>
      <c r="C9" s="5" t="s">
        <v>26</v>
      </c>
      <c r="D9" s="5"/>
      <c r="E9" s="5" t="s">
        <v>247</v>
      </c>
      <c r="F9" s="5"/>
      <c r="G9" s="39" t="s">
        <v>248</v>
      </c>
      <c r="H9" s="39"/>
    </row>
    <row r="10" spans="1:11">
      <c r="A10" s="23"/>
      <c r="B10" s="36"/>
      <c r="C10" s="17"/>
      <c r="D10" s="35"/>
      <c r="E10" s="35"/>
      <c r="F10" s="35"/>
      <c r="G10" s="34"/>
      <c r="H10" s="34"/>
      <c r="K10" s="51"/>
    </row>
    <row r="11" spans="1:11">
      <c r="A11" s="23">
        <f>1+A10</f>
        <v>1</v>
      </c>
      <c r="B11" s="23"/>
      <c r="C11" s="42" t="s">
        <v>249</v>
      </c>
      <c r="D11" s="42"/>
      <c r="E11" s="42" t="s">
        <v>145</v>
      </c>
      <c r="F11" s="42"/>
      <c r="G11" s="41">
        <v>0</v>
      </c>
      <c r="H11" s="4"/>
    </row>
    <row r="12" spans="1:11">
      <c r="A12" s="23">
        <f t="shared" ref="A12:A16" si="0">1+A11</f>
        <v>2</v>
      </c>
      <c r="B12" s="27"/>
      <c r="C12" s="42" t="s">
        <v>250</v>
      </c>
      <c r="D12" s="42"/>
      <c r="E12" s="42" t="s">
        <v>367</v>
      </c>
      <c r="F12" s="42"/>
      <c r="G12" s="41">
        <v>8407717</v>
      </c>
      <c r="H12" s="4"/>
    </row>
    <row r="13" spans="1:11">
      <c r="A13" s="23">
        <f t="shared" si="0"/>
        <v>3</v>
      </c>
      <c r="B13" s="27"/>
      <c r="C13" s="42"/>
      <c r="D13" s="42"/>
      <c r="E13" s="42"/>
      <c r="F13" s="42"/>
      <c r="G13" s="41"/>
      <c r="H13" s="4"/>
    </row>
    <row r="14" spans="1:11">
      <c r="A14" s="23">
        <f t="shared" si="0"/>
        <v>4</v>
      </c>
      <c r="B14" s="27"/>
      <c r="C14" s="42" t="s">
        <v>251</v>
      </c>
      <c r="D14" s="42"/>
      <c r="E14" s="42" t="s">
        <v>51</v>
      </c>
      <c r="F14" s="42"/>
      <c r="G14" s="41">
        <v>-532091.16</v>
      </c>
      <c r="H14" s="4"/>
    </row>
    <row r="15" spans="1:11">
      <c r="A15" s="23">
        <f t="shared" si="0"/>
        <v>5</v>
      </c>
      <c r="B15" s="27"/>
      <c r="C15" s="42"/>
      <c r="D15" s="42"/>
      <c r="E15" s="42"/>
      <c r="F15" s="42"/>
      <c r="G15" s="41"/>
      <c r="H15" s="4"/>
    </row>
    <row r="16" spans="1:11">
      <c r="A16" s="23">
        <f t="shared" si="0"/>
        <v>6</v>
      </c>
      <c r="B16" s="27"/>
      <c r="C16" s="42" t="s">
        <v>252</v>
      </c>
      <c r="D16" s="42"/>
      <c r="E16" s="42" t="s">
        <v>253</v>
      </c>
      <c r="F16" s="42"/>
      <c r="G16" s="47">
        <f>SUM(G12:G15)</f>
        <v>7875625.8399999999</v>
      </c>
      <c r="H16" s="4"/>
    </row>
    <row r="17" spans="1:8">
      <c r="A17" s="23"/>
      <c r="B17" s="27"/>
      <c r="C17" s="42"/>
      <c r="D17" s="42"/>
      <c r="E17" s="42"/>
      <c r="F17" s="42"/>
      <c r="G17" s="41"/>
      <c r="H17" s="4"/>
    </row>
    <row r="18" spans="1:8">
      <c r="A18" s="23"/>
      <c r="B18" s="27"/>
      <c r="C18" s="42"/>
      <c r="D18" s="42"/>
      <c r="E18" s="42"/>
      <c r="F18" s="42"/>
      <c r="G18" s="41"/>
      <c r="H18" s="4"/>
    </row>
    <row r="19" spans="1:8">
      <c r="A19" s="23"/>
      <c r="B19" s="27"/>
      <c r="C19" s="42"/>
      <c r="D19" s="42"/>
      <c r="E19" s="42"/>
      <c r="F19" s="42"/>
      <c r="G19" s="41"/>
      <c r="H19" s="4"/>
    </row>
    <row r="20" spans="1:8">
      <c r="A20" s="23"/>
      <c r="B20" s="27"/>
      <c r="C20" s="42"/>
      <c r="D20" s="42"/>
      <c r="E20" s="42"/>
      <c r="F20" s="42"/>
      <c r="G20" s="41"/>
      <c r="H20" s="4"/>
    </row>
    <row r="21" spans="1:8">
      <c r="A21" s="27"/>
      <c r="B21" s="27"/>
      <c r="C21" s="42"/>
      <c r="D21" s="42"/>
      <c r="E21" s="42"/>
      <c r="F21" s="42"/>
      <c r="G21" s="41"/>
      <c r="H21" s="4"/>
    </row>
    <row r="22" spans="1:8">
      <c r="A22" s="27"/>
      <c r="B22" s="27"/>
      <c r="C22" s="42"/>
      <c r="D22" s="42"/>
      <c r="E22" s="42"/>
      <c r="F22" s="42"/>
      <c r="G22" s="41"/>
      <c r="H22" s="4"/>
    </row>
    <row r="23" spans="1:8">
      <c r="A23" s="27"/>
      <c r="B23" s="27"/>
      <c r="C23" s="42"/>
      <c r="D23" s="42"/>
      <c r="E23" s="42"/>
      <c r="F23" s="42"/>
      <c r="G23" s="41"/>
      <c r="H23" s="4"/>
    </row>
    <row r="24" spans="1:8">
      <c r="A24" s="27"/>
      <c r="B24" s="27"/>
      <c r="C24" s="44"/>
      <c r="D24" s="44"/>
      <c r="E24" s="44"/>
      <c r="F24" s="44"/>
      <c r="G24" s="4"/>
      <c r="H24" s="4"/>
    </row>
    <row r="25" spans="1:8">
      <c r="A25" s="27"/>
      <c r="B25" s="27"/>
      <c r="C25" s="32"/>
      <c r="D25" s="32"/>
      <c r="E25" s="32"/>
      <c r="F25" s="32"/>
    </row>
    <row r="26" spans="1:8">
      <c r="A26" s="27"/>
      <c r="B26" s="31"/>
      <c r="D26" s="31"/>
      <c r="E26" s="31"/>
      <c r="F26" s="31"/>
    </row>
    <row r="27" spans="1:8">
      <c r="A27" s="27"/>
      <c r="B27" s="31"/>
      <c r="D27" s="31"/>
      <c r="E27" s="31"/>
      <c r="F27" s="31"/>
    </row>
    <row r="28" spans="1:8">
      <c r="A28" s="27"/>
      <c r="B28" s="31"/>
      <c r="D28" s="31"/>
      <c r="E28" s="31"/>
      <c r="F28" s="31"/>
    </row>
    <row r="29" spans="1:8">
      <c r="B29" s="31"/>
    </row>
    <row r="34" spans="1:8">
      <c r="A34" s="23"/>
      <c r="B34" s="23"/>
      <c r="C34" s="30"/>
      <c r="D34" s="30"/>
      <c r="E34" s="30"/>
      <c r="F34" s="30"/>
      <c r="G34" s="30"/>
      <c r="H34" s="30"/>
    </row>
    <row r="35" spans="1:8">
      <c r="A35" s="23"/>
      <c r="B35" s="23"/>
      <c r="C35" s="13"/>
      <c r="D35" s="13"/>
      <c r="E35" s="13"/>
      <c r="F35" s="13"/>
      <c r="G35" s="13"/>
      <c r="H35" s="13"/>
    </row>
    <row r="36" spans="1:8">
      <c r="A36" s="23"/>
      <c r="B36" s="23"/>
      <c r="C36" s="24"/>
      <c r="D36" s="24"/>
      <c r="E36" s="24"/>
      <c r="F36" s="24"/>
    </row>
    <row r="37" spans="1:8">
      <c r="A37" s="27"/>
      <c r="B37" s="27"/>
      <c r="C37" s="26"/>
      <c r="D37" s="26"/>
      <c r="E37" s="26"/>
      <c r="F37" s="26"/>
      <c r="G37" s="25"/>
      <c r="H37" s="25"/>
    </row>
    <row r="38" spans="1:8">
      <c r="A38" s="23"/>
      <c r="B38" s="23"/>
      <c r="C38" s="24"/>
      <c r="D38" s="24"/>
      <c r="E38" s="24"/>
      <c r="F38" s="24"/>
      <c r="G38" s="17"/>
      <c r="H38" s="17"/>
    </row>
    <row r="39" spans="1:8">
      <c r="A39" s="23"/>
      <c r="B39" s="23"/>
      <c r="C39" s="17"/>
      <c r="D39" s="17"/>
      <c r="E39" s="17"/>
      <c r="F39" s="17"/>
      <c r="G39" s="17"/>
      <c r="H39" s="17"/>
    </row>
  </sheetData>
  <mergeCells count="3">
    <mergeCell ref="A3:H3"/>
    <mergeCell ref="A4:H4"/>
    <mergeCell ref="A5:H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J25"/>
  <sheetViews>
    <sheetView workbookViewId="0">
      <selection activeCell="F62" sqref="F62"/>
    </sheetView>
  </sheetViews>
  <sheetFormatPr defaultColWidth="8.88671875" defaultRowHeight="12.75"/>
  <cols>
    <col min="1" max="1" width="8.88671875" style="17"/>
    <col min="2" max="2" width="23" style="17" bestFit="1" customWidth="1"/>
    <col min="3" max="3" width="1.77734375" style="17" customWidth="1"/>
    <col min="4" max="4" width="15" style="17" customWidth="1"/>
    <col min="5" max="5" width="1.77734375" style="17" customWidth="1"/>
    <col min="6" max="8" width="13" style="17" customWidth="1"/>
    <col min="9" max="12" width="8.88671875" style="17"/>
    <col min="13" max="15" width="10.33203125" style="17" bestFit="1" customWidth="1"/>
    <col min="16" max="16384" width="8.88671875" style="17"/>
  </cols>
  <sheetData>
    <row r="3" spans="1:10" ht="15" customHeight="1">
      <c r="A3" s="210" t="s">
        <v>254</v>
      </c>
      <c r="B3" s="210"/>
      <c r="C3" s="210"/>
      <c r="D3" s="210"/>
      <c r="E3" s="210"/>
      <c r="F3" s="210"/>
      <c r="G3" s="210"/>
      <c r="H3" s="210"/>
      <c r="I3" s="10"/>
      <c r="J3" s="10"/>
    </row>
    <row r="4" spans="1:10" ht="15" customHeight="1">
      <c r="A4" s="210" t="s">
        <v>255</v>
      </c>
      <c r="B4" s="210"/>
      <c r="C4" s="210"/>
      <c r="D4" s="210"/>
      <c r="E4" s="210"/>
      <c r="F4" s="210"/>
      <c r="G4" s="210"/>
      <c r="H4" s="210"/>
      <c r="I4" s="10"/>
      <c r="J4" s="10"/>
    </row>
    <row r="5" spans="1:10" ht="15" customHeight="1">
      <c r="A5" s="210" t="s">
        <v>2</v>
      </c>
      <c r="B5" s="210"/>
      <c r="C5" s="210"/>
      <c r="D5" s="210"/>
      <c r="E5" s="210"/>
      <c r="F5" s="210"/>
      <c r="G5" s="210"/>
      <c r="H5" s="210"/>
      <c r="I5" s="10"/>
      <c r="J5" s="10"/>
    </row>
    <row r="6" spans="1:10" ht="15" customHeight="1">
      <c r="A6" s="30"/>
      <c r="B6" s="30"/>
      <c r="C6" s="30"/>
      <c r="D6" s="30"/>
      <c r="E6" s="30"/>
      <c r="F6" s="30">
        <v>2023</v>
      </c>
      <c r="G6" s="30">
        <v>2024</v>
      </c>
      <c r="H6" s="30"/>
      <c r="I6" s="10"/>
      <c r="J6" s="10"/>
    </row>
    <row r="7" spans="1:10">
      <c r="B7" s="23" t="s">
        <v>22</v>
      </c>
      <c r="C7" s="23"/>
      <c r="D7" s="23" t="s">
        <v>23</v>
      </c>
      <c r="E7" s="23"/>
      <c r="F7" s="23" t="s">
        <v>246</v>
      </c>
      <c r="G7" s="23" t="s">
        <v>223</v>
      </c>
      <c r="H7" s="23" t="s">
        <v>224</v>
      </c>
    </row>
    <row r="8" spans="1:10">
      <c r="A8" s="23" t="s">
        <v>3</v>
      </c>
    </row>
    <row r="9" spans="1:10">
      <c r="A9" s="5" t="s">
        <v>5</v>
      </c>
      <c r="B9" s="5" t="s">
        <v>26</v>
      </c>
      <c r="C9" s="5"/>
      <c r="D9" s="5" t="s">
        <v>247</v>
      </c>
      <c r="E9" s="5"/>
      <c r="F9" s="39" t="s">
        <v>256</v>
      </c>
      <c r="G9" s="39" t="s">
        <v>257</v>
      </c>
      <c r="H9" s="39" t="s">
        <v>258</v>
      </c>
    </row>
    <row r="10" spans="1:10">
      <c r="A10" s="23"/>
    </row>
    <row r="11" spans="1:10" ht="15">
      <c r="A11" s="23">
        <f>1+A10</f>
        <v>1</v>
      </c>
      <c r="B11" s="48" t="s">
        <v>259</v>
      </c>
      <c r="C11" s="42"/>
      <c r="D11" s="42" t="s">
        <v>260</v>
      </c>
      <c r="E11" s="42"/>
      <c r="F11" s="52">
        <v>-155302329</v>
      </c>
      <c r="G11" s="52">
        <v>-152741606</v>
      </c>
      <c r="H11" s="49">
        <v>-154021967.5</v>
      </c>
      <c r="J11"/>
    </row>
    <row r="12" spans="1:10">
      <c r="A12" s="23">
        <f t="shared" ref="A12:A25" si="0">1+A11</f>
        <v>2</v>
      </c>
      <c r="B12" s="48" t="s">
        <v>261</v>
      </c>
      <c r="G12" s="52"/>
      <c r="H12" s="49">
        <v>0</v>
      </c>
    </row>
    <row r="13" spans="1:10">
      <c r="A13" s="23">
        <f t="shared" si="0"/>
        <v>3</v>
      </c>
      <c r="B13" s="42" t="s">
        <v>218</v>
      </c>
      <c r="D13" s="17" t="s">
        <v>276</v>
      </c>
      <c r="F13" s="52">
        <v>-2575724</v>
      </c>
      <c r="G13" s="52">
        <v>-2508356.54</v>
      </c>
      <c r="H13" s="49">
        <v>-2542040.27</v>
      </c>
    </row>
    <row r="14" spans="1:10">
      <c r="A14" s="23">
        <f t="shared" si="0"/>
        <v>4</v>
      </c>
      <c r="B14" s="42"/>
      <c r="F14" s="52"/>
      <c r="G14" s="52"/>
      <c r="H14" s="49">
        <f>SUM(F14:G14)/2</f>
        <v>0</v>
      </c>
    </row>
    <row r="15" spans="1:10">
      <c r="A15" s="23">
        <f t="shared" si="0"/>
        <v>5</v>
      </c>
      <c r="B15" s="42" t="s">
        <v>262</v>
      </c>
      <c r="D15" s="17" t="s">
        <v>263</v>
      </c>
      <c r="F15" s="59">
        <f>F11-F13-F14</f>
        <v>-152726605</v>
      </c>
      <c r="G15" s="59">
        <f>G11-G13-G14</f>
        <v>-150233249.46000001</v>
      </c>
      <c r="H15" s="46">
        <f>H11-H13-H14</f>
        <v>-151479927.22999999</v>
      </c>
    </row>
    <row r="16" spans="1:10">
      <c r="A16" s="23">
        <f t="shared" si="0"/>
        <v>6</v>
      </c>
      <c r="B16" s="42"/>
      <c r="F16" s="52"/>
      <c r="G16" s="52"/>
      <c r="H16" s="49"/>
    </row>
    <row r="17" spans="1:10">
      <c r="A17" s="23">
        <f t="shared" si="0"/>
        <v>7</v>
      </c>
    </row>
    <row r="18" spans="1:10">
      <c r="A18" s="23">
        <f t="shared" si="0"/>
        <v>8</v>
      </c>
      <c r="B18" s="48" t="s">
        <v>104</v>
      </c>
      <c r="C18" s="42"/>
      <c r="E18" s="42"/>
      <c r="F18" s="52"/>
      <c r="G18" s="52"/>
      <c r="H18" s="49"/>
    </row>
    <row r="19" spans="1:10" ht="15">
      <c r="A19" s="23">
        <f t="shared" si="0"/>
        <v>9</v>
      </c>
      <c r="B19" s="48" t="s">
        <v>264</v>
      </c>
      <c r="D19" s="42" t="s">
        <v>265</v>
      </c>
      <c r="F19" s="52">
        <v>3987876</v>
      </c>
      <c r="G19" s="52">
        <v>3812287</v>
      </c>
      <c r="H19" s="49">
        <v>3900081.5</v>
      </c>
      <c r="J19"/>
    </row>
    <row r="20" spans="1:10">
      <c r="A20" s="23">
        <f t="shared" si="0"/>
        <v>10</v>
      </c>
      <c r="B20" s="48" t="s">
        <v>266</v>
      </c>
      <c r="D20" s="42"/>
      <c r="F20" s="60">
        <v>0.21</v>
      </c>
      <c r="G20" s="60">
        <v>0.21</v>
      </c>
      <c r="H20" s="60">
        <v>0.21</v>
      </c>
    </row>
    <row r="21" spans="1:10">
      <c r="A21" s="23">
        <f t="shared" si="0"/>
        <v>11</v>
      </c>
      <c r="B21" s="48"/>
      <c r="D21" s="42"/>
      <c r="F21" s="59">
        <f>F19*F20</f>
        <v>837453.96</v>
      </c>
      <c r="G21" s="59">
        <f>G19*G20</f>
        <v>800580.27</v>
      </c>
      <c r="H21" s="46">
        <f>SUM(F21:G21)/2</f>
        <v>819017.11499999999</v>
      </c>
    </row>
    <row r="22" spans="1:10">
      <c r="A22" s="23">
        <f t="shared" si="0"/>
        <v>12</v>
      </c>
      <c r="F22" s="52"/>
      <c r="G22" s="52"/>
      <c r="H22" s="49"/>
    </row>
    <row r="23" spans="1:10">
      <c r="A23" s="23">
        <f t="shared" si="0"/>
        <v>13</v>
      </c>
      <c r="B23" s="42" t="s">
        <v>218</v>
      </c>
      <c r="D23" s="17" t="s">
        <v>51</v>
      </c>
      <c r="F23" s="52">
        <v>-880830</v>
      </c>
      <c r="G23" s="52">
        <v>-876365.55</v>
      </c>
      <c r="H23" s="49">
        <v>-878597.77500000002</v>
      </c>
    </row>
    <row r="24" spans="1:10">
      <c r="A24" s="23">
        <f t="shared" si="0"/>
        <v>14</v>
      </c>
      <c r="B24" s="53"/>
      <c r="F24" s="52"/>
      <c r="G24" s="52"/>
      <c r="H24" s="49"/>
    </row>
    <row r="25" spans="1:10">
      <c r="A25" s="23">
        <f t="shared" si="0"/>
        <v>15</v>
      </c>
      <c r="B25" s="42" t="s">
        <v>262</v>
      </c>
      <c r="D25" s="17" t="s">
        <v>267</v>
      </c>
      <c r="F25" s="59">
        <f>SUM(F21:F22)-F23+F24</f>
        <v>1718283.96</v>
      </c>
      <c r="G25" s="59">
        <f>SUM(G21:G22)-G23+G24</f>
        <v>1676945.82</v>
      </c>
      <c r="H25" s="46">
        <f>SUM(H21:H22)-H23+H24</f>
        <v>1697614.8900000001</v>
      </c>
    </row>
  </sheetData>
  <mergeCells count="3">
    <mergeCell ref="A3:H3"/>
    <mergeCell ref="A4:H4"/>
    <mergeCell ref="A5:H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Cost of Service References</vt:lpstr>
      <vt:lpstr>BHP WP1 A&amp;G</vt:lpstr>
      <vt:lpstr>BHP WP4 Transmission Assets</vt:lpstr>
      <vt:lpstr>BHP WP8 Adj to Rate Base</vt:lpstr>
      <vt:lpstr>BHP WP 8.1 EDIT-DDIT</vt:lpstr>
      <vt:lpstr>BHP WP9 Accum Depr</vt:lpstr>
      <vt:lpstr>BHP WP10 Plant in Service</vt:lpstr>
      <vt:lpstr>BHP WP11 Property Tax Expense</vt:lpstr>
      <vt:lpstr>BHP WP12 ADIT</vt:lpstr>
      <vt:lpstr>BHP WP13 Accum Reserve</vt:lpstr>
      <vt:lpstr>'BHP WP 8.1 EDIT-DDIT'!Print_Area</vt:lpstr>
      <vt:lpstr>'BHP WP1 A&amp;G'!Print_Area</vt:lpstr>
      <vt:lpstr>'BHP WP10 Plant in Service'!Print_Area</vt:lpstr>
      <vt:lpstr>'BHP WP4 Transmission Assets'!Print_Area</vt:lpstr>
      <vt:lpstr>'BHP WP9 Accum Depr'!Print_Area</vt:lpstr>
      <vt:lpstr>'Cost of Service References'!Print_Area</vt:lpstr>
    </vt:vector>
  </TitlesOfParts>
  <Company>BHC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Cody Hoffman</dc:creator>
  <cp:lastModifiedBy>Mack, Lori</cp:lastModifiedBy>
  <cp:lastPrinted>2016-05-31T15:34:06Z</cp:lastPrinted>
  <dcterms:created xsi:type="dcterms:W3CDTF">2015-05-28T18:39:45Z</dcterms:created>
  <dcterms:modified xsi:type="dcterms:W3CDTF">2025-09-25T19:11:21Z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