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Treasury Department\Reporting\Regulatory\2024\COE ATRR\"/>
    </mc:Choice>
  </mc:AlternateContent>
  <xr:revisionPtr revIDLastSave="0" documentId="13_ncr:1_{E31ADCD5-94E7-4B32-A9DB-B9929C46C683}" xr6:coauthVersionLast="47" xr6:coauthVersionMax="47" xr10:uidLastSave="{00000000-0000-0000-0000-000000000000}"/>
  <bookViews>
    <workbookView xWindow="-120" yWindow="-120" windowWidth="29040" windowHeight="15720" xr2:uid="{9F66E303-C8BB-40FB-9DAB-3C5928C25928}"/>
  </bookViews>
  <sheets>
    <sheet name="Cost of Long Term Debt" sheetId="1" r:id="rId1"/>
  </sheets>
  <definedNames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C" hidden="1">#REF!</definedName>
    <definedName name="__123Graph_CBAR" hidden="1">#REF!</definedName>
    <definedName name="__123Graph_D" hidden="1">#REF!</definedName>
    <definedName name="__123Graph_DBAR" hidden="1">#REF!</definedName>
    <definedName name="__123Graph_E" hidden="1">#REF!</definedName>
    <definedName name="__123Graph_EBAR" hidden="1">#REF!</definedName>
    <definedName name="__123Graph_F" hidden="1">#REF!</definedName>
    <definedName name="__123Graph_FBAR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tet12" hidden="1">{"assumptions",#N/A,FALSE,"Scenario 1";"valuation",#N/A,FALSE,"Scenario 1"}</definedName>
    <definedName name="__tet5" hidden="1">{"assumptions",#N/A,FALSE,"Scenario 1";"valuation",#N/A,FALSE,"Scenario 1"}</definedName>
    <definedName name="_1234" hidden="1">#REF!</definedName>
    <definedName name="_123Grah_b1" hidden="1">#REF!</definedName>
    <definedName name="_142XX_" hidden="1">#REF!</definedName>
    <definedName name="_bdm.FastTrackBookmark.10_4_2004_9_40_31_AM.edm" hidden="1">#REF!</definedName>
    <definedName name="_bdm.FastTrackBookmark.9_15_2004_3_08_01_PM.edm" hidden="1">#REF!</definedName>
    <definedName name="_bdm.FastTrackBookmark.9_15_2004_3_17_28_PM.edm" hidden="1">#REF!</definedName>
    <definedName name="_bdm.FastTrackBookmark.9_15_2004_4_15_33_PM.edm" hidden="1">#REF!</definedName>
    <definedName name="_FEB01" hidden="1">{#N/A,#N/A,FALSE,"EMPPAY"}</definedName>
    <definedName name="_Fill" hidden="1">#REF!</definedName>
    <definedName name="_JAN01" hidden="1">{#N/A,#N/A,FALSE,"EMPPAY"}</definedName>
    <definedName name="_JAN2001" hidden="1">{#N/A,#N/A,FALSE,"EMPPAY"}</definedName>
    <definedName name="_Key1" hidden="1">#REF!</definedName>
    <definedName name="_ME" hidden="1">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a" hidden="1">{"LBO Summary",#N/A,FALSE,"Summary"}</definedName>
    <definedName name="ABC" hidden="1">#REF!</definedName>
    <definedName name="adam" hidden="1">#REF!</definedName>
    <definedName name="adfa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Alignment" hidden="1">"a1"</definedName>
    <definedName name="AS2DocOpenMode" hidden="1">"AS2DocumentEdit"</definedName>
    <definedName name="ClientMatter" hidden="1">"b1"</definedName>
    <definedName name="Date" hidden="1">"b1"</definedName>
    <definedName name="DEC00" hidden="1">{#N/A,#N/A,FALSE,"ARREC"}</definedName>
    <definedName name="DocumentName" hidden="1">"b1"</definedName>
    <definedName name="DocumentNum" hidden="1">"a1"</definedName>
    <definedName name="dsfa" hidden="1">#REF!</definedName>
    <definedName name="dsfa." hidden="1">#REF!</definedName>
    <definedName name="FEB00" hidden="1">{#N/A,#N/A,FALSE,"ARREC"}</definedName>
    <definedName name="Library" hidden="1">"a1"</definedName>
    <definedName name="MAY" hidden="1">{#N/A,#N/A,FALSE,"EMPPAY"}</definedName>
    <definedName name="ME" hidden="1">#REF!</definedName>
    <definedName name="ME." hidden="1">#REF!</definedName>
    <definedName name="New" hidden="1">#REF!</definedName>
    <definedName name="SAPBEXhrIndnt" hidden="1">"Wide"</definedName>
    <definedName name="SAPsysID" hidden="1">"708C5W7SBKP804JT78WJ0JNKI"</definedName>
    <definedName name="SAPwbID" hidden="1">"ARS"</definedName>
    <definedName name="saraaksdf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test" hidden="1">{"LBO Summary",#N/A,FALSE,"Summary"}</definedName>
    <definedName name="test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4" hidden="1">{"assumptions",#N/A,FALSE,"Scenario 1";"valuation",#N/A,FALSE,"Scenario 1"}</definedName>
    <definedName name="test6" hidden="1">{"LBO Summary",#N/A,FALSE,"Summary"}</definedName>
    <definedName name="testc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TextRefCopyRangeCount" hidden="1">1</definedName>
    <definedName name="Time" hidden="1">"b1"</definedName>
    <definedName name="ttqtrqtggdsata" hidden="1">{"LCIIRECON",#N/A,FALSE,"LCII";"LCISRECON",#N/A,FALSE,"LCIS";"LCIMRECON",#N/A,FALSE,"LCIM";"LCITRECON",#N/A,FALSE,"LCIT";"CONSM1",#N/A,FALSE,"94FED"}</definedName>
    <definedName name="tttt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Typist" hidden="1">"b1"</definedName>
    <definedName name="Value" hidden="1">{"assumptions",#N/A,FALSE,"Scenario 1";"valuation",#N/A,FALSE,"Scenario 1"}</definedName>
    <definedName name="Version" hidden="1">"a1"</definedName>
    <definedName name="wrn.ARREC." hidden="1">{#N/A,#N/A,FALSE,"ARREC"}</definedName>
    <definedName name="wrn.COST._.ALLOC._.STUDY._.1997._.CLFP.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wrn.CP._.Demand." hidden="1">{"Retail CP pg1",#N/A,FALSE,"FACTOR3";"Retail CP pg2",#N/A,FALSE,"FACTOR3";"Retail CP pg3",#N/A,FALSE,"FACTOR3"}</definedName>
    <definedName name="wrn.CP._.Demand2." hidden="1">{"Retail CP pg1",#N/A,FALSE,"FACTOR3";"Retail CP pg2",#N/A,FALSE,"FACTOR3";"Retail CP pg3",#N/A,FALSE,"FACTOR3"}</definedName>
    <definedName name="wrn.DATA._.INPUTS." hidden="1">{#N/A,#N/A,TRUE,"DATA INPUTS"}</definedName>
    <definedName name="wrn.EMPPAY." hidden="1">{#N/A,#N/A,FALSE,"EMPPAY"}</definedName>
    <definedName name="wrn.Group.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wrn.group1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Other._.Schedules.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RAK1." hidden="1">{"RAK-1, Schedule 1",#N/A,FALSE,"Electric";"RAK-1, Schedule 2",#N/A,FALSE,"Electric";"RAK-1, Schedule 4",#N/A,FALSE,"Electric"}</definedName>
    <definedName name="wrn.RAK2.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3A",#N/A,FALSE,"Electric";"RAK-2, Schedule 3B",#N/A,FALSE,"Electric";"RAK-2, Schedule 3C",#N/A,FALSE,"Electric";"RAK-2, Schedule 3D",#N/A,FALSE,"Electric";"RAK-2, Schedule 4A",#N/A,FALSE,"Electric";"RAK-2, Schedule 4B",#N/A,FALSE,"Electric";"RAK-2, Schedule 4C",#N/A,FALSE,"Electric";"RAK-2, Schedule 4D",#N/A,FALSE,"Electric"}</definedName>
    <definedName name="wrn.RevReq." hidden="1">{#N/A,#N/A,FALSE,"Revenue Requirements";#N/A,#N/A,FALSE,"Capital Structure";#N/A,#N/A,FALSE,"Cost of Debt";#N/A,#N/A,FALSE,"Electric";#N/A,#N/A,FALSE,"Gas";#N/A,#N/A,FALSE,"CWC";#N/A,#N/A,FALSE,"Income Taxes"}</definedName>
    <definedName name="wrn.Schedule._.4." hidden="1">{"ERB1",#N/A,FALSE,"Electric";"ERB2",#N/A,FALSE,"Electric";"ERB3",#N/A,FALSE,"Electric";"ERB4",#N/A,FALSE,"Electric";"ERB5",#N/A,FALSE,"Electric"}</definedName>
    <definedName name="wrn.Schedule._.5." hidden="1">{"EE1",#N/A,FALSE,"Electric";"EE2",#N/A,FALSE,"Electric";"EE3",#N/A,FALSE,"Electric";"EE4",#N/A,FALSE,"Electric";"EE5",#N/A,FALSE,"Electric"}</definedName>
    <definedName name="wrn.TAXABLE._.INCOME." hidden="1">{"LCIIRECON",#N/A,FALSE,"LCII";"LCISRECON",#N/A,FALSE,"LCIS";"LCIMRECON",#N/A,FALSE,"LCIM";"LCITRECON",#N/A,FALSE,"LCIT";"CONSM1",#N/A,FALSE,"94FED"}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K." hidden="1">{#N/A,#N/A,TRUE,"UK Profit and Loss";#N/A,#N/A,TRUE,"UK Balance Sheet";#N/A,#N/A,TRUE,"UK Sales";#N/A,#N/A,TRUE,"UK  Overheads";#N/A,#N/A,TRUE,"UK - CHANNEL SALES";#N/A,#N/A,TRUE,"UK - TOP 15";#N/A,#N/A,TRUE,"UK - DEBTORS";#N/A,#N/A,TRUE,"UK - KEY STATS";#N/A,#N/A,TRUE,"UK - CAPEX";#N/A,#N/A,TRUE,"UK - CASHFLOW"}</definedName>
    <definedName name="wrn.USA." hidden="1">{#N/A,#N/A,TRUE,"USA Profit and Loss";#N/A,#N/A,TRUE,"USA Balance Sheet";#N/A,#N/A,TRUE,"USA Sales ";#N/A,#N/A,TRUE,"USA  Overheads";#N/A,#N/A,TRUE,"USA - CHANNEL SALES";#N/A,#N/A,TRUE,"USA - TOP 15";#N/A,#N/A,TRUE,"USA - KEY STATS";#N/A,#N/A,TRUE,"USA - DEBTORS";#N/A,#N/A,TRUE,"USA - CAPEX";#N/A,#N/A,TRUE,"USA - CASHFLOW"}</definedName>
    <definedName name="xx" hidden="1">{#N/A,#N/A,FALSE,"EMPPAY"}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48" i="1"/>
  <c r="G29" i="1"/>
  <c r="G37" i="1"/>
  <c r="G32" i="1"/>
  <c r="G16" i="1"/>
  <c r="G13" i="1"/>
  <c r="Q19" i="1" l="1"/>
  <c r="Q20" i="1"/>
  <c r="Q21" i="1"/>
  <c r="Q17" i="1"/>
  <c r="E57" i="1"/>
  <c r="I55" i="1"/>
  <c r="L55" i="1" s="1"/>
  <c r="N55" i="1" s="1"/>
  <c r="G55" i="1"/>
  <c r="I54" i="1"/>
  <c r="L54" i="1" s="1"/>
  <c r="N54" i="1" s="1"/>
  <c r="G54" i="1"/>
  <c r="M53" i="1"/>
  <c r="Q18" i="1" s="1"/>
  <c r="I53" i="1"/>
  <c r="L53" i="1" s="1"/>
  <c r="I52" i="1"/>
  <c r="L52" i="1" s="1"/>
  <c r="N52" i="1" s="1"/>
  <c r="G52" i="1"/>
  <c r="I51" i="1"/>
  <c r="L51" i="1" s="1"/>
  <c r="N51" i="1" s="1"/>
  <c r="G51" i="1"/>
  <c r="I50" i="1"/>
  <c r="L50" i="1" s="1"/>
  <c r="N50" i="1" s="1"/>
  <c r="G50" i="1"/>
  <c r="I49" i="1"/>
  <c r="L49" i="1" s="1"/>
  <c r="N49" i="1" s="1"/>
  <c r="G49" i="1"/>
  <c r="I48" i="1"/>
  <c r="L48" i="1" s="1"/>
  <c r="N48" i="1" s="1"/>
  <c r="I47" i="1"/>
  <c r="L47" i="1" s="1"/>
  <c r="N47" i="1" s="1"/>
  <c r="G47" i="1"/>
  <c r="I46" i="1"/>
  <c r="L46" i="1" s="1"/>
  <c r="N46" i="1" s="1"/>
  <c r="G46" i="1"/>
  <c r="M57" i="1"/>
  <c r="N53" i="1" l="1"/>
  <c r="R18" i="1" s="1"/>
  <c r="R19" i="1" l="1"/>
  <c r="R20" i="1"/>
  <c r="R21" i="1"/>
  <c r="R17" i="1"/>
  <c r="N57" i="1"/>
  <c r="L57" i="1" s="1"/>
  <c r="M37" i="1" l="1"/>
  <c r="I37" i="1"/>
  <c r="L37" i="1" s="1"/>
  <c r="N37" i="1" l="1"/>
  <c r="E41" i="1" l="1"/>
  <c r="I39" i="1"/>
  <c r="L39" i="1" s="1"/>
  <c r="N39" i="1" s="1"/>
  <c r="G39" i="1"/>
  <c r="I38" i="1"/>
  <c r="L38" i="1" s="1"/>
  <c r="N38" i="1" s="1"/>
  <c r="G38" i="1"/>
  <c r="I36" i="1"/>
  <c r="L36" i="1" s="1"/>
  <c r="N36" i="1" s="1"/>
  <c r="G36" i="1"/>
  <c r="I35" i="1"/>
  <c r="L35" i="1" s="1"/>
  <c r="N35" i="1" s="1"/>
  <c r="G35" i="1"/>
  <c r="I34" i="1"/>
  <c r="L34" i="1" s="1"/>
  <c r="N34" i="1" s="1"/>
  <c r="G34" i="1"/>
  <c r="I33" i="1"/>
  <c r="L33" i="1" s="1"/>
  <c r="N33" i="1" s="1"/>
  <c r="G33" i="1"/>
  <c r="I32" i="1"/>
  <c r="L32" i="1" s="1"/>
  <c r="N32" i="1" s="1"/>
  <c r="I31" i="1"/>
  <c r="L31" i="1" s="1"/>
  <c r="N31" i="1" s="1"/>
  <c r="G31" i="1"/>
  <c r="I30" i="1"/>
  <c r="L30" i="1" s="1"/>
  <c r="N30" i="1" s="1"/>
  <c r="G30" i="1"/>
  <c r="M29" i="1"/>
  <c r="I29" i="1"/>
  <c r="L29" i="1" s="1"/>
  <c r="E24" i="1"/>
  <c r="I22" i="1"/>
  <c r="L22" i="1" s="1"/>
  <c r="N22" i="1" s="1"/>
  <c r="G22" i="1"/>
  <c r="I21" i="1"/>
  <c r="L21" i="1" s="1"/>
  <c r="N21" i="1" s="1"/>
  <c r="G21" i="1"/>
  <c r="I20" i="1"/>
  <c r="L20" i="1" s="1"/>
  <c r="N20" i="1" s="1"/>
  <c r="G20" i="1"/>
  <c r="I19" i="1"/>
  <c r="L19" i="1" s="1"/>
  <c r="N19" i="1" s="1"/>
  <c r="G19" i="1"/>
  <c r="I18" i="1"/>
  <c r="L18" i="1" s="1"/>
  <c r="N18" i="1" s="1"/>
  <c r="G18" i="1"/>
  <c r="I17" i="1"/>
  <c r="L17" i="1" s="1"/>
  <c r="N17" i="1" s="1"/>
  <c r="G17" i="1"/>
  <c r="I15" i="1"/>
  <c r="L15" i="1" s="1"/>
  <c r="N15" i="1" s="1"/>
  <c r="G15" i="1"/>
  <c r="I14" i="1"/>
  <c r="L14" i="1" s="1"/>
  <c r="N14" i="1" s="1"/>
  <c r="G14" i="1"/>
  <c r="M13" i="1"/>
  <c r="I13" i="1"/>
  <c r="L13" i="1" s="1"/>
  <c r="M41" i="1" l="1"/>
  <c r="Q15" i="1"/>
  <c r="Q16" i="1"/>
  <c r="Q14" i="1"/>
  <c r="M24" i="1"/>
  <c r="Q12" i="1"/>
  <c r="Q13" i="1"/>
  <c r="N29" i="1"/>
  <c r="N13" i="1"/>
  <c r="N41" i="1" l="1"/>
  <c r="L41" i="1" s="1"/>
  <c r="R15" i="1"/>
  <c r="R16" i="1"/>
  <c r="R14" i="1"/>
  <c r="T12" i="1"/>
  <c r="Q11" i="1" l="1"/>
  <c r="Q10" i="1"/>
  <c r="T21" i="1" l="1"/>
  <c r="T20" i="1"/>
  <c r="T19" i="1"/>
  <c r="T18" i="1"/>
  <c r="T17" i="1"/>
  <c r="T16" i="1"/>
  <c r="T15" i="1"/>
  <c r="T14" i="1"/>
  <c r="T13" i="1"/>
  <c r="T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T10" i="1"/>
  <c r="T24" i="1" l="1"/>
  <c r="S15" i="1" l="1"/>
  <c r="U15" i="1" s="1"/>
  <c r="S17" i="1"/>
  <c r="S20" i="1"/>
  <c r="U20" i="1" s="1"/>
  <c r="S16" i="1" l="1"/>
  <c r="U16" i="1" s="1"/>
  <c r="S18" i="1"/>
  <c r="U18" i="1" s="1"/>
  <c r="S21" i="1"/>
  <c r="U21" i="1" s="1"/>
  <c r="S14" i="1"/>
  <c r="S19" i="1"/>
  <c r="U19" i="1" s="1"/>
  <c r="U17" i="1" l="1"/>
  <c r="I16" i="1" l="1"/>
  <c r="L16" i="1" s="1"/>
  <c r="N16" i="1" s="1"/>
  <c r="R11" i="1" l="1"/>
  <c r="S11" i="1" s="1"/>
  <c r="U11" i="1" s="1"/>
  <c r="R12" i="1"/>
  <c r="S12" i="1" s="1"/>
  <c r="U12" i="1" s="1"/>
  <c r="N24" i="1"/>
  <c r="L24" i="1" s="1"/>
  <c r="R10" i="1"/>
  <c r="S10" i="1" s="1"/>
  <c r="U10" i="1" s="1"/>
  <c r="R13" i="1"/>
  <c r="S13" i="1" s="1"/>
  <c r="U13" i="1" l="1"/>
  <c r="U14" i="1"/>
  <c r="U24" i="1"/>
</calcChain>
</file>

<file path=xl/sharedStrings.xml><?xml version="1.0" encoding="utf-8"?>
<sst xmlns="http://schemas.openxmlformats.org/spreadsheetml/2006/main" count="80" uniqueCount="57">
  <si>
    <t>Cost of Debt for Black Hills Corporation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</si>
  <si>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</si>
  <si>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</si>
  <si>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</si>
  <si>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</si>
  <si>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</si>
  <si>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</si>
  <si>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</si>
  <si>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</si>
  <si>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</si>
  <si>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</si>
  <si>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</si>
  <si>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</si>
  <si>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</si>
  <si>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= (d) x (e )</t>
  </si>
  <si>
    <t>= (h)+ (i)+(j)</t>
  </si>
  <si>
    <t>= (k) x (l)</t>
  </si>
  <si>
    <t>Line No.</t>
  </si>
  <si>
    <t>Title</t>
  </si>
  <si>
    <t>Issue</t>
  </si>
  <si>
    <t>Maturity</t>
  </si>
  <si>
    <t>Amount Issued</t>
  </si>
  <si>
    <t>Price Per Unit</t>
  </si>
  <si>
    <t xml:space="preserve">Net Proceeds Amount </t>
  </si>
  <si>
    <t>Coupon/Interest Rate</t>
  </si>
  <si>
    <t>Yield to Maturity</t>
  </si>
  <si>
    <t>Financing Costs</t>
  </si>
  <si>
    <t>(Gain)/Loss on Reacquired Debt</t>
  </si>
  <si>
    <t>Cost of Money</t>
  </si>
  <si>
    <t>Amount Outstanding</t>
  </si>
  <si>
    <t>Annual Cost</t>
  </si>
  <si>
    <t>Principal</t>
  </si>
  <si>
    <t>Rate</t>
  </si>
  <si>
    <t>Days in Month</t>
  </si>
  <si>
    <t>Avg Monthly Rate</t>
  </si>
  <si>
    <t>BHC $600M Notes due 2024</t>
  </si>
  <si>
    <t>BHC $300M Notes Due 2026</t>
  </si>
  <si>
    <t>BHC $400M Notes Due 2027</t>
  </si>
  <si>
    <t>BHC $400M Notes Due 2029</t>
  </si>
  <si>
    <t>BHC $400M Notes Due 2030</t>
  </si>
  <si>
    <t>BHC $400M Notes Dues 2033</t>
  </si>
  <si>
    <t>BHC $300M Notes Due 2046</t>
  </si>
  <si>
    <t>BHC $300M Notes Due 2049</t>
  </si>
  <si>
    <t>BHC Notes</t>
  </si>
  <si>
    <t>Notes:</t>
  </si>
  <si>
    <r>
      <t>Annual Average Cost of LTD Rate</t>
    </r>
    <r>
      <rPr>
        <vertAlign val="superscript"/>
        <sz val="12"/>
        <color theme="1"/>
        <rFont val="Times New Roman"/>
        <family val="1"/>
      </rPr>
      <t>1</t>
    </r>
  </si>
  <si>
    <t>BHC $350M Notes Due 2028</t>
  </si>
  <si>
    <t>BHC $450M Notes Due 2034</t>
  </si>
  <si>
    <t>BHCOE Docket No. ___________</t>
  </si>
  <si>
    <t>Black Hills Corporation</t>
  </si>
  <si>
    <t>Year-Ended December 31, 2024</t>
  </si>
  <si>
    <t>As of December 31, 2023</t>
  </si>
  <si>
    <t>As of May 16, 2024</t>
  </si>
  <si>
    <t>BHC $450M Notes Due 2035</t>
  </si>
  <si>
    <t>As of August 23, 2024</t>
  </si>
  <si>
    <t>WACOD for the year-ended December 31, 2024</t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</si>
  <si>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Per Settlement Agreement Cost of Debt Rate excludes First Mortgage Bonds not secured by the assets of BHCOE but </t>
    </r>
    <r>
      <rPr>
        <u/>
        <sz val="12"/>
        <color theme="1"/>
        <rFont val="Times New Roman"/>
        <family val="1"/>
      </rPr>
      <t>does</t>
    </r>
    <r>
      <rPr>
        <sz val="12"/>
        <color theme="1"/>
        <rFont val="Times New Roman"/>
        <family val="1"/>
      </rPr>
      <t xml:space="preserve"> include debt related to Winter Storm Uri until the $600M Note's maturity in Aug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</si>
</sst>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vertAlign val="superscript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5" fontId="2" fillId="0" borderId="0" xfId="0" quotePrefix="1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right"/>
    </xf>
    <xf numFmtId="165" fontId="3" fillId="0" borderId="0" xfId="3" applyNumberFormat="1" applyFont="1" applyFill="1" applyAlignment="1" applyProtection="1">
      <alignment horizontal="center"/>
    </xf>
    <xf numFmtId="37" fontId="3" fillId="0" borderId="0" xfId="3" applyNumberFormat="1" applyFont="1" applyFill="1" applyAlignment="1" applyProtection="1">
      <alignment horizontal="center"/>
    </xf>
    <xf numFmtId="10" fontId="3" fillId="0" borderId="0" xfId="4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4" fontId="3" fillId="0" borderId="0" xfId="3" applyNumberFormat="1" applyFont="1" applyFill="1"/>
    <xf numFmtId="0" fontId="8" fillId="0" borderId="0" xfId="0" applyFont="1" applyAlignment="1">
      <alignment horizontal="left"/>
    </xf>
    <xf numFmtId="164" fontId="3" fillId="0" borderId="0" xfId="3" applyNumberFormat="1" applyFont="1" applyFill="1" applyAlignment="1">
      <alignment horizontal="center"/>
    </xf>
    <xf numFmtId="164" fontId="3" fillId="0" borderId="0" xfId="3" applyNumberFormat="1" applyFont="1" applyFill="1" applyBorder="1"/>
    <xf numFmtId="164" fontId="3" fillId="0" borderId="0" xfId="3" applyNumberFormat="1" applyFont="1" applyFill="1" applyBorder="1" applyAlignment="1">
      <alignment horizontal="center"/>
    </xf>
    <xf numFmtId="165" fontId="3" fillId="0" borderId="0" xfId="3" applyNumberFormat="1" applyFont="1" applyFill="1" applyBorder="1" applyAlignment="1" applyProtection="1">
      <alignment horizontal="center"/>
    </xf>
    <xf numFmtId="37" fontId="3" fillId="0" borderId="0" xfId="3" applyNumberFormat="1" applyFont="1" applyFill="1" applyBorder="1" applyAlignment="1" applyProtection="1">
      <alignment horizontal="center"/>
    </xf>
    <xf numFmtId="10" fontId="3" fillId="0" borderId="0" xfId="4" applyNumberFormat="1" applyFont="1" applyFill="1" applyBorder="1" applyAlignment="1">
      <alignment horizontal="center"/>
    </xf>
    <xf numFmtId="166" fontId="3" fillId="0" borderId="0" xfId="4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4" fontId="3" fillId="0" borderId="1" xfId="3" applyNumberFormat="1" applyFont="1" applyFill="1" applyBorder="1" applyAlignment="1">
      <alignment horizontal="center"/>
    </xf>
    <xf numFmtId="164" fontId="3" fillId="0" borderId="1" xfId="3" applyNumberFormat="1" applyFont="1" applyFill="1" applyBorder="1"/>
    <xf numFmtId="0" fontId="3" fillId="0" borderId="1" xfId="0" applyFont="1" applyBorder="1" applyAlignment="1">
      <alignment horizontal="right"/>
    </xf>
    <xf numFmtId="164" fontId="3" fillId="0" borderId="2" xfId="5" applyNumberFormat="1" applyFont="1" applyFill="1" applyBorder="1" applyAlignment="1">
      <alignment horizontal="center"/>
    </xf>
    <xf numFmtId="165" fontId="3" fillId="0" borderId="0" xfId="5" applyNumberFormat="1" applyFont="1" applyFill="1" applyAlignment="1" applyProtection="1">
      <alignment horizontal="center"/>
    </xf>
    <xf numFmtId="37" fontId="3" fillId="0" borderId="0" xfId="5" applyNumberFormat="1" applyFont="1" applyFill="1" applyAlignment="1" applyProtection="1">
      <alignment horizontal="center"/>
    </xf>
    <xf numFmtId="10" fontId="3" fillId="0" borderId="2" xfId="2" applyNumberFormat="1" applyFont="1" applyFill="1" applyBorder="1" applyAlignment="1">
      <alignment horizontal="center"/>
    </xf>
    <xf numFmtId="37" fontId="3" fillId="0" borderId="3" xfId="6" applyNumberFormat="1" applyFont="1" applyFill="1" applyBorder="1"/>
    <xf numFmtId="0" fontId="3" fillId="0" borderId="4" xfId="0" applyFont="1" applyBorder="1"/>
    <xf numFmtId="0" fontId="8" fillId="0" borderId="0" xfId="0" applyFont="1"/>
    <xf numFmtId="0" fontId="8" fillId="0" borderId="0" xfId="0" applyFont="1" applyAlignment="1">
      <alignment wrapText="1"/>
    </xf>
    <xf numFmtId="14" fontId="8" fillId="0" borderId="0" xfId="0" applyNumberFormat="1" applyFont="1"/>
    <xf numFmtId="0" fontId="4" fillId="2" borderId="0" xfId="0" applyFont="1" applyFill="1"/>
    <xf numFmtId="0" fontId="2" fillId="2" borderId="0" xfId="0" applyFont="1" applyFill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15" fontId="8" fillId="3" borderId="0" xfId="0" applyNumberFormat="1" applyFont="1" applyFill="1" applyAlignment="1">
      <alignment horizontal="left"/>
    </xf>
    <xf numFmtId="164" fontId="0" fillId="3" borderId="0" xfId="0" applyNumberFormat="1" applyFill="1"/>
    <xf numFmtId="10" fontId="0" fillId="3" borderId="0" xfId="2" applyNumberFormat="1" applyFont="1" applyFill="1"/>
    <xf numFmtId="164" fontId="0" fillId="3" borderId="0" xfId="1" applyNumberFormat="1" applyFont="1" applyFill="1"/>
    <xf numFmtId="10" fontId="0" fillId="3" borderId="0" xfId="0" applyNumberFormat="1" applyFill="1"/>
    <xf numFmtId="0" fontId="0" fillId="3" borderId="0" xfId="0" applyFill="1"/>
    <xf numFmtId="0" fontId="8" fillId="3" borderId="0" xfId="0" applyFont="1" applyFill="1"/>
    <xf numFmtId="164" fontId="8" fillId="3" borderId="0" xfId="0" applyNumberFormat="1" applyFont="1" applyFill="1"/>
    <xf numFmtId="10" fontId="8" fillId="3" borderId="5" xfId="0" applyNumberFormat="1" applyFont="1" applyFill="1" applyBorder="1"/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/>
    </xf>
    <xf numFmtId="14" fontId="3" fillId="0" borderId="0" xfId="0" applyNumberFormat="1" applyFont="1" applyFill="1" applyAlignment="1">
      <alignment horizontal="right"/>
    </xf>
    <xf numFmtId="10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/>
    <xf numFmtId="10" fontId="0" fillId="0" borderId="0" xfId="2" applyNumberFormat="1" applyFont="1"/>
    <xf numFmtId="0" fontId="8" fillId="4" borderId="0" xfId="0" applyFont="1" applyFill="1" applyAlignment="1">
      <alignment horizontal="left"/>
    </xf>
    <xf numFmtId="14" fontId="3" fillId="4" borderId="0" xfId="0" applyNumberFormat="1" applyFont="1" applyFill="1" applyAlignment="1">
      <alignment horizontal="right"/>
    </xf>
    <xf numFmtId="164" fontId="3" fillId="4" borderId="0" xfId="3" applyNumberFormat="1" applyFont="1" applyFill="1" applyAlignment="1">
      <alignment horizontal="center"/>
    </xf>
    <xf numFmtId="165" fontId="3" fillId="4" borderId="0" xfId="3" applyNumberFormat="1" applyFont="1" applyFill="1" applyAlignment="1" applyProtection="1">
      <alignment horizontal="center"/>
    </xf>
    <xf numFmtId="164" fontId="3" fillId="4" borderId="0" xfId="3" applyNumberFormat="1" applyFont="1" applyFill="1" applyBorder="1" applyAlignment="1">
      <alignment horizontal="center"/>
    </xf>
    <xf numFmtId="10" fontId="3" fillId="4" borderId="0" xfId="4" applyNumberFormat="1" applyFont="1" applyFill="1" applyAlignment="1">
      <alignment horizontal="center"/>
    </xf>
    <xf numFmtId="10" fontId="3" fillId="4" borderId="0" xfId="0" applyNumberFormat="1" applyFont="1" applyFill="1" applyAlignment="1">
      <alignment horizontal="center"/>
    </xf>
    <xf numFmtId="10" fontId="3" fillId="4" borderId="0" xfId="0" applyNumberFormat="1" applyFont="1" applyFill="1"/>
    <xf numFmtId="164" fontId="3" fillId="4" borderId="0" xfId="3" applyNumberFormat="1" applyFont="1" applyFill="1" applyBorder="1"/>
    <xf numFmtId="0" fontId="8" fillId="4" borderId="0" xfId="0" applyFont="1" applyFill="1"/>
    <xf numFmtId="14" fontId="8" fillId="4" borderId="0" xfId="0" applyNumberFormat="1" applyFont="1" applyFill="1"/>
    <xf numFmtId="165" fontId="3" fillId="4" borderId="0" xfId="3" applyNumberFormat="1" applyFont="1" applyFill="1" applyBorder="1" applyAlignment="1" applyProtection="1">
      <alignment horizontal="center"/>
    </xf>
    <xf numFmtId="10" fontId="3" fillId="4" borderId="0" xfId="4" applyNumberFormat="1" applyFont="1" applyFill="1" applyBorder="1" applyAlignment="1">
      <alignment horizontal="center"/>
    </xf>
    <xf numFmtId="37" fontId="3" fillId="4" borderId="0" xfId="3" applyNumberFormat="1" applyFont="1" applyFill="1" applyAlignment="1" applyProtection="1">
      <alignment horizontal="center"/>
    </xf>
  </cellXfs>
  <cellStyles count="8">
    <cellStyle name="Comma" xfId="1" builtinId="3"/>
    <cellStyle name="Comma 150" xfId="7" xr:uid="{2ADDCD89-EEC5-4DC1-80F4-B6BCB208A18B}"/>
    <cellStyle name="Comma 2 2" xfId="3" xr:uid="{37347080-766D-4EC4-8BDC-50103CE821C6}"/>
    <cellStyle name="Comma 2 2 2" xfId="5" xr:uid="{0740C696-DE22-43A4-835D-5E28A45DAF34}"/>
    <cellStyle name="Currency 2" xfId="6" xr:uid="{1C29151B-E899-4ECF-9A96-911D5C068DD9}"/>
    <cellStyle name="Normal" xfId="0" builtinId="0"/>
    <cellStyle name="Percent" xfId="2" builtinId="5"/>
    <cellStyle name="Percent 2" xfId="4" xr:uid="{80D9ACAF-D82E-4764-9D68-DCFAF47A0B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45A0-D088-4403-B70F-31F952B701FF}">
  <sheetPr>
    <pageSetUpPr fitToPage="1"/>
  </sheetPr>
  <dimension ref="A1:W60"/>
  <sheetViews>
    <sheetView tabSelected="1" zoomScale="80" zoomScaleNormal="80" workbookViewId="0">
      <selection activeCell="Q34" sqref="Q34"/>
    </sheetView>
  </sheetViews>
  <sheetFormatPr defaultRowHeight="15" x14ac:dyDescent="0.25"/>
  <cols>
    <col min="1" max="1" width="8.5703125" customWidth="1"/>
    <col min="2" max="2" width="52.42578125" customWidth="1"/>
    <col min="3" max="4" width="11.28515625" bestFit="1" customWidth="1"/>
    <col min="5" max="5" width="15.42578125" bestFit="1" customWidth="1"/>
    <col min="6" max="6" width="10.140625" bestFit="1" customWidth="1"/>
    <col min="7" max="7" width="14" bestFit="1" customWidth="1"/>
    <col min="8" max="8" width="19.42578125" customWidth="1"/>
    <col min="9" max="9" width="12.5703125" customWidth="1"/>
    <col min="10" max="10" width="13.140625" customWidth="1"/>
    <col min="11" max="11" width="19.5703125" customWidth="1"/>
    <col min="12" max="12" width="12.85546875" bestFit="1" customWidth="1"/>
    <col min="13" max="13" width="15.7109375" bestFit="1" customWidth="1"/>
    <col min="14" max="14" width="14" bestFit="1" customWidth="1"/>
    <col min="15" max="15" width="2.85546875" customWidth="1"/>
    <col min="16" max="16" width="14.7109375" customWidth="1"/>
    <col min="17" max="17" width="15.7109375" customWidth="1"/>
    <col min="18" max="18" width="13.42578125" bestFit="1" customWidth="1"/>
    <col min="19" max="19" width="6.5703125" bestFit="1" customWidth="1"/>
    <col min="20" max="20" width="8.42578125" bestFit="1" customWidth="1"/>
    <col min="21" max="21" width="13.42578125" bestFit="1" customWidth="1"/>
  </cols>
  <sheetData>
    <row r="1" spans="1:23" ht="15.75" x14ac:dyDescent="0.25">
      <c r="A1" s="1" t="s">
        <v>49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3"/>
    </row>
    <row r="2" spans="1:23" ht="15.75" x14ac:dyDescent="0.25">
      <c r="A2" s="41" t="s">
        <v>48</v>
      </c>
      <c r="B2" s="4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</row>
    <row r="3" spans="1:23" ht="15.75" x14ac:dyDescent="0.25">
      <c r="A3" s="4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</row>
    <row r="4" spans="1:23" ht="15.75" x14ac:dyDescent="0.25">
      <c r="A4" s="4" t="s">
        <v>50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3" ht="15.75" x14ac:dyDescent="0.25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23" ht="15.6" customHeight="1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T6" s="8"/>
    </row>
    <row r="7" spans="1:23" ht="17.45" customHeight="1" x14ac:dyDescent="0.25">
      <c r="A7" s="6"/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P7" s="57" t="s">
        <v>55</v>
      </c>
      <c r="Q7" s="57"/>
      <c r="R7" s="57"/>
      <c r="S7" s="57"/>
      <c r="T7" s="57"/>
      <c r="U7" s="57"/>
      <c r="V7" s="51"/>
    </row>
    <row r="8" spans="1:23" ht="15.6" customHeight="1" x14ac:dyDescent="0.25">
      <c r="A8" s="6"/>
      <c r="B8" s="9"/>
      <c r="C8" s="9"/>
      <c r="D8" s="9"/>
      <c r="E8" s="9"/>
      <c r="F8" s="10"/>
      <c r="G8" s="10" t="s">
        <v>14</v>
      </c>
      <c r="H8" s="9"/>
      <c r="I8" s="9"/>
      <c r="J8" s="9"/>
      <c r="K8" s="6"/>
      <c r="L8" s="10" t="s">
        <v>15</v>
      </c>
      <c r="M8" s="9"/>
      <c r="N8" s="10" t="s">
        <v>16</v>
      </c>
      <c r="P8" s="57"/>
      <c r="Q8" s="57"/>
      <c r="R8" s="57"/>
      <c r="S8" s="57"/>
      <c r="T8" s="57"/>
      <c r="U8" s="57"/>
      <c r="V8" s="51"/>
    </row>
    <row r="9" spans="1:23" ht="43.5" x14ac:dyDescent="0.25">
      <c r="A9" s="11" t="s">
        <v>17</v>
      </c>
      <c r="B9" s="11" t="s">
        <v>18</v>
      </c>
      <c r="C9" s="11" t="s">
        <v>19</v>
      </c>
      <c r="D9" s="11" t="s">
        <v>20</v>
      </c>
      <c r="E9" s="11" t="s">
        <v>21</v>
      </c>
      <c r="F9" s="11" t="s">
        <v>22</v>
      </c>
      <c r="G9" s="11" t="s">
        <v>23</v>
      </c>
      <c r="H9" s="11" t="s">
        <v>24</v>
      </c>
      <c r="I9" s="11" t="s">
        <v>25</v>
      </c>
      <c r="J9" s="11" t="s">
        <v>26</v>
      </c>
      <c r="K9" s="11" t="s">
        <v>27</v>
      </c>
      <c r="L9" s="11" t="s">
        <v>28</v>
      </c>
      <c r="M9" s="11" t="s">
        <v>29</v>
      </c>
      <c r="N9" s="11" t="s">
        <v>30</v>
      </c>
      <c r="P9" s="43"/>
      <c r="Q9" s="44" t="s">
        <v>31</v>
      </c>
      <c r="R9" s="44" t="s">
        <v>30</v>
      </c>
      <c r="S9" s="45" t="s">
        <v>32</v>
      </c>
      <c r="T9" s="44" t="s">
        <v>33</v>
      </c>
      <c r="U9" s="44" t="s">
        <v>34</v>
      </c>
      <c r="V9" s="51"/>
    </row>
    <row r="10" spans="1:23" ht="15.75" x14ac:dyDescent="0.25">
      <c r="A10" s="6">
        <v>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P10" s="46">
        <v>45322</v>
      </c>
      <c r="Q10" s="47">
        <f>SUM($M$13:$M$22)</f>
        <v>3900000000</v>
      </c>
      <c r="R10" s="47">
        <f>SUM($N$13:$N$22)</f>
        <v>152910000</v>
      </c>
      <c r="S10" s="48">
        <f>R10/Q10</f>
        <v>3.9207692307692305E-2</v>
      </c>
      <c r="T10" s="49">
        <f>DAY(EOMONTH(P10,0))</f>
        <v>31</v>
      </c>
      <c r="U10" s="50">
        <f>S10</f>
        <v>3.9207692307692305E-2</v>
      </c>
      <c r="V10" s="51"/>
    </row>
    <row r="11" spans="1:23" ht="15.75" x14ac:dyDescent="0.25">
      <c r="A11" s="6">
        <f t="shared" ref="A11:A60" si="0">A10+1</f>
        <v>2</v>
      </c>
      <c r="B11" s="7" t="s">
        <v>51</v>
      </c>
      <c r="P11" s="46">
        <v>45351</v>
      </c>
      <c r="Q11" s="47">
        <f>SUM($M$13:$M$22)</f>
        <v>3900000000</v>
      </c>
      <c r="R11" s="47">
        <f>SUM($N$13:$N$22)</f>
        <v>152910000</v>
      </c>
      <c r="S11" s="48">
        <f t="shared" ref="S11:S21" si="1">R11/Q11</f>
        <v>3.9207692307692305E-2</v>
      </c>
      <c r="T11" s="49">
        <f>DAY(EOMONTH(P11,0))</f>
        <v>29</v>
      </c>
      <c r="U11" s="50">
        <f>S11</f>
        <v>3.9207692307692305E-2</v>
      </c>
      <c r="V11" s="51"/>
    </row>
    <row r="12" spans="1:23" ht="15.6" customHeight="1" x14ac:dyDescent="0.25">
      <c r="A12" s="6">
        <f t="shared" si="0"/>
        <v>3</v>
      </c>
      <c r="P12" s="46">
        <v>45382</v>
      </c>
      <c r="Q12" s="47">
        <f>SUM($M$13:$M$22)</f>
        <v>3900000000</v>
      </c>
      <c r="R12" s="47">
        <f t="shared" ref="R12:R13" si="2">SUM($N$13:$N$22)</f>
        <v>152910000</v>
      </c>
      <c r="S12" s="48">
        <f>R12/Q12</f>
        <v>3.9207692307692305E-2</v>
      </c>
      <c r="T12" s="49">
        <f>DAY(EOMONTH(P12,0))</f>
        <v>31</v>
      </c>
      <c r="U12" s="50">
        <f t="shared" ref="U12:U13" si="3">S12</f>
        <v>3.9207692307692305E-2</v>
      </c>
      <c r="V12" s="51"/>
    </row>
    <row r="13" spans="1:23" ht="15.75" x14ac:dyDescent="0.25">
      <c r="A13" s="6">
        <f t="shared" si="0"/>
        <v>4</v>
      </c>
      <c r="B13" s="38" t="s">
        <v>35</v>
      </c>
      <c r="C13" s="40">
        <v>44434</v>
      </c>
      <c r="D13" s="40">
        <v>45527</v>
      </c>
      <c r="E13" s="23">
        <v>600000000</v>
      </c>
      <c r="F13" s="24">
        <v>1</v>
      </c>
      <c r="G13" s="15">
        <f t="shared" ref="G13:G14" si="4">E13*F13</f>
        <v>600000000</v>
      </c>
      <c r="H13" s="26">
        <v>1.0370000000000001E-2</v>
      </c>
      <c r="I13" s="17">
        <f t="shared" ref="I13:I14" si="5">YIELD(C13,D13,H13,F13*100,100,2,0)</f>
        <v>1.0369925279348866E-2</v>
      </c>
      <c r="J13" s="18">
        <v>2.0481889100000001E-3</v>
      </c>
      <c r="K13" s="18">
        <v>0</v>
      </c>
      <c r="L13" s="26">
        <f>ROUND(I13+J13+K13,4)</f>
        <v>1.24E-2</v>
      </c>
      <c r="M13" s="23">
        <f>+E13</f>
        <v>600000000</v>
      </c>
      <c r="N13" s="22">
        <f>M13*L13</f>
        <v>7440000</v>
      </c>
      <c r="P13" s="46">
        <v>45412</v>
      </c>
      <c r="Q13" s="47">
        <f>SUM($M$13:$M$22)</f>
        <v>3900000000</v>
      </c>
      <c r="R13" s="47">
        <f t="shared" si="2"/>
        <v>152910000</v>
      </c>
      <c r="S13" s="48">
        <f t="shared" si="1"/>
        <v>3.9207692307692305E-2</v>
      </c>
      <c r="T13" s="49">
        <f t="shared" ref="T13:T21" si="6">DAY(EOMONTH(P13,0))</f>
        <v>30</v>
      </c>
      <c r="U13" s="50">
        <f t="shared" si="3"/>
        <v>3.9207692307692305E-2</v>
      </c>
      <c r="V13" s="51"/>
    </row>
    <row r="14" spans="1:23" ht="15.75" x14ac:dyDescent="0.25">
      <c r="A14" s="6">
        <f t="shared" si="0"/>
        <v>5</v>
      </c>
      <c r="B14" s="20" t="s">
        <v>36</v>
      </c>
      <c r="C14" s="13">
        <v>42382</v>
      </c>
      <c r="D14" s="13">
        <v>46037</v>
      </c>
      <c r="E14" s="21">
        <v>300000000</v>
      </c>
      <c r="F14" s="14">
        <v>0.99697000000000002</v>
      </c>
      <c r="G14" s="15">
        <f t="shared" si="4"/>
        <v>299091000</v>
      </c>
      <c r="H14" s="16">
        <v>3.95E-2</v>
      </c>
      <c r="I14" s="17">
        <f t="shared" si="5"/>
        <v>3.9869946878568249E-2</v>
      </c>
      <c r="J14" s="18">
        <v>9.5578199999999996E-4</v>
      </c>
      <c r="K14" s="18">
        <v>0</v>
      </c>
      <c r="L14" s="16">
        <f t="shared" ref="L14" si="7">ROUND(I14+J14+K14,4)</f>
        <v>4.0800000000000003E-2</v>
      </c>
      <c r="M14" s="21">
        <v>300000000</v>
      </c>
      <c r="N14" s="19">
        <f t="shared" ref="N14" si="8">M14*L14</f>
        <v>12240000</v>
      </c>
      <c r="P14" s="46">
        <v>45443</v>
      </c>
      <c r="Q14" s="47">
        <f>SUM($M$29:$M$39)</f>
        <v>4350000000</v>
      </c>
      <c r="R14" s="47">
        <f>SUM($N$29:$N$39)</f>
        <v>180450000</v>
      </c>
      <c r="S14" s="48">
        <f t="shared" si="1"/>
        <v>4.1482758620689654E-2</v>
      </c>
      <c r="T14" s="49">
        <f t="shared" si="6"/>
        <v>31</v>
      </c>
      <c r="U14" s="48">
        <f>((S14*(P14-C37+1)/T14)+(S13*(C37-P13-1)/T14))</f>
        <v>4.0381920082142551E-2</v>
      </c>
      <c r="V14" s="51"/>
      <c r="W14" s="63"/>
    </row>
    <row r="15" spans="1:23" ht="15.75" x14ac:dyDescent="0.25">
      <c r="A15" s="6">
        <f t="shared" si="0"/>
        <v>6</v>
      </c>
      <c r="B15" s="20" t="s">
        <v>37</v>
      </c>
      <c r="C15" s="13">
        <v>42601</v>
      </c>
      <c r="D15" s="13">
        <v>46402</v>
      </c>
      <c r="E15" s="21">
        <v>400000000</v>
      </c>
      <c r="F15" s="14">
        <v>0.99948999999999999</v>
      </c>
      <c r="G15" s="15">
        <f>E15*F15</f>
        <v>399796000</v>
      </c>
      <c r="H15" s="16">
        <v>3.15E-2</v>
      </c>
      <c r="I15" s="17">
        <f>YIELD(C15,D15,H15,F15*100,100,2,0)</f>
        <v>3.155574065360886E-2</v>
      </c>
      <c r="J15" s="18">
        <v>7.8739633247484741E-3</v>
      </c>
      <c r="K15" s="18">
        <v>2.0300187E-3</v>
      </c>
      <c r="L15" s="16">
        <f>ROUND(I15+J15+K15,4)</f>
        <v>4.1500000000000002E-2</v>
      </c>
      <c r="M15" s="21">
        <v>400000000</v>
      </c>
      <c r="N15" s="22">
        <f>M15*L15</f>
        <v>16600000</v>
      </c>
      <c r="P15" s="46">
        <v>45473</v>
      </c>
      <c r="Q15" s="47">
        <f t="shared" ref="Q15:Q16" si="9">SUM($M$29:$M$39)</f>
        <v>4350000000</v>
      </c>
      <c r="R15" s="47">
        <f t="shared" ref="R15:R16" si="10">SUM($N$29:$N$39)</f>
        <v>180450000</v>
      </c>
      <c r="S15" s="48">
        <f t="shared" si="1"/>
        <v>4.1482758620689654E-2</v>
      </c>
      <c r="T15" s="49">
        <f t="shared" si="6"/>
        <v>30</v>
      </c>
      <c r="U15" s="50">
        <f t="shared" ref="U15:U21" si="11">S15</f>
        <v>4.1482758620689654E-2</v>
      </c>
      <c r="V15" s="51"/>
    </row>
    <row r="16" spans="1:23" ht="15.75" x14ac:dyDescent="0.25">
      <c r="A16" s="6">
        <f t="shared" si="0"/>
        <v>7</v>
      </c>
      <c r="B16" s="20" t="s">
        <v>46</v>
      </c>
      <c r="C16" s="13">
        <v>44992</v>
      </c>
      <c r="D16" s="13">
        <v>46827</v>
      </c>
      <c r="E16" s="21">
        <v>350000000</v>
      </c>
      <c r="F16" s="14">
        <v>0.99680000000000002</v>
      </c>
      <c r="G16" s="15">
        <f>E16*F16</f>
        <v>348880000</v>
      </c>
      <c r="H16" s="16">
        <v>5.9499999999999997E-2</v>
      </c>
      <c r="I16" s="17">
        <f>YIELD(C16,D16,H16,F16*100,100,2,0)</f>
        <v>6.0243486888810989E-2</v>
      </c>
      <c r="J16" s="18">
        <v>1.9402854835439264E-3</v>
      </c>
      <c r="K16" s="18">
        <v>0</v>
      </c>
      <c r="L16" s="16">
        <f>ROUND(I16+J16+K16,4)</f>
        <v>6.2199999999999998E-2</v>
      </c>
      <c r="M16" s="21">
        <v>350000000</v>
      </c>
      <c r="N16" s="22">
        <f>M16*L16</f>
        <v>21770000</v>
      </c>
      <c r="P16" s="46">
        <v>45504</v>
      </c>
      <c r="Q16" s="47">
        <f t="shared" si="9"/>
        <v>4350000000</v>
      </c>
      <c r="R16" s="47">
        <f t="shared" si="10"/>
        <v>180450000</v>
      </c>
      <c r="S16" s="48">
        <f t="shared" si="1"/>
        <v>4.1482758620689654E-2</v>
      </c>
      <c r="T16" s="49">
        <f t="shared" si="6"/>
        <v>31</v>
      </c>
      <c r="U16" s="50">
        <f t="shared" si="11"/>
        <v>4.1482758620689654E-2</v>
      </c>
      <c r="V16" s="51"/>
    </row>
    <row r="17" spans="1:22" ht="15.75" x14ac:dyDescent="0.25">
      <c r="A17" s="6">
        <f t="shared" si="0"/>
        <v>8</v>
      </c>
      <c r="B17" s="20" t="s">
        <v>38</v>
      </c>
      <c r="C17" s="13">
        <v>43741</v>
      </c>
      <c r="D17" s="13">
        <v>47406</v>
      </c>
      <c r="E17" s="21">
        <v>400000000</v>
      </c>
      <c r="F17" s="14">
        <v>0.99656</v>
      </c>
      <c r="G17" s="15">
        <f>E17*F17</f>
        <v>398624000</v>
      </c>
      <c r="H17" s="16">
        <v>3.0499999999999999E-2</v>
      </c>
      <c r="I17" s="17">
        <f>YIELD(C17,D17,H17,F17*100,100,2,0)</f>
        <v>3.0900518298005258E-2</v>
      </c>
      <c r="J17" s="18">
        <v>9.196206E-4</v>
      </c>
      <c r="K17" s="18">
        <v>1.5607200000000002E-5</v>
      </c>
      <c r="L17" s="16">
        <f>ROUND(I17+J17+K17,4)</f>
        <v>3.1800000000000002E-2</v>
      </c>
      <c r="M17" s="21">
        <v>400000000</v>
      </c>
      <c r="N17" s="22">
        <f>M17*L17</f>
        <v>12720000</v>
      </c>
      <c r="P17" s="46">
        <v>45535</v>
      </c>
      <c r="Q17" s="47">
        <f>SUM($M$46:$M$55)</f>
        <v>3750000000</v>
      </c>
      <c r="R17" s="47">
        <f>SUM($N$46:$N$55)</f>
        <v>173010000</v>
      </c>
      <c r="S17" s="48">
        <f t="shared" si="1"/>
        <v>4.6136000000000003E-2</v>
      </c>
      <c r="T17" s="49">
        <f t="shared" si="6"/>
        <v>31</v>
      </c>
      <c r="U17" s="48">
        <f>((S17*(P17-D29+1)/T17)+(S16*(D29-P16-1)/T17))</f>
        <v>4.2833699666295882E-2</v>
      </c>
      <c r="V17" s="51"/>
    </row>
    <row r="18" spans="1:22" ht="15.75" x14ac:dyDescent="0.25">
      <c r="A18" s="6">
        <f t="shared" si="0"/>
        <v>9</v>
      </c>
      <c r="B18" s="20" t="s">
        <v>39</v>
      </c>
      <c r="C18" s="13">
        <v>43999</v>
      </c>
      <c r="D18" s="13">
        <v>47649</v>
      </c>
      <c r="E18" s="23">
        <v>400000000</v>
      </c>
      <c r="F18" s="24">
        <v>0.99658000000000002</v>
      </c>
      <c r="G18" s="25">
        <f>E18*F18</f>
        <v>398632000</v>
      </c>
      <c r="H18" s="26">
        <v>2.5000000000000001E-2</v>
      </c>
      <c r="I18" s="17">
        <f>YIELD(C18,D18,H18,F18*100,100,2,0)</f>
        <v>2.5389497768447077E-2</v>
      </c>
      <c r="J18" s="18">
        <v>9.3725519999999997E-4</v>
      </c>
      <c r="K18" s="18">
        <v>0</v>
      </c>
      <c r="L18" s="26">
        <f>ROUND(I18+J18+K18,4)</f>
        <v>2.63E-2</v>
      </c>
      <c r="M18" s="23">
        <v>400000000</v>
      </c>
      <c r="N18" s="22">
        <f>M18*L18</f>
        <v>10520000</v>
      </c>
      <c r="P18" s="46">
        <v>45565</v>
      </c>
      <c r="Q18" s="47">
        <f t="shared" ref="Q18:Q21" si="12">SUM($M$46:$M$55)</f>
        <v>3750000000</v>
      </c>
      <c r="R18" s="47">
        <f t="shared" ref="R18:R21" si="13">SUM($N$46:$N$55)</f>
        <v>173010000</v>
      </c>
      <c r="S18" s="48">
        <f t="shared" si="1"/>
        <v>4.6136000000000003E-2</v>
      </c>
      <c r="T18" s="49">
        <f t="shared" si="6"/>
        <v>30</v>
      </c>
      <c r="U18" s="50">
        <f t="shared" si="11"/>
        <v>4.6136000000000003E-2</v>
      </c>
      <c r="V18" s="51"/>
    </row>
    <row r="19" spans="1:22" ht="15.75" x14ac:dyDescent="0.25">
      <c r="A19" s="6">
        <f t="shared" si="0"/>
        <v>10</v>
      </c>
      <c r="B19" s="20" t="s">
        <v>40</v>
      </c>
      <c r="C19" s="13">
        <v>43329</v>
      </c>
      <c r="D19" s="13">
        <v>48700</v>
      </c>
      <c r="E19" s="21">
        <v>400000000</v>
      </c>
      <c r="F19" s="14">
        <v>0.99543000000000004</v>
      </c>
      <c r="G19" s="15">
        <f t="shared" ref="G19:G20" si="14">E19*F19</f>
        <v>398172000</v>
      </c>
      <c r="H19" s="16">
        <v>4.3499999999999997E-2</v>
      </c>
      <c r="I19" s="17">
        <f t="shared" ref="I19:I20" si="15">YIELD(C19,D19,H19,F19*100,100,2,0)</f>
        <v>4.391981373724866E-2</v>
      </c>
      <c r="J19" s="18">
        <v>8.4427530000000001E-4</v>
      </c>
      <c r="K19" s="18">
        <v>3.6077929561768038E-4</v>
      </c>
      <c r="L19" s="16">
        <f t="shared" ref="L19:L20" si="16">ROUND(I19+J19+K19,4)</f>
        <v>4.5100000000000001E-2</v>
      </c>
      <c r="M19" s="21">
        <v>400000000</v>
      </c>
      <c r="N19" s="22">
        <f t="shared" ref="N19:N20" si="17">M19*L19</f>
        <v>18040000</v>
      </c>
      <c r="P19" s="46">
        <v>45596</v>
      </c>
      <c r="Q19" s="47">
        <f t="shared" si="12"/>
        <v>3750000000</v>
      </c>
      <c r="R19" s="47">
        <f t="shared" si="13"/>
        <v>173010000</v>
      </c>
      <c r="S19" s="48">
        <f t="shared" si="1"/>
        <v>4.6136000000000003E-2</v>
      </c>
      <c r="T19" s="49">
        <f t="shared" si="6"/>
        <v>31</v>
      </c>
      <c r="U19" s="50">
        <f t="shared" si="11"/>
        <v>4.6136000000000003E-2</v>
      </c>
      <c r="V19" s="51"/>
    </row>
    <row r="20" spans="1:22" ht="15.75" x14ac:dyDescent="0.25">
      <c r="A20" s="6">
        <f t="shared" si="0"/>
        <v>11</v>
      </c>
      <c r="B20" s="20" t="s">
        <v>47</v>
      </c>
      <c r="C20" s="13">
        <v>45184</v>
      </c>
      <c r="D20" s="13">
        <v>49079</v>
      </c>
      <c r="E20" s="21">
        <v>450000000</v>
      </c>
      <c r="F20" s="14">
        <v>0.99229999999999996</v>
      </c>
      <c r="G20" s="15">
        <f t="shared" si="14"/>
        <v>446535000</v>
      </c>
      <c r="H20" s="16">
        <v>6.1499999999999999E-2</v>
      </c>
      <c r="I20" s="17">
        <f t="shared" si="15"/>
        <v>6.248612242128089E-2</v>
      </c>
      <c r="J20" s="18">
        <v>9.1096471267655005E-4</v>
      </c>
      <c r="K20" s="18">
        <v>0</v>
      </c>
      <c r="L20" s="16">
        <f t="shared" si="16"/>
        <v>6.3399999999999998E-2</v>
      </c>
      <c r="M20" s="21">
        <v>450000000</v>
      </c>
      <c r="N20" s="22">
        <f t="shared" si="17"/>
        <v>28530000</v>
      </c>
      <c r="P20" s="46">
        <v>45626</v>
      </c>
      <c r="Q20" s="47">
        <f t="shared" si="12"/>
        <v>3750000000</v>
      </c>
      <c r="R20" s="47">
        <f t="shared" si="13"/>
        <v>173010000</v>
      </c>
      <c r="S20" s="48">
        <f t="shared" si="1"/>
        <v>4.6136000000000003E-2</v>
      </c>
      <c r="T20" s="49">
        <f t="shared" si="6"/>
        <v>30</v>
      </c>
      <c r="U20" s="50">
        <f t="shared" si="11"/>
        <v>4.6136000000000003E-2</v>
      </c>
      <c r="V20" s="51"/>
    </row>
    <row r="21" spans="1:22" ht="15.75" x14ac:dyDescent="0.25">
      <c r="A21" s="6">
        <f t="shared" si="0"/>
        <v>12</v>
      </c>
      <c r="B21" s="20" t="s">
        <v>41</v>
      </c>
      <c r="C21" s="13">
        <v>42601</v>
      </c>
      <c r="D21" s="13">
        <v>53585</v>
      </c>
      <c r="E21" s="21">
        <v>300000000</v>
      </c>
      <c r="F21" s="14">
        <v>0.99455000000000005</v>
      </c>
      <c r="G21" s="15">
        <f>E21*F21</f>
        <v>298365000</v>
      </c>
      <c r="H21" s="16">
        <v>4.2000000000000003E-2</v>
      </c>
      <c r="I21" s="17">
        <f>YIELD(C21,D21,H21,F21*100,100,2,0)</f>
        <v>4.232044430624305E-2</v>
      </c>
      <c r="J21" s="18">
        <v>3.7018941463470351E-4</v>
      </c>
      <c r="K21" s="18">
        <v>1.0321071999999998E-3</v>
      </c>
      <c r="L21" s="16">
        <f>ROUND(I21+J21+K21,4)</f>
        <v>4.3700000000000003E-2</v>
      </c>
      <c r="M21" s="21">
        <v>300000000</v>
      </c>
      <c r="N21" s="22">
        <f>M21*L21</f>
        <v>13110000</v>
      </c>
      <c r="P21" s="46">
        <v>45657</v>
      </c>
      <c r="Q21" s="47">
        <f t="shared" si="12"/>
        <v>3750000000</v>
      </c>
      <c r="R21" s="47">
        <f t="shared" si="13"/>
        <v>173010000</v>
      </c>
      <c r="S21" s="48">
        <f t="shared" si="1"/>
        <v>4.6136000000000003E-2</v>
      </c>
      <c r="T21" s="49">
        <f t="shared" si="6"/>
        <v>31</v>
      </c>
      <c r="U21" s="50">
        <f t="shared" si="11"/>
        <v>4.6136000000000003E-2</v>
      </c>
      <c r="V21" s="51"/>
    </row>
    <row r="22" spans="1:22" ht="15.75" x14ac:dyDescent="0.25">
      <c r="A22" s="6">
        <f t="shared" si="0"/>
        <v>13</v>
      </c>
      <c r="B22" s="20" t="s">
        <v>42</v>
      </c>
      <c r="C22" s="13">
        <v>43741</v>
      </c>
      <c r="D22" s="13">
        <v>54711</v>
      </c>
      <c r="E22" s="23">
        <v>300000000</v>
      </c>
      <c r="F22" s="14">
        <v>0.99809999999999999</v>
      </c>
      <c r="G22" s="15">
        <f t="shared" ref="G22" si="18">E22*F22</f>
        <v>299430000</v>
      </c>
      <c r="H22" s="26">
        <v>3.875E-2</v>
      </c>
      <c r="I22" s="17">
        <f t="shared" ref="I22" si="19">YIELD(C22,D22,H22,F22*100,100,2,0)</f>
        <v>3.8857087829320992E-2</v>
      </c>
      <c r="J22" s="18">
        <v>3.7276113213616577E-4</v>
      </c>
      <c r="K22" s="18">
        <v>6.1855508037079955E-4</v>
      </c>
      <c r="L22" s="26">
        <f t="shared" ref="L22" si="20">ROUND(I22+J22+K22,4)</f>
        <v>3.9800000000000002E-2</v>
      </c>
      <c r="M22" s="23">
        <v>300000000</v>
      </c>
      <c r="N22" s="22">
        <f t="shared" ref="N22" si="21">M22*L22</f>
        <v>11940000</v>
      </c>
      <c r="P22" s="51"/>
      <c r="Q22" s="51"/>
      <c r="R22" s="51"/>
      <c r="S22" s="51"/>
      <c r="T22" s="49"/>
      <c r="U22" s="50"/>
      <c r="V22" s="51"/>
    </row>
    <row r="23" spans="1:22" ht="16.5" thickBot="1" x14ac:dyDescent="0.3">
      <c r="A23" s="6">
        <f t="shared" si="0"/>
        <v>14</v>
      </c>
      <c r="B23" s="20"/>
      <c r="C23" s="13"/>
      <c r="D23" s="13"/>
      <c r="E23" s="23"/>
      <c r="F23" s="24"/>
      <c r="G23" s="23"/>
      <c r="H23" s="27"/>
      <c r="I23" s="28"/>
      <c r="J23" s="18"/>
      <c r="K23" s="18"/>
      <c r="L23" s="26"/>
      <c r="M23" s="29"/>
      <c r="N23" s="30"/>
      <c r="P23" s="51"/>
      <c r="Q23" s="51"/>
      <c r="R23" s="51"/>
      <c r="S23" s="51"/>
      <c r="T23" s="51"/>
      <c r="U23" s="51"/>
      <c r="V23" s="51"/>
    </row>
    <row r="24" spans="1:22" ht="19.5" thickBot="1" x14ac:dyDescent="0.3">
      <c r="A24" s="6">
        <f t="shared" si="0"/>
        <v>15</v>
      </c>
      <c r="B24" s="31" t="s">
        <v>43</v>
      </c>
      <c r="C24" s="13"/>
      <c r="D24" s="13"/>
      <c r="E24" s="32">
        <f>ROUND(SUM(E13:E23),-1)</f>
        <v>3900000000</v>
      </c>
      <c r="F24" s="33"/>
      <c r="G24" s="34"/>
      <c r="H24" s="16"/>
      <c r="I24" s="17"/>
      <c r="J24" s="18"/>
      <c r="K24" s="18"/>
      <c r="L24" s="35">
        <f>ROUND(+N24/M24,4)</f>
        <v>3.9199999999999999E-2</v>
      </c>
      <c r="M24" s="36">
        <f>SUM(M13:M23)</f>
        <v>3900000000</v>
      </c>
      <c r="N24" s="36">
        <f>SUM(N13:N23)</f>
        <v>152910000</v>
      </c>
      <c r="P24" s="52" t="s">
        <v>45</v>
      </c>
      <c r="Q24" s="52"/>
      <c r="R24" s="51"/>
      <c r="S24" s="51"/>
      <c r="T24" s="53">
        <f>SUM(T10:T22)</f>
        <v>366</v>
      </c>
      <c r="U24" s="54">
        <f>AVERAGE(U10:U21)</f>
        <v>4.229632551838225E-2</v>
      </c>
      <c r="V24" s="51"/>
    </row>
    <row r="25" spans="1:22" ht="17.25" thickTop="1" thickBot="1" x14ac:dyDescent="0.3">
      <c r="A25" s="6">
        <f t="shared" si="0"/>
        <v>16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P25" s="51"/>
      <c r="Q25" s="51"/>
      <c r="R25" s="55"/>
      <c r="S25" s="55"/>
      <c r="T25" s="51"/>
      <c r="U25" s="51"/>
      <c r="V25" s="51"/>
    </row>
    <row r="26" spans="1:22" ht="15.75" x14ac:dyDescent="0.25">
      <c r="A26" s="6">
        <f t="shared" si="0"/>
        <v>17</v>
      </c>
      <c r="P26" s="56" t="s">
        <v>44</v>
      </c>
      <c r="Q26" s="55"/>
      <c r="R26" s="55"/>
      <c r="S26" s="55"/>
      <c r="T26" s="51"/>
      <c r="U26" s="51"/>
      <c r="V26" s="51"/>
    </row>
    <row r="27" spans="1:22" ht="15.75" customHeight="1" x14ac:dyDescent="0.25">
      <c r="A27" s="6">
        <f t="shared" si="0"/>
        <v>18</v>
      </c>
      <c r="B27" s="7" t="s">
        <v>52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P27" s="51"/>
      <c r="Q27" s="58" t="s">
        <v>56</v>
      </c>
      <c r="R27" s="58"/>
      <c r="S27" s="58"/>
      <c r="T27" s="58"/>
      <c r="U27" s="58"/>
      <c r="V27" s="51"/>
    </row>
    <row r="28" spans="1:22" ht="15.75" x14ac:dyDescent="0.25">
      <c r="A28" s="6">
        <f t="shared" si="0"/>
        <v>19</v>
      </c>
      <c r="P28" s="56"/>
      <c r="Q28" s="58"/>
      <c r="R28" s="58"/>
      <c r="S28" s="58"/>
      <c r="T28" s="58"/>
      <c r="U28" s="58"/>
      <c r="V28" s="51"/>
    </row>
    <row r="29" spans="1:22" ht="15.75" x14ac:dyDescent="0.25">
      <c r="A29" s="6">
        <f t="shared" si="0"/>
        <v>20</v>
      </c>
      <c r="B29" s="73" t="s">
        <v>35</v>
      </c>
      <c r="C29" s="74">
        <v>44434</v>
      </c>
      <c r="D29" s="74">
        <v>45527</v>
      </c>
      <c r="E29" s="68">
        <v>600000000</v>
      </c>
      <c r="F29" s="75">
        <v>1</v>
      </c>
      <c r="G29" s="77">
        <f t="shared" ref="G29:G30" si="22">E29*F29</f>
        <v>600000000</v>
      </c>
      <c r="H29" s="76">
        <v>1.0370000000000001E-2</v>
      </c>
      <c r="I29" s="70">
        <f t="shared" ref="I29:I30" si="23">YIELD(C29,D29,H29,F29*100,100,2,0)</f>
        <v>1.0369925279348866E-2</v>
      </c>
      <c r="J29" s="71">
        <v>2.0481889100000001E-3</v>
      </c>
      <c r="K29" s="71">
        <v>0</v>
      </c>
      <c r="L29" s="76">
        <f>ROUND(I29+J29+K29,4)</f>
        <v>1.24E-2</v>
      </c>
      <c r="M29" s="68">
        <f>+E29</f>
        <v>600000000</v>
      </c>
      <c r="N29" s="72">
        <f>M29*L29</f>
        <v>7440000</v>
      </c>
      <c r="P29" s="51"/>
      <c r="Q29" s="58"/>
      <c r="R29" s="58"/>
      <c r="S29" s="58"/>
      <c r="T29" s="58"/>
      <c r="U29" s="58"/>
      <c r="V29" s="51"/>
    </row>
    <row r="30" spans="1:22" ht="15.75" x14ac:dyDescent="0.25">
      <c r="A30" s="6">
        <f t="shared" si="0"/>
        <v>21</v>
      </c>
      <c r="B30" s="20" t="s">
        <v>36</v>
      </c>
      <c r="C30" s="13">
        <v>42382</v>
      </c>
      <c r="D30" s="13">
        <v>46037</v>
      </c>
      <c r="E30" s="21">
        <v>300000000</v>
      </c>
      <c r="F30" s="14">
        <v>0.99697000000000002</v>
      </c>
      <c r="G30" s="15">
        <f t="shared" si="22"/>
        <v>299091000</v>
      </c>
      <c r="H30" s="16">
        <v>3.95E-2</v>
      </c>
      <c r="I30" s="17">
        <f t="shared" si="23"/>
        <v>3.9869946878568249E-2</v>
      </c>
      <c r="J30" s="18">
        <v>9.5578199999999996E-4</v>
      </c>
      <c r="K30" s="18">
        <v>0</v>
      </c>
      <c r="L30" s="16">
        <f t="shared" ref="L30" si="24">ROUND(I30+J30+K30,4)</f>
        <v>4.0800000000000003E-2</v>
      </c>
      <c r="M30" s="21">
        <v>300000000</v>
      </c>
      <c r="N30" s="19">
        <f t="shared" ref="N30" si="25">M30*L30</f>
        <v>12240000</v>
      </c>
      <c r="P30" s="51"/>
      <c r="Q30" s="58"/>
      <c r="R30" s="58"/>
      <c r="S30" s="58"/>
      <c r="T30" s="58"/>
      <c r="U30" s="58"/>
      <c r="V30" s="51"/>
    </row>
    <row r="31" spans="1:22" ht="15.75" customHeight="1" x14ac:dyDescent="0.25">
      <c r="A31" s="6">
        <f t="shared" si="0"/>
        <v>22</v>
      </c>
      <c r="B31" s="20" t="s">
        <v>37</v>
      </c>
      <c r="C31" s="13">
        <v>42601</v>
      </c>
      <c r="D31" s="13">
        <v>46402</v>
      </c>
      <c r="E31" s="21">
        <v>400000000</v>
      </c>
      <c r="F31" s="14">
        <v>0.99948999999999999</v>
      </c>
      <c r="G31" s="15">
        <f>E31*F31</f>
        <v>399796000</v>
      </c>
      <c r="H31" s="16">
        <v>3.15E-2</v>
      </c>
      <c r="I31" s="17">
        <f>YIELD(C31,D31,H31,F31*100,100,2,0)</f>
        <v>3.155574065360886E-2</v>
      </c>
      <c r="J31" s="18">
        <v>7.8739633247484741E-3</v>
      </c>
      <c r="K31" s="18">
        <v>2.0300187E-3</v>
      </c>
      <c r="L31" s="16">
        <f>ROUND(I31+J31+K31,4)</f>
        <v>4.1500000000000002E-2</v>
      </c>
      <c r="M31" s="21">
        <v>400000000</v>
      </c>
      <c r="N31" s="22">
        <f>M31*L31</f>
        <v>16600000</v>
      </c>
      <c r="P31" s="51"/>
      <c r="Q31" s="58"/>
      <c r="R31" s="58"/>
      <c r="S31" s="58"/>
      <c r="T31" s="58"/>
      <c r="U31" s="58"/>
      <c r="V31" s="51"/>
    </row>
    <row r="32" spans="1:22" ht="16.149999999999999" customHeight="1" x14ac:dyDescent="0.25">
      <c r="A32" s="6">
        <f t="shared" si="0"/>
        <v>23</v>
      </c>
      <c r="B32" s="20" t="s">
        <v>46</v>
      </c>
      <c r="C32" s="13">
        <v>44992</v>
      </c>
      <c r="D32" s="13">
        <v>46827</v>
      </c>
      <c r="E32" s="21">
        <v>350000000</v>
      </c>
      <c r="F32" s="14">
        <v>0.99680000000000002</v>
      </c>
      <c r="G32" s="15">
        <f>E32*F32</f>
        <v>348880000</v>
      </c>
      <c r="H32" s="16">
        <v>5.9499999999999997E-2</v>
      </c>
      <c r="I32" s="17">
        <f>YIELD(C32,D32,H32,F32*100,100,2,0)</f>
        <v>6.0243486888810989E-2</v>
      </c>
      <c r="J32" s="18">
        <v>1.9402854835439264E-3</v>
      </c>
      <c r="K32" s="18">
        <v>0</v>
      </c>
      <c r="L32" s="16">
        <f>ROUND(I32+J32+K32,4)</f>
        <v>6.2199999999999998E-2</v>
      </c>
      <c r="M32" s="21">
        <v>350000000</v>
      </c>
      <c r="N32" s="22">
        <f>M32*L32</f>
        <v>21770000</v>
      </c>
    </row>
    <row r="33" spans="1:19" ht="15.75" x14ac:dyDescent="0.25">
      <c r="A33" s="6">
        <f t="shared" si="0"/>
        <v>24</v>
      </c>
      <c r="B33" s="20" t="s">
        <v>38</v>
      </c>
      <c r="C33" s="13">
        <v>43741</v>
      </c>
      <c r="D33" s="13">
        <v>47406</v>
      </c>
      <c r="E33" s="21">
        <v>400000000</v>
      </c>
      <c r="F33" s="14">
        <v>0.99656</v>
      </c>
      <c r="G33" s="15">
        <f>E33*F33</f>
        <v>398624000</v>
      </c>
      <c r="H33" s="16">
        <v>3.0499999999999999E-2</v>
      </c>
      <c r="I33" s="17">
        <f>YIELD(C33,D33,H33,F33*100,100,2,0)</f>
        <v>3.0900518298005258E-2</v>
      </c>
      <c r="J33" s="18">
        <v>9.1077059999999997E-4</v>
      </c>
      <c r="K33" s="18">
        <v>1.5607200000000002E-5</v>
      </c>
      <c r="L33" s="16">
        <f>ROUND(I33+J33+K33,4)</f>
        <v>3.1800000000000002E-2</v>
      </c>
      <c r="M33" s="21">
        <v>400000000</v>
      </c>
      <c r="N33" s="22">
        <f>M33*L33</f>
        <v>12720000</v>
      </c>
    </row>
    <row r="34" spans="1:19" ht="15.75" x14ac:dyDescent="0.25">
      <c r="A34" s="6">
        <f t="shared" si="0"/>
        <v>25</v>
      </c>
      <c r="B34" s="20" t="s">
        <v>39</v>
      </c>
      <c r="C34" s="13">
        <v>43999</v>
      </c>
      <c r="D34" s="13">
        <v>47649</v>
      </c>
      <c r="E34" s="23">
        <v>400000000</v>
      </c>
      <c r="F34" s="24">
        <v>0.99658000000000002</v>
      </c>
      <c r="G34" s="25">
        <f>E34*F34</f>
        <v>398632000</v>
      </c>
      <c r="H34" s="26">
        <v>2.5000000000000001E-2</v>
      </c>
      <c r="I34" s="17">
        <f>YIELD(C34,D34,H34,F34*100,100,2,0)</f>
        <v>2.5389497768447077E-2</v>
      </c>
      <c r="J34" s="18">
        <v>9.3674936991737002E-4</v>
      </c>
      <c r="K34" s="18">
        <v>0</v>
      </c>
      <c r="L34" s="26">
        <f>ROUND(I34+J34+K34,4)</f>
        <v>2.63E-2</v>
      </c>
      <c r="M34" s="23">
        <v>400000000</v>
      </c>
      <c r="N34" s="22">
        <f>M34*L34</f>
        <v>10520000</v>
      </c>
      <c r="Q34" s="39"/>
      <c r="R34" s="39"/>
      <c r="S34" s="39"/>
    </row>
    <row r="35" spans="1:19" ht="15.75" x14ac:dyDescent="0.25">
      <c r="A35" s="6">
        <f t="shared" si="0"/>
        <v>26</v>
      </c>
      <c r="B35" s="20" t="s">
        <v>40</v>
      </c>
      <c r="C35" s="13">
        <v>43329</v>
      </c>
      <c r="D35" s="13">
        <v>48700</v>
      </c>
      <c r="E35" s="21">
        <v>400000000</v>
      </c>
      <c r="F35" s="14">
        <v>0.99543000000000004</v>
      </c>
      <c r="G35" s="15">
        <f t="shared" ref="G35:G37" si="26">E35*F35</f>
        <v>398172000</v>
      </c>
      <c r="H35" s="16">
        <v>4.3499999999999997E-2</v>
      </c>
      <c r="I35" s="17">
        <f t="shared" ref="I35:I37" si="27">YIELD(C35,D35,H35,F35*100,100,2,0)</f>
        <v>4.391981373724866E-2</v>
      </c>
      <c r="J35" s="18">
        <v>8.4427530000000001E-4</v>
      </c>
      <c r="K35" s="18">
        <v>3.6077929561768038E-4</v>
      </c>
      <c r="L35" s="16">
        <f t="shared" ref="L35:L36" si="28">ROUND(I35+J35+K35,4)</f>
        <v>4.5100000000000001E-2</v>
      </c>
      <c r="M35" s="21">
        <v>400000000</v>
      </c>
      <c r="N35" s="22">
        <f t="shared" ref="N35:N37" si="29">M35*L35</f>
        <v>18040000</v>
      </c>
      <c r="Q35" s="39"/>
      <c r="R35" s="39"/>
      <c r="S35" s="39"/>
    </row>
    <row r="36" spans="1:19" ht="15.75" x14ac:dyDescent="0.25">
      <c r="A36" s="6">
        <f t="shared" si="0"/>
        <v>27</v>
      </c>
      <c r="B36" s="20" t="s">
        <v>47</v>
      </c>
      <c r="C36" s="13">
        <v>45184</v>
      </c>
      <c r="D36" s="13">
        <v>49079</v>
      </c>
      <c r="E36" s="21">
        <v>450000000</v>
      </c>
      <c r="F36" s="14">
        <v>0.99229999999999996</v>
      </c>
      <c r="G36" s="15">
        <f t="shared" si="26"/>
        <v>446535000</v>
      </c>
      <c r="H36" s="16">
        <v>6.1499999999999999E-2</v>
      </c>
      <c r="I36" s="17">
        <f t="shared" si="27"/>
        <v>6.248612242128089E-2</v>
      </c>
      <c r="J36" s="18">
        <v>9.1770189726775948E-4</v>
      </c>
      <c r="K36" s="18">
        <v>0</v>
      </c>
      <c r="L36" s="16">
        <f t="shared" si="28"/>
        <v>6.3399999999999998E-2</v>
      </c>
      <c r="M36" s="21">
        <v>450000000</v>
      </c>
      <c r="N36" s="22">
        <f t="shared" si="29"/>
        <v>28530000</v>
      </c>
    </row>
    <row r="37" spans="1:19" ht="15.75" x14ac:dyDescent="0.25">
      <c r="A37" s="6">
        <f t="shared" si="0"/>
        <v>28</v>
      </c>
      <c r="B37" s="64" t="s">
        <v>53</v>
      </c>
      <c r="C37" s="65">
        <v>45428</v>
      </c>
      <c r="D37" s="65">
        <v>49324</v>
      </c>
      <c r="E37" s="66">
        <v>450000000</v>
      </c>
      <c r="F37" s="67">
        <v>0.99790000000000001</v>
      </c>
      <c r="G37" s="77">
        <f t="shared" si="26"/>
        <v>449055000</v>
      </c>
      <c r="H37" s="69">
        <v>0.06</v>
      </c>
      <c r="I37" s="70">
        <f t="shared" si="27"/>
        <v>6.025715512746823E-2</v>
      </c>
      <c r="J37" s="71">
        <v>9.1442307007335633E-4</v>
      </c>
      <c r="K37" s="71">
        <v>0</v>
      </c>
      <c r="L37" s="69">
        <f>ROUND(I37+J37+K37,4)</f>
        <v>6.1199999999999997E-2</v>
      </c>
      <c r="M37" s="68">
        <f>+E37</f>
        <v>450000000</v>
      </c>
      <c r="N37" s="72">
        <f t="shared" si="29"/>
        <v>27540000</v>
      </c>
    </row>
    <row r="38" spans="1:19" ht="15.75" x14ac:dyDescent="0.25">
      <c r="A38" s="6">
        <f t="shared" si="0"/>
        <v>29</v>
      </c>
      <c r="B38" s="20" t="s">
        <v>41</v>
      </c>
      <c r="C38" s="13">
        <v>42601</v>
      </c>
      <c r="D38" s="13">
        <v>53585</v>
      </c>
      <c r="E38" s="21">
        <v>300000000</v>
      </c>
      <c r="F38" s="14">
        <v>0.99455000000000005</v>
      </c>
      <c r="G38" s="15">
        <f>E38*F38</f>
        <v>298365000</v>
      </c>
      <c r="H38" s="16">
        <v>4.2000000000000003E-2</v>
      </c>
      <c r="I38" s="17">
        <f>YIELD(C38,D38,H38,F38*100,100,2,0)</f>
        <v>4.232044430624305E-2</v>
      </c>
      <c r="J38" s="18">
        <v>3.7018941463470351E-4</v>
      </c>
      <c r="K38" s="18">
        <v>1.0321071999999998E-3</v>
      </c>
      <c r="L38" s="16">
        <f>ROUND(I38+J38+K38,4)</f>
        <v>4.3700000000000003E-2</v>
      </c>
      <c r="M38" s="21">
        <v>300000000</v>
      </c>
      <c r="N38" s="22">
        <f>M38*L38</f>
        <v>13110000</v>
      </c>
    </row>
    <row r="39" spans="1:19" ht="15.75" x14ac:dyDescent="0.25">
      <c r="A39" s="6">
        <f t="shared" si="0"/>
        <v>30</v>
      </c>
      <c r="B39" s="20" t="s">
        <v>42</v>
      </c>
      <c r="C39" s="13">
        <v>43741</v>
      </c>
      <c r="D39" s="13">
        <v>54711</v>
      </c>
      <c r="E39" s="23">
        <v>300000000</v>
      </c>
      <c r="F39" s="14">
        <v>0.99809999999999999</v>
      </c>
      <c r="G39" s="15">
        <f t="shared" ref="G39" si="30">E39*F39</f>
        <v>299430000</v>
      </c>
      <c r="H39" s="26">
        <v>3.875E-2</v>
      </c>
      <c r="I39" s="17">
        <f t="shared" ref="I39" si="31">YIELD(C39,D39,H39,F39*100,100,2,0)</f>
        <v>3.8857087829320992E-2</v>
      </c>
      <c r="J39" s="18">
        <v>3.7276113213616577E-4</v>
      </c>
      <c r="K39" s="18">
        <v>6.1855508037079955E-4</v>
      </c>
      <c r="L39" s="26">
        <f t="shared" ref="L39" si="32">ROUND(I39+J39+K39,4)</f>
        <v>3.9800000000000002E-2</v>
      </c>
      <c r="M39" s="23">
        <v>300000000</v>
      </c>
      <c r="N39" s="22">
        <f t="shared" ref="N39" si="33">M39*L39</f>
        <v>11940000</v>
      </c>
    </row>
    <row r="40" spans="1:19" ht="15.75" x14ac:dyDescent="0.25">
      <c r="A40" s="6">
        <f t="shared" si="0"/>
        <v>31</v>
      </c>
      <c r="B40" s="20"/>
      <c r="C40" s="13"/>
      <c r="D40" s="13"/>
      <c r="E40" s="23"/>
      <c r="F40" s="24"/>
      <c r="G40" s="23"/>
      <c r="H40" s="27"/>
      <c r="I40" s="28"/>
      <c r="J40" s="18"/>
      <c r="K40" s="18"/>
      <c r="L40" s="26"/>
      <c r="M40" s="29"/>
      <c r="N40" s="30"/>
    </row>
    <row r="41" spans="1:19" ht="16.5" thickBot="1" x14ac:dyDescent="0.3">
      <c r="A41" s="6">
        <f t="shared" si="0"/>
        <v>32</v>
      </c>
      <c r="B41" s="31" t="s">
        <v>43</v>
      </c>
      <c r="C41" s="13"/>
      <c r="D41" s="13"/>
      <c r="E41" s="32">
        <f>ROUND(SUM(E29:E40),-1)</f>
        <v>4350000000</v>
      </c>
      <c r="F41" s="33"/>
      <c r="G41" s="34"/>
      <c r="H41" s="16"/>
      <c r="I41" s="17"/>
      <c r="J41" s="18"/>
      <c r="K41" s="18"/>
      <c r="L41" s="35">
        <f>ROUND(+N41/M41,4)</f>
        <v>4.1500000000000002E-2</v>
      </c>
      <c r="M41" s="36">
        <f>SUM(M29:M40)</f>
        <v>4350000000</v>
      </c>
      <c r="N41" s="36">
        <f>SUM(N29:N40)</f>
        <v>180450000</v>
      </c>
    </row>
    <row r="42" spans="1:19" ht="17.25" thickTop="1" thickBot="1" x14ac:dyDescent="0.3">
      <c r="A42" s="6">
        <f t="shared" si="0"/>
        <v>33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9" ht="15.75" x14ac:dyDescent="0.25">
      <c r="A43" s="6">
        <f t="shared" si="0"/>
        <v>34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9" ht="15.75" x14ac:dyDescent="0.25">
      <c r="A44" s="6">
        <f t="shared" si="0"/>
        <v>35</v>
      </c>
      <c r="B44" s="7" t="s">
        <v>54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9" ht="15.75" x14ac:dyDescent="0.25">
      <c r="A45" s="6">
        <f t="shared" si="0"/>
        <v>36</v>
      </c>
    </row>
    <row r="46" spans="1:19" ht="15.75" x14ac:dyDescent="0.25">
      <c r="A46" s="6">
        <f t="shared" si="0"/>
        <v>37</v>
      </c>
      <c r="B46" s="20" t="s">
        <v>36</v>
      </c>
      <c r="C46" s="13">
        <v>42382</v>
      </c>
      <c r="D46" s="13">
        <v>46037</v>
      </c>
      <c r="E46" s="21">
        <v>300000000</v>
      </c>
      <c r="F46" s="14">
        <v>0.99697000000000002</v>
      </c>
      <c r="G46" s="15">
        <f t="shared" ref="G46" si="34">E46*F46</f>
        <v>299091000</v>
      </c>
      <c r="H46" s="16">
        <v>3.95E-2</v>
      </c>
      <c r="I46" s="17">
        <f>YIELD(C46,D46,H46,F46*100,100,2,0)</f>
        <v>3.9869946878568249E-2</v>
      </c>
      <c r="J46" s="18">
        <v>9.5578199999999996E-4</v>
      </c>
      <c r="K46" s="18">
        <v>0</v>
      </c>
      <c r="L46" s="16">
        <f t="shared" ref="L46" si="35">ROUND(I46+J46+K46,4)</f>
        <v>4.0800000000000003E-2</v>
      </c>
      <c r="M46" s="21">
        <v>300000000</v>
      </c>
      <c r="N46" s="19">
        <f t="shared" ref="N46" si="36">M46*L46</f>
        <v>12240000</v>
      </c>
    </row>
    <row r="47" spans="1:19" ht="15.75" x14ac:dyDescent="0.25">
      <c r="A47" s="6">
        <f t="shared" si="0"/>
        <v>38</v>
      </c>
      <c r="B47" s="20" t="s">
        <v>37</v>
      </c>
      <c r="C47" s="13">
        <v>42601</v>
      </c>
      <c r="D47" s="13">
        <v>46402</v>
      </c>
      <c r="E47" s="21">
        <v>400000000</v>
      </c>
      <c r="F47" s="14">
        <v>0.99948999999999999</v>
      </c>
      <c r="G47" s="15">
        <f>E47*F47</f>
        <v>399796000</v>
      </c>
      <c r="H47" s="16">
        <v>3.15E-2</v>
      </c>
      <c r="I47" s="17">
        <f>YIELD(C47,D47,H47,F47*100,100,2,0)</f>
        <v>3.155574065360886E-2</v>
      </c>
      <c r="J47" s="18">
        <v>7.8739633247484741E-3</v>
      </c>
      <c r="K47" s="18">
        <v>2.0300187E-3</v>
      </c>
      <c r="L47" s="16">
        <f>ROUND(I47+J47+K47,4)</f>
        <v>4.1500000000000002E-2</v>
      </c>
      <c r="M47" s="21">
        <v>400000000</v>
      </c>
      <c r="N47" s="22">
        <f>M47*L47</f>
        <v>16600000</v>
      </c>
    </row>
    <row r="48" spans="1:19" ht="15.75" x14ac:dyDescent="0.25">
      <c r="A48" s="6">
        <f t="shared" si="0"/>
        <v>39</v>
      </c>
      <c r="B48" s="20" t="s">
        <v>46</v>
      </c>
      <c r="C48" s="13">
        <v>44992</v>
      </c>
      <c r="D48" s="13">
        <v>46827</v>
      </c>
      <c r="E48" s="21">
        <v>350000000</v>
      </c>
      <c r="F48" s="14">
        <v>0.99680000000000002</v>
      </c>
      <c r="G48" s="15">
        <f>E48*F48</f>
        <v>348880000</v>
      </c>
      <c r="H48" s="16">
        <v>5.9499999999999997E-2</v>
      </c>
      <c r="I48" s="17">
        <f>YIELD(C48,D48,H48,F48*100,100,2,0)</f>
        <v>6.0243486888810989E-2</v>
      </c>
      <c r="J48" s="18">
        <v>1.9402854835439264E-3</v>
      </c>
      <c r="K48" s="18">
        <v>0</v>
      </c>
      <c r="L48" s="16">
        <f>ROUND(I48+J48+K48,4)</f>
        <v>6.2199999999999998E-2</v>
      </c>
      <c r="M48" s="21">
        <v>350000000</v>
      </c>
      <c r="N48" s="22">
        <f>M48*L48</f>
        <v>21770000</v>
      </c>
    </row>
    <row r="49" spans="1:14" ht="15.75" x14ac:dyDescent="0.25">
      <c r="A49" s="6">
        <f t="shared" si="0"/>
        <v>40</v>
      </c>
      <c r="B49" s="20" t="s">
        <v>38</v>
      </c>
      <c r="C49" s="13">
        <v>43741</v>
      </c>
      <c r="D49" s="13">
        <v>47406</v>
      </c>
      <c r="E49" s="21">
        <v>400000000</v>
      </c>
      <c r="F49" s="14">
        <v>0.99656</v>
      </c>
      <c r="G49" s="15">
        <f>E49*F49</f>
        <v>398624000</v>
      </c>
      <c r="H49" s="16">
        <v>3.0499999999999999E-2</v>
      </c>
      <c r="I49" s="17">
        <f>YIELD(C49,D49,H49,F49*100,100,2,0)</f>
        <v>3.0900518298005258E-2</v>
      </c>
      <c r="J49" s="18">
        <v>9.1077059999999997E-4</v>
      </c>
      <c r="K49" s="18">
        <v>1.5607200000000002E-5</v>
      </c>
      <c r="L49" s="16">
        <f>ROUND(I49+J49+K49,4)</f>
        <v>3.1800000000000002E-2</v>
      </c>
      <c r="M49" s="21">
        <v>400000000</v>
      </c>
      <c r="N49" s="22">
        <f>M49*L49</f>
        <v>12720000</v>
      </c>
    </row>
    <row r="50" spans="1:14" ht="15.75" x14ac:dyDescent="0.25">
      <c r="A50" s="6">
        <f t="shared" si="0"/>
        <v>41</v>
      </c>
      <c r="B50" s="20" t="s">
        <v>39</v>
      </c>
      <c r="C50" s="13">
        <v>43999</v>
      </c>
      <c r="D50" s="13">
        <v>47649</v>
      </c>
      <c r="E50" s="23">
        <v>400000000</v>
      </c>
      <c r="F50" s="24">
        <v>0.99658000000000002</v>
      </c>
      <c r="G50" s="25">
        <f>E50*F50</f>
        <v>398632000</v>
      </c>
      <c r="H50" s="26">
        <v>2.5000000000000001E-2</v>
      </c>
      <c r="I50" s="17">
        <f>YIELD(C50,D50,H50,F50*100,100,2,0)</f>
        <v>2.5389497768447077E-2</v>
      </c>
      <c r="J50" s="18">
        <v>9.3674936991737002E-4</v>
      </c>
      <c r="K50" s="18">
        <v>0</v>
      </c>
      <c r="L50" s="26">
        <f>ROUND(I50+J50+K50,4)</f>
        <v>2.63E-2</v>
      </c>
      <c r="M50" s="23">
        <v>400000000</v>
      </c>
      <c r="N50" s="22">
        <f>M50*L50</f>
        <v>10520000</v>
      </c>
    </row>
    <row r="51" spans="1:14" ht="15.75" x14ac:dyDescent="0.25">
      <c r="A51" s="6">
        <f t="shared" si="0"/>
        <v>42</v>
      </c>
      <c r="B51" s="20" t="s">
        <v>40</v>
      </c>
      <c r="C51" s="13">
        <v>43329</v>
      </c>
      <c r="D51" s="13">
        <v>48700</v>
      </c>
      <c r="E51" s="21">
        <v>400000000</v>
      </c>
      <c r="F51" s="14">
        <v>0.99543000000000004</v>
      </c>
      <c r="G51" s="15">
        <f t="shared" ref="G51:G53" si="37">E51*F51</f>
        <v>398172000</v>
      </c>
      <c r="H51" s="16">
        <v>4.3499999999999997E-2</v>
      </c>
      <c r="I51" s="17">
        <f t="shared" ref="I51:I53" si="38">YIELD(C51,D51,H51,F51*100,100,2,0)</f>
        <v>4.391981373724866E-2</v>
      </c>
      <c r="J51" s="18">
        <v>8.4427530000000001E-4</v>
      </c>
      <c r="K51" s="18">
        <v>3.6077929561768038E-4</v>
      </c>
      <c r="L51" s="16">
        <f t="shared" ref="L51:L52" si="39">ROUND(I51+J51+K51,4)</f>
        <v>4.5100000000000001E-2</v>
      </c>
      <c r="M51" s="21">
        <v>400000000</v>
      </c>
      <c r="N51" s="22">
        <f t="shared" ref="N51:N53" si="40">M51*L51</f>
        <v>18040000</v>
      </c>
    </row>
    <row r="52" spans="1:14" ht="15.75" x14ac:dyDescent="0.25">
      <c r="A52" s="6">
        <f t="shared" si="0"/>
        <v>43</v>
      </c>
      <c r="B52" s="20" t="s">
        <v>47</v>
      </c>
      <c r="C52" s="13">
        <v>45184</v>
      </c>
      <c r="D52" s="13">
        <v>49079</v>
      </c>
      <c r="E52" s="21">
        <v>450000000</v>
      </c>
      <c r="F52" s="14">
        <v>0.99229999999999996</v>
      </c>
      <c r="G52" s="15">
        <f t="shared" si="37"/>
        <v>446535000</v>
      </c>
      <c r="H52" s="16">
        <v>6.1499999999999999E-2</v>
      </c>
      <c r="I52" s="17">
        <f t="shared" si="38"/>
        <v>6.248612242128089E-2</v>
      </c>
      <c r="J52" s="18">
        <v>9.1770189726775948E-4</v>
      </c>
      <c r="K52" s="18">
        <v>0</v>
      </c>
      <c r="L52" s="16">
        <f t="shared" si="39"/>
        <v>6.3399999999999998E-2</v>
      </c>
      <c r="M52" s="21">
        <v>450000000</v>
      </c>
      <c r="N52" s="22">
        <f t="shared" si="40"/>
        <v>28530000</v>
      </c>
    </row>
    <row r="53" spans="1:14" ht="15.75" x14ac:dyDescent="0.25">
      <c r="A53" s="6">
        <f t="shared" si="0"/>
        <v>44</v>
      </c>
      <c r="B53" s="59" t="s">
        <v>53</v>
      </c>
      <c r="C53" s="60">
        <v>45428</v>
      </c>
      <c r="D53" s="60">
        <v>49324</v>
      </c>
      <c r="E53" s="21">
        <v>450000000</v>
      </c>
      <c r="F53" s="14">
        <v>0.99790000000000001</v>
      </c>
      <c r="G53" s="15">
        <f t="shared" si="37"/>
        <v>449055000</v>
      </c>
      <c r="H53" s="16">
        <v>0.06</v>
      </c>
      <c r="I53" s="61">
        <f t="shared" si="38"/>
        <v>6.025715512746823E-2</v>
      </c>
      <c r="J53" s="62">
        <v>9.1442307007335633E-4</v>
      </c>
      <c r="K53" s="62">
        <v>0</v>
      </c>
      <c r="L53" s="16">
        <f>ROUND(I53+J53+K53,4)</f>
        <v>6.1199999999999997E-2</v>
      </c>
      <c r="M53" s="23">
        <f>+E53</f>
        <v>450000000</v>
      </c>
      <c r="N53" s="22">
        <f t="shared" si="40"/>
        <v>27540000</v>
      </c>
    </row>
    <row r="54" spans="1:14" ht="15.75" x14ac:dyDescent="0.25">
      <c r="A54" s="6">
        <f t="shared" si="0"/>
        <v>45</v>
      </c>
      <c r="B54" s="20" t="s">
        <v>41</v>
      </c>
      <c r="C54" s="13">
        <v>42601</v>
      </c>
      <c r="D54" s="13">
        <v>53585</v>
      </c>
      <c r="E54" s="21">
        <v>300000000</v>
      </c>
      <c r="F54" s="14">
        <v>0.99455000000000005</v>
      </c>
      <c r="G54" s="15">
        <f>E54*F54</f>
        <v>298365000</v>
      </c>
      <c r="H54" s="16">
        <v>4.2000000000000003E-2</v>
      </c>
      <c r="I54" s="17">
        <f>YIELD(C54,D54,H54,F54*100,100,2,0)</f>
        <v>4.232044430624305E-2</v>
      </c>
      <c r="J54" s="18">
        <v>3.7018941463470351E-4</v>
      </c>
      <c r="K54" s="18">
        <v>1.0321071999999998E-3</v>
      </c>
      <c r="L54" s="16">
        <f>ROUND(I54+J54+K54,4)</f>
        <v>4.3700000000000003E-2</v>
      </c>
      <c r="M54" s="21">
        <v>300000000</v>
      </c>
      <c r="N54" s="22">
        <f>M54*L54</f>
        <v>13110000</v>
      </c>
    </row>
    <row r="55" spans="1:14" ht="15.75" x14ac:dyDescent="0.25">
      <c r="A55" s="6">
        <f t="shared" si="0"/>
        <v>46</v>
      </c>
      <c r="B55" s="20" t="s">
        <v>42</v>
      </c>
      <c r="C55" s="13">
        <v>43741</v>
      </c>
      <c r="D55" s="13">
        <v>54711</v>
      </c>
      <c r="E55" s="23">
        <v>300000000</v>
      </c>
      <c r="F55" s="14">
        <v>0.99809999999999999</v>
      </c>
      <c r="G55" s="15">
        <f t="shared" ref="G55" si="41">E55*F55</f>
        <v>299430000</v>
      </c>
      <c r="H55" s="26">
        <v>3.875E-2</v>
      </c>
      <c r="I55" s="17">
        <f t="shared" ref="I55" si="42">YIELD(C55,D55,H55,F55*100,100,2,0)</f>
        <v>3.8857087829320992E-2</v>
      </c>
      <c r="J55" s="18">
        <v>3.7276113213616577E-4</v>
      </c>
      <c r="K55" s="18">
        <v>6.1855508037079955E-4</v>
      </c>
      <c r="L55" s="26">
        <f t="shared" ref="L55" si="43">ROUND(I55+J55+K55,4)</f>
        <v>3.9800000000000002E-2</v>
      </c>
      <c r="M55" s="23">
        <v>300000000</v>
      </c>
      <c r="N55" s="22">
        <f t="shared" ref="N55" si="44">M55*L55</f>
        <v>11940000</v>
      </c>
    </row>
    <row r="56" spans="1:14" ht="15.75" x14ac:dyDescent="0.25">
      <c r="A56" s="6">
        <f t="shared" si="0"/>
        <v>47</v>
      </c>
      <c r="B56" s="20"/>
      <c r="C56" s="13"/>
      <c r="D56" s="13"/>
      <c r="E56" s="23"/>
      <c r="F56" s="24"/>
      <c r="G56" s="23"/>
      <c r="H56" s="27"/>
      <c r="I56" s="28"/>
      <c r="J56" s="18"/>
      <c r="K56" s="18"/>
      <c r="L56" s="26"/>
      <c r="M56" s="29"/>
      <c r="N56" s="30"/>
    </row>
    <row r="57" spans="1:14" ht="16.5" thickBot="1" x14ac:dyDescent="0.3">
      <c r="A57" s="6">
        <f t="shared" si="0"/>
        <v>48</v>
      </c>
      <c r="B57" s="31" t="s">
        <v>43</v>
      </c>
      <c r="C57" s="13"/>
      <c r="D57" s="13"/>
      <c r="E57" s="32">
        <f>ROUND(SUM(E46:E56),-1)</f>
        <v>3750000000</v>
      </c>
      <c r="F57" s="33"/>
      <c r="G57" s="34"/>
      <c r="H57" s="16"/>
      <c r="I57" s="17"/>
      <c r="J57" s="18"/>
      <c r="K57" s="18"/>
      <c r="L57" s="35">
        <f>ROUND(+N57/M57,4)</f>
        <v>4.6100000000000002E-2</v>
      </c>
      <c r="M57" s="36">
        <f>SUM(M46:M56)</f>
        <v>3750000000</v>
      </c>
      <c r="N57" s="36">
        <f>SUM(N46:N56)</f>
        <v>173010000</v>
      </c>
    </row>
    <row r="58" spans="1:14" ht="17.25" thickTop="1" thickBot="1" x14ac:dyDescent="0.3">
      <c r="A58" s="6">
        <f t="shared" si="0"/>
        <v>49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4" ht="15.75" x14ac:dyDescent="0.25">
      <c r="A59" s="6"/>
    </row>
    <row r="60" spans="1:14" ht="15.75" x14ac:dyDescent="0.25">
      <c r="A60" s="6"/>
    </row>
  </sheetData>
  <mergeCells count="2">
    <mergeCell ref="P7:U8"/>
    <mergeCell ref="Q27:U31"/>
  </mergeCells>
  <pageMargins left="0.7" right="0.7" top="0.75" bottom="0.75" header="0.3" footer="0.3"/>
  <pageSetup scale="3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4F71AFEB35C4BB7D02F9717AF7062" ma:contentTypeVersion="3" ma:contentTypeDescription="Create a new document." ma:contentTypeScope="" ma:versionID="f72114207f77428a63dbe71c7492d4d4">
  <xsd:schema xmlns:xsd="http://www.w3.org/2001/XMLSchema" xmlns:xs="http://www.w3.org/2001/XMLSchema" xmlns:p="http://schemas.microsoft.com/office/2006/metadata/properties" xmlns:ns2="183a404b-f228-4879-b45a-49ba5468ac63" targetNamespace="http://schemas.microsoft.com/office/2006/metadata/properties" ma:root="true" ma:fieldsID="a12532894cb39263777fbb1df4908db1" ns2:_="">
    <xsd:import namespace="183a404b-f228-4879-b45a-49ba5468a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a404b-f228-4879-b45a-49ba5468a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BE3067-E4CE-437C-BA7C-484E35DBB663}"/>
</file>

<file path=customXml/itemProps2.xml><?xml version="1.0" encoding="utf-8"?>
<ds:datastoreItem xmlns:ds="http://schemas.openxmlformats.org/officeDocument/2006/customXml" ds:itemID="{F6758AC8-87E2-425B-93AD-400CBAE2B661}"/>
</file>

<file path=customXml/itemProps3.xml><?xml version="1.0" encoding="utf-8"?>
<ds:datastoreItem xmlns:ds="http://schemas.openxmlformats.org/officeDocument/2006/customXml" ds:itemID="{2307D70F-40EE-430F-BE3B-A856D7146B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of Long Term 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Lever, Henry</dc:creator>
  <cp:lastModifiedBy>Shryock, Michelle</cp:lastModifiedBy>
  <cp:lastPrinted>2025-04-15T16:08:32Z</cp:lastPrinted>
  <dcterms:created xsi:type="dcterms:W3CDTF">2024-05-13T16:19:33Z</dcterms:created>
  <dcterms:modified xsi:type="dcterms:W3CDTF">2025-04-15T16:13:06Z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0x0101000424F71AFEB35C4BB7D02F9717AF7062</vt:lpwstr>
  </property>
</Properties>
</file>