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never" defaultThemeVersion="124226"/>
  <mc:AlternateContent xmlns:mc="http://schemas.openxmlformats.org/markup-compatibility/2006">
    <mc:Choice Requires="x15">
      <x15ac:absPath xmlns:x15ac="http://schemas.microsoft.com/office/spreadsheetml/2010/11/ac" url="N:\BHSC\BHC\Rates\BHE BHP\FERC\Common Use System\2026 CUS Filing (2027 rate)\Files for Oasis\"/>
    </mc:Choice>
  </mc:AlternateContent>
  <xr:revisionPtr revIDLastSave="0" documentId="14_{D5750FAF-B98D-4610-9D32-59493ADB8EFC}" xr6:coauthVersionLast="47" xr6:coauthVersionMax="47" xr10:uidLastSave="{00000000-0000-0000-0000-000000000000}"/>
  <bookViews>
    <workbookView xWindow="15468" yWindow="-16308" windowWidth="29016" windowHeight="15696" tabRatio="926" activeTab="1" xr2:uid="{CE7513F4-AB71-4C1A-8027-7D556BEBB2BC}"/>
  </bookViews>
  <sheets>
    <sheet name="Cost of Service References" sheetId="13" r:id="rId1"/>
    <sheet name="BHP WP1 A&amp;G" sheetId="1" r:id="rId2"/>
    <sheet name="BHP WP4 Transmission Assets" sheetId="2" r:id="rId3"/>
    <sheet name="BHP WP8 Adj to Rate Base" sheetId="9" r:id="rId4"/>
    <sheet name="BHP WP 8.1 EDIT-DDIT" sheetId="16" r:id="rId5"/>
    <sheet name="BHP WP9 Accum Depr" sheetId="6" r:id="rId6"/>
    <sheet name="BHP WP10 Plant in Service" sheetId="10" r:id="rId7"/>
    <sheet name="BHP WP11 Property Tax Expense" sheetId="11" r:id="rId8"/>
    <sheet name="BHP WP12 ADIT" sheetId="12" r:id="rId9"/>
    <sheet name="BHP WP13 Accum Reserve" sheetId="15" r:id="rId10"/>
  </sheets>
  <definedNames>
    <definedName name="__123Graph_A" localSheetId="4" hidden="1">#REF!</definedName>
    <definedName name="__123Graph_A" hidden="1">#REF!</definedName>
    <definedName name="__123Graph_A1991" localSheetId="4" hidden="1">#REF!</definedName>
    <definedName name="__123Graph_A1991" hidden="1">#REF!</definedName>
    <definedName name="__123Graph_A1992" localSheetId="4" hidden="1">#REF!</definedName>
    <definedName name="__123Graph_A1992" hidden="1">#REF!</definedName>
    <definedName name="__123Graph_A1993" hidden="1">#REF!</definedName>
    <definedName name="__123Graph_A1994" hidden="1">#REF!</definedName>
    <definedName name="__123Graph_A1995" hidden="1">#REF!</definedName>
    <definedName name="__123Graph_A1996" hidden="1">#REF!</definedName>
    <definedName name="__123Graph_ABAR" hidden="1">#REF!</definedName>
    <definedName name="__123Graph_B" hidden="1">#REF!</definedName>
    <definedName name="__123Graph_B1991" hidden="1">#REF!</definedName>
    <definedName name="__123Graph_B1992" hidden="1">#REF!</definedName>
    <definedName name="__123Graph_B1993" hidden="1">#REF!</definedName>
    <definedName name="__123Graph_B1994" hidden="1">#REF!</definedName>
    <definedName name="__123Graph_B1995" hidden="1">#REF!</definedName>
    <definedName name="__123Graph_B1996" hidden="1">#REF!</definedName>
    <definedName name="__123Graph_BBAR" hidden="1">#REF!</definedName>
    <definedName name="__123Graph_CBAR" hidden="1">#REF!</definedName>
    <definedName name="__123Graph_DBAR" hidden="1">#REF!</definedName>
    <definedName name="__123Graph_EBAR" hidden="1">#REF!</definedName>
    <definedName name="__123Graph_FBAR" hidden="1">#REF!</definedName>
    <definedName name="__123Graph_X" hidden="1">#REF!</definedName>
    <definedName name="__123Graph_X1991" hidden="1">#REF!</definedName>
    <definedName name="__123Graph_X1992" hidden="1">#REF!</definedName>
    <definedName name="__123Graph_X1993" hidden="1">#REF!</definedName>
    <definedName name="__123Graph_X1994" hidden="1">#REF!</definedName>
    <definedName name="__123Graph_X1995" hidden="1">#REF!</definedName>
    <definedName name="__123Graph_X1996" hidden="1">#REF!</definedName>
    <definedName name="__tet12" localSheetId="4" hidden="1">{"assumptions",#N/A,FALSE,"Scenario 1";"valuation",#N/A,FALSE,"Scenario 1"}</definedName>
    <definedName name="__tet12" hidden="1">{"assumptions",#N/A,FALSE,"Scenario 1";"valuation",#N/A,FALSE,"Scenario 1"}</definedName>
    <definedName name="__tet5" localSheetId="4" hidden="1">{"assumptions",#N/A,FALSE,"Scenario 1";"valuation",#N/A,FALSE,"Scenario 1"}</definedName>
    <definedName name="__tet5" hidden="1">{"assumptions",#N/A,FALSE,"Scenario 1";"valuation",#N/A,FALSE,"Scenario 1"}</definedName>
    <definedName name="_FEB01" localSheetId="4" hidden="1">{#N/A,#N/A,FALSE,"EMPPAY"}</definedName>
    <definedName name="_FEB01" hidden="1">{#N/A,#N/A,FALSE,"EMPPAY"}</definedName>
    <definedName name="_Fill" hidden="1">#REF!</definedName>
    <definedName name="_JAN01" localSheetId="4" hidden="1">{#N/A,#N/A,FALSE,"EMPPAY"}</definedName>
    <definedName name="_JAN01" hidden="1">{#N/A,#N/A,FALSE,"EMPPAY"}</definedName>
    <definedName name="_JAN2001" localSheetId="4" hidden="1">{#N/A,#N/A,FALSE,"EMPPAY"}</definedName>
    <definedName name="_JAN2001" hidden="1">{#N/A,#N/A,FALSE,"EMPPAY"}</definedName>
    <definedName name="_Key1" hidden="1">#REF!</definedName>
    <definedName name="_Order1" hidden="1">255</definedName>
    <definedName name="_Order2" hidden="1">255</definedName>
    <definedName name="_Sort" hidden="1">#REF!</definedName>
    <definedName name="_sort2" hidden="1">#REF!</definedName>
    <definedName name="_tet12" localSheetId="4" hidden="1">{"assumptions",#N/A,FALSE,"Scenario 1";"valuation",#N/A,FALSE,"Scenario 1"}</definedName>
    <definedName name="_tet12" hidden="1">{"assumptions",#N/A,FALSE,"Scenario 1";"valuation",#N/A,FALSE,"Scenario 1"}</definedName>
    <definedName name="_tet5" localSheetId="4" hidden="1">{"assumptions",#N/A,FALSE,"Scenario 1";"valuation",#N/A,FALSE,"Scenario 1"}</definedName>
    <definedName name="_tet5" hidden="1">{"assumptions",#N/A,FALSE,"Scenario 1";"valuation",#N/A,FALSE,"Scenario 1"}</definedName>
    <definedName name="a" localSheetId="4" hidden="1">{"LBO Summary",#N/A,FALSE,"Summary"}</definedName>
    <definedName name="a" hidden="1">{"LBO Summary",#N/A,FALSE,"Summary"}</definedName>
    <definedName name="Alignment" hidden="1">"a1"</definedName>
    <definedName name="AS2DocOpenMode" hidden="1">"AS2DocumentEdit"</definedName>
    <definedName name="ClientMatter" hidden="1">"b1"</definedName>
    <definedName name="Date" hidden="1">"b1"</definedName>
    <definedName name="DEC00" localSheetId="4" hidden="1">{#N/A,#N/A,FALSE,"ARREC"}</definedName>
    <definedName name="DEC00" hidden="1">{#N/A,#N/A,FALSE,"ARREC"}</definedName>
    <definedName name="DocumentName" hidden="1">"b1"</definedName>
    <definedName name="DocumentNum" hidden="1">"a1"</definedName>
    <definedName name="FEB00" localSheetId="4" hidden="1">{#N/A,#N/A,FALSE,"ARREC"}</definedName>
    <definedName name="FEB00" hidden="1">{#N/A,#N/A,FALSE,"ARREC"}</definedName>
    <definedName name="Library" hidden="1">"a1"</definedName>
    <definedName name="MAY" localSheetId="4" hidden="1">{#N/A,#N/A,FALSE,"EMPPAY"}</definedName>
    <definedName name="MAY" hidden="1">{#N/A,#N/A,FALSE,"EMPPAY"}</definedName>
    <definedName name="_xlnm.Print_Area" localSheetId="4">'BHP WP 8.1 EDIT-DDIT'!$A$1:$R$59</definedName>
    <definedName name="_xlnm.Print_Area" localSheetId="1">'BHP WP1 A&amp;G'!$A$1:$D$36</definedName>
    <definedName name="_xlnm.Print_Area" localSheetId="6">'BHP WP10 Plant in Service'!$A$1:$M$28</definedName>
    <definedName name="_xlnm.Print_Area" localSheetId="2">'BHP WP4 Transmission Assets'!$A$1:$G$51</definedName>
    <definedName name="_xlnm.Print_Area" localSheetId="5">'BHP WP9 Accum Depr'!$A$1:$I$28</definedName>
    <definedName name="_xlnm.Print_Area" localSheetId="0">'Cost of Service References'!$A$1:$F$194</definedName>
    <definedName name="test" localSheetId="4" hidden="1">{"LBO Summary",#N/A,FALSE,"Summary"}</definedName>
    <definedName name="test" hidden="1">{"LBO Summary",#N/A,FALSE,"Summary"}</definedName>
    <definedName name="test1" localSheetId="4"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4"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4" hidden="1">{"LBO Summary",#N/A,FALSE,"Summary"}</definedName>
    <definedName name="test11" hidden="1">{"LBO Summary",#N/A,FALSE,"Summary"}</definedName>
    <definedName name="test12" localSheetId="4" hidden="1">{"assumptions",#N/A,FALSE,"Scenario 1";"valuation",#N/A,FALSE,"Scenario 1"}</definedName>
    <definedName name="test12" hidden="1">{"assumptions",#N/A,FALSE,"Scenario 1";"valuation",#N/A,FALSE,"Scenario 1"}</definedName>
    <definedName name="test13" localSheetId="4" hidden="1">{"LBO Summary",#N/A,FALSE,"Summary"}</definedName>
    <definedName name="test13" hidden="1">{"LBO Summary",#N/A,FALSE,"Summary"}</definedName>
    <definedName name="test14" localSheetId="4"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4"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4"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4" hidden="1">{"LBO Summary",#N/A,FALSE,"Summary"}</definedName>
    <definedName name="test2" hidden="1">{"LBO Summary",#N/A,FALSE,"Summary"}</definedName>
    <definedName name="test4" localSheetId="4" hidden="1">{"assumptions",#N/A,FALSE,"Scenario 1";"valuation",#N/A,FALSE,"Scenario 1"}</definedName>
    <definedName name="test4" hidden="1">{"assumptions",#N/A,FALSE,"Scenario 1";"valuation",#N/A,FALSE,"Scenario 1"}</definedName>
    <definedName name="test6" localSheetId="4" hidden="1">{"LBO Summary",#N/A,FALSE,"Summary"}</definedName>
    <definedName name="test6" hidden="1">{"LBO Summary",#N/A,FALSE,"Summary"}</definedName>
    <definedName name="TextRefCopyRangeCount" hidden="1">1</definedName>
    <definedName name="Time" hidden="1">"b1"</definedName>
    <definedName name="Typist" hidden="1">"b1"</definedName>
    <definedName name="Value" localSheetId="4" hidden="1">{"assumptions",#N/A,FALSE,"Scenario 1";"valuation",#N/A,FALSE,"Scenario 1"}</definedName>
    <definedName name="Value" hidden="1">{"assumptions",#N/A,FALSE,"Scenario 1";"valuation",#N/A,FALSE,"Scenario 1"}</definedName>
    <definedName name="Version" hidden="1">"a1"</definedName>
    <definedName name="wrn.ARREC." localSheetId="4" hidden="1">{#N/A,#N/A,FALSE,"ARREC"}</definedName>
    <definedName name="wrn.ARREC." hidden="1">{#N/A,#N/A,FALSE,"ARREC"}</definedName>
    <definedName name="wrn.CP._.Demand." localSheetId="4" hidden="1">{"Retail CP pg1",#N/A,FALSE,"FACTOR3";"Retail CP pg2",#N/A,FALSE,"FACTOR3";"Retail CP pg3",#N/A,FALSE,"FACTOR3"}</definedName>
    <definedName name="wrn.CP._.Demand." hidden="1">{"Retail CP pg1",#N/A,FALSE,"FACTOR3";"Retail CP pg2",#N/A,FALSE,"FACTOR3";"Retail CP pg3",#N/A,FALSE,"FACTOR3"}</definedName>
    <definedName name="wrn.CP._.Demand2." localSheetId="4" hidden="1">{"Retail CP pg1",#N/A,FALSE,"FACTOR3";"Retail CP pg2",#N/A,FALSE,"FACTOR3";"Retail CP pg3",#N/A,FALSE,"FACTOR3"}</definedName>
    <definedName name="wrn.CP._.Demand2." hidden="1">{"Retail CP pg1",#N/A,FALSE,"FACTOR3";"Retail CP pg2",#N/A,FALSE,"FACTOR3";"Retail CP pg3",#N/A,FALSE,"FACTOR3"}</definedName>
    <definedName name="wrn.EMPPAY." localSheetId="4" hidden="1">{#N/A,#N/A,FALSE,"EMPPAY"}</definedName>
    <definedName name="wrn.EMPPAY." hidden="1">{#N/A,#N/A,FALSE,"EMPPAY"}</definedName>
    <definedName name="wrn.IPO._.Valuation." localSheetId="4" hidden="1">{"assumptions",#N/A,FALSE,"Scenario 1";"valuation",#N/A,FALSE,"Scenario 1"}</definedName>
    <definedName name="wrn.IPO._.Valuation." hidden="1">{"assumptions",#N/A,FALSE,"Scenario 1";"valuation",#N/A,FALSE,"Scenario 1"}</definedName>
    <definedName name="wrn.LBO._.Summary." localSheetId="4" hidden="1">{"LBO Summary",#N/A,FALSE,"Summary"}</definedName>
    <definedName name="wrn.LBO._.Summary." hidden="1">{"LBO Summary",#N/A,FALSE,"Summary"}</definedName>
    <definedName name="wrn.Print._.All._.Pages." localSheetId="4"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xx" localSheetId="4" hidden="1">{#N/A,#N/A,FALSE,"EMPPAY"}</definedName>
    <definedName name="xx" hidden="1">{#N/A,#N/A,FALSE,"EMPPAY"}</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8" i="9" l="1"/>
  <c r="H25" i="12"/>
  <c r="G25" i="12"/>
  <c r="F25" i="12"/>
  <c r="H11" i="12"/>
  <c r="F15" i="12"/>
  <c r="H15" i="12"/>
  <c r="C46" i="9" l="1"/>
  <c r="D46" i="9" s="1"/>
  <c r="C45" i="9"/>
  <c r="D45" i="9" s="1"/>
  <c r="C44" i="9"/>
  <c r="D44" i="9" s="1"/>
  <c r="C43" i="9"/>
  <c r="D43" i="9" s="1"/>
  <c r="C42" i="9"/>
  <c r="D42" i="9" s="1"/>
  <c r="C41" i="9"/>
  <c r="D41" i="9" s="1"/>
  <c r="C40" i="9"/>
  <c r="D40" i="9" s="1"/>
  <c r="C39" i="9"/>
  <c r="D39" i="9" s="1"/>
  <c r="C38" i="9"/>
  <c r="D38" i="9" s="1"/>
  <c r="C37" i="9"/>
  <c r="D37" i="9" s="1"/>
  <c r="C36" i="9"/>
  <c r="D36" i="9" s="1"/>
  <c r="E35" i="9"/>
  <c r="E36" i="9" s="1"/>
  <c r="E37" i="9" s="1"/>
  <c r="C35" i="9"/>
  <c r="D35" i="9" s="1"/>
  <c r="D33" i="9"/>
  <c r="G33" i="9" s="1"/>
  <c r="D25" i="9"/>
  <c r="D22" i="9"/>
  <c r="D20" i="9"/>
  <c r="D17" i="9"/>
  <c r="D24" i="9"/>
  <c r="E15" i="9"/>
  <c r="E16" i="9" s="1"/>
  <c r="F16" i="9" s="1"/>
  <c r="D15" i="9"/>
  <c r="A13" i="9"/>
  <c r="A14" i="9" s="1"/>
  <c r="A15" i="9" s="1"/>
  <c r="A16" i="9" s="1"/>
  <c r="A17" i="9" s="1"/>
  <c r="A18" i="9" s="1"/>
  <c r="A19" i="9" s="1"/>
  <c r="A20" i="9" s="1"/>
  <c r="A21" i="9" s="1"/>
  <c r="A22" i="9" s="1"/>
  <c r="A23" i="9" s="1"/>
  <c r="A24" i="9" s="1"/>
  <c r="A25" i="9" s="1"/>
  <c r="A26" i="9" s="1"/>
  <c r="A27" i="9" s="1"/>
  <c r="A28" i="9" s="1"/>
  <c r="A29" i="9" s="1"/>
  <c r="A30" i="9" s="1"/>
  <c r="A31" i="9" s="1"/>
  <c r="A32" i="9" s="1"/>
  <c r="A33" i="9" s="1"/>
  <c r="A34" i="9" s="1"/>
  <c r="A35" i="9" s="1"/>
  <c r="A36" i="9" s="1"/>
  <c r="A37" i="9" s="1"/>
  <c r="A38" i="9" s="1"/>
  <c r="A39" i="9" s="1"/>
  <c r="A40" i="9" s="1"/>
  <c r="A41" i="9" s="1"/>
  <c r="A42" i="9" s="1"/>
  <c r="A43" i="9" s="1"/>
  <c r="A44" i="9" s="1"/>
  <c r="A45" i="9" s="1"/>
  <c r="A46" i="9" s="1"/>
  <c r="A47" i="9" s="1"/>
  <c r="A48" i="9" s="1"/>
  <c r="A49" i="9" s="1"/>
  <c r="A50" i="9" s="1"/>
  <c r="A51" i="9" s="1"/>
  <c r="A52" i="9" s="1"/>
  <c r="A53" i="9" s="1"/>
  <c r="A54" i="9" s="1"/>
  <c r="A55" i="9" s="1"/>
  <c r="A56" i="9" s="1"/>
  <c r="I16" i="16"/>
  <c r="G16" i="16"/>
  <c r="H16" i="16"/>
  <c r="J16" i="16"/>
  <c r="H20" i="16"/>
  <c r="G20" i="16"/>
  <c r="I20" i="16"/>
  <c r="J20" i="16"/>
  <c r="P8" i="16"/>
  <c r="O8" i="16"/>
  <c r="N8" i="16"/>
  <c r="M8" i="16"/>
  <c r="G21" i="12"/>
  <c r="F21" i="12"/>
  <c r="G15" i="12"/>
  <c r="H14" i="12"/>
  <c r="A12" i="12"/>
  <c r="A13" i="12" s="1"/>
  <c r="A14" i="12" s="1"/>
  <c r="A15" i="12" s="1"/>
  <c r="A16" i="12" s="1"/>
  <c r="A17" i="12" s="1"/>
  <c r="A18" i="12" s="1"/>
  <c r="A19" i="12" s="1"/>
  <c r="A20" i="12" s="1"/>
  <c r="A21" i="12" s="1"/>
  <c r="A22" i="12" s="1"/>
  <c r="A23" i="12" s="1"/>
  <c r="A24" i="12" s="1"/>
  <c r="A25" i="12" s="1"/>
  <c r="A11" i="12"/>
  <c r="A11" i="11"/>
  <c r="A12" i="11" s="1"/>
  <c r="A13" i="11" s="1"/>
  <c r="A14" i="11" s="1"/>
  <c r="A15" i="11" s="1"/>
  <c r="A16" i="11" s="1"/>
  <c r="G16" i="11"/>
  <c r="K24" i="10"/>
  <c r="I24" i="10"/>
  <c r="G24" i="10"/>
  <c r="E24" i="10"/>
  <c r="M23" i="10"/>
  <c r="M22" i="10"/>
  <c r="M21" i="10"/>
  <c r="M20" i="10"/>
  <c r="M19" i="10"/>
  <c r="M18" i="10"/>
  <c r="M17" i="10"/>
  <c r="M16" i="10"/>
  <c r="M15" i="10"/>
  <c r="M14" i="10"/>
  <c r="M13" i="10"/>
  <c r="M12" i="10"/>
  <c r="A12" i="10"/>
  <c r="A13" i="10" s="1"/>
  <c r="A14" i="10" s="1"/>
  <c r="A15" i="10" s="1"/>
  <c r="A16" i="10" s="1"/>
  <c r="A17" i="10" s="1"/>
  <c r="A18" i="10" s="1"/>
  <c r="A19" i="10" s="1"/>
  <c r="A20" i="10" s="1"/>
  <c r="A21" i="10" s="1"/>
  <c r="A22" i="10" s="1"/>
  <c r="A23" i="10" s="1"/>
  <c r="A24" i="10" s="1"/>
  <c r="A25" i="10" s="1"/>
  <c r="A26" i="10" s="1"/>
  <c r="A27" i="10" s="1"/>
  <c r="A28" i="10" s="1"/>
  <c r="A29" i="10" s="1"/>
  <c r="A30" i="10" s="1"/>
  <c r="M11" i="10"/>
  <c r="M24" i="10" s="1"/>
  <c r="S43" i="6"/>
  <c r="S42" i="6"/>
  <c r="G22" i="6" s="1"/>
  <c r="S41" i="6"/>
  <c r="S40" i="6"/>
  <c r="G20" i="6" s="1"/>
  <c r="S39" i="6"/>
  <c r="S38" i="6"/>
  <c r="G18" i="6" s="1"/>
  <c r="S37" i="6"/>
  <c r="S36" i="6"/>
  <c r="G16" i="6" s="1"/>
  <c r="S35" i="6"/>
  <c r="G15" i="6" s="1"/>
  <c r="S34" i="6"/>
  <c r="G14" i="6" s="1"/>
  <c r="S33" i="6"/>
  <c r="G13" i="6" s="1"/>
  <c r="S32" i="6"/>
  <c r="G12" i="6" s="1"/>
  <c r="S31" i="6"/>
  <c r="K24" i="6"/>
  <c r="I24" i="6"/>
  <c r="T23" i="6"/>
  <c r="G23" i="6"/>
  <c r="E23" i="6"/>
  <c r="O23" i="6" s="1"/>
  <c r="T22" i="6"/>
  <c r="E22" i="6" s="1"/>
  <c r="O22" i="6" s="1"/>
  <c r="T21" i="6"/>
  <c r="G21" i="6"/>
  <c r="E21" i="6"/>
  <c r="O21" i="6" s="1"/>
  <c r="T20" i="6"/>
  <c r="E20" i="6" s="1"/>
  <c r="T19" i="6"/>
  <c r="G19" i="6"/>
  <c r="E19" i="6"/>
  <c r="O19" i="6" s="1"/>
  <c r="T18" i="6"/>
  <c r="E18" i="6" s="1"/>
  <c r="O18" i="6" s="1"/>
  <c r="T17" i="6"/>
  <c r="G17" i="6"/>
  <c r="E17" i="6"/>
  <c r="O17" i="6" s="1"/>
  <c r="T16" i="6"/>
  <c r="E16" i="6" s="1"/>
  <c r="T15" i="6"/>
  <c r="E15" i="6"/>
  <c r="T14" i="6"/>
  <c r="E14" i="6" s="1"/>
  <c r="T13" i="6"/>
  <c r="E13" i="6"/>
  <c r="O13" i="6" s="1"/>
  <c r="A13" i="6"/>
  <c r="A14" i="6" s="1"/>
  <c r="A15" i="6" s="1"/>
  <c r="A16" i="6" s="1"/>
  <c r="A17" i="6" s="1"/>
  <c r="A18" i="6" s="1"/>
  <c r="A19" i="6" s="1"/>
  <c r="A20" i="6" s="1"/>
  <c r="A21" i="6" s="1"/>
  <c r="A22" i="6" s="1"/>
  <c r="A23" i="6" s="1"/>
  <c r="A24" i="6" s="1"/>
  <c r="A25" i="6" s="1"/>
  <c r="A26" i="6" s="1"/>
  <c r="A27" i="6" s="1"/>
  <c r="A28" i="6" s="1"/>
  <c r="A29" i="6" s="1"/>
  <c r="T12" i="6"/>
  <c r="E12" i="6" s="1"/>
  <c r="M24" i="6"/>
  <c r="A12" i="6"/>
  <c r="T11" i="6"/>
  <c r="G11" i="6"/>
  <c r="E11" i="6"/>
  <c r="F115" i="2"/>
  <c r="F116" i="2" s="1"/>
  <c r="G43" i="2"/>
  <c r="G46" i="2" s="1"/>
  <c r="E43" i="2"/>
  <c r="E46" i="2" s="1"/>
  <c r="G32" i="2"/>
  <c r="E32" i="2"/>
  <c r="G16" i="2"/>
  <c r="G21" i="2" s="1"/>
  <c r="G26" i="2" s="1"/>
  <c r="G34" i="2" s="1"/>
  <c r="E16" i="2"/>
  <c r="E21" i="2" s="1"/>
  <c r="E26" i="2" s="1"/>
  <c r="E34" i="2" s="1"/>
  <c r="H118" i="1"/>
  <c r="H119" i="1" s="1"/>
  <c r="D31" i="1"/>
  <c r="D25" i="1"/>
  <c r="D23" i="1"/>
  <c r="D14" i="1"/>
  <c r="G36" i="9" l="1"/>
  <c r="G15" i="9"/>
  <c r="G35" i="9"/>
  <c r="E38" i="9"/>
  <c r="F37" i="9"/>
  <c r="G37" i="9" s="1"/>
  <c r="F15" i="9"/>
  <c r="F36" i="9"/>
  <c r="E17" i="9"/>
  <c r="D18" i="9"/>
  <c r="D23" i="9"/>
  <c r="F35" i="9"/>
  <c r="D16" i="9"/>
  <c r="G16" i="9" s="1"/>
  <c r="D21" i="9"/>
  <c r="D26" i="9"/>
  <c r="D14" i="9"/>
  <c r="G14" i="9" s="1"/>
  <c r="D19" i="9"/>
  <c r="G22" i="16"/>
  <c r="I22" i="16"/>
  <c r="J22" i="16"/>
  <c r="H22" i="16"/>
  <c r="H21" i="12"/>
  <c r="A31" i="6"/>
  <c r="A30" i="6"/>
  <c r="E24" i="6"/>
  <c r="O14" i="6"/>
  <c r="G24" i="6"/>
  <c r="O15" i="6"/>
  <c r="O16" i="6"/>
  <c r="O20" i="6"/>
  <c r="O12" i="6"/>
  <c r="O11" i="6"/>
  <c r="O24" i="6" s="1"/>
  <c r="E48" i="2"/>
  <c r="E38" i="2"/>
  <c r="G48" i="2"/>
  <c r="G38" i="2"/>
  <c r="E18" i="9" l="1"/>
  <c r="F17" i="9"/>
  <c r="G17" i="9" s="1"/>
  <c r="E39" i="9"/>
  <c r="F38" i="9"/>
  <c r="G38" i="9" s="1"/>
  <c r="E40" i="9" l="1"/>
  <c r="F39" i="9"/>
  <c r="G39" i="9" s="1"/>
  <c r="E19" i="9"/>
  <c r="G18" i="9"/>
  <c r="B41" i="16"/>
  <c r="B42" i="16" s="1"/>
  <c r="B43" i="16" s="1"/>
  <c r="B44" i="16" s="1"/>
  <c r="B45" i="16" s="1"/>
  <c r="B46" i="16" s="1"/>
  <c r="B37" i="16"/>
  <c r="B38" i="16" s="1"/>
  <c r="P35" i="16"/>
  <c r="O35" i="16"/>
  <c r="N35" i="16"/>
  <c r="M35" i="16"/>
  <c r="B35" i="16"/>
  <c r="N34" i="16"/>
  <c r="B34" i="16"/>
  <c r="O33" i="16"/>
  <c r="N33" i="16"/>
  <c r="M33" i="16"/>
  <c r="B33" i="16"/>
  <c r="P29" i="16"/>
  <c r="O29" i="16"/>
  <c r="N29" i="16"/>
  <c r="M29" i="16"/>
  <c r="N28" i="16"/>
  <c r="P28" i="16"/>
  <c r="O34" i="16"/>
  <c r="O27" i="16"/>
  <c r="M27" i="16"/>
  <c r="N27" i="16"/>
  <c r="M26" i="16"/>
  <c r="P26" i="16"/>
  <c r="N26" i="16"/>
  <c r="H30" i="16"/>
  <c r="G30" i="16"/>
  <c r="B25" i="16"/>
  <c r="B26" i="16" s="1"/>
  <c r="B27" i="16" s="1"/>
  <c r="B28" i="16" s="1"/>
  <c r="B29" i="16" s="1"/>
  <c r="P19" i="16"/>
  <c r="O19" i="16"/>
  <c r="N19" i="16"/>
  <c r="M19" i="16"/>
  <c r="O18" i="16"/>
  <c r="O20" i="16" s="1"/>
  <c r="P15" i="16"/>
  <c r="O15" i="16"/>
  <c r="N15" i="16"/>
  <c r="M15" i="16"/>
  <c r="N14" i="16"/>
  <c r="N16" i="16" s="1"/>
  <c r="P14" i="16"/>
  <c r="P16" i="16" s="1"/>
  <c r="B14" i="16"/>
  <c r="B15" i="16" s="1"/>
  <c r="E41" i="9" l="1"/>
  <c r="F40" i="9"/>
  <c r="G40" i="9" s="1"/>
  <c r="E20" i="9"/>
  <c r="F19" i="9"/>
  <c r="G19" i="9" s="1"/>
  <c r="H42" i="16"/>
  <c r="P34" i="16"/>
  <c r="M34" i="16"/>
  <c r="J30" i="16"/>
  <c r="N18" i="16"/>
  <c r="N20" i="16" s="1"/>
  <c r="G36" i="16"/>
  <c r="G38" i="16" s="1"/>
  <c r="M32" i="16"/>
  <c r="M18" i="16"/>
  <c r="M20" i="16" s="1"/>
  <c r="P33" i="16"/>
  <c r="M14" i="16"/>
  <c r="M16" i="16" s="1"/>
  <c r="M25" i="16"/>
  <c r="M30" i="16" s="1"/>
  <c r="M28" i="16"/>
  <c r="N25" i="16"/>
  <c r="N30" i="16" s="1"/>
  <c r="O28" i="16"/>
  <c r="P25" i="16"/>
  <c r="P27" i="16"/>
  <c r="O26" i="16"/>
  <c r="P18" i="16"/>
  <c r="P20" i="16" s="1"/>
  <c r="P22" i="16" s="1"/>
  <c r="E42" i="9" l="1"/>
  <c r="F41" i="9"/>
  <c r="G41" i="9" s="1"/>
  <c r="E21" i="9"/>
  <c r="F20" i="9"/>
  <c r="G20" i="9" s="1"/>
  <c r="H36" i="16"/>
  <c r="H38" i="16" s="1"/>
  <c r="N32" i="16"/>
  <c r="N36" i="16" s="1"/>
  <c r="N38" i="16" s="1"/>
  <c r="I30" i="16"/>
  <c r="O25" i="16"/>
  <c r="O30" i="16" s="1"/>
  <c r="M42" i="16"/>
  <c r="M22" i="16"/>
  <c r="G43" i="16"/>
  <c r="O14" i="16"/>
  <c r="O16" i="16" s="1"/>
  <c r="J42" i="16"/>
  <c r="G42" i="16"/>
  <c r="P30" i="16"/>
  <c r="N22" i="16"/>
  <c r="N42" i="16"/>
  <c r="M36" i="16"/>
  <c r="M43" i="16" s="1"/>
  <c r="F21" i="9" l="1"/>
  <c r="G21" i="9" s="1"/>
  <c r="E22" i="9"/>
  <c r="E43" i="9"/>
  <c r="F42" i="9"/>
  <c r="G42" i="9" s="1"/>
  <c r="N43" i="16"/>
  <c r="M38" i="16"/>
  <c r="H43" i="16"/>
  <c r="H44" i="16" s="1"/>
  <c r="M44" i="16"/>
  <c r="G44" i="16"/>
  <c r="P42" i="16"/>
  <c r="I36" i="16"/>
  <c r="I43" i="16" s="1"/>
  <c r="O32" i="16"/>
  <c r="O36" i="16" s="1"/>
  <c r="O43" i="16" s="1"/>
  <c r="I38" i="16"/>
  <c r="J45" i="16"/>
  <c r="I42" i="16"/>
  <c r="O42" i="16"/>
  <c r="O22" i="16"/>
  <c r="N44" i="16"/>
  <c r="E44" i="9" l="1"/>
  <c r="F43" i="9"/>
  <c r="G43" i="9" s="1"/>
  <c r="E23" i="9"/>
  <c r="F22" i="9"/>
  <c r="G22" i="9" s="1"/>
  <c r="I44" i="16"/>
  <c r="O44" i="16"/>
  <c r="O38" i="16"/>
  <c r="P32" i="16"/>
  <c r="P36" i="16" s="1"/>
  <c r="J36" i="16"/>
  <c r="P45" i="16"/>
  <c r="F23" i="9" l="1"/>
  <c r="G23" i="9" s="1"/>
  <c r="E24" i="9"/>
  <c r="E45" i="9"/>
  <c r="F44" i="9"/>
  <c r="G44" i="9" s="1"/>
  <c r="J38" i="16"/>
  <c r="J43" i="16"/>
  <c r="J44" i="16" s="1"/>
  <c r="P43" i="16"/>
  <c r="P44" i="16" s="1"/>
  <c r="P46" i="16" s="1"/>
  <c r="P38" i="16"/>
  <c r="E46" i="9" l="1"/>
  <c r="F46" i="9" s="1"/>
  <c r="G46" i="9" s="1"/>
  <c r="G47" i="9" s="1"/>
  <c r="F45" i="9"/>
  <c r="G45" i="9" s="1"/>
  <c r="E25" i="9"/>
  <c r="F24" i="9"/>
  <c r="G24" i="9" s="1"/>
  <c r="A13" i="13"/>
  <c r="A14" i="13" s="1"/>
  <c r="A15" i="13" s="1"/>
  <c r="A16" i="13" s="1"/>
  <c r="A17" i="13" s="1"/>
  <c r="A18" i="13" s="1"/>
  <c r="A19" i="13" s="1"/>
  <c r="A20" i="13" s="1"/>
  <c r="A21" i="13" s="1"/>
  <c r="A22" i="13" s="1"/>
  <c r="A23" i="13" s="1"/>
  <c r="A24" i="13" s="1"/>
  <c r="A25" i="13" s="1"/>
  <c r="A26" i="13" s="1"/>
  <c r="A27" i="13" s="1"/>
  <c r="A28" i="13" s="1"/>
  <c r="A29" i="13" s="1"/>
  <c r="A30" i="13" s="1"/>
  <c r="A31" i="13" s="1"/>
  <c r="A32" i="13" s="1"/>
  <c r="A33" i="13" s="1"/>
  <c r="A34" i="13" s="1"/>
  <c r="A35" i="13" s="1"/>
  <c r="A36" i="13" s="1"/>
  <c r="A37" i="13" s="1"/>
  <c r="A38" i="13" s="1"/>
  <c r="A39" i="13" s="1"/>
  <c r="A40" i="13" s="1"/>
  <c r="A41" i="13" s="1"/>
  <c r="A42" i="13" s="1"/>
  <c r="A43" i="13" s="1"/>
  <c r="A44" i="13" s="1"/>
  <c r="A45" i="13" s="1"/>
  <c r="A46" i="13" s="1"/>
  <c r="A47" i="13" s="1"/>
  <c r="A48" i="13" s="1"/>
  <c r="A49" i="13" s="1"/>
  <c r="A50" i="13" s="1"/>
  <c r="A52" i="13" s="1"/>
  <c r="A53" i="13" s="1"/>
  <c r="A54" i="13" s="1"/>
  <c r="A55" i="13" s="1"/>
  <c r="A56" i="13" s="1"/>
  <c r="A57" i="13" s="1"/>
  <c r="A58" i="13" s="1"/>
  <c r="A59" i="13" s="1"/>
  <c r="A60" i="13" s="1"/>
  <c r="A61" i="13" s="1"/>
  <c r="A62" i="13" s="1"/>
  <c r="A63" i="13" s="1"/>
  <c r="A64" i="13" s="1"/>
  <c r="A65" i="13" s="1"/>
  <c r="A75" i="13" s="1"/>
  <c r="A76" i="13" s="1"/>
  <c r="A77" i="13" s="1"/>
  <c r="A78" i="13" s="1"/>
  <c r="A79" i="13" s="1"/>
  <c r="A80" i="13" s="1"/>
  <c r="A81" i="13" s="1"/>
  <c r="A82" i="13" s="1"/>
  <c r="A83" i="13" s="1"/>
  <c r="A84" i="13" s="1"/>
  <c r="A85" i="13" s="1"/>
  <c r="A86" i="13" s="1"/>
  <c r="A87" i="13" s="1"/>
  <c r="A88" i="13" s="1"/>
  <c r="A89" i="13" s="1"/>
  <c r="A90" i="13" s="1"/>
  <c r="A91" i="13" s="1"/>
  <c r="A92" i="13" s="1"/>
  <c r="A93" i="13" s="1"/>
  <c r="A94" i="13" s="1"/>
  <c r="A95" i="13" s="1"/>
  <c r="A96" i="13" s="1"/>
  <c r="A97" i="13" s="1"/>
  <c r="A98" i="13" s="1"/>
  <c r="A99" i="13" s="1"/>
  <c r="A100" i="13" s="1"/>
  <c r="A101" i="13" s="1"/>
  <c r="A102" i="13" s="1"/>
  <c r="A103" i="13" s="1"/>
  <c r="A104" i="13" s="1"/>
  <c r="A105" i="13" s="1"/>
  <c r="A106" i="13" s="1"/>
  <c r="A107" i="13" s="1"/>
  <c r="A108" i="13" s="1"/>
  <c r="A109" i="13" s="1"/>
  <c r="A110" i="13" s="1"/>
  <c r="A111" i="13" s="1"/>
  <c r="A112" i="13" s="1"/>
  <c r="A113" i="13" s="1"/>
  <c r="A114" i="13" s="1"/>
  <c r="A115" i="13" s="1"/>
  <c r="A116" i="13" s="1"/>
  <c r="D14" i="13"/>
  <c r="D26" i="13"/>
  <c r="C37" i="13"/>
  <c r="D88" i="13"/>
  <c r="A125" i="13"/>
  <c r="A126" i="13" s="1"/>
  <c r="A127" i="13" s="1"/>
  <c r="A128" i="13" s="1"/>
  <c r="A129" i="13" s="1"/>
  <c r="A130" i="13" s="1"/>
  <c r="A131" i="13" s="1"/>
  <c r="A132" i="13" s="1"/>
  <c r="A133" i="13" s="1"/>
  <c r="A134" i="13" s="1"/>
  <c r="A135" i="13" s="1"/>
  <c r="A136" i="13" s="1"/>
  <c r="A137" i="13" s="1"/>
  <c r="A138" i="13" s="1"/>
  <c r="A139" i="13" s="1"/>
  <c r="A140" i="13" s="1"/>
  <c r="A141" i="13" s="1"/>
  <c r="A142" i="13" s="1"/>
  <c r="A143" i="13" s="1"/>
  <c r="A144" i="13" s="1"/>
  <c r="A145" i="13" s="1"/>
  <c r="A146" i="13" s="1"/>
  <c r="A147" i="13" s="1"/>
  <c r="A148" i="13" s="1"/>
  <c r="A149" i="13" s="1"/>
  <c r="A150" i="13" s="1"/>
  <c r="A151" i="13" s="1"/>
  <c r="A152" i="13" s="1"/>
  <c r="A153" i="13" s="1"/>
  <c r="A154" i="13" s="1"/>
  <c r="A155" i="13" s="1"/>
  <c r="A156" i="13" s="1"/>
  <c r="A157" i="13" s="1"/>
  <c r="A158" i="13" s="1"/>
  <c r="A159" i="13" s="1"/>
  <c r="A160" i="13" s="1"/>
  <c r="A161" i="13" s="1"/>
  <c r="A162" i="13" s="1"/>
  <c r="A163" i="13" s="1"/>
  <c r="A164" i="13" s="1"/>
  <c r="A165" i="13" s="1"/>
  <c r="A166" i="13" s="1"/>
  <c r="A167" i="13" s="1"/>
  <c r="A168" i="13" s="1"/>
  <c r="A169" i="13" s="1"/>
  <c r="A170" i="13" s="1"/>
  <c r="A171" i="13" s="1"/>
  <c r="A172" i="13" s="1"/>
  <c r="A173" i="13" s="1"/>
  <c r="A174" i="13" s="1"/>
  <c r="A175" i="13" s="1"/>
  <c r="A176" i="13" s="1"/>
  <c r="A177" i="13" s="1"/>
  <c r="A178" i="13" s="1"/>
  <c r="A179" i="13" s="1"/>
  <c r="A180" i="13" s="1"/>
  <c r="A181" i="13" s="1"/>
  <c r="A182" i="13" s="1"/>
  <c r="A183" i="13" s="1"/>
  <c r="A184" i="13" s="1"/>
  <c r="A185" i="13" s="1"/>
  <c r="A186" i="13" s="1"/>
  <c r="A187" i="13" s="1"/>
  <c r="E26" i="9" l="1"/>
  <c r="F26" i="9" s="1"/>
  <c r="G26" i="9" s="1"/>
  <c r="F25" i="9"/>
  <c r="G25" i="9" s="1"/>
  <c r="G27" i="9" l="1"/>
</calcChain>
</file>

<file path=xl/sharedStrings.xml><?xml version="1.0" encoding="utf-8"?>
<sst xmlns="http://schemas.openxmlformats.org/spreadsheetml/2006/main" count="771" uniqueCount="516">
  <si>
    <t>Workpaper 1</t>
  </si>
  <si>
    <t>Administrative and General Expenses</t>
  </si>
  <si>
    <t>Black Hills Power, Inc.</t>
  </si>
  <si>
    <t>Line</t>
  </si>
  <si>
    <t>Form No. 1</t>
  </si>
  <si>
    <t>No.</t>
  </si>
  <si>
    <t>Page, Line, Col.</t>
  </si>
  <si>
    <t>Company Total</t>
  </si>
  <si>
    <t>EPRI Annual Membership Dues</t>
  </si>
  <si>
    <t>335.1.b</t>
  </si>
  <si>
    <t>Regulatory Commission Expenses</t>
  </si>
  <si>
    <t>Account No. 930.1</t>
  </si>
  <si>
    <t>323.191.b</t>
  </si>
  <si>
    <t xml:space="preserve">Less: Safety Related Advertising </t>
  </si>
  <si>
    <t>EPRI &amp; Reg. Comm. Exp. &amp; Non-safety Ad. (Note I)</t>
  </si>
  <si>
    <t>Transmission Related Regulatory Expense</t>
  </si>
  <si>
    <t>Reserved for future use in the event of a rate case</t>
  </si>
  <si>
    <t>Total</t>
  </si>
  <si>
    <t>Transmission Related Regulatory Expense    (Note I)</t>
  </si>
  <si>
    <t>are safety related advertising.</t>
  </si>
  <si>
    <t>TP</t>
  </si>
  <si>
    <t>Workpaper 4</t>
  </si>
  <si>
    <t>(a)</t>
  </si>
  <si>
    <t>(b)</t>
  </si>
  <si>
    <t>Actual</t>
  </si>
  <si>
    <t>Account</t>
  </si>
  <si>
    <t>Description</t>
  </si>
  <si>
    <t>Actual Cost</t>
  </si>
  <si>
    <t xml:space="preserve"> Accum Depr.</t>
  </si>
  <si>
    <t>230KV Towers and Fixtures</t>
  </si>
  <si>
    <t>230KV Poles and Fixtures</t>
  </si>
  <si>
    <t>230KV Overhead Conductors</t>
  </si>
  <si>
    <t>Road/Trails</t>
  </si>
  <si>
    <t xml:space="preserve">   Subtotal</t>
  </si>
  <si>
    <t>230 KV Substation Equipment</t>
  </si>
  <si>
    <t>230 KV Substation Structures</t>
  </si>
  <si>
    <t xml:space="preserve">  Total 230KV</t>
  </si>
  <si>
    <t>230 KV Lines</t>
  </si>
  <si>
    <t>230 KV Substations</t>
  </si>
  <si>
    <t>TOTAL 230 KV</t>
  </si>
  <si>
    <t>69KV Common Use AC Facilities</t>
  </si>
  <si>
    <t xml:space="preserve">   Subtotal for 69KV Lines</t>
  </si>
  <si>
    <t>Total Transmission Classification</t>
  </si>
  <si>
    <t>Total Transmission per FERC Form 1 (207.58.g) (219.25.b)</t>
  </si>
  <si>
    <t>Amount excluded from the CUS</t>
  </si>
  <si>
    <t>230/69KV Common Use AC Transformers</t>
  </si>
  <si>
    <t>Total 69KV Common Use AC Facilities</t>
  </si>
  <si>
    <t>Total Distribution Plant per FERC Form 1 (207.75.g) (219.26.b)</t>
  </si>
  <si>
    <t>Amount excluded  from the CUS</t>
  </si>
  <si>
    <t>Total CUS System</t>
  </si>
  <si>
    <t>Actual PBOP expense</t>
  </si>
  <si>
    <t>Company Records</t>
  </si>
  <si>
    <t>Notes:</t>
  </si>
  <si>
    <t>Account No. 920</t>
  </si>
  <si>
    <t>Account No. 926</t>
  </si>
  <si>
    <t>1 - For FERC account no. 930.1, the Company reviews all entries and identifies those that</t>
  </si>
  <si>
    <t>2 - For FERC account nos. 920 and 926, the Company reviews all entries and identifies the</t>
  </si>
  <si>
    <t>PBOP expenses to be removed from A&amp;G.</t>
  </si>
  <si>
    <t>Note:</t>
  </si>
  <si>
    <t>This schedule reflects the transmission and distribution plant determined by Commission order to be</t>
  </si>
  <si>
    <t xml:space="preserve">  FERC Docket No. ER08-1584, the docket that established this formula rate.</t>
  </si>
  <si>
    <t xml:space="preserve">  state-jurisdictional and removed from Common Use Facilities. The jurisdictional split was established in</t>
  </si>
  <si>
    <t>Form 1 Reference</t>
  </si>
  <si>
    <t>Per Tariff and As Filed</t>
  </si>
  <si>
    <t>Updated Reference (Note 3)</t>
  </si>
  <si>
    <t>(1)</t>
  </si>
  <si>
    <t>(2)</t>
  </si>
  <si>
    <t>RATE BASE:</t>
  </si>
  <si>
    <t>GROSS PLANT IN SERVICE</t>
  </si>
  <si>
    <t>(Note H)</t>
  </si>
  <si>
    <t xml:space="preserve">  Production</t>
  </si>
  <si>
    <t>205.46.g</t>
  </si>
  <si>
    <t xml:space="preserve">  Transmission</t>
  </si>
  <si>
    <t>207.58.g</t>
  </si>
  <si>
    <t xml:space="preserve">  Distribution</t>
  </si>
  <si>
    <t>207.75.g</t>
  </si>
  <si>
    <t xml:space="preserve">  General &amp; Intangible</t>
  </si>
  <si>
    <t xml:space="preserve">  Allocated Plant</t>
  </si>
  <si>
    <t xml:space="preserve">  Communication System</t>
  </si>
  <si>
    <t xml:space="preserve">  Common</t>
  </si>
  <si>
    <t>356.1</t>
  </si>
  <si>
    <t>TOTAL GROSS PLANT</t>
  </si>
  <si>
    <t>ACCUMULATED DEPRECIATION</t>
  </si>
  <si>
    <t>219.20-24.c</t>
  </si>
  <si>
    <t>219.25.c</t>
  </si>
  <si>
    <t>219.26.c</t>
  </si>
  <si>
    <t xml:space="preserve">TOTAL ACCUM. DEPRECIATION </t>
  </si>
  <si>
    <t xml:space="preserve"> </t>
  </si>
  <si>
    <t>NET PLANT IN SERVICE</t>
  </si>
  <si>
    <t xml:space="preserve">  Distribution </t>
  </si>
  <si>
    <t xml:space="preserve">TOTAL NET PLANT </t>
  </si>
  <si>
    <t xml:space="preserve">ADJUSTMENTS TO RATE BASE      </t>
  </si>
  <si>
    <t xml:space="preserve">  Account No. 281 (enter negative)</t>
  </si>
  <si>
    <t>273.8.k</t>
  </si>
  <si>
    <t xml:space="preserve">  Account No. 282 (enter negative)</t>
  </si>
  <si>
    <t>275.2.k</t>
  </si>
  <si>
    <t xml:space="preserve">  Account No. 283 (enter negative)</t>
  </si>
  <si>
    <t>277.9.k</t>
  </si>
  <si>
    <t xml:space="preserve">  Account No. 190 </t>
  </si>
  <si>
    <t>234.8.c</t>
  </si>
  <si>
    <t xml:space="preserve">  Account No. 255 (enter negative)</t>
  </si>
  <si>
    <t>267.8.h</t>
  </si>
  <si>
    <t xml:space="preserve">  FAS 109 Adjustment</t>
  </si>
  <si>
    <t>(232.1.f - 278.1.f - 278.3.f)*.35</t>
  </si>
  <si>
    <t>TOTAL ADJUSTMENTS</t>
  </si>
  <si>
    <t xml:space="preserve">LAND HELD FOR FUTURE USE </t>
  </si>
  <si>
    <t>214.x.d  (Notes B &amp; H)</t>
  </si>
  <si>
    <t>WORKING CAPITAL  (Notes C &amp; H)</t>
  </si>
  <si>
    <t xml:space="preserve">  CWC  </t>
  </si>
  <si>
    <t xml:space="preserve">  Materials &amp; Supplies</t>
  </si>
  <si>
    <t>227.5.c</t>
  </si>
  <si>
    <t>227.8.c</t>
  </si>
  <si>
    <t xml:space="preserve">  Prepayments (Account 165)</t>
  </si>
  <si>
    <t xml:space="preserve">TOTAL WORKING CAPITAL </t>
  </si>
  <si>
    <t xml:space="preserve">TRANSMISSION RATE BASE </t>
  </si>
  <si>
    <t>Updated Reference</t>
  </si>
  <si>
    <t>O&amp;M</t>
  </si>
  <si>
    <t xml:space="preserve">  Transmission </t>
  </si>
  <si>
    <t>321.112.b</t>
  </si>
  <si>
    <t xml:space="preserve">    Less: Account 565 and 561</t>
  </si>
  <si>
    <t>321.85-92.b &amp; 96.b</t>
  </si>
  <si>
    <t xml:space="preserve">  A&amp;G</t>
  </si>
  <si>
    <t>323.194.b</t>
  </si>
  <si>
    <t xml:space="preserve">    Less FERC Annual Fees  (Note D)</t>
  </si>
  <si>
    <t>350.1.b</t>
  </si>
  <si>
    <t xml:space="preserve">    Plus:  Fixed PBOP expense</t>
  </si>
  <si>
    <t xml:space="preserve"> (Note I)</t>
  </si>
  <si>
    <t xml:space="preserve">    Less:  Actual PBOP expense</t>
  </si>
  <si>
    <t xml:space="preserve"> (Company Records)</t>
  </si>
  <si>
    <t xml:space="preserve">    Less: EPRI &amp; Reg. Comm. Exp. &amp; Non-safety  Ad. (Note E)</t>
  </si>
  <si>
    <t xml:space="preserve">    Plus Transmission Related Reg. Comm.  Exp. (Note E)</t>
  </si>
  <si>
    <t>DEPRECIATION EXPENSE  (Note I)</t>
  </si>
  <si>
    <t>336.7.b</t>
  </si>
  <si>
    <t xml:space="preserve">  General &amp; intangible</t>
  </si>
  <si>
    <t>336.10.b &amp; 336.1.d&amp;e</t>
  </si>
  <si>
    <t>336.11.b</t>
  </si>
  <si>
    <t>TAXES OTHER THAN INCOME TAXES  (Note F)</t>
  </si>
  <si>
    <t xml:space="preserve">  LABOR RELATED</t>
  </si>
  <si>
    <t xml:space="preserve">          Payroll</t>
  </si>
  <si>
    <t xml:space="preserve">          Highway and vehicle</t>
  </si>
  <si>
    <t>263.i</t>
  </si>
  <si>
    <t xml:space="preserve">  PLANT RELATED</t>
  </si>
  <si>
    <t xml:space="preserve">         Property</t>
  </si>
  <si>
    <t>263.23i</t>
  </si>
  <si>
    <t xml:space="preserve">         Gross Receipts</t>
  </si>
  <si>
    <t xml:space="preserve">         Other</t>
  </si>
  <si>
    <t xml:space="preserve">INCOME TAXES          </t>
  </si>
  <si>
    <t xml:space="preserve"> (Note G)</t>
  </si>
  <si>
    <t xml:space="preserve">     T=1 - {[(1 - SIT) * (1 - FIT)] / (1 - SIT * FIT * p)} =</t>
  </si>
  <si>
    <t xml:space="preserve">     CIT=(T/1-T) * (1-(WCLTD/R)) =</t>
  </si>
  <si>
    <t xml:space="preserve">       and FIT, SIT &amp; p are as given in footnote G.</t>
  </si>
  <si>
    <t>Total Income Taxes</t>
  </si>
  <si>
    <t xml:space="preserve">RETURN </t>
  </si>
  <si>
    <t>SUPPORTING CALCULATIONS AND NOTES</t>
  </si>
  <si>
    <t>TRANSMISSION PLANT INCLUDED IN JOINT TARIFF RATES</t>
  </si>
  <si>
    <t xml:space="preserve">Total transmission plant </t>
  </si>
  <si>
    <t xml:space="preserve">Less transmission plant excluded from Common Use Facilities </t>
  </si>
  <si>
    <t xml:space="preserve">Less transmission plant included in Ancillary Services </t>
  </si>
  <si>
    <t>See note 1 below</t>
  </si>
  <si>
    <t>DISTRIBUTION PLANT INCLUDED IN JOINT TARIFF RATES</t>
  </si>
  <si>
    <t xml:space="preserve">Total distribution plant    </t>
  </si>
  <si>
    <t xml:space="preserve">Less distribution plant excluded from Common Use Facilities </t>
  </si>
  <si>
    <t xml:space="preserve">Less distribution plant included in Ancillary Services </t>
  </si>
  <si>
    <t>Total Transmission Accumulated Depreciation</t>
  </si>
  <si>
    <t>Total Distribution Accumulated Depreciation</t>
  </si>
  <si>
    <t>Less distribution accumulated depreciation excluded from Common Use Facilities (Company Records)</t>
  </si>
  <si>
    <t>WAGES &amp; SALARY ALLOCATOR   (W&amp;S)</t>
  </si>
  <si>
    <t>354.21.b</t>
  </si>
  <si>
    <t xml:space="preserve">  Total Wages Expense</t>
  </si>
  <si>
    <t>354.28.b</t>
  </si>
  <si>
    <t xml:space="preserve">  Less:  A&amp;G Wages</t>
  </si>
  <si>
    <t>354.27.b</t>
  </si>
  <si>
    <t>TRANSMISSION &amp; DISTRIBUTION ALLOCATOR (T&amp;D)</t>
  </si>
  <si>
    <t>Transmission Net Plant</t>
  </si>
  <si>
    <t>Distribution Net Plant</t>
  </si>
  <si>
    <t>RETURN (R)</t>
  </si>
  <si>
    <t>Long Term Interest</t>
  </si>
  <si>
    <t>117, sum of 62.c through 66.c</t>
  </si>
  <si>
    <t>Preferred Dividends</t>
  </si>
  <si>
    <t>118.29.c (positive number)</t>
  </si>
  <si>
    <t>Development of Common Stock:</t>
  </si>
  <si>
    <t>Proprietary Capital</t>
  </si>
  <si>
    <t>112.16.c</t>
  </si>
  <si>
    <t>Less:  Preferred Stock</t>
  </si>
  <si>
    <t>112.3.c</t>
  </si>
  <si>
    <t>Less:  Undistributed Earnings</t>
  </si>
  <si>
    <t>112.12.c (enter negative)</t>
  </si>
  <si>
    <t>Less:  Accum Other Comp Inc</t>
  </si>
  <si>
    <t>112.15.c (enter negative)</t>
  </si>
  <si>
    <t xml:space="preserve">   Adjusted Common Stock</t>
  </si>
  <si>
    <t xml:space="preserve">  Long Term Debt</t>
  </si>
  <si>
    <t xml:space="preserve">112.24.c </t>
  </si>
  <si>
    <t xml:space="preserve">  Preferred Stock </t>
  </si>
  <si>
    <t xml:space="preserve">  Adjusted Common Stock</t>
  </si>
  <si>
    <t>NOTES:</t>
  </si>
  <si>
    <t>1 - There are no transmission and distribution plant included in the OATT ancillary services rates which needs to be removed from Common Use Facilities.</t>
  </si>
  <si>
    <t>3 - Items in the Updated Reference column highlighted in gray did not change from the Tariff and As Filed column.</t>
  </si>
  <si>
    <t>Cost of Service Formula Reference Changes</t>
  </si>
  <si>
    <t>2 - Communication System - Plant Accounts 397</t>
  </si>
  <si>
    <t>13 month average</t>
  </si>
  <si>
    <t>Intangible Plant</t>
  </si>
  <si>
    <t>System</t>
  </si>
  <si>
    <t>Electric</t>
  </si>
  <si>
    <t>Date</t>
  </si>
  <si>
    <t xml:space="preserve">Total General and  </t>
  </si>
  <si>
    <t>Communication</t>
  </si>
  <si>
    <t xml:space="preserve">General Plant  </t>
  </si>
  <si>
    <t>(b) + (c)</t>
  </si>
  <si>
    <r>
      <t>(c)</t>
    </r>
    <r>
      <rPr>
        <sz val="12"/>
        <rFont val="Calibri"/>
        <family val="2"/>
      </rPr>
      <t>₂</t>
    </r>
  </si>
  <si>
    <r>
      <t>(b)</t>
    </r>
    <r>
      <rPr>
        <sz val="12"/>
        <rFont val="Calibri"/>
        <family val="2"/>
      </rPr>
      <t>₁</t>
    </r>
  </si>
  <si>
    <t>General Plant Accumulated Depreciation by Plant Account</t>
  </si>
  <si>
    <t>WORKPAPER 9</t>
  </si>
  <si>
    <t>321.84-92.b &amp; 96.b</t>
  </si>
  <si>
    <t>263.3i, 263.4i, 263.12i</t>
  </si>
  <si>
    <r>
      <t>(e)</t>
    </r>
    <r>
      <rPr>
        <vertAlign val="subscript"/>
        <sz val="10"/>
        <rFont val="Arial"/>
        <family val="2"/>
      </rPr>
      <t>4</t>
    </r>
  </si>
  <si>
    <r>
      <t>(d)</t>
    </r>
    <r>
      <rPr>
        <vertAlign val="subscript"/>
        <sz val="10"/>
        <rFont val="Arial"/>
        <family val="2"/>
      </rPr>
      <t>3</t>
    </r>
  </si>
  <si>
    <t>Horizon Point</t>
  </si>
  <si>
    <t>3 - Horizon Point Building - From Company Records</t>
  </si>
  <si>
    <t>WORKPAPER 8</t>
  </si>
  <si>
    <t>Accumulated Deferred Income Taxes</t>
  </si>
  <si>
    <t>(c)</t>
  </si>
  <si>
    <t>(d)</t>
  </si>
  <si>
    <t>(e)</t>
  </si>
  <si>
    <t>(f)</t>
  </si>
  <si>
    <t>Transmission</t>
  </si>
  <si>
    <t>Remaining</t>
  </si>
  <si>
    <t>(c ) * (e )</t>
  </si>
  <si>
    <t xml:space="preserve">Year </t>
  </si>
  <si>
    <t xml:space="preserve">Activity </t>
  </si>
  <si>
    <t>Activity</t>
  </si>
  <si>
    <t>Days</t>
  </si>
  <si>
    <t>Ratio</t>
  </si>
  <si>
    <t xml:space="preserve">Pro-rata ADIT Activity </t>
  </si>
  <si>
    <t>Account No. 282</t>
  </si>
  <si>
    <t>Balance</t>
  </si>
  <si>
    <t>Total Transmission Acct 282 (to be entered on ATRR, line 37 column (5))</t>
  </si>
  <si>
    <t>1 - Line 1 represents the beginning balance of transmission portion of Account 282. It is total company Account 282 balance on Schedule BHP-11, line 32 column (b) times Net Plant allocator on Estimated Service Year ATRR, line 37 column (4).</t>
  </si>
  <si>
    <t>2 - Column (b) is current month change in ADIT balance.</t>
  </si>
  <si>
    <t>3 - Column (c) is transmission portion of current monthly activity.</t>
  </si>
  <si>
    <t>4 - Column (d) is number of days remaining in year as of and including the last day of the month.</t>
  </si>
  <si>
    <t>Tab: Estimate Cell E51 * H51</t>
  </si>
  <si>
    <t>WORKPAPER 10</t>
  </si>
  <si>
    <t>General Plant Plant In Service by Plant Account</t>
  </si>
  <si>
    <t>WORKPAPER 11</t>
  </si>
  <si>
    <t>Property Tax Adjustment for Horizon Point</t>
  </si>
  <si>
    <t>( c)</t>
  </si>
  <si>
    <t>Reference</t>
  </si>
  <si>
    <t>Amount</t>
  </si>
  <si>
    <t>Accrued Utility SD</t>
  </si>
  <si>
    <t>Property Tax Expense Total</t>
  </si>
  <si>
    <t>Less: Horizon Point Op Unit 801117 (enter negative)</t>
  </si>
  <si>
    <t>Property Tax Expense less Horizon Point</t>
  </si>
  <si>
    <t>Sum Lines 1 to 5</t>
  </si>
  <si>
    <t>WORKPAPER 12</t>
  </si>
  <si>
    <t>ADIT Adjustment for Horizon Point</t>
  </si>
  <si>
    <t>Beginning Balance</t>
  </si>
  <si>
    <t>Ending Balance</t>
  </si>
  <si>
    <t>Average Balance</t>
  </si>
  <si>
    <t>Account No. 282 (enter negative)</t>
  </si>
  <si>
    <t>113.63.c</t>
  </si>
  <si>
    <t xml:space="preserve">  Less:</t>
  </si>
  <si>
    <t>Net Account No. 282</t>
  </si>
  <si>
    <t>Line 1 - Line 3</t>
  </si>
  <si>
    <t>AFUDC FAS 109</t>
  </si>
  <si>
    <t>232.1.f</t>
  </si>
  <si>
    <t>Tax Rate</t>
  </si>
  <si>
    <t>Line 11 + Line 12 - Line 13</t>
  </si>
  <si>
    <t>lines 25, 26 &amp; 27</t>
  </si>
  <si>
    <t>line 28</t>
  </si>
  <si>
    <t>112.24.c</t>
  </si>
  <si>
    <t>5 - Column (e ) is Column (d) divided by 366 days (366 days if leap year).</t>
  </si>
  <si>
    <t>323.189.b - 350.1.h</t>
  </si>
  <si>
    <t>Depreciation</t>
  </si>
  <si>
    <t>Adjustment</t>
  </si>
  <si>
    <t>(b) + (c) + (d) - (e)</t>
  </si>
  <si>
    <t>SC Calc</t>
  </si>
  <si>
    <t>5 - Account 254015, which records Excess Deferred Federal Income Tax,  resulting from the change in corporate tax rate from 35% to 21%, is included in the FAS 109.</t>
  </si>
  <si>
    <t xml:space="preserve">4 - Horizon Point is removed from General &amp; Intangible Gross Plant in Service and Accumulated Depreciation. </t>
  </si>
  <si>
    <t>2 - Line 57 column (4) allocator reference should be DA, as the FERC annual charges for the year are assessed directly under this tariff.</t>
  </si>
  <si>
    <t>Total  (sum lines 156-158)</t>
  </si>
  <si>
    <t>(see above line 153)</t>
  </si>
  <si>
    <t>(sum lines 149-152)</t>
  </si>
  <si>
    <t xml:space="preserve">  Total  (sum lines 139 - 140)</t>
  </si>
  <si>
    <t xml:space="preserve">  Adjusted Total  (sum lines 134-135)</t>
  </si>
  <si>
    <t>Percentage of distribution plant accumulated depreciation included in Common Use Facilities (line 127 divided by line 125)</t>
  </si>
  <si>
    <t>Supplemental Schedule, Workpaper 4, line 32(b)</t>
  </si>
  <si>
    <t>Common Use AC Facilities (line 125 less line 126)</t>
  </si>
  <si>
    <t>Supplemental Schedule, Workpaper 4, line 35(b)</t>
  </si>
  <si>
    <t>Percentage of transmission plant accumulated depreciation included in Common Use Facilities (line 119 divided by line 120)</t>
  </si>
  <si>
    <t>Total CUS Accumulated Depreciation (line 115 plus line 118)</t>
  </si>
  <si>
    <t>Total Accumulated Depreciation for the CUS System (line 117 plus line 118)</t>
  </si>
  <si>
    <t>Plus Common Use AC Facilities Accumulated Depreciation (line 127)</t>
  </si>
  <si>
    <t>Total Transmission Accumulated Depreciation included in Common Use Facilities (line 115 - line 113)</t>
  </si>
  <si>
    <t>Supplemental Schedule, Workpaper 4, line 27(b)</t>
  </si>
  <si>
    <t>Column (3) lines 14 - 15</t>
  </si>
  <si>
    <t>Percentage of distribution plant included in Common Use Facilities (line 107 divided by line 110)</t>
  </si>
  <si>
    <t>Supplemental Schedule, Workpaper 4, line 32(a)</t>
  </si>
  <si>
    <t>Common Use AC Facilities (line 107 less lines 108 &amp; 109)</t>
  </si>
  <si>
    <t>Supplemental Schedule, Workpaper 4, line 35(a)</t>
  </si>
  <si>
    <t>Column (3) line 5</t>
  </si>
  <si>
    <t>Percentage of transmission plant included in Common Use Facilities (line 101 divided by line 102)</t>
  </si>
  <si>
    <t>Total CUS Plant (line 96 plus line 110)</t>
  </si>
  <si>
    <t>Total Gross Plant for the CUS System (line 99 plus line 100)</t>
  </si>
  <si>
    <t>Plus Common Use AC Facilities (line 110)</t>
  </si>
  <si>
    <t>Transmission plant included in Common Use Facilities  (line 96 less lines 97 and 98)</t>
  </si>
  <si>
    <t>Supplemental Schedule, Workpaper 4, line 27(a)</t>
  </si>
  <si>
    <t>Column (3) lines 2 - 4</t>
  </si>
  <si>
    <t>ESTIMATED REVENUE REQUIREMENT  (sum lines 63, 71, 81, 90, 93)</t>
  </si>
  <si>
    <t xml:space="preserve">  [ Rate Base (line 53) * R (line 159)]</t>
  </si>
  <si>
    <t>(line 86 * line 93)</t>
  </si>
  <si>
    <t xml:space="preserve">       where WCLTD=(line 156) and R= (line 159)</t>
  </si>
  <si>
    <t>TOTAL OTHER TAXES  (sum lines 75 - 80)</t>
  </si>
  <si>
    <t>TOTAL DEPRECIATION (Sum lines 66 - 70)</t>
  </si>
  <si>
    <t>(line 4 + line 6) x (BHP-11 Pg.8. Workpaper 5 (line 25))</t>
  </si>
  <si>
    <t>BHP-11 Pg.7. Workpaper 3 (line 23)</t>
  </si>
  <si>
    <t>See Workpaper 3 (line 16)</t>
  </si>
  <si>
    <t xml:space="preserve">  New Construction CUS Assets</t>
  </si>
  <si>
    <t>BHP-11 Pg. 6. Workpaper 2 (line 17)</t>
  </si>
  <si>
    <t>line 2 (207.58.g) x BHP-11 Pg. 8. Workpaper 5 (line 11)</t>
  </si>
  <si>
    <t>TOTAL O&amp;M   (sum lines 54, 56, 58, 61, 62 less lines 55, 57, 59 , 60)</t>
  </si>
  <si>
    <t>Supplemental Schedule, Workpaper 1, line 16</t>
  </si>
  <si>
    <t>(Workpaper 1 line 11)</t>
  </si>
  <si>
    <t>Supplemental Schedule, Workpaper 1, line 5</t>
  </si>
  <si>
    <t>Supplemental Schedule, Workpaper 1, line 22</t>
  </si>
  <si>
    <t>350.1.b, W/S Allocator, see note 2 below</t>
  </si>
  <si>
    <t>(sum lines 33, 42, 44, &amp; 51)</t>
  </si>
  <si>
    <t>(sum lines 47 - 50)</t>
  </si>
  <si>
    <t>111.57.c</t>
  </si>
  <si>
    <t>(1/8 * line 63)</t>
  </si>
  <si>
    <t>214.x.d  (Notes B)</t>
  </si>
  <si>
    <t>(sum lines 36 - 41)</t>
  </si>
  <si>
    <t>(232.1.f - 278.3.f)*.21 (See Note 5 Below)</t>
  </si>
  <si>
    <t>113.57 c</t>
  </si>
  <si>
    <t>111.82 c, Supplemental Schedule, Workpaper 8, line 28(f)</t>
  </si>
  <si>
    <t>113.64 c</t>
  </si>
  <si>
    <t>113.63.c, Supplemental Schedule, Workpaper 8, line 17(f)</t>
  </si>
  <si>
    <t>113.62 c</t>
  </si>
  <si>
    <t>(Note A)</t>
  </si>
  <si>
    <t>(sum lines 24 - 32)</t>
  </si>
  <si>
    <t>(line 9 - line 20)</t>
  </si>
  <si>
    <t>(line 8 - line 19)</t>
  </si>
  <si>
    <t>(line 7 - line 18)</t>
  </si>
  <si>
    <t>(line 6 - line 17)</t>
  </si>
  <si>
    <t>(line 5 - line 16)</t>
  </si>
  <si>
    <t>(line 4)</t>
  </si>
  <si>
    <t>(line 3 - line 15)</t>
  </si>
  <si>
    <t>(line 2 - line 14)</t>
  </si>
  <si>
    <t>(line 1 - line 13)</t>
  </si>
  <si>
    <t>(sum lines 13 - 20)</t>
  </si>
  <si>
    <t>See Workpaper 4 (line 22 col 2)</t>
  </si>
  <si>
    <t>See Workpaper 5 (line 11)</t>
  </si>
  <si>
    <t>See Workpaper 4 (line 24 col 1)</t>
  </si>
  <si>
    <t>BHP-11 Pg.6. Workpaper 2 (line 52)</t>
  </si>
  <si>
    <t xml:space="preserve">  Additional Transmission Depr</t>
  </si>
  <si>
    <t>(sum lines 1 - 9)</t>
  </si>
  <si>
    <t>207.94g</t>
  </si>
  <si>
    <t>See Workpaper 5 (line 5)</t>
  </si>
  <si>
    <t>See Workpaper 4 (line 5 col 1)</t>
  </si>
  <si>
    <t>See Workpaper 3 (line 19 col D)</t>
  </si>
  <si>
    <t>BHP-11 Pg. 6. Workpaper 2 (line 15)</t>
  </si>
  <si>
    <t>BHP-11 Pg. 7. Workpaper 3 (line 19 col D)</t>
  </si>
  <si>
    <t>BHP-11 Pg. 9. Workpaper 6 (line 4, col m) (207.99.g - 207.94.g) (See Note 4 Below)</t>
  </si>
  <si>
    <t>BHP-11 Pg. 9. Workpaper 6 (line 5, col m) (201.13.e + 201.13.f)</t>
  </si>
  <si>
    <t>Supplemental Schedule, Workpaper 9 (line 13, col b) (See Note 4 Below)</t>
  </si>
  <si>
    <t>BHP-11 Pg. 9. Workpaper 6 (line 15, col m) (201.14.e + 201.14.f)</t>
  </si>
  <si>
    <t>Supplemental Schedule, Workpaper 9 (line 13, col c)</t>
  </si>
  <si>
    <t>263.19i</t>
  </si>
  <si>
    <t>Supplemental Schedule, Workpaper 11, line 6</t>
  </si>
  <si>
    <t>263.1l, 263.2l, 263.6l</t>
  </si>
  <si>
    <t>263.l</t>
  </si>
  <si>
    <t>39a</t>
  </si>
  <si>
    <t xml:space="preserve">  EDIT/DDIT (Net) - Transmission Only</t>
  </si>
  <si>
    <t>See Workpaper 8.1 EDIT-DDIT Estimate (line 68, col H)</t>
  </si>
  <si>
    <t>Amortization of EDIT/DDIT (Net) (Note J)</t>
  </si>
  <si>
    <t>See Workpaper 8.1 EDIT-DDIT Estimate (line 63, col H)</t>
  </si>
  <si>
    <t>Service Year</t>
  </si>
  <si>
    <t>Account No. 108</t>
  </si>
  <si>
    <t>(f)6</t>
  </si>
  <si>
    <t>(e)5</t>
  </si>
  <si>
    <t>Right of Use Asset</t>
  </si>
  <si>
    <t>Amortiztion</t>
  </si>
  <si>
    <t>4 - Leased Asset from company records</t>
  </si>
  <si>
    <t>5 - Depreciation adjustment from WP13</t>
  </si>
  <si>
    <t>6 - Total General Intangible Plant - FERC Form 1 219.28c</t>
  </si>
  <si>
    <t>Account No. 101/106</t>
  </si>
  <si>
    <t>1 - General Plant Electric - Plant Accounts 389,390,391,392,393,394, 395, 396, 398</t>
  </si>
  <si>
    <t>4 - Other Tangible Property - FERC Form 1 207.97.g</t>
  </si>
  <si>
    <t>5 - Total General Intangible Plant - FERC Form 1 207.99</t>
  </si>
  <si>
    <t>(f)5</t>
  </si>
  <si>
    <t>Right of Use</t>
  </si>
  <si>
    <t>Asset</t>
  </si>
  <si>
    <t>Adjustment to FERC:</t>
  </si>
  <si>
    <t>Account No. 254</t>
  </si>
  <si>
    <t>Total Transmission Acct 254 (to be entered on ATRR, line 39a column (5))</t>
  </si>
  <si>
    <t>Worksheet EDIT-DDIT Annual Tracking</t>
  </si>
  <si>
    <t>Accumulated Excess / Deficient Deferred Income Taxes ("EDIT"/"DDIT") (Note A, H)</t>
  </si>
  <si>
    <t>Actuals - For the 12 months ended 12/31/</t>
  </si>
  <si>
    <t>(a1)</t>
  </si>
  <si>
    <t>(a2)</t>
  </si>
  <si>
    <t>(a3)</t>
  </si>
  <si>
    <t>(g)</t>
  </si>
  <si>
    <t>(h)</t>
  </si>
  <si>
    <t>(i)</t>
  </si>
  <si>
    <t>(j)</t>
  </si>
  <si>
    <t>(k)</t>
  </si>
  <si>
    <t>(l)</t>
  </si>
  <si>
    <t>Line No.</t>
  </si>
  <si>
    <t>Item (Note A1)</t>
  </si>
  <si>
    <t>Vintage</t>
  </si>
  <si>
    <t xml:space="preserve">Form No. 1 Page (Note I)  </t>
  </si>
  <si>
    <t>BOY Balance (Note B)</t>
  </si>
  <si>
    <t>Current Period Amortization (Note C)</t>
  </si>
  <si>
    <t>Current Period Other Activity (Note D)</t>
  </si>
  <si>
    <t>EOY Balance (Note E)</t>
  </si>
  <si>
    <t>Allocator (Note F)</t>
  </si>
  <si>
    <t>BOY Allocated Amount</t>
  </si>
  <si>
    <t>Current Amortization Allocated</t>
  </si>
  <si>
    <t>Current Period Other Activity Allocated</t>
  </si>
  <si>
    <t>EOY Allocated Amount</t>
  </si>
  <si>
    <t>Prorated (Yes/No) (Note G)</t>
  </si>
  <si>
    <t>Amort Period or Method</t>
  </si>
  <si>
    <t>NON PLANT DDIT/(EDIT)</t>
  </si>
  <si>
    <t>Total Non-Protected Non-Property - DDIT</t>
  </si>
  <si>
    <t>2017 TCJA</t>
  </si>
  <si>
    <t>182.3</t>
  </si>
  <si>
    <t>None</t>
  </si>
  <si>
    <t>No</t>
  </si>
  <si>
    <t>N/A</t>
  </si>
  <si>
    <t>…</t>
  </si>
  <si>
    <t>Total Non Plant Non-Protected DDIT/(EDIT)</t>
  </si>
  <si>
    <t>Deferred Tax Liability Non Plant</t>
  </si>
  <si>
    <t>Total Deferred Tax Offset Non Plant</t>
  </si>
  <si>
    <t>Total Non Plant Non-Protected DDIT/(EDIT) (Net of Tax Gross Up)</t>
  </si>
  <si>
    <t>PLANT DDIT/(EDIT)</t>
  </si>
  <si>
    <t>Total Protected Property - EDIT</t>
  </si>
  <si>
    <t>254</t>
  </si>
  <si>
    <t>2017 NP</t>
  </si>
  <si>
    <t>Yes</t>
  </si>
  <si>
    <t>ARAM</t>
  </si>
  <si>
    <t>Total Non-Protected Property - EDIT</t>
  </si>
  <si>
    <t>Accrued EDIT - Formula Rate  (Note K)</t>
  </si>
  <si>
    <t xml:space="preserve">Direct Assigned </t>
  </si>
  <si>
    <t>(Note L)</t>
  </si>
  <si>
    <t>Accrued EDIT - Other (Note M)</t>
  </si>
  <si>
    <t>Total Plant DDIT/(EDIT)</t>
  </si>
  <si>
    <t>Deferred Tax Asset Plant</t>
  </si>
  <si>
    <t>Deferred Tax Asset Plant - Accrued EDIT - Formula Rate (Note K, Note L)</t>
  </si>
  <si>
    <t>Direct Assigned</t>
  </si>
  <si>
    <t>Deferred Tax Asset Plant - Accrued EDIT - Other (Note M)</t>
  </si>
  <si>
    <t>Total Deferred Tax Offset Plant</t>
  </si>
  <si>
    <t>Total Plant DDIT/(EDIT) (Net of Tax Gross Up)</t>
  </si>
  <si>
    <t>TOTALS</t>
  </si>
  <si>
    <t>Total Excess/Deficient Deferred Income Taxes (Note I)</t>
  </si>
  <si>
    <t>Total Deferred Tax Offset</t>
  </si>
  <si>
    <t>Total Excess/Deficient Deferred Income Taxes (Net of Tax Gross Up) (Note J)</t>
  </si>
  <si>
    <t>Total Excess/Deficient Deferred Income Taxes Annual Average</t>
  </si>
  <si>
    <t>Weighted Average EDIT/DDIT Net Plant Allocator</t>
  </si>
  <si>
    <t>A</t>
  </si>
  <si>
    <t xml:space="preserve">Upon a tax rate change, the Company remeasures its deferred tax assets and liabilities to the new applicable corporate tax rate. The result of this remeasurement is a change in the deferred taxes recorded in accounts 190, 282 and 283 with a corresponding change in regulatory assets or liabilities to reflect the impact to customers.  The remeasurement is effectuated mathematically by taking the ADIT balance before the tax rate change and dividing by the prior tax rate to arrive at gross timing differences.  Next, the new tax rate is applied against the balance of gross timing differences.  The difference in the two results is reclassified from ADIT to regulatory assets/liabilities for deficient/excess ADIT.  Accounts 182.3 Regulatory Asset for deficient ADIT and 254 Regulatory Liability for excess ADIT are presented grossed-up for tax purposes as is the amortization. Black Hills Power would follow the process described above to remeasure ADIT balance (increase or decrease) due to any future income tax rate change.  See Wkpr EDIT-DDIT.dtl for detailed derivation.   </t>
  </si>
  <si>
    <t>A1</t>
  </si>
  <si>
    <t>The determination of an item as "Protected" versus "Non-Protected" has been and will be made in accordance with applicable tax code and regulations.</t>
  </si>
  <si>
    <t>B</t>
  </si>
  <si>
    <t>Beginning of Year ("BOY") balance is end of Prior Year balance reflected on FERC Form No. 1 p.232/278</t>
  </si>
  <si>
    <t>C</t>
  </si>
  <si>
    <t>DDIT or EDIT is reduced in the current period under the prescribed  amortization method to account 410.1, Provision for Deferred Income Taxes, Utility Operating Income and 411.1, Provision for Deferred Income Taxes—Credit, Utility Operating Income, respectively.</t>
  </si>
  <si>
    <t>D</t>
  </si>
  <si>
    <t>Includes the impact of tax rate changes enacted during the period.</t>
  </si>
  <si>
    <t>E</t>
  </si>
  <si>
    <t xml:space="preserve">End of Year ("EOY") balance is the end of Current Year balance reflected on FERC Form No. 1. p.232/278. </t>
  </si>
  <si>
    <t>F</t>
  </si>
  <si>
    <t xml:space="preserve">The "2017 NP" allocator is intended to reflect allocation of BHP's net plant and associated excess ADIT among multiple state and federal rate jurisdictions and is intended to be reflective of the 2017 time period. Black Hills Power’s intent is to maintain the same functional breakdown of the Excess Deferred Income Tax flow-back amounts for EDIT arising from the 2017 Tax Cuts and Jobs Act; however column L for the 2017 Tax Cuts and Jobs Acts is data enterable due to a known true-up and correction of net plant percentages which occued in 2020 but is applicable retroactive to year end 2017.  For tax changes other than the 2017 Tax Cuts and Jobs Act, the Company will support its chosen allocation factor for EDIT or DDIT as just and reasonable in its annual update following a change in tax rates.  </t>
  </si>
  <si>
    <t>G</t>
  </si>
  <si>
    <t xml:space="preserve">With respect to Projected Transmission Rate filings, each EDIT/DDIT Item must be categorized into balances that require proration and those that do not.  EDIT/DDIT items with a "Plant" Explanation code are generally subject to proration treatment consistent with the proration treatment of plant related ADIT in Account 282.  </t>
  </si>
  <si>
    <t>H</t>
  </si>
  <si>
    <t xml:space="preserve">In the event the Company populates the data enterable fields for future income tax changes, the Company will support the data entered as just and reasonable in its annual update following a change in tax rates.  </t>
  </si>
  <si>
    <t>I</t>
  </si>
  <si>
    <t xml:space="preserve">The FERC Form No. 1  reference in column (a3) will be populated beginning for the twelve months ending December 31, 2021 (2021 FERC Form 1). Prior to 2021, Black Hills Power net its regulatory assets and regulatory liabilities related to deficient deferred income taxes and excess deferred taxes in account 254 or associated subaccounts.  Beginning in 2021, regulatory assets for deficient deferred income taxes are in account 182.3 and regulatory liabilities for excess deferred income taxes are in account 254.  </t>
  </si>
  <si>
    <t>J</t>
  </si>
  <si>
    <r>
      <t xml:space="preserve">The net amortization of the regulatory liability for excess deferred income taxes in Account 254 and the associated deferred tax asset in Account 190 is a positive number.  The net amortization of the regulatory asset for deficient deferred income taxes in account 182.3 and the associated deferred tax liability in Account 283 is a negative number.  The net amortization of excess deferred income taxes reduces income tax expense by the net amortization amount multiplied by (1/(1-T)) </t>
    </r>
    <r>
      <rPr>
        <sz val="11"/>
        <rFont val="Times New Roman"/>
        <family val="1"/>
      </rPr>
      <t>on Attachment H</t>
    </r>
    <r>
      <rPr>
        <sz val="11"/>
        <color theme="1"/>
        <rFont val="Times New Roman"/>
        <family val="1"/>
      </rPr>
      <t xml:space="preserve">.  The Excess or Deficient ADIT are amortized to Accounts 410.1 / 411.1.  </t>
    </r>
  </si>
  <si>
    <t>K</t>
  </si>
  <si>
    <t>Black Hills Power has retail rate customers in more than one jurisdiction. Black Hills Power began amortizing Total Protected Property - EDIT and Total Non-Protected Property - EDIT that resulted from the 2017 TCJA on January 1, 2018 using the Average Rate Assumption Method ( "ARAM"), as amortization of these amounts via ARAM was approved by the South Dakota Public Utility Commission in Docket No. EL18-029 and the Wyoming Public Utility Commission in Docket No. 20002-114-ER-19).  To address other rate jurisdictions associated with Black Hills Power for which amortization approval had not yet been received (like the Black Hills Power formula rate), the amount of property EDIT amortization attributable to those jurisdictions is reclassified from property EDIT to Total Unrefunded EDIT - Non-Protected.  A portion of the amount reclassified to Total Un-Refunded EDIT-Non-Protected represents EDIT attributable to the BHP transmission formula rate and was determined by application of the 2017 NP allocator. These amounts are included in line 203 above and will be returned to customers through the procedure described below in Note L.</t>
  </si>
  <si>
    <t>L</t>
  </si>
  <si>
    <t xml:space="preserve">The EDIT which is reflected in this line of the Template represents amounts reclassified under the procedure described in Note K above and will be returned to customers in the first annual true-up after approval Black Hills Power's Order 864 compliance filings.   After that time, this line will be no longer used and balances will be zero. </t>
  </si>
  <si>
    <t>M</t>
  </si>
  <si>
    <t>This line has been included in the template so that the total EDIT and DDIT balances in accounts 182.3 and 254 tie to the total company balances reported on the FERC Form 1.</t>
  </si>
  <si>
    <t>Comes from "Estimate" tab on Attachment H Cell H29 which is the additonal transmission activity depr allocator</t>
  </si>
  <si>
    <t>BHP-Workpaper 14, line 9, (c)</t>
  </si>
  <si>
    <r>
      <t>Company Records</t>
    </r>
    <r>
      <rPr>
        <vertAlign val="superscript"/>
        <sz val="11"/>
        <rFont val="Times New Roman"/>
        <family val="1"/>
      </rPr>
      <t>1</t>
    </r>
  </si>
  <si>
    <r>
      <t>Company Records</t>
    </r>
    <r>
      <rPr>
        <vertAlign val="superscript"/>
        <sz val="11"/>
        <rFont val="Times New Roman"/>
        <family val="1"/>
      </rPr>
      <t>2</t>
    </r>
  </si>
  <si>
    <t>Transmission Assets as of 12/31/2025</t>
  </si>
  <si>
    <t xml:space="preserve">230 KV Substation Communication </t>
  </si>
  <si>
    <t>(b)₁</t>
  </si>
  <si>
    <t>(c)₂</t>
  </si>
  <si>
    <r>
      <t>(d)</t>
    </r>
    <r>
      <rPr>
        <vertAlign val="subscript"/>
        <sz val="11"/>
        <rFont val="Times New Roman"/>
        <family val="1"/>
      </rPr>
      <t>3</t>
    </r>
  </si>
  <si>
    <r>
      <t>(e)</t>
    </r>
    <r>
      <rPr>
        <vertAlign val="subscript"/>
        <sz val="11"/>
        <rFont val="Times New Roman"/>
        <family val="1"/>
      </rPr>
      <t>4</t>
    </r>
  </si>
  <si>
    <t>From WP 6 - Row 82</t>
  </si>
  <si>
    <t>to column b</t>
  </si>
  <si>
    <t>FERC General Plant</t>
  </si>
  <si>
    <t>Pending Retirements</t>
  </si>
  <si>
    <t>Less HP</t>
  </si>
  <si>
    <t>General Plant Electric</t>
  </si>
  <si>
    <t>1 - General and Intangible Plant Electric - Plant Accounts 303,389,390,391,392,393,394,395,396,398</t>
  </si>
  <si>
    <t>From WP 6</t>
  </si>
  <si>
    <t>to column c</t>
  </si>
  <si>
    <t>FF1 Amounts</t>
  </si>
  <si>
    <t>Distribution Plant - Electric</t>
  </si>
  <si>
    <t>General Plant - Electric</t>
  </si>
  <si>
    <t>Intangible Plant - Electric</t>
  </si>
  <si>
    <t>Other Generation Plant</t>
  </si>
  <si>
    <t>Steam Generation Plant</t>
  </si>
  <si>
    <t>Transmission Plant - Electric</t>
  </si>
  <si>
    <t>Wind Production Plant</t>
  </si>
  <si>
    <t xml:space="preserve">Communication </t>
  </si>
  <si>
    <t>FERC Accumulated Reserve</t>
  </si>
  <si>
    <t>2025</t>
  </si>
  <si>
    <t>Cell G11: 2027 projection file, Estimate tab, model line 37 cell E51 * H51  (Cell H51 there is cell G37 on this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</si>
</sst>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9">
    <numFmt numFmtId="44" formatCode="_(&quot;$&quot;* #,##0.00_);_(&quot;$&quot;* \(#,##0.00\);_(&quot;$&quot;* &quot;-&quot;??_);_(@_)"/>
    <numFmt numFmtId="43" formatCode="_(* #,##0.00_);_(* \(#,##0.00\);_(* &quot;-&quot;??_);_(@_)"/>
    <numFmt numFmtId="164" formatCode="&quot;$&quot;#,##0.00"/>
    <numFmt numFmtId="165" formatCode="_(* #,##0_);_(* \(#,##0\);_(* &quot;-&quot;??_);_(@_)"/>
    <numFmt numFmtId="166" formatCode="_(&quot;$&quot;* #,##0_);_(&quot;$&quot;* \(#,##0\);_(&quot;$&quot;* &quot;-&quot;??_);_(@_)"/>
    <numFmt numFmtId="167" formatCode="&quot;$&quot;#,##0.0;[Red]\-&quot;$&quot;#,##0.0"/>
    <numFmt numFmtId="168" formatCode="00000"/>
    <numFmt numFmtId="169" formatCode="#,##0\ ;\(#,##0\);\-\ \ \ \ \ "/>
    <numFmt numFmtId="170" formatCode="#,##0\ ;\(#,##0\);\–\ \ \ \ \ "/>
    <numFmt numFmtId="171" formatCode="#,##0;\(#,##0\)"/>
    <numFmt numFmtId="172" formatCode="yyyymmdd"/>
    <numFmt numFmtId="173" formatCode="_([$€-2]* #,##0.00_);_([$€-2]* \(#,##0.00\);_([$€-2]* &quot;-&quot;??_)"/>
    <numFmt numFmtId="174" formatCode="_-* #,##0.0_-;\-* #,##0.0_-;_-* &quot;-&quot;??_-;_-@_-"/>
    <numFmt numFmtId="175" formatCode="#,##0.00&quot; $&quot;;\-#,##0.00&quot; $&quot;"/>
    <numFmt numFmtId="176" formatCode="000000000"/>
    <numFmt numFmtId="177" formatCode="#,##0.0_);\(#,##0.0\)"/>
    <numFmt numFmtId="178" formatCode="_-&quot;£&quot;* #,##0_-;\-&quot;£&quot;* #,##0_-;_-&quot;£&quot;* &quot;-&quot;_-;_-@_-"/>
    <numFmt numFmtId="179" formatCode="_-&quot;£&quot;* #,##0.00_-;\-&quot;£&quot;* #,##0.00_-;_-&quot;£&quot;* &quot;-&quot;??_-;_-@_-"/>
    <numFmt numFmtId="180" formatCode="0.00_)"/>
    <numFmt numFmtId="181" formatCode="00"/>
    <numFmt numFmtId="182" formatCode="0_);\(0\)"/>
    <numFmt numFmtId="183" formatCode="000\-00\-0000"/>
    <numFmt numFmtId="184" formatCode="mmm\-yyyy"/>
    <numFmt numFmtId="185" formatCode="0.000%"/>
    <numFmt numFmtId="186" formatCode="#,##0.0000"/>
    <numFmt numFmtId="187" formatCode="[$-409]mmm\-yy;@"/>
    <numFmt numFmtId="188" formatCode="0.000000"/>
    <numFmt numFmtId="189" formatCode="_(* #,##0.00000_);_(* \(#,##0.00000\);_(* &quot;-&quot;??_);_(@_)"/>
    <numFmt numFmtId="190" formatCode="0.00000"/>
  </numFmts>
  <fonts count="103">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2"/>
      <name val="Arial MT"/>
    </font>
    <font>
      <sz val="10"/>
      <name val="MS Sans Serif"/>
      <family val="2"/>
    </font>
    <font>
      <sz val="11"/>
      <color indexed="8"/>
      <name val="Calibri"/>
      <family val="2"/>
    </font>
    <font>
      <sz val="11"/>
      <color indexed="9"/>
      <name val="Calibri"/>
      <family val="2"/>
    </font>
    <font>
      <sz val="8"/>
      <name val="Helv"/>
    </font>
    <font>
      <sz val="10"/>
      <name val="Times New Roman"/>
      <family val="1"/>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b/>
      <sz val="12"/>
      <name val="Arial"/>
      <family val="2"/>
    </font>
    <font>
      <i/>
      <sz val="12"/>
      <name val="Arial"/>
      <family val="2"/>
    </font>
    <font>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u/>
      <sz val="10"/>
      <name val="Arial"/>
      <family val="2"/>
    </font>
    <font>
      <b/>
      <sz val="12"/>
      <color theme="1"/>
      <name val="Arial"/>
      <family val="2"/>
    </font>
    <font>
      <sz val="12"/>
      <color theme="1"/>
      <name val="Arial"/>
      <family val="2"/>
    </font>
    <font>
      <sz val="10"/>
      <name val="Arial MT"/>
    </font>
    <font>
      <sz val="12"/>
      <name val="Calibri"/>
      <family val="2"/>
    </font>
    <font>
      <vertAlign val="subscript"/>
      <sz val="10"/>
      <name val="Arial"/>
      <family val="2"/>
    </font>
    <font>
      <u/>
      <sz val="12"/>
      <color theme="10"/>
      <name val="Arial MT"/>
    </font>
    <font>
      <sz val="10"/>
      <color rgb="FFCC00FF"/>
      <name val="Arial"/>
      <family val="2"/>
    </font>
    <font>
      <sz val="10"/>
      <color rgb="FFFF0000"/>
      <name val="Arial"/>
      <family val="2"/>
    </font>
    <font>
      <b/>
      <sz val="11"/>
      <color theme="1"/>
      <name val="Times New Roman"/>
      <family val="1"/>
    </font>
    <font>
      <b/>
      <sz val="10"/>
      <color theme="1"/>
      <name val="Times New Roman"/>
      <family val="1"/>
    </font>
    <font>
      <b/>
      <sz val="10"/>
      <name val="Times New Roman"/>
      <family val="1"/>
    </font>
    <font>
      <sz val="10"/>
      <color theme="1"/>
      <name val="Times New Roman"/>
      <family val="1"/>
    </font>
    <font>
      <strike/>
      <sz val="10"/>
      <color theme="1"/>
      <name val="Times New Roman"/>
      <family val="1"/>
    </font>
    <font>
      <sz val="10"/>
      <color rgb="FF7030A0"/>
      <name val="Times New Roman"/>
      <family val="1"/>
    </font>
    <font>
      <b/>
      <sz val="8"/>
      <color theme="1"/>
      <name val="Arial"/>
      <family val="2"/>
    </font>
    <font>
      <b/>
      <sz val="10"/>
      <color theme="4"/>
      <name val="Times New Roman"/>
      <family val="1"/>
    </font>
    <font>
      <sz val="12"/>
      <color theme="4"/>
      <name val="Arial MT"/>
    </font>
    <font>
      <u/>
      <sz val="10"/>
      <color theme="1"/>
      <name val="Times New Roman"/>
      <family val="1"/>
    </font>
    <font>
      <sz val="11"/>
      <color theme="1"/>
      <name val="Times New Roman"/>
      <family val="1"/>
    </font>
    <font>
      <sz val="11"/>
      <color theme="1"/>
      <name val="Calibri"/>
      <family val="2"/>
    </font>
    <font>
      <sz val="11"/>
      <color rgb="FFFF0000"/>
      <name val="Times New Roman"/>
      <family val="1"/>
    </font>
    <font>
      <sz val="11"/>
      <color rgb="FFFF0000"/>
      <name val="Calibri"/>
      <family val="2"/>
      <scheme val="minor"/>
    </font>
    <font>
      <sz val="10"/>
      <color theme="5" tint="-0.249977111117893"/>
      <name val="Times New Roman"/>
      <family val="1"/>
    </font>
    <font>
      <sz val="11"/>
      <color rgb="FF000000"/>
      <name val="Times New Roman"/>
      <family val="1"/>
    </font>
    <font>
      <vertAlign val="superscript"/>
      <sz val="11"/>
      <name val="Times New Roman"/>
      <family val="1"/>
    </font>
    <font>
      <vertAlign val="subscript"/>
      <sz val="11"/>
      <name val="Times New Roman"/>
      <family val="1"/>
    </font>
    <font>
      <sz val="12"/>
      <name val="Times New Roman"/>
      <family val="1"/>
    </font>
    <font>
      <sz val="9"/>
      <name val="Arial"/>
      <family val="2"/>
    </font>
    <font>
      <sz val="9"/>
      <name val="Arial MT"/>
    </font>
    <font>
      <b/>
      <sz val="11"/>
      <color theme="1"/>
      <name val="Calibri"/>
      <family val="2"/>
      <scheme val="minor"/>
    </font>
    <font>
      <b/>
      <sz val="10"/>
      <color theme="1"/>
      <name val="Arial"/>
      <family val="2"/>
    </font>
  </fonts>
  <fills count="30">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solid">
        <fgColor indexed="43"/>
        <bgColor indexed="64"/>
      </patternFill>
    </fill>
    <fill>
      <patternFill patternType="gray0625"/>
    </fill>
  </fills>
  <borders count="33">
    <border>
      <left/>
      <right/>
      <top/>
      <bottom/>
      <diagonal/>
    </border>
    <border>
      <left/>
      <right/>
      <top/>
      <bottom style="thin">
        <color indexed="64"/>
      </bottom>
      <diagonal/>
    </border>
    <border>
      <left/>
      <right/>
      <top style="thin">
        <color indexed="64"/>
      </top>
      <bottom style="double">
        <color indexed="64"/>
      </bottom>
      <diagonal/>
    </border>
    <border>
      <left/>
      <right/>
      <top style="thin">
        <color indexed="64"/>
      </top>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style="thin">
        <color indexed="64"/>
      </top>
      <bottom style="thin">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s>
  <cellStyleXfs count="214">
    <xf numFmtId="164" fontId="0" fillId="0" borderId="0" applyProtection="0"/>
    <xf numFmtId="43" fontId="5" fillId="0" borderId="0" applyFont="0" applyFill="0" applyBorder="0" applyAlignment="0" applyProtection="0"/>
    <xf numFmtId="44" fontId="5" fillId="0" borderId="0" applyFont="0" applyFill="0" applyBorder="0" applyAlignment="0" applyProtection="0"/>
    <xf numFmtId="0" fontId="5" fillId="0" borderId="0"/>
    <xf numFmtId="0" fontId="5" fillId="0" borderId="0"/>
    <xf numFmtId="37" fontId="8" fillId="0" borderId="0" applyFont="0" applyFill="0" applyBorder="0" applyAlignment="0" applyProtection="0"/>
    <xf numFmtId="37" fontId="8" fillId="0" borderId="0" applyFont="0" applyFill="0" applyBorder="0" applyAlignment="0" applyProtection="0"/>
    <xf numFmtId="38" fontId="8" fillId="0" borderId="0" applyFont="0" applyFill="0" applyBorder="0" applyAlignment="0" applyProtection="0"/>
    <xf numFmtId="37" fontId="8" fillId="0" borderId="0" applyFont="0" applyFill="0" applyBorder="0" applyAlignment="0" applyProtection="0"/>
    <xf numFmtId="37" fontId="8" fillId="0" borderId="0" applyFont="0" applyFill="0" applyBorder="0" applyAlignment="0" applyProtection="0"/>
    <xf numFmtId="38" fontId="8" fillId="0" borderId="0" applyFont="0" applyFill="0" applyBorder="0" applyAlignment="0" applyProtection="0"/>
    <xf numFmtId="37" fontId="8" fillId="0" borderId="0" applyFont="0" applyFill="0" applyBorder="0" applyAlignment="0" applyProtection="0"/>
    <xf numFmtId="38" fontId="8" fillId="0" borderId="0" applyFont="0" applyFill="0" applyBorder="0" applyAlignment="0" applyProtection="0"/>
    <xf numFmtId="37" fontId="8" fillId="0" borderId="0" applyFont="0" applyFill="0" applyBorder="0" applyAlignment="0" applyProtection="0"/>
    <xf numFmtId="0" fontId="5" fillId="0" borderId="0"/>
    <xf numFmtId="0" fontId="9" fillId="2" borderId="0" applyNumberFormat="0" applyBorder="0" applyAlignment="0" applyProtection="0"/>
    <xf numFmtId="0" fontId="9" fillId="3" borderId="0" applyNumberFormat="0" applyBorder="0" applyAlignment="0" applyProtection="0"/>
    <xf numFmtId="0" fontId="9" fillId="4" borderId="0" applyNumberFormat="0" applyBorder="0" applyAlignment="0" applyProtection="0"/>
    <xf numFmtId="0" fontId="9" fillId="5" borderId="0" applyNumberFormat="0" applyBorder="0" applyAlignment="0" applyProtection="0"/>
    <xf numFmtId="0" fontId="9" fillId="6" borderId="0" applyNumberFormat="0" applyBorder="0" applyAlignment="0" applyProtection="0"/>
    <xf numFmtId="0" fontId="9" fillId="7" borderId="0" applyNumberFormat="0" applyBorder="0" applyAlignment="0" applyProtection="0"/>
    <xf numFmtId="0" fontId="9" fillId="8" borderId="0" applyNumberFormat="0" applyBorder="0" applyAlignment="0" applyProtection="0"/>
    <xf numFmtId="0" fontId="9" fillId="9" borderId="0" applyNumberFormat="0" applyBorder="0" applyAlignment="0" applyProtection="0"/>
    <xf numFmtId="0" fontId="9" fillId="10" borderId="0" applyNumberFormat="0" applyBorder="0" applyAlignment="0" applyProtection="0"/>
    <xf numFmtId="0" fontId="9" fillId="5" borderId="0" applyNumberFormat="0" applyBorder="0" applyAlignment="0" applyProtection="0"/>
    <xf numFmtId="0" fontId="9" fillId="8" borderId="0" applyNumberFormat="0" applyBorder="0" applyAlignment="0" applyProtection="0"/>
    <xf numFmtId="0" fontId="9" fillId="11" borderId="0" applyNumberFormat="0" applyBorder="0" applyAlignment="0" applyProtection="0"/>
    <xf numFmtId="0" fontId="10" fillId="12" borderId="0" applyNumberFormat="0" applyBorder="0" applyAlignment="0" applyProtection="0"/>
    <xf numFmtId="0" fontId="10" fillId="9" borderId="0" applyNumberFormat="0" applyBorder="0" applyAlignment="0" applyProtection="0"/>
    <xf numFmtId="0" fontId="10" fillId="10"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10" fillId="17" borderId="0" applyNumberFormat="0" applyBorder="0" applyAlignment="0" applyProtection="0"/>
    <xf numFmtId="0" fontId="10" fillId="18" borderId="0" applyNumberFormat="0" applyBorder="0" applyAlignment="0" applyProtection="0"/>
    <xf numFmtId="0" fontId="10" fillId="13" borderId="0" applyNumberFormat="0" applyBorder="0" applyAlignment="0" applyProtection="0"/>
    <xf numFmtId="0" fontId="10" fillId="14" borderId="0" applyNumberFormat="0" applyBorder="0" applyAlignment="0" applyProtection="0"/>
    <xf numFmtId="0" fontId="10" fillId="19" borderId="0" applyNumberFormat="0" applyBorder="0" applyAlignment="0" applyProtection="0"/>
    <xf numFmtId="38" fontId="11" fillId="0" borderId="0" applyBorder="0" applyAlignment="0"/>
    <xf numFmtId="167" fontId="12" fillId="20" borderId="4">
      <alignment horizontal="center" vertical="center"/>
    </xf>
    <xf numFmtId="168" fontId="5" fillId="0" borderId="5">
      <alignment horizontal="left"/>
    </xf>
    <xf numFmtId="0" fontId="13" fillId="0" borderId="0"/>
    <xf numFmtId="0" fontId="14" fillId="3" borderId="0" applyNumberFormat="0" applyBorder="0" applyAlignment="0" applyProtection="0"/>
    <xf numFmtId="0" fontId="15" fillId="0" borderId="0" applyNumberFormat="0" applyFill="0" applyBorder="0" applyAlignment="0" applyProtection="0"/>
    <xf numFmtId="169" fontId="16" fillId="0" borderId="6" applyNumberFormat="0" applyFill="0" applyAlignment="0" applyProtection="0">
      <alignment horizontal="center"/>
    </xf>
    <xf numFmtId="170" fontId="16" fillId="0" borderId="1" applyFill="0" applyAlignment="0" applyProtection="0">
      <alignment horizontal="center"/>
    </xf>
    <xf numFmtId="38" fontId="5" fillId="0" borderId="0">
      <alignment horizontal="right"/>
    </xf>
    <xf numFmtId="37" fontId="17" fillId="0" borderId="0" applyFill="0">
      <alignment horizontal="right"/>
    </xf>
    <xf numFmtId="37" fontId="17" fillId="0" borderId="0">
      <alignment horizontal="right"/>
    </xf>
    <xf numFmtId="0" fontId="17" fillId="0" borderId="0" applyFill="0">
      <alignment horizontal="center"/>
    </xf>
    <xf numFmtId="37" fontId="17" fillId="0" borderId="7" applyFill="0">
      <alignment horizontal="right"/>
    </xf>
    <xf numFmtId="37" fontId="17" fillId="0" borderId="0">
      <alignment horizontal="right"/>
    </xf>
    <xf numFmtId="0" fontId="18" fillId="0" borderId="0" applyFill="0">
      <alignment vertical="top"/>
    </xf>
    <xf numFmtId="0" fontId="19" fillId="0" borderId="0" applyFill="0">
      <alignment horizontal="left" vertical="top"/>
    </xf>
    <xf numFmtId="37" fontId="17" fillId="0" borderId="3" applyFill="0">
      <alignment horizontal="right"/>
    </xf>
    <xf numFmtId="0" fontId="5" fillId="0" borderId="0" applyNumberFormat="0" applyFont="0" applyAlignment="0"/>
    <xf numFmtId="0" fontId="18" fillId="0" borderId="0" applyFill="0">
      <alignment wrapText="1"/>
    </xf>
    <xf numFmtId="0" fontId="19" fillId="0" borderId="0" applyFill="0">
      <alignment horizontal="left" vertical="top" wrapText="1"/>
    </xf>
    <xf numFmtId="37" fontId="17" fillId="0" borderId="0" applyFill="0">
      <alignment horizontal="right"/>
    </xf>
    <xf numFmtId="0" fontId="20" fillId="0" borderId="0" applyNumberFormat="0" applyFont="0" applyAlignment="0">
      <alignment horizontal="center"/>
    </xf>
    <xf numFmtId="0" fontId="21" fillId="0" borderId="0" applyFill="0">
      <alignment vertical="top" wrapText="1"/>
    </xf>
    <xf numFmtId="0" fontId="22" fillId="0" borderId="0" applyFill="0">
      <alignment horizontal="left" vertical="top" wrapText="1"/>
    </xf>
    <xf numFmtId="37" fontId="17" fillId="0" borderId="0" applyFill="0">
      <alignment horizontal="right"/>
    </xf>
    <xf numFmtId="0" fontId="20" fillId="0" borderId="0" applyNumberFormat="0" applyFont="0" applyAlignment="0">
      <alignment horizontal="center"/>
    </xf>
    <xf numFmtId="0" fontId="23" fillId="0" borderId="0" applyFill="0">
      <alignment vertical="center" wrapText="1"/>
    </xf>
    <xf numFmtId="0" fontId="24" fillId="0" borderId="0">
      <alignment horizontal="left" vertical="center" wrapText="1"/>
    </xf>
    <xf numFmtId="37" fontId="17" fillId="0" borderId="0" applyFill="0">
      <alignment horizontal="right"/>
    </xf>
    <xf numFmtId="0" fontId="20" fillId="0" borderId="0" applyNumberFormat="0" applyFont="0" applyAlignment="0">
      <alignment horizontal="center"/>
    </xf>
    <xf numFmtId="0" fontId="25" fillId="0" borderId="0" applyFill="0">
      <alignment horizontal="center" vertical="center" wrapText="1"/>
    </xf>
    <xf numFmtId="0" fontId="5" fillId="0" borderId="0" applyFill="0">
      <alignment horizontal="center" vertical="center" wrapText="1"/>
    </xf>
    <xf numFmtId="37" fontId="26" fillId="0" borderId="0" applyFill="0">
      <alignment horizontal="right"/>
    </xf>
    <xf numFmtId="0" fontId="20" fillId="0" borderId="0" applyNumberFormat="0" applyFont="0" applyAlignment="0">
      <alignment horizontal="center"/>
    </xf>
    <xf numFmtId="0" fontId="27" fillId="0" borderId="0" applyFill="0">
      <alignment horizontal="center" vertical="center" wrapText="1"/>
    </xf>
    <xf numFmtId="0" fontId="28" fillId="0" borderId="0" applyFill="0">
      <alignment horizontal="center" vertical="center" wrapText="1"/>
    </xf>
    <xf numFmtId="37" fontId="26" fillId="0" borderId="0" applyFill="0">
      <alignment horizontal="right"/>
    </xf>
    <xf numFmtId="0" fontId="20" fillId="0" borderId="0" applyNumberFormat="0" applyFont="0" applyAlignment="0">
      <alignment horizontal="center"/>
    </xf>
    <xf numFmtId="0" fontId="29" fillId="0" borderId="0">
      <alignment horizontal="center" wrapText="1"/>
    </xf>
    <xf numFmtId="0" fontId="30" fillId="0" borderId="0" applyFill="0">
      <alignment horizontal="center" wrapText="1"/>
    </xf>
    <xf numFmtId="0" fontId="31" fillId="21" borderId="8" applyNumberFormat="0" applyAlignment="0" applyProtection="0"/>
    <xf numFmtId="0" fontId="32" fillId="22" borderId="9" applyNumberFormat="0" applyAlignment="0" applyProtection="0"/>
    <xf numFmtId="171" fontId="8" fillId="0" borderId="0" applyFont="0" applyFill="0" applyBorder="0" applyAlignment="0" applyProtection="0"/>
    <xf numFmtId="43" fontId="5" fillId="0" borderId="0" applyFont="0" applyFill="0" applyBorder="0" applyAlignment="0" applyProtection="0"/>
    <xf numFmtId="43" fontId="4" fillId="0" borderId="0" applyFont="0" applyFill="0" applyBorder="0" applyAlignment="0" applyProtection="0"/>
    <xf numFmtId="43" fontId="33" fillId="0" borderId="0" applyFont="0" applyFill="0" applyBorder="0" applyAlignment="0" applyProtection="0"/>
    <xf numFmtId="43" fontId="5" fillId="0" borderId="0" applyFont="0" applyFill="0" applyBorder="0" applyAlignment="0" applyProtection="0"/>
    <xf numFmtId="0" fontId="34" fillId="0" borderId="0"/>
    <xf numFmtId="44" fontId="5" fillId="0" borderId="0" applyFont="0" applyFill="0" applyBorder="0" applyAlignment="0" applyProtection="0"/>
    <xf numFmtId="44" fontId="5" fillId="0" borderId="0" applyFont="0" applyFill="0" applyBorder="0" applyAlignment="0" applyProtection="0"/>
    <xf numFmtId="172" fontId="5" fillId="0" borderId="5">
      <alignment horizontal="center"/>
    </xf>
    <xf numFmtId="173" fontId="35" fillId="0" borderId="0" applyFont="0" applyFill="0" applyBorder="0" applyAlignment="0" applyProtection="0"/>
    <xf numFmtId="0" fontId="36" fillId="0" borderId="0" applyNumberFormat="0" applyFill="0" applyBorder="0" applyAlignment="0" applyProtection="0"/>
    <xf numFmtId="174" fontId="5" fillId="0" borderId="0">
      <protection locked="0"/>
    </xf>
    <xf numFmtId="0" fontId="37" fillId="0" borderId="0"/>
    <xf numFmtId="0" fontId="38" fillId="0" borderId="0"/>
    <xf numFmtId="0" fontId="39" fillId="0" borderId="0"/>
    <xf numFmtId="0" fontId="40" fillId="4" borderId="0" applyNumberFormat="0" applyBorder="0" applyAlignment="0" applyProtection="0"/>
    <xf numFmtId="38" fontId="17" fillId="23" borderId="0" applyNumberFormat="0" applyBorder="0" applyAlignment="0" applyProtection="0"/>
    <xf numFmtId="0" fontId="41" fillId="0" borderId="0" applyNumberFormat="0" applyFill="0" applyBorder="0" applyAlignment="0" applyProtection="0"/>
    <xf numFmtId="0" fontId="22" fillId="0" borderId="10" applyNumberFormat="0" applyAlignment="0" applyProtection="0">
      <alignment horizontal="left" vertical="center"/>
    </xf>
    <xf numFmtId="0" fontId="22" fillId="0" borderId="11">
      <alignment horizontal="left" vertical="center"/>
    </xf>
    <xf numFmtId="0" fontId="42" fillId="0" borderId="0">
      <alignment horizontal="center"/>
    </xf>
    <xf numFmtId="0" fontId="43" fillId="0" borderId="12" applyNumberFormat="0" applyFill="0" applyAlignment="0" applyProtection="0"/>
    <xf numFmtId="0" fontId="44" fillId="0" borderId="13" applyNumberFormat="0" applyFill="0" applyAlignment="0" applyProtection="0"/>
    <xf numFmtId="0" fontId="45" fillId="0" borderId="14" applyNumberFormat="0" applyFill="0" applyAlignment="0" applyProtection="0"/>
    <xf numFmtId="0" fontId="45" fillId="0" borderId="0" applyNumberFormat="0" applyFill="0" applyBorder="0" applyAlignment="0" applyProtection="0"/>
    <xf numFmtId="175" fontId="5" fillId="0" borderId="0">
      <protection locked="0"/>
    </xf>
    <xf numFmtId="175" fontId="5" fillId="0" borderId="0">
      <protection locked="0"/>
    </xf>
    <xf numFmtId="0" fontId="46" fillId="0" borderId="15" applyNumberFormat="0" applyFill="0" applyAlignment="0" applyProtection="0"/>
    <xf numFmtId="10" fontId="17" fillId="24" borderId="5" applyNumberFormat="0" applyBorder="0" applyAlignment="0" applyProtection="0"/>
    <xf numFmtId="0" fontId="47" fillId="7" borderId="8" applyNumberFormat="0" applyAlignment="0" applyProtection="0"/>
    <xf numFmtId="0" fontId="17" fillId="23" borderId="0"/>
    <xf numFmtId="0" fontId="48" fillId="0" borderId="16" applyNumberFormat="0" applyFill="0" applyAlignment="0" applyProtection="0"/>
    <xf numFmtId="176" fontId="5" fillId="0" borderId="5">
      <alignment horizontal="center"/>
    </xf>
    <xf numFmtId="177" fontId="49" fillId="0" borderId="0"/>
    <xf numFmtId="17" fontId="50" fillId="0" borderId="0">
      <alignment horizontal="center"/>
    </xf>
    <xf numFmtId="178" fontId="5" fillId="0" borderId="0" applyFont="0" applyFill="0" applyBorder="0" applyAlignment="0" applyProtection="0"/>
    <xf numFmtId="179" fontId="5" fillId="0" borderId="0" applyFont="0" applyFill="0" applyBorder="0" applyAlignment="0" applyProtection="0"/>
    <xf numFmtId="0" fontId="51" fillId="25" borderId="0" applyNumberFormat="0" applyBorder="0" applyAlignment="0" applyProtection="0"/>
    <xf numFmtId="43" fontId="52" fillId="0" borderId="0" applyNumberFormat="0" applyFill="0" applyBorder="0" applyAlignment="0" applyProtection="0"/>
    <xf numFmtId="0" fontId="16" fillId="0" borderId="0" applyNumberFormat="0" applyFill="0" applyAlignment="0" applyProtection="0"/>
    <xf numFmtId="37" fontId="53" fillId="0" borderId="0"/>
    <xf numFmtId="180" fontId="54" fillId="0" borderId="0"/>
    <xf numFmtId="164" fontId="7" fillId="0" borderId="0" applyProtection="0"/>
    <xf numFmtId="0" fontId="5" fillId="0" borderId="0"/>
    <xf numFmtId="0" fontId="4" fillId="0" borderId="0"/>
    <xf numFmtId="0" fontId="33" fillId="0" borderId="0"/>
    <xf numFmtId="0" fontId="5" fillId="0" borderId="0"/>
    <xf numFmtId="0" fontId="5" fillId="0" borderId="5">
      <alignment horizontal="center" wrapText="1"/>
    </xf>
    <xf numFmtId="2" fontId="5" fillId="0" borderId="5">
      <alignment horizontal="center"/>
    </xf>
    <xf numFmtId="181" fontId="6" fillId="0" borderId="5" applyFont="0">
      <alignment horizontal="center"/>
    </xf>
    <xf numFmtId="0" fontId="5" fillId="26" borderId="17" applyNumberFormat="0" applyFont="0" applyAlignment="0" applyProtection="0"/>
    <xf numFmtId="1" fontId="5" fillId="0" borderId="5">
      <alignment horizontal="center"/>
    </xf>
    <xf numFmtId="0" fontId="55" fillId="21" borderId="18" applyNumberFormat="0" applyAlignment="0" applyProtection="0"/>
    <xf numFmtId="10" fontId="5" fillId="0" borderId="0" applyFont="0" applyFill="0" applyBorder="0" applyAlignment="0" applyProtection="0"/>
    <xf numFmtId="9" fontId="5" fillId="0" borderId="0" applyFont="0" applyFill="0" applyBorder="0" applyAlignment="0" applyProtection="0"/>
    <xf numFmtId="0" fontId="8" fillId="0" borderId="0" applyNumberFormat="0" applyFont="0" applyFill="0" applyBorder="0" applyAlignment="0" applyProtection="0">
      <alignment horizontal="left"/>
    </xf>
    <xf numFmtId="15" fontId="8" fillId="0" borderId="0" applyFont="0" applyFill="0" applyBorder="0" applyAlignment="0" applyProtection="0"/>
    <xf numFmtId="4" fontId="8" fillId="0" borderId="0" applyFont="0" applyFill="0" applyBorder="0" applyAlignment="0" applyProtection="0"/>
    <xf numFmtId="0" fontId="56" fillId="0" borderId="6">
      <alignment horizontal="center"/>
    </xf>
    <xf numFmtId="3" fontId="8" fillId="0" borderId="0" applyFont="0" applyFill="0" applyBorder="0" applyAlignment="0" applyProtection="0"/>
    <xf numFmtId="0" fontId="8" fillId="27" borderId="0" applyNumberFormat="0" applyFont="0" applyBorder="0" applyAlignment="0" applyProtection="0"/>
    <xf numFmtId="37" fontId="17" fillId="23" borderId="0" applyFill="0">
      <alignment horizontal="right"/>
    </xf>
    <xf numFmtId="0" fontId="26" fillId="0" borderId="0">
      <alignment horizontal="left"/>
    </xf>
    <xf numFmtId="0" fontId="17" fillId="0" borderId="0" applyFill="0">
      <alignment horizontal="left"/>
    </xf>
    <xf numFmtId="37" fontId="17" fillId="0" borderId="1" applyFill="0">
      <alignment horizontal="right"/>
    </xf>
    <xf numFmtId="0" fontId="6" fillId="0" borderId="5" applyNumberFormat="0" applyFont="0" applyBorder="0">
      <alignment horizontal="right"/>
    </xf>
    <xf numFmtId="0" fontId="57" fillId="0" borderId="0" applyFill="0"/>
    <xf numFmtId="0" fontId="17" fillId="0" borderId="0" applyFill="0">
      <alignment horizontal="left"/>
    </xf>
    <xf numFmtId="182" fontId="17" fillId="0" borderId="1" applyFill="0">
      <alignment horizontal="right"/>
    </xf>
    <xf numFmtId="0" fontId="5" fillId="0" borderId="0" applyNumberFormat="0" applyFont="0" applyBorder="0" applyAlignment="0"/>
    <xf numFmtId="0" fontId="21" fillId="0" borderId="0" applyFill="0">
      <alignment horizontal="left" indent="1"/>
    </xf>
    <xf numFmtId="0" fontId="26" fillId="0" borderId="0" applyFill="0">
      <alignment horizontal="left"/>
    </xf>
    <xf numFmtId="37" fontId="17" fillId="0" borderId="0" applyFill="0">
      <alignment horizontal="right"/>
    </xf>
    <xf numFmtId="0" fontId="5" fillId="0" borderId="0" applyNumberFormat="0" applyFont="0" applyFill="0" applyBorder="0" applyAlignment="0"/>
    <xf numFmtId="0" fontId="21" fillId="0" borderId="0" applyFill="0">
      <alignment horizontal="left" indent="2"/>
    </xf>
    <xf numFmtId="0" fontId="17" fillId="0" borderId="0" applyFill="0">
      <alignment horizontal="left"/>
    </xf>
    <xf numFmtId="37" fontId="17" fillId="0" borderId="0" applyFill="0">
      <alignment horizontal="right"/>
    </xf>
    <xf numFmtId="0" fontId="5" fillId="0" borderId="0" applyNumberFormat="0" applyFont="0" applyBorder="0" applyAlignment="0"/>
    <xf numFmtId="0" fontId="58" fillId="0" borderId="0">
      <alignment horizontal="left" indent="3"/>
    </xf>
    <xf numFmtId="0" fontId="17" fillId="0" borderId="0" applyFill="0">
      <alignment horizontal="left"/>
    </xf>
    <xf numFmtId="37" fontId="17" fillId="0" borderId="0" applyFill="0">
      <alignment horizontal="right"/>
    </xf>
    <xf numFmtId="0" fontId="5" fillId="0" borderId="0" applyNumberFormat="0" applyFont="0" applyBorder="0" applyAlignment="0"/>
    <xf numFmtId="0" fontId="25" fillId="0" borderId="0">
      <alignment horizontal="left" indent="4"/>
    </xf>
    <xf numFmtId="0" fontId="17" fillId="0" borderId="0" applyFill="0">
      <alignment horizontal="left"/>
    </xf>
    <xf numFmtId="37" fontId="26" fillId="0" borderId="0" applyFill="0">
      <alignment horizontal="right"/>
    </xf>
    <xf numFmtId="0" fontId="5" fillId="0" borderId="0" applyNumberFormat="0" applyFont="0" applyBorder="0" applyAlignment="0"/>
    <xf numFmtId="0" fontId="27" fillId="0" borderId="0">
      <alignment horizontal="left" indent="5"/>
    </xf>
    <xf numFmtId="0" fontId="26" fillId="0" borderId="0" applyFill="0">
      <alignment horizontal="left"/>
    </xf>
    <xf numFmtId="37" fontId="26" fillId="0" borderId="0" applyFill="0">
      <alignment horizontal="right"/>
    </xf>
    <xf numFmtId="0" fontId="5" fillId="0" borderId="0" applyNumberFormat="0" applyFont="0" applyFill="0" applyBorder="0" applyAlignment="0"/>
    <xf numFmtId="0" fontId="29" fillId="0" borderId="0" applyFill="0">
      <alignment horizontal="left" indent="6"/>
    </xf>
    <xf numFmtId="0" fontId="26" fillId="0" borderId="0" applyFill="0">
      <alignment horizontal="left"/>
    </xf>
    <xf numFmtId="38" fontId="59" fillId="28" borderId="1">
      <alignment horizontal="right"/>
    </xf>
    <xf numFmtId="38" fontId="5" fillId="29" borderId="0" applyNumberFormat="0" applyFont="0" applyBorder="0" applyAlignment="0" applyProtection="0"/>
    <xf numFmtId="0" fontId="60" fillId="0" borderId="0" applyNumberFormat="0" applyAlignment="0">
      <alignment horizontal="centerContinuous"/>
    </xf>
    <xf numFmtId="0" fontId="16" fillId="0" borderId="1" applyNumberFormat="0" applyFill="0" applyAlignment="0" applyProtection="0"/>
    <xf numFmtId="37" fontId="61" fillId="0" borderId="0" applyNumberFormat="0">
      <alignment horizontal="left"/>
    </xf>
    <xf numFmtId="183" fontId="5" fillId="0" borderId="5">
      <alignment horizontal="center" wrapText="1"/>
    </xf>
    <xf numFmtId="38" fontId="8" fillId="0" borderId="0" applyFont="0" applyFill="0" applyBorder="0" applyAlignment="0" applyProtection="0"/>
    <xf numFmtId="38" fontId="8" fillId="0" borderId="0" applyFont="0" applyFill="0" applyBorder="0" applyAlignment="0" applyProtection="0"/>
    <xf numFmtId="0" fontId="5" fillId="0" borderId="0" applyNumberFormat="0" applyFill="0" applyBorder="0" applyProtection="0">
      <alignment horizontal="right" wrapText="1"/>
    </xf>
    <xf numFmtId="184" fontId="5" fillId="0" borderId="0" applyFill="0" applyBorder="0" applyAlignment="0" applyProtection="0">
      <alignment wrapText="1"/>
    </xf>
    <xf numFmtId="37" fontId="62" fillId="0" borderId="0" applyNumberFormat="0">
      <alignment horizontal="left"/>
    </xf>
    <xf numFmtId="37" fontId="63" fillId="0" borderId="0" applyNumberFormat="0">
      <alignment horizontal="left"/>
    </xf>
    <xf numFmtId="37" fontId="64" fillId="0" borderId="0" applyNumberFormat="0">
      <alignment horizontal="left"/>
    </xf>
    <xf numFmtId="177" fontId="65" fillId="0" borderId="0"/>
    <xf numFmtId="40" fontId="66" fillId="0" borderId="0"/>
    <xf numFmtId="0" fontId="67" fillId="0" borderId="0" applyNumberFormat="0" applyFill="0" applyBorder="0" applyAlignment="0" applyProtection="0"/>
    <xf numFmtId="0" fontId="68" fillId="0" borderId="19" applyNumberFormat="0" applyFill="0" applyAlignment="0" applyProtection="0"/>
    <xf numFmtId="37" fontId="17" fillId="28" borderId="0" applyNumberFormat="0" applyBorder="0" applyAlignment="0" applyProtection="0"/>
    <xf numFmtId="37" fontId="17" fillId="0" borderId="0"/>
    <xf numFmtId="3" fontId="69" fillId="0" borderId="15" applyProtection="0"/>
    <xf numFmtId="0" fontId="70" fillId="0" borderId="0" applyNumberFormat="0" applyFill="0" applyBorder="0" applyAlignment="0" applyProtection="0"/>
    <xf numFmtId="164" fontId="7" fillId="0" borderId="0" applyProtection="0"/>
    <xf numFmtId="164" fontId="7" fillId="0" borderId="0" applyProtection="0"/>
    <xf numFmtId="164" fontId="7" fillId="0" borderId="0" applyProtection="0"/>
    <xf numFmtId="164" fontId="7" fillId="0" borderId="0" applyProtection="0"/>
    <xf numFmtId="164" fontId="7" fillId="0" borderId="0" applyProtection="0"/>
    <xf numFmtId="164" fontId="7" fillId="0" borderId="0" applyProtection="0"/>
    <xf numFmtId="164" fontId="7" fillId="0" borderId="0" applyProtection="0"/>
    <xf numFmtId="164" fontId="7" fillId="0" borderId="0" applyProtection="0"/>
    <xf numFmtId="164" fontId="7" fillId="0" borderId="0" applyProtection="0"/>
    <xf numFmtId="164" fontId="7" fillId="0" borderId="0" applyProtection="0"/>
    <xf numFmtId="9" fontId="5" fillId="0" borderId="0" applyFont="0" applyFill="0" applyBorder="0" applyAlignment="0" applyProtection="0"/>
    <xf numFmtId="9" fontId="3" fillId="0" borderId="0" applyFont="0" applyFill="0" applyBorder="0" applyAlignment="0" applyProtection="0"/>
    <xf numFmtId="164" fontId="77" fillId="0" borderId="0" applyNumberFormat="0" applyFill="0" applyBorder="0" applyAlignment="0" applyProtection="0"/>
    <xf numFmtId="9" fontId="2" fillId="0" borderId="0" applyFont="0" applyFill="0" applyBorder="0" applyAlignment="0" applyProtection="0"/>
    <xf numFmtId="9" fontId="7" fillId="0" borderId="0" applyFont="0" applyFill="0" applyBorder="0" applyAlignment="0" applyProtection="0"/>
    <xf numFmtId="0" fontId="2" fillId="0" borderId="0"/>
    <xf numFmtId="9" fontId="2" fillId="0" borderId="0" applyFont="0" applyFill="0" applyBorder="0" applyAlignment="0" applyProtection="0"/>
    <xf numFmtId="43" fontId="7" fillId="0" borderId="0" applyFont="0" applyFill="0" applyBorder="0" applyAlignment="0" applyProtection="0"/>
    <xf numFmtId="43" fontId="2" fillId="0" borderId="0" applyFont="0" applyFill="0" applyBorder="0" applyAlignment="0" applyProtection="0"/>
    <xf numFmtId="9" fontId="7" fillId="0" borderId="0" applyFont="0" applyFill="0" applyBorder="0" applyAlignment="0" applyProtection="0"/>
  </cellStyleXfs>
  <cellXfs count="281">
    <xf numFmtId="164" fontId="0" fillId="0" borderId="0" xfId="0"/>
    <xf numFmtId="165" fontId="5" fillId="0" borderId="0" xfId="1" applyNumberFormat="1" applyFill="1"/>
    <xf numFmtId="166" fontId="5" fillId="0" borderId="20" xfId="88" applyNumberFormat="1" applyFont="1" applyFill="1" applyBorder="1"/>
    <xf numFmtId="164" fontId="73" fillId="0" borderId="0" xfId="0" applyFont="1"/>
    <xf numFmtId="165" fontId="5" fillId="0" borderId="0" xfId="1" applyNumberFormat="1" applyFont="1" applyFill="1" applyBorder="1" applyAlignment="1"/>
    <xf numFmtId="165" fontId="5" fillId="0" borderId="0" xfId="1" applyNumberFormat="1" applyFont="1" applyFill="1" applyAlignment="1"/>
    <xf numFmtId="165" fontId="24" fillId="0" borderId="0" xfId="1" applyNumberFormat="1" applyFont="1" applyFill="1" applyAlignment="1"/>
    <xf numFmtId="165" fontId="5" fillId="0" borderId="0" xfId="1" applyNumberFormat="1" applyFont="1" applyFill="1" applyAlignment="1">
      <alignment horizontal="right" wrapText="1"/>
    </xf>
    <xf numFmtId="165" fontId="5" fillId="0" borderId="0" xfId="1" applyNumberFormat="1" applyFill="1" applyAlignment="1">
      <alignment horizontal="right"/>
    </xf>
    <xf numFmtId="165" fontId="6" fillId="0" borderId="3" xfId="1" applyNumberFormat="1" applyFont="1" applyFill="1" applyBorder="1"/>
    <xf numFmtId="165" fontId="5" fillId="0" borderId="3" xfId="1" applyNumberFormat="1" applyFont="1" applyFill="1" applyBorder="1" applyAlignment="1"/>
    <xf numFmtId="165" fontId="5" fillId="0" borderId="0" xfId="1" applyNumberFormat="1" applyFont="1" applyFill="1"/>
    <xf numFmtId="3" fontId="24" fillId="0" borderId="0" xfId="0" applyNumberFormat="1" applyFont="1"/>
    <xf numFmtId="164" fontId="24" fillId="0" borderId="0" xfId="0" applyFont="1"/>
    <xf numFmtId="3" fontId="24" fillId="0" borderId="0" xfId="123" applyNumberFormat="1" applyFont="1"/>
    <xf numFmtId="164" fontId="77" fillId="0" borderId="0" xfId="206" applyFill="1"/>
    <xf numFmtId="165" fontId="5" fillId="0" borderId="3" xfId="1" applyNumberFormat="1" applyFont="1" applyFill="1" applyBorder="1"/>
    <xf numFmtId="9" fontId="5" fillId="0" borderId="0" xfId="208" applyFont="1" applyFill="1"/>
    <xf numFmtId="164" fontId="72" fillId="0" borderId="0" xfId="0" applyFont="1" applyAlignment="1">
      <alignment horizontal="center"/>
    </xf>
    <xf numFmtId="0" fontId="24" fillId="0" borderId="0" xfId="0" applyNumberFormat="1" applyFont="1" applyAlignment="1">
      <alignment horizontal="center"/>
    </xf>
    <xf numFmtId="0" fontId="24" fillId="0" borderId="0" xfId="0" applyNumberFormat="1" applyFont="1"/>
    <xf numFmtId="3" fontId="22" fillId="0" borderId="0" xfId="0" applyNumberFormat="1" applyFont="1" applyAlignment="1">
      <alignment horizontal="center"/>
    </xf>
    <xf numFmtId="0" fontId="24" fillId="0" borderId="0" xfId="0" applyNumberFormat="1" applyFont="1" applyAlignment="1" applyProtection="1">
      <alignment horizontal="center"/>
      <protection locked="0"/>
    </xf>
    <xf numFmtId="164" fontId="22" fillId="0" borderId="0" xfId="0" applyFont="1" applyAlignment="1">
      <alignment horizontal="center"/>
    </xf>
    <xf numFmtId="0" fontId="22" fillId="0" borderId="0" xfId="0" applyNumberFormat="1" applyFont="1"/>
    <xf numFmtId="3" fontId="24" fillId="0" borderId="0" xfId="127" applyNumberFormat="1" applyFont="1"/>
    <xf numFmtId="164" fontId="24" fillId="0" borderId="0" xfId="0" applyFont="1" applyProtection="1">
      <protection locked="0"/>
    </xf>
    <xf numFmtId="164" fontId="24" fillId="0" borderId="0" xfId="123" applyFont="1"/>
    <xf numFmtId="0" fontId="24" fillId="0" borderId="0" xfId="0" applyNumberFormat="1" applyFont="1" applyProtection="1">
      <protection locked="0"/>
    </xf>
    <xf numFmtId="185" fontId="24" fillId="0" borderId="0" xfId="0" applyNumberFormat="1" applyFont="1" applyAlignment="1">
      <alignment horizontal="left"/>
    </xf>
    <xf numFmtId="185" fontId="24" fillId="0" borderId="0" xfId="0" applyNumberFormat="1" applyFont="1" applyAlignment="1" applyProtection="1">
      <alignment horizontal="left"/>
      <protection locked="0"/>
    </xf>
    <xf numFmtId="164" fontId="24" fillId="0" borderId="0" xfId="0" quotePrefix="1" applyFont="1"/>
    <xf numFmtId="186" fontId="24" fillId="0" borderId="0" xfId="0" applyNumberFormat="1" applyFont="1"/>
    <xf numFmtId="185" fontId="24" fillId="0" borderId="0" xfId="0" applyNumberFormat="1" applyFont="1" applyAlignment="1">
      <alignment horizontal="center"/>
    </xf>
    <xf numFmtId="0" fontId="22" fillId="0" borderId="0" xfId="194" applyNumberFormat="1" applyFont="1" applyAlignment="1">
      <alignment horizontal="center"/>
    </xf>
    <xf numFmtId="0" fontId="24" fillId="0" borderId="0" xfId="195" applyNumberFormat="1" applyFont="1" applyAlignment="1" applyProtection="1">
      <alignment horizontal="center"/>
      <protection locked="0"/>
    </xf>
    <xf numFmtId="164" fontId="24" fillId="0" borderId="0" xfId="195" applyFont="1"/>
    <xf numFmtId="0" fontId="22" fillId="0" borderId="0" xfId="195" applyNumberFormat="1" applyFont="1"/>
    <xf numFmtId="0" fontId="24" fillId="0" borderId="0" xfId="195" applyNumberFormat="1" applyFont="1" applyProtection="1">
      <protection locked="0"/>
    </xf>
    <xf numFmtId="0" fontId="24" fillId="0" borderId="0" xfId="195" applyNumberFormat="1" applyFont="1"/>
    <xf numFmtId="3" fontId="24" fillId="0" borderId="0" xfId="195" applyNumberFormat="1" applyFont="1"/>
    <xf numFmtId="3" fontId="24" fillId="0" borderId="0" xfId="196" applyNumberFormat="1" applyFont="1"/>
    <xf numFmtId="164" fontId="24" fillId="0" borderId="0" xfId="197" applyFont="1"/>
    <xf numFmtId="49" fontId="24" fillId="0" borderId="0" xfId="195" applyNumberFormat="1" applyFont="1"/>
    <xf numFmtId="3" fontId="24" fillId="0" borderId="0" xfId="198" applyNumberFormat="1" applyFont="1"/>
    <xf numFmtId="3" fontId="24" fillId="0" borderId="0" xfId="199" applyNumberFormat="1" applyFont="1"/>
    <xf numFmtId="3" fontId="24" fillId="0" borderId="0" xfId="200" applyNumberFormat="1" applyFont="1"/>
    <xf numFmtId="3" fontId="24" fillId="0" borderId="0" xfId="195" applyNumberFormat="1" applyFont="1" applyAlignment="1">
      <alignment horizontal="left"/>
    </xf>
    <xf numFmtId="0" fontId="12" fillId="0" borderId="0" xfId="195" applyNumberFormat="1" applyFont="1"/>
    <xf numFmtId="3" fontId="24" fillId="0" borderId="0" xfId="201" applyNumberFormat="1" applyFont="1"/>
    <xf numFmtId="164" fontId="12" fillId="0" borderId="0" xfId="195" applyFont="1"/>
    <xf numFmtId="0" fontId="24" fillId="0" borderId="0" xfId="195" quotePrefix="1" applyNumberFormat="1" applyFont="1"/>
    <xf numFmtId="0" fontId="24" fillId="0" borderId="0" xfId="3" applyFont="1" applyAlignment="1">
      <alignment horizontal="left"/>
    </xf>
    <xf numFmtId="164" fontId="24" fillId="0" borderId="0" xfId="201" applyFont="1" applyAlignment="1">
      <alignment horizontal="left"/>
    </xf>
    <xf numFmtId="164" fontId="24" fillId="0" borderId="0" xfId="195" applyFont="1" applyAlignment="1">
      <alignment horizontal="left"/>
    </xf>
    <xf numFmtId="0" fontId="24" fillId="0" borderId="0" xfId="202" applyNumberFormat="1" applyFont="1" applyProtection="1">
      <protection locked="0"/>
    </xf>
    <xf numFmtId="164" fontId="72" fillId="0" borderId="1" xfId="0" applyFont="1" applyBorder="1" applyAlignment="1">
      <alignment horizontal="center"/>
    </xf>
    <xf numFmtId="0" fontId="24" fillId="0" borderId="1" xfId="0" applyNumberFormat="1" applyFont="1" applyBorder="1" applyAlignment="1" applyProtection="1">
      <alignment horizontal="center"/>
      <protection locked="0"/>
    </xf>
    <xf numFmtId="185" fontId="81" fillId="0" borderId="0" xfId="210" applyNumberFormat="1" applyFont="1" applyFill="1" applyAlignment="1"/>
    <xf numFmtId="185" fontId="81" fillId="0" borderId="0" xfId="210" applyNumberFormat="1" applyFont="1" applyFill="1" applyAlignment="1">
      <alignment horizontal="center"/>
    </xf>
    <xf numFmtId="185" fontId="83" fillId="0" borderId="0" xfId="210" applyNumberFormat="1" applyFont="1" applyFill="1" applyAlignment="1">
      <alignment horizontal="center"/>
    </xf>
    <xf numFmtId="185" fontId="81" fillId="0" borderId="0" xfId="210" applyNumberFormat="1" applyFont="1" applyFill="1"/>
    <xf numFmtId="165" fontId="12" fillId="0" borderId="0" xfId="211" applyNumberFormat="1" applyFont="1" applyFill="1" applyAlignment="1">
      <alignment horizontal="center"/>
    </xf>
    <xf numFmtId="185" fontId="83" fillId="0" borderId="0" xfId="210" applyNumberFormat="1" applyFont="1" applyFill="1" applyBorder="1" applyAlignment="1">
      <alignment horizontal="center"/>
    </xf>
    <xf numFmtId="165" fontId="83" fillId="0" borderId="0" xfId="212" applyNumberFormat="1" applyFont="1" applyFill="1" applyBorder="1" applyAlignment="1"/>
    <xf numFmtId="165" fontId="12" fillId="0" borderId="0" xfId="212" applyNumberFormat="1" applyFont="1" applyFill="1" applyAlignment="1">
      <alignment horizontal="center"/>
    </xf>
    <xf numFmtId="165" fontId="83" fillId="0" borderId="0" xfId="212" applyNumberFormat="1" applyFont="1" applyFill="1" applyAlignment="1"/>
    <xf numFmtId="165" fontId="83" fillId="0" borderId="1" xfId="212" applyNumberFormat="1" applyFont="1" applyFill="1" applyBorder="1" applyAlignment="1">
      <alignment horizontal="center"/>
    </xf>
    <xf numFmtId="185" fontId="83" fillId="0" borderId="1" xfId="210" applyNumberFormat="1" applyFont="1" applyFill="1" applyBorder="1" applyAlignment="1">
      <alignment horizontal="center"/>
    </xf>
    <xf numFmtId="165" fontId="12" fillId="0" borderId="1" xfId="212" applyNumberFormat="1" applyFont="1" applyFill="1" applyBorder="1" applyAlignment="1"/>
    <xf numFmtId="165" fontId="81" fillId="0" borderId="3" xfId="212" applyNumberFormat="1" applyFont="1" applyFill="1" applyBorder="1" applyAlignment="1"/>
    <xf numFmtId="165" fontId="81" fillId="0" borderId="0" xfId="212" applyNumberFormat="1" applyFont="1" applyFill="1" applyBorder="1" applyAlignment="1">
      <alignment horizontal="center"/>
    </xf>
    <xf numFmtId="165" fontId="81" fillId="0" borderId="0" xfId="212" applyNumberFormat="1" applyFont="1" applyFill="1" applyBorder="1" applyAlignment="1"/>
    <xf numFmtId="189" fontId="83" fillId="0" borderId="0" xfId="211" quotePrefix="1" applyNumberFormat="1" applyFont="1" applyFill="1" applyAlignment="1">
      <alignment horizontal="right"/>
    </xf>
    <xf numFmtId="165" fontId="83" fillId="0" borderId="1" xfId="212" applyNumberFormat="1" applyFont="1" applyFill="1" applyBorder="1" applyAlignment="1"/>
    <xf numFmtId="185" fontId="12" fillId="0" borderId="0" xfId="208" applyNumberFormat="1" applyFont="1" applyFill="1" applyAlignment="1">
      <alignment horizontal="center"/>
    </xf>
    <xf numFmtId="165" fontId="83" fillId="0" borderId="0" xfId="212" applyNumberFormat="1" applyFont="1" applyFill="1" applyBorder="1" applyAlignment="1">
      <alignment horizontal="center"/>
    </xf>
    <xf numFmtId="165" fontId="12" fillId="0" borderId="0" xfId="212" applyNumberFormat="1" applyFont="1" applyFill="1" applyBorder="1" applyAlignment="1">
      <alignment horizontal="center"/>
    </xf>
    <xf numFmtId="165" fontId="12" fillId="0" borderId="0" xfId="212" applyNumberFormat="1" applyFont="1" applyFill="1" applyAlignment="1">
      <alignment horizontal="center" wrapText="1"/>
    </xf>
    <xf numFmtId="165" fontId="83" fillId="0" borderId="0" xfId="212" applyNumberFormat="1" applyFont="1" applyFill="1" applyAlignment="1">
      <alignment horizontal="center"/>
    </xf>
    <xf numFmtId="165" fontId="85" fillId="0" borderId="0" xfId="212" applyNumberFormat="1" applyFont="1" applyFill="1" applyAlignment="1">
      <alignment horizontal="center"/>
    </xf>
    <xf numFmtId="165" fontId="12" fillId="0" borderId="0" xfId="212" applyNumberFormat="1" applyFont="1" applyFill="1" applyAlignment="1"/>
    <xf numFmtId="43" fontId="86" fillId="0" borderId="0" xfId="212" applyFont="1" applyFill="1" applyBorder="1" applyAlignment="1">
      <alignment horizontal="left"/>
    </xf>
    <xf numFmtId="165" fontId="81" fillId="0" borderId="1" xfId="212" applyNumberFormat="1" applyFont="1" applyFill="1" applyBorder="1" applyAlignment="1"/>
    <xf numFmtId="43" fontId="86" fillId="0" borderId="1" xfId="212" applyFont="1" applyFill="1" applyBorder="1" applyAlignment="1">
      <alignment horizontal="left"/>
    </xf>
    <xf numFmtId="165" fontId="87" fillId="0" borderId="0" xfId="212" applyNumberFormat="1" applyFont="1" applyFill="1" applyBorder="1" applyAlignment="1"/>
    <xf numFmtId="185" fontId="81" fillId="0" borderId="0" xfId="208" applyNumberFormat="1" applyFont="1" applyFill="1" applyBorder="1" applyAlignment="1">
      <alignment horizontal="center"/>
    </xf>
    <xf numFmtId="166" fontId="16" fillId="0" borderId="2" xfId="2" applyNumberFormat="1" applyFont="1" applyFill="1" applyBorder="1"/>
    <xf numFmtId="165" fontId="16" fillId="0" borderId="0" xfId="1" applyNumberFormat="1" applyFont="1" applyFill="1"/>
    <xf numFmtId="165" fontId="16" fillId="0" borderId="3" xfId="1" applyNumberFormat="1" applyFont="1" applyFill="1" applyBorder="1"/>
    <xf numFmtId="165" fontId="66" fillId="0" borderId="0" xfId="1" applyNumberFormat="1" applyFont="1" applyFill="1"/>
    <xf numFmtId="166" fontId="16" fillId="0" borderId="0" xfId="2" applyNumberFormat="1" applyFont="1" applyFill="1" applyBorder="1"/>
    <xf numFmtId="165" fontId="16" fillId="0" borderId="0" xfId="1" applyNumberFormat="1" applyFont="1" applyFill="1" applyAlignment="1"/>
    <xf numFmtId="165" fontId="16" fillId="0" borderId="0" xfId="1" applyNumberFormat="1" applyFont="1" applyFill="1" applyBorder="1" applyAlignment="1"/>
    <xf numFmtId="165" fontId="16" fillId="0" borderId="0" xfId="1" applyNumberFormat="1" applyFont="1" applyFill="1" applyAlignment="1">
      <alignment horizontal="right" wrapText="1"/>
    </xf>
    <xf numFmtId="165" fontId="24" fillId="0" borderId="0" xfId="1" applyNumberFormat="1" applyFont="1" applyFill="1"/>
    <xf numFmtId="165" fontId="99" fillId="0" borderId="0" xfId="1" applyNumberFormat="1" applyFont="1" applyFill="1" applyAlignment="1"/>
    <xf numFmtId="165" fontId="99" fillId="0" borderId="0" xfId="1" applyNumberFormat="1" applyFont="1" applyFill="1"/>
    <xf numFmtId="165" fontId="0" fillId="0" borderId="0" xfId="1" applyNumberFormat="1" applyFont="1" applyFill="1" applyBorder="1"/>
    <xf numFmtId="0" fontId="22" fillId="0" borderId="0" xfId="194" applyNumberFormat="1" applyFont="1" applyAlignment="1">
      <alignment horizontal="center"/>
    </xf>
    <xf numFmtId="164" fontId="72" fillId="0" borderId="0" xfId="0" applyFont="1" applyAlignment="1">
      <alignment horizontal="center"/>
    </xf>
    <xf numFmtId="0" fontId="16" fillId="0" borderId="0" xfId="3" applyFont="1" applyFill="1"/>
    <xf numFmtId="0" fontId="16" fillId="0" borderId="0" xfId="3" applyFont="1" applyFill="1" applyAlignment="1">
      <alignment horizontal="right"/>
    </xf>
    <xf numFmtId="49" fontId="66" fillId="0" borderId="0" xfId="3" applyNumberFormat="1" applyFont="1" applyFill="1" applyAlignment="1">
      <alignment horizontal="right"/>
    </xf>
    <xf numFmtId="0" fontId="66" fillId="0" borderId="0" xfId="3" applyFont="1" applyFill="1" applyAlignment="1">
      <alignment horizontal="center"/>
    </xf>
    <xf numFmtId="0" fontId="66" fillId="0" borderId="0" xfId="3" applyFont="1" applyFill="1" applyAlignment="1">
      <alignment horizontal="right"/>
    </xf>
    <xf numFmtId="0" fontId="16" fillId="0" borderId="0" xfId="3" applyFont="1" applyFill="1" applyAlignment="1">
      <alignment horizontal="center"/>
    </xf>
    <xf numFmtId="0" fontId="16" fillId="0" borderId="0" xfId="3" applyFont="1" applyFill="1" applyAlignment="1">
      <alignment horizontal="center"/>
    </xf>
    <xf numFmtId="3" fontId="16" fillId="0" borderId="0" xfId="0" applyNumberFormat="1" applyFont="1" applyFill="1" applyAlignment="1">
      <alignment horizontal="center"/>
    </xf>
    <xf numFmtId="3" fontId="16" fillId="0" borderId="0" xfId="0" applyNumberFormat="1" applyFont="1" applyFill="1"/>
    <xf numFmtId="0" fontId="16" fillId="0" borderId="1" xfId="3" applyFont="1" applyFill="1" applyBorder="1" applyAlignment="1">
      <alignment horizontal="center"/>
    </xf>
    <xf numFmtId="164" fontId="16" fillId="0" borderId="0" xfId="0" applyFont="1" applyFill="1" applyAlignment="1">
      <alignment horizontal="center"/>
    </xf>
    <xf numFmtId="0" fontId="16" fillId="0" borderId="0" xfId="0" applyNumberFormat="1" applyFont="1" applyFill="1" applyAlignment="1" applyProtection="1">
      <alignment horizontal="center"/>
      <protection locked="0"/>
    </xf>
    <xf numFmtId="164" fontId="95" fillId="0" borderId="0" xfId="0" applyFont="1" applyFill="1"/>
    <xf numFmtId="3" fontId="16" fillId="0" borderId="0" xfId="3" applyNumberFormat="1" applyFont="1" applyFill="1"/>
    <xf numFmtId="164" fontId="16" fillId="0" borderId="0" xfId="0" applyFont="1" applyFill="1"/>
    <xf numFmtId="164" fontId="16" fillId="0" borderId="0" xfId="3" applyNumberFormat="1" applyFont="1" applyFill="1"/>
    <xf numFmtId="165" fontId="90" fillId="0" borderId="0" xfId="1" applyNumberFormat="1" applyFont="1" applyFill="1"/>
    <xf numFmtId="0" fontId="16" fillId="0" borderId="0" xfId="0" applyNumberFormat="1" applyFont="1" applyFill="1"/>
    <xf numFmtId="165" fontId="16" fillId="0" borderId="0" xfId="3" applyNumberFormat="1" applyFont="1" applyFill="1"/>
    <xf numFmtId="44" fontId="16" fillId="0" borderId="0" xfId="3" applyNumberFormat="1" applyFont="1" applyFill="1"/>
    <xf numFmtId="0" fontId="66" fillId="0" borderId="0" xfId="3" applyFont="1" applyFill="1"/>
    <xf numFmtId="0" fontId="5" fillId="0" borderId="0" xfId="3" applyFill="1"/>
    <xf numFmtId="49" fontId="6" fillId="0" borderId="0" xfId="3" applyNumberFormat="1" applyFont="1" applyFill="1" applyAlignment="1">
      <alignment horizontal="center"/>
    </xf>
    <xf numFmtId="0" fontId="6" fillId="0" borderId="0" xfId="3" applyFont="1" applyFill="1" applyAlignment="1">
      <alignment horizontal="center"/>
    </xf>
    <xf numFmtId="49" fontId="6" fillId="0" borderId="0" xfId="3" applyNumberFormat="1" applyFont="1" applyFill="1" applyAlignment="1">
      <alignment horizontal="center"/>
    </xf>
    <xf numFmtId="0" fontId="6" fillId="0" borderId="0" xfId="3" applyFont="1" applyFill="1" applyAlignment="1">
      <alignment horizontal="center"/>
    </xf>
    <xf numFmtId="0" fontId="5" fillId="0" borderId="0" xfId="3" applyFill="1" applyAlignment="1">
      <alignment horizontal="right"/>
    </xf>
    <xf numFmtId="0" fontId="5" fillId="0" borderId="0" xfId="3" applyFill="1" applyAlignment="1">
      <alignment horizontal="center"/>
    </xf>
    <xf numFmtId="165" fontId="5" fillId="0" borderId="0" xfId="1" quotePrefix="1" applyNumberFormat="1" applyFont="1" applyFill="1" applyAlignment="1">
      <alignment horizontal="center"/>
    </xf>
    <xf numFmtId="0" fontId="6" fillId="0" borderId="0" xfId="1" applyNumberFormat="1" applyFont="1" applyFill="1" applyAlignment="1">
      <alignment horizontal="center"/>
    </xf>
    <xf numFmtId="3" fontId="5" fillId="0" borderId="0" xfId="0" applyNumberFormat="1" applyFont="1" applyFill="1" applyAlignment="1">
      <alignment horizontal="center"/>
    </xf>
    <xf numFmtId="0" fontId="5" fillId="0" borderId="3" xfId="3" applyFill="1" applyBorder="1"/>
    <xf numFmtId="0" fontId="5" fillId="0" borderId="0" xfId="127" applyFill="1"/>
    <xf numFmtId="0" fontId="5" fillId="0" borderId="0" xfId="127" applyFill="1" applyAlignment="1">
      <alignment horizontal="center"/>
    </xf>
    <xf numFmtId="0" fontId="71" fillId="0" borderId="0" xfId="127" applyFont="1" applyFill="1" applyAlignment="1">
      <alignment horizontal="center"/>
    </xf>
    <xf numFmtId="37" fontId="5" fillId="0" borderId="0" xfId="127" applyNumberFormat="1" applyFill="1"/>
    <xf numFmtId="37" fontId="5" fillId="0" borderId="0" xfId="3" applyNumberFormat="1" applyFill="1"/>
    <xf numFmtId="0" fontId="5" fillId="0" borderId="0" xfId="127" quotePrefix="1" applyFill="1"/>
    <xf numFmtId="37" fontId="5" fillId="0" borderId="3" xfId="127" applyNumberFormat="1" applyFill="1" applyBorder="1"/>
    <xf numFmtId="164" fontId="59" fillId="0" borderId="0" xfId="0" applyFont="1" applyFill="1"/>
    <xf numFmtId="37" fontId="5" fillId="0" borderId="1" xfId="127" applyNumberFormat="1" applyFill="1" applyBorder="1"/>
    <xf numFmtId="0" fontId="6" fillId="0" borderId="0" xfId="127" applyFont="1" applyFill="1"/>
    <xf numFmtId="37" fontId="5" fillId="0" borderId="20" xfId="127" applyNumberFormat="1" applyFill="1" applyBorder="1"/>
    <xf numFmtId="37" fontId="5" fillId="0" borderId="2" xfId="127" applyNumberFormat="1" applyFill="1" applyBorder="1"/>
    <xf numFmtId="44" fontId="5" fillId="0" borderId="0" xfId="3" applyNumberFormat="1" applyFill="1"/>
    <xf numFmtId="0" fontId="5" fillId="0" borderId="0" xfId="0" applyNumberFormat="1" applyFont="1" applyFill="1" applyProtection="1">
      <protection locked="0"/>
    </xf>
    <xf numFmtId="164" fontId="5" fillId="0" borderId="0" xfId="0" applyFont="1" applyFill="1"/>
    <xf numFmtId="164" fontId="5" fillId="0" borderId="0" xfId="0" applyFont="1" applyFill="1" applyAlignment="1">
      <alignment horizontal="center"/>
    </xf>
    <xf numFmtId="0" fontId="5" fillId="0" borderId="1" xfId="3" applyFill="1" applyBorder="1" applyAlignment="1">
      <alignment horizontal="center"/>
    </xf>
    <xf numFmtId="164" fontId="5" fillId="0" borderId="1" xfId="0" applyFont="1" applyFill="1" applyBorder="1" applyAlignment="1">
      <alignment horizontal="center"/>
    </xf>
    <xf numFmtId="164" fontId="6" fillId="0" borderId="0" xfId="0" applyFont="1" applyFill="1"/>
    <xf numFmtId="164" fontId="25" fillId="0" borderId="0" xfId="0" applyFont="1" applyFill="1"/>
    <xf numFmtId="17" fontId="5" fillId="0" borderId="0" xfId="3" applyNumberFormat="1" applyFill="1"/>
    <xf numFmtId="0" fontId="5" fillId="0" borderId="0" xfId="0" applyNumberFormat="1" applyFont="1" applyFill="1"/>
    <xf numFmtId="188" fontId="5" fillId="0" borderId="0" xfId="0" applyNumberFormat="1" applyFont="1" applyFill="1"/>
    <xf numFmtId="9" fontId="5" fillId="0" borderId="0" xfId="207" applyFont="1" applyFill="1"/>
    <xf numFmtId="190" fontId="5" fillId="0" borderId="0" xfId="0" applyNumberFormat="1" applyFont="1" applyFill="1"/>
    <xf numFmtId="164" fontId="5" fillId="0" borderId="0" xfId="0" applyFont="1" applyFill="1" applyAlignment="1">
      <alignment wrapText="1"/>
    </xf>
    <xf numFmtId="164" fontId="6" fillId="0" borderId="0" xfId="0" applyFont="1" applyFill="1" applyAlignment="1">
      <alignment horizontal="right"/>
    </xf>
    <xf numFmtId="164" fontId="79" fillId="0" borderId="0" xfId="0" applyFont="1" applyFill="1"/>
    <xf numFmtId="164" fontId="5" fillId="0" borderId="0" xfId="0" applyFont="1" applyFill="1" applyAlignment="1">
      <alignment vertical="center"/>
    </xf>
    <xf numFmtId="164" fontId="5" fillId="0" borderId="0" xfId="0" applyFont="1" applyFill="1" applyAlignment="1">
      <alignment horizontal="left" wrapText="1"/>
    </xf>
    <xf numFmtId="164" fontId="5" fillId="0" borderId="0" xfId="0" applyFont="1" applyFill="1" applyAlignment="1">
      <alignment horizontal="left" wrapText="1"/>
    </xf>
    <xf numFmtId="0" fontId="2" fillId="0" borderId="0" xfId="209" applyFill="1"/>
    <xf numFmtId="0" fontId="80" fillId="0" borderId="0" xfId="209" applyFont="1" applyFill="1"/>
    <xf numFmtId="0" fontId="81" fillId="0" borderId="0" xfId="3" applyFont="1" applyFill="1" applyAlignment="1">
      <alignment horizontal="center"/>
    </xf>
    <xf numFmtId="0" fontId="81" fillId="0" borderId="0" xfId="3" applyFont="1" applyFill="1" applyAlignment="1">
      <alignment horizontal="right"/>
    </xf>
    <xf numFmtId="1" fontId="82" fillId="0" borderId="0" xfId="209" quotePrefix="1" applyNumberFormat="1" applyFont="1" applyFill="1" applyAlignment="1">
      <alignment horizontal="left"/>
    </xf>
    <xf numFmtId="0" fontId="81" fillId="0" borderId="0" xfId="3" applyFont="1" applyFill="1"/>
    <xf numFmtId="0" fontId="81" fillId="0" borderId="0" xfId="3" applyFont="1" applyFill="1" applyAlignment="1">
      <alignment horizontal="center"/>
    </xf>
    <xf numFmtId="164" fontId="83" fillId="0" borderId="0" xfId="209" applyNumberFormat="1" applyFont="1" applyFill="1"/>
    <xf numFmtId="164" fontId="83" fillId="0" borderId="0" xfId="209" applyNumberFormat="1" applyFont="1" applyFill="1" applyAlignment="1">
      <alignment horizontal="center"/>
    </xf>
    <xf numFmtId="164" fontId="81" fillId="0" borderId="0" xfId="209" applyNumberFormat="1" applyFont="1" applyFill="1" applyAlignment="1">
      <alignment horizontal="center"/>
    </xf>
    <xf numFmtId="184" fontId="81" fillId="0" borderId="0" xfId="209" applyNumberFormat="1" applyFont="1" applyFill="1" applyAlignment="1">
      <alignment horizontal="center"/>
    </xf>
    <xf numFmtId="184" fontId="81" fillId="0" borderId="0" xfId="209" quotePrefix="1" applyNumberFormat="1" applyFont="1" applyFill="1" applyAlignment="1">
      <alignment horizontal="center"/>
    </xf>
    <xf numFmtId="164" fontId="81" fillId="0" borderId="0" xfId="209" applyNumberFormat="1" applyFont="1" applyFill="1" applyAlignment="1">
      <alignment horizontal="right"/>
    </xf>
    <xf numFmtId="0" fontId="81" fillId="0" borderId="6" xfId="3" applyFont="1" applyFill="1" applyBorder="1" applyAlignment="1">
      <alignment horizontal="center"/>
    </xf>
    <xf numFmtId="3" fontId="83" fillId="0" borderId="6" xfId="209" applyNumberFormat="1" applyFont="1" applyFill="1" applyBorder="1" applyAlignment="1">
      <alignment horizontal="center"/>
    </xf>
    <xf numFmtId="3" fontId="83" fillId="0" borderId="6" xfId="209" applyNumberFormat="1" applyFont="1" applyFill="1" applyBorder="1" applyAlignment="1">
      <alignment horizontal="center"/>
    </xf>
    <xf numFmtId="164" fontId="81" fillId="0" borderId="0" xfId="209" applyNumberFormat="1" applyFont="1" applyFill="1"/>
    <xf numFmtId="164" fontId="81" fillId="0" borderId="5" xfId="209" applyNumberFormat="1" applyFont="1" applyFill="1" applyBorder="1"/>
    <xf numFmtId="164" fontId="81" fillId="0" borderId="5" xfId="209" applyNumberFormat="1" applyFont="1" applyFill="1" applyBorder="1" applyAlignment="1">
      <alignment horizontal="center" wrapText="1"/>
    </xf>
    <xf numFmtId="164" fontId="81" fillId="0" borderId="21" xfId="209" applyNumberFormat="1" applyFont="1" applyFill="1" applyBorder="1" applyAlignment="1">
      <alignment horizontal="center"/>
    </xf>
    <xf numFmtId="164" fontId="81" fillId="0" borderId="22" xfId="209" applyNumberFormat="1" applyFont="1" applyFill="1" applyBorder="1" applyAlignment="1">
      <alignment horizontal="center"/>
    </xf>
    <xf numFmtId="164" fontId="81" fillId="0" borderId="0" xfId="209" applyNumberFormat="1" applyFont="1" applyFill="1" applyAlignment="1">
      <alignment horizontal="center" wrapText="1"/>
    </xf>
    <xf numFmtId="0" fontId="83" fillId="0" borderId="0" xfId="3" applyFont="1" applyFill="1" applyAlignment="1">
      <alignment horizontal="center"/>
    </xf>
    <xf numFmtId="3" fontId="81" fillId="0" borderId="21" xfId="209" applyNumberFormat="1" applyFont="1" applyFill="1" applyBorder="1" applyAlignment="1">
      <alignment horizontal="center"/>
    </xf>
    <xf numFmtId="3" fontId="81" fillId="0" borderId="11" xfId="209" applyNumberFormat="1" applyFont="1" applyFill="1" applyBorder="1" applyAlignment="1">
      <alignment horizontal="center"/>
    </xf>
    <xf numFmtId="3" fontId="83" fillId="0" borderId="0" xfId="209" applyNumberFormat="1" applyFont="1" applyFill="1"/>
    <xf numFmtId="3" fontId="83" fillId="0" borderId="0" xfId="209" quotePrefix="1" applyNumberFormat="1" applyFont="1" applyFill="1" applyAlignment="1">
      <alignment horizontal="right"/>
    </xf>
    <xf numFmtId="3" fontId="12" fillId="0" borderId="0" xfId="209" applyNumberFormat="1" applyFont="1" applyFill="1" applyAlignment="1">
      <alignment horizontal="center"/>
    </xf>
    <xf numFmtId="3" fontId="83" fillId="0" borderId="0" xfId="209" applyNumberFormat="1" applyFont="1" applyFill="1" applyAlignment="1">
      <alignment horizontal="center"/>
    </xf>
    <xf numFmtId="3" fontId="84" fillId="0" borderId="0" xfId="209" applyNumberFormat="1" applyFont="1" applyFill="1"/>
    <xf numFmtId="3" fontId="81" fillId="0" borderId="0" xfId="209" applyNumberFormat="1" applyFont="1" applyFill="1"/>
    <xf numFmtId="3" fontId="83" fillId="0" borderId="0" xfId="209" applyNumberFormat="1" applyFont="1" applyFill="1" applyAlignment="1">
      <alignment horizontal="right"/>
    </xf>
    <xf numFmtId="3" fontId="83" fillId="0" borderId="1" xfId="209" applyNumberFormat="1" applyFont="1" applyFill="1" applyBorder="1" applyAlignment="1">
      <alignment horizontal="right"/>
    </xf>
    <xf numFmtId="3" fontId="12" fillId="0" borderId="0" xfId="0" applyNumberFormat="1" applyFont="1" applyFill="1"/>
    <xf numFmtId="3" fontId="12" fillId="0" borderId="0" xfId="209" applyNumberFormat="1" applyFont="1" applyFill="1"/>
    <xf numFmtId="3" fontId="12" fillId="0" borderId="0" xfId="209" quotePrefix="1" applyNumberFormat="1" applyFont="1" applyFill="1" applyAlignment="1">
      <alignment horizontal="right"/>
    </xf>
    <xf numFmtId="0" fontId="12" fillId="0" borderId="0" xfId="3" applyFont="1" applyFill="1" applyAlignment="1">
      <alignment horizontal="center"/>
    </xf>
    <xf numFmtId="3" fontId="94" fillId="0" borderId="0" xfId="209" applyNumberFormat="1" applyFont="1" applyFill="1"/>
    <xf numFmtId="3" fontId="81" fillId="0" borderId="0" xfId="209" applyNumberFormat="1" applyFont="1" applyFill="1" applyAlignment="1">
      <alignment wrapText="1"/>
    </xf>
    <xf numFmtId="164" fontId="88" fillId="0" borderId="0" xfId="0" applyFont="1" applyFill="1"/>
    <xf numFmtId="0" fontId="1" fillId="0" borderId="0" xfId="209" applyFont="1" applyFill="1"/>
    <xf numFmtId="164" fontId="0" fillId="0" borderId="0" xfId="0" applyFill="1"/>
    <xf numFmtId="0" fontId="89" fillId="0" borderId="0" xfId="3" applyFont="1" applyFill="1" applyAlignment="1">
      <alignment horizontal="center"/>
    </xf>
    <xf numFmtId="0" fontId="83" fillId="0" borderId="0" xfId="3" applyFont="1" applyFill="1" applyAlignment="1">
      <alignment horizontal="center" vertical="top"/>
    </xf>
    <xf numFmtId="0" fontId="90" fillId="0" borderId="0" xfId="209" applyFont="1" applyFill="1" applyAlignment="1">
      <alignment horizontal="left" vertical="top" wrapText="1"/>
    </xf>
    <xf numFmtId="0" fontId="91" fillId="0" borderId="0" xfId="209" applyFont="1" applyFill="1" applyAlignment="1">
      <alignment wrapText="1"/>
    </xf>
    <xf numFmtId="0" fontId="2" fillId="0" borderId="0" xfId="209" applyFill="1" applyAlignment="1">
      <alignment wrapText="1"/>
    </xf>
    <xf numFmtId="0" fontId="16" fillId="0" borderId="0" xfId="209" applyFont="1" applyFill="1" applyAlignment="1">
      <alignment horizontal="left" vertical="top" wrapText="1"/>
    </xf>
    <xf numFmtId="0" fontId="12" fillId="0" borderId="0" xfId="3" applyFont="1" applyFill="1" applyAlignment="1">
      <alignment horizontal="center" vertical="top"/>
    </xf>
    <xf numFmtId="0" fontId="92" fillId="0" borderId="0" xfId="209" applyFont="1" applyFill="1" applyAlignment="1">
      <alignment horizontal="left" vertical="top" wrapText="1"/>
    </xf>
    <xf numFmtId="0" fontId="93" fillId="0" borderId="0" xfId="209" applyFont="1" applyFill="1"/>
    <xf numFmtId="0" fontId="2" fillId="0" borderId="0" xfId="209" applyFill="1" applyAlignment="1">
      <alignment vertical="top" wrapText="1"/>
    </xf>
    <xf numFmtId="0" fontId="66" fillId="0" borderId="0" xfId="3" applyFont="1" applyFill="1" applyAlignment="1">
      <alignment horizontal="center"/>
    </xf>
    <xf numFmtId="165" fontId="16" fillId="0" borderId="23" xfId="1" applyNumberFormat="1" applyFont="1" applyFill="1" applyBorder="1"/>
    <xf numFmtId="164" fontId="16" fillId="0" borderId="24" xfId="0" applyFont="1" applyFill="1" applyBorder="1"/>
    <xf numFmtId="164" fontId="16" fillId="0" borderId="25" xfId="0" applyFont="1" applyFill="1" applyBorder="1"/>
    <xf numFmtId="0" fontId="16" fillId="0" borderId="1" xfId="0" applyNumberFormat="1" applyFont="1" applyFill="1" applyBorder="1" applyAlignment="1">
      <alignment horizontal="center" vertical="center"/>
    </xf>
    <xf numFmtId="0" fontId="16" fillId="0" borderId="1" xfId="0" applyNumberFormat="1" applyFont="1" applyFill="1" applyBorder="1" applyAlignment="1">
      <alignment horizontal="center"/>
    </xf>
    <xf numFmtId="164" fontId="16" fillId="0" borderId="1" xfId="0" applyFont="1" applyFill="1" applyBorder="1" applyAlignment="1">
      <alignment horizontal="center"/>
    </xf>
    <xf numFmtId="165" fontId="16" fillId="0" borderId="26" xfId="1" applyNumberFormat="1" applyFont="1" applyFill="1" applyBorder="1" applyAlignment="1">
      <alignment horizontal="center"/>
    </xf>
    <xf numFmtId="164" fontId="16" fillId="0" borderId="27" xfId="0" applyFont="1" applyFill="1" applyBorder="1" applyAlignment="1">
      <alignment horizontal="center"/>
    </xf>
    <xf numFmtId="164" fontId="66" fillId="0" borderId="0" xfId="0" applyFont="1" applyFill="1" applyAlignment="1">
      <alignment horizontal="left"/>
    </xf>
    <xf numFmtId="164" fontId="66" fillId="0" borderId="0" xfId="0" applyFont="1" applyFill="1" applyAlignment="1">
      <alignment horizontal="right"/>
    </xf>
    <xf numFmtId="0" fontId="16" fillId="0" borderId="0" xfId="0" applyNumberFormat="1" applyFont="1" applyFill="1" applyAlignment="1">
      <alignment horizontal="center" vertical="center"/>
    </xf>
    <xf numFmtId="0" fontId="16" fillId="0" borderId="0" xfId="0" applyNumberFormat="1" applyFont="1" applyFill="1" applyAlignment="1">
      <alignment horizontal="center"/>
    </xf>
    <xf numFmtId="187" fontId="16" fillId="0" borderId="0" xfId="0" applyNumberFormat="1" applyFont="1" applyFill="1" applyAlignment="1">
      <alignment horizontal="right"/>
    </xf>
    <xf numFmtId="165" fontId="16" fillId="0" borderId="26" xfId="1" applyNumberFormat="1" applyFont="1" applyFill="1" applyBorder="1"/>
    <xf numFmtId="165" fontId="16" fillId="0" borderId="0" xfId="1" applyNumberFormat="1" applyFont="1" applyFill="1" applyBorder="1" applyAlignment="1">
      <alignment horizontal="center"/>
    </xf>
    <xf numFmtId="165" fontId="16" fillId="0" borderId="0" xfId="1" applyNumberFormat="1" applyFont="1" applyFill="1" applyBorder="1"/>
    <xf numFmtId="165" fontId="16" fillId="0" borderId="27" xfId="1" applyNumberFormat="1" applyFont="1" applyFill="1" applyBorder="1"/>
    <xf numFmtId="0" fontId="16" fillId="0" borderId="0" xfId="3" applyFont="1" applyFill="1" applyAlignment="1">
      <alignment horizontal="center" vertical="center"/>
    </xf>
    <xf numFmtId="187" fontId="16" fillId="0" borderId="0" xfId="0" applyNumberFormat="1" applyFont="1" applyFill="1" applyAlignment="1">
      <alignment horizontal="center"/>
    </xf>
    <xf numFmtId="165" fontId="16" fillId="0" borderId="28" xfId="1" applyNumberFormat="1" applyFont="1" applyFill="1" applyBorder="1"/>
    <xf numFmtId="164" fontId="16" fillId="0" borderId="6" xfId="0" applyFont="1" applyFill="1" applyBorder="1"/>
    <xf numFmtId="164" fontId="16" fillId="0" borderId="29" xfId="0" applyFont="1" applyFill="1" applyBorder="1"/>
    <xf numFmtId="164" fontId="16" fillId="0" borderId="0" xfId="0" applyFont="1" applyFill="1" applyAlignment="1">
      <alignment horizontal="right"/>
    </xf>
    <xf numFmtId="0" fontId="16" fillId="0" borderId="0" xfId="3" applyFont="1" applyFill="1" applyAlignment="1">
      <alignment horizontal="left"/>
    </xf>
    <xf numFmtId="0" fontId="16" fillId="0" borderId="0" xfId="0" applyNumberFormat="1" applyFont="1" applyFill="1" applyAlignment="1">
      <alignment vertical="center"/>
    </xf>
    <xf numFmtId="43" fontId="16" fillId="0" borderId="0" xfId="1" applyFont="1" applyFill="1" applyBorder="1" applyAlignment="1">
      <alignment wrapText="1"/>
    </xf>
    <xf numFmtId="165" fontId="0" fillId="0" borderId="0" xfId="1" applyNumberFormat="1" applyFont="1" applyFill="1"/>
    <xf numFmtId="0" fontId="6" fillId="0" borderId="0" xfId="3" applyFont="1" applyFill="1"/>
    <xf numFmtId="0" fontId="5" fillId="0" borderId="1" xfId="0" applyNumberFormat="1" applyFont="1" applyFill="1" applyBorder="1" applyAlignment="1">
      <alignment horizontal="center" vertical="center"/>
    </xf>
    <xf numFmtId="0" fontId="5" fillId="0" borderId="1" xfId="0" applyNumberFormat="1" applyFont="1" applyFill="1" applyBorder="1" applyAlignment="1">
      <alignment horizontal="center"/>
    </xf>
    <xf numFmtId="164" fontId="6" fillId="0" borderId="0" xfId="0" applyFont="1" applyFill="1" applyAlignment="1">
      <alignment horizontal="left"/>
    </xf>
    <xf numFmtId="0" fontId="5" fillId="0" borderId="0" xfId="0" applyNumberFormat="1" applyFont="1" applyFill="1" applyAlignment="1">
      <alignment horizontal="center" vertical="center"/>
    </xf>
    <xf numFmtId="0" fontId="5" fillId="0" borderId="0" xfId="0" applyNumberFormat="1" applyFont="1" applyFill="1" applyAlignment="1">
      <alignment horizontal="center"/>
    </xf>
    <xf numFmtId="187" fontId="98" fillId="0" borderId="0" xfId="0" applyNumberFormat="1" applyFont="1" applyFill="1" applyAlignment="1">
      <alignment horizontal="right"/>
    </xf>
    <xf numFmtId="187" fontId="5" fillId="0" borderId="0" xfId="0" applyNumberFormat="1" applyFont="1" applyFill="1" applyAlignment="1">
      <alignment horizontal="right"/>
    </xf>
    <xf numFmtId="0" fontId="5" fillId="0" borderId="0" xfId="3" applyFill="1" applyAlignment="1">
      <alignment horizontal="center" vertical="center"/>
    </xf>
    <xf numFmtId="187" fontId="5" fillId="0" borderId="0" xfId="0" applyNumberFormat="1" applyFont="1" applyFill="1" applyAlignment="1">
      <alignment horizontal="center"/>
    </xf>
    <xf numFmtId="164" fontId="74" fillId="0" borderId="0" xfId="0" applyFont="1" applyFill="1"/>
    <xf numFmtId="164" fontId="100" fillId="0" borderId="0" xfId="0" applyFont="1" applyFill="1"/>
    <xf numFmtId="164" fontId="0" fillId="0" borderId="0" xfId="0" applyFill="1" applyAlignment="1">
      <alignment horizontal="right"/>
    </xf>
    <xf numFmtId="0" fontId="5" fillId="0" borderId="0" xfId="3" applyFill="1" applyAlignment="1">
      <alignment horizontal="left"/>
    </xf>
    <xf numFmtId="0" fontId="5" fillId="0" borderId="0" xfId="0" applyNumberFormat="1" applyFont="1" applyFill="1" applyAlignment="1">
      <alignment vertical="center"/>
    </xf>
    <xf numFmtId="43" fontId="5" fillId="0" borderId="0" xfId="1" applyFont="1" applyFill="1" applyBorder="1" applyAlignment="1">
      <alignment wrapText="1"/>
    </xf>
    <xf numFmtId="0" fontId="78" fillId="0" borderId="0" xfId="3" applyFont="1" applyFill="1"/>
    <xf numFmtId="187" fontId="5" fillId="0" borderId="0" xfId="0" applyNumberFormat="1" applyFont="1" applyFill="1" applyAlignment="1">
      <alignment horizontal="left"/>
    </xf>
    <xf numFmtId="187" fontId="5" fillId="0" borderId="0" xfId="125" applyNumberFormat="1" applyFont="1" applyFill="1" applyAlignment="1">
      <alignment horizontal="right"/>
    </xf>
    <xf numFmtId="187" fontId="0" fillId="0" borderId="0" xfId="1" applyNumberFormat="1" applyFont="1" applyFill="1"/>
    <xf numFmtId="164" fontId="101" fillId="0" borderId="23" xfId="123" applyFont="1" applyFill="1" applyBorder="1" applyAlignment="1">
      <alignment horizontal="left" indent="1"/>
    </xf>
    <xf numFmtId="164" fontId="0" fillId="0" borderId="24" xfId="0" applyFill="1" applyBorder="1"/>
    <xf numFmtId="164" fontId="0" fillId="0" borderId="25" xfId="0" applyFill="1" applyBorder="1"/>
    <xf numFmtId="164" fontId="7" fillId="0" borderId="26" xfId="123" applyFill="1" applyBorder="1" applyAlignment="1">
      <alignment horizontal="left"/>
    </xf>
    <xf numFmtId="165" fontId="0" fillId="0" borderId="27" xfId="1" applyNumberFormat="1" applyFont="1" applyFill="1" applyBorder="1"/>
    <xf numFmtId="165" fontId="0" fillId="0" borderId="0" xfId="0" applyNumberFormat="1" applyFill="1"/>
    <xf numFmtId="165" fontId="0" fillId="0" borderId="27" xfId="0" applyNumberFormat="1" applyFill="1" applyBorder="1"/>
    <xf numFmtId="164" fontId="7" fillId="0" borderId="26" xfId="123" applyFill="1" applyBorder="1" applyAlignment="1">
      <alignment horizontal="left" indent="1"/>
    </xf>
    <xf numFmtId="165" fontId="0" fillId="0" borderId="11" xfId="0" applyNumberFormat="1" applyFill="1" applyBorder="1"/>
    <xf numFmtId="165" fontId="0" fillId="0" borderId="30" xfId="0" applyNumberFormat="1" applyFill="1" applyBorder="1"/>
    <xf numFmtId="164" fontId="7" fillId="0" borderId="26" xfId="123" applyFill="1" applyBorder="1"/>
    <xf numFmtId="164" fontId="0" fillId="0" borderId="27" xfId="0" applyFill="1" applyBorder="1"/>
    <xf numFmtId="164" fontId="102" fillId="0" borderId="26" xfId="123" applyFont="1" applyFill="1" applyBorder="1"/>
    <xf numFmtId="164" fontId="0" fillId="0" borderId="26" xfId="0" applyFill="1" applyBorder="1"/>
    <xf numFmtId="164" fontId="101" fillId="0" borderId="28" xfId="123" applyFont="1" applyFill="1" applyBorder="1" applyAlignment="1">
      <alignment horizontal="left" indent="1"/>
    </xf>
    <xf numFmtId="165" fontId="0" fillId="0" borderId="31" xfId="0" applyNumberFormat="1" applyFill="1" applyBorder="1"/>
    <xf numFmtId="165" fontId="0" fillId="0" borderId="32" xfId="0" applyNumberFormat="1" applyFill="1" applyBorder="1"/>
  </cellXfs>
  <cellStyles count="214">
    <cellStyle name="%" xfId="4" xr:uid="{00000000-0005-0000-0000-000000000000}"/>
    <cellStyle name="_033103 13 week CF1" xfId="5" xr:uid="{00000000-0005-0000-0000-000001000000}"/>
    <cellStyle name="_181000-189000" xfId="6" xr:uid="{00000000-0005-0000-0000-000002000000}"/>
    <cellStyle name="_2002  What- No Cap X Morgan" xfId="7" xr:uid="{00000000-0005-0000-0000-000003000000}"/>
    <cellStyle name="_Baseline Rollforward Support 050817" xfId="8" xr:uid="{00000000-0005-0000-0000-000004000000}"/>
    <cellStyle name="_EGTG_2003_YTD_Cash_Flow" xfId="9" xr:uid="{00000000-0005-0000-0000-000005000000}"/>
    <cellStyle name="_Everest_Board_Book_2003_FINAL" xfId="10" xr:uid="{00000000-0005-0000-0000-000006000000}"/>
    <cellStyle name="_Oct03_Everest_Board_Financial_Operating_Report" xfId="11" xr:uid="{00000000-0005-0000-0000-000007000000}"/>
    <cellStyle name="_SpreadSM" xfId="12" xr:uid="{00000000-0005-0000-0000-000008000000}"/>
    <cellStyle name="_Vacation Hours 7-14-08 (2)" xfId="13" xr:uid="{00000000-0005-0000-0000-000009000000}"/>
    <cellStyle name="=C:\WINNT35\SYSTEM32\COMMAND.COM" xfId="14" xr:uid="{00000000-0005-0000-0000-00000A000000}"/>
    <cellStyle name="20% - Accent1 2" xfId="15" xr:uid="{00000000-0005-0000-0000-00000B000000}"/>
    <cellStyle name="20% - Accent2 2" xfId="16" xr:uid="{00000000-0005-0000-0000-00000C000000}"/>
    <cellStyle name="20% - Accent3 2" xfId="17" xr:uid="{00000000-0005-0000-0000-00000D000000}"/>
    <cellStyle name="20% - Accent4 2" xfId="18" xr:uid="{00000000-0005-0000-0000-00000E000000}"/>
    <cellStyle name="20% - Accent5 2" xfId="19" xr:uid="{00000000-0005-0000-0000-00000F000000}"/>
    <cellStyle name="20% - Accent6 2" xfId="20" xr:uid="{00000000-0005-0000-0000-000010000000}"/>
    <cellStyle name="40% - Accent1 2" xfId="21" xr:uid="{00000000-0005-0000-0000-000011000000}"/>
    <cellStyle name="40% - Accent2 2" xfId="22" xr:uid="{00000000-0005-0000-0000-000012000000}"/>
    <cellStyle name="40% - Accent3 2" xfId="23" xr:uid="{00000000-0005-0000-0000-000013000000}"/>
    <cellStyle name="40% - Accent4 2" xfId="24" xr:uid="{00000000-0005-0000-0000-000014000000}"/>
    <cellStyle name="40% - Accent5 2" xfId="25" xr:uid="{00000000-0005-0000-0000-000015000000}"/>
    <cellStyle name="40% - Accent6 2" xfId="26" xr:uid="{00000000-0005-0000-0000-000016000000}"/>
    <cellStyle name="60% - Accent1 2" xfId="27" xr:uid="{00000000-0005-0000-0000-000017000000}"/>
    <cellStyle name="60% - Accent2 2" xfId="28" xr:uid="{00000000-0005-0000-0000-000018000000}"/>
    <cellStyle name="60% - Accent3 2" xfId="29" xr:uid="{00000000-0005-0000-0000-000019000000}"/>
    <cellStyle name="60% - Accent4 2" xfId="30" xr:uid="{00000000-0005-0000-0000-00001A000000}"/>
    <cellStyle name="60% - Accent5 2" xfId="31" xr:uid="{00000000-0005-0000-0000-00001B000000}"/>
    <cellStyle name="60% - Accent6 2" xfId="32" xr:uid="{00000000-0005-0000-0000-00001C000000}"/>
    <cellStyle name="Accent1 2" xfId="33" xr:uid="{00000000-0005-0000-0000-00001D000000}"/>
    <cellStyle name="Accent2 2" xfId="34" xr:uid="{00000000-0005-0000-0000-00001E000000}"/>
    <cellStyle name="Accent3 2" xfId="35" xr:uid="{00000000-0005-0000-0000-00001F000000}"/>
    <cellStyle name="Accent4 2" xfId="36" xr:uid="{00000000-0005-0000-0000-000020000000}"/>
    <cellStyle name="Accent5 2" xfId="37" xr:uid="{00000000-0005-0000-0000-000021000000}"/>
    <cellStyle name="Accent6 2" xfId="38" xr:uid="{00000000-0005-0000-0000-000022000000}"/>
    <cellStyle name="Accounting" xfId="39" xr:uid="{00000000-0005-0000-0000-000023000000}"/>
    <cellStyle name="Actual Date" xfId="40" xr:uid="{00000000-0005-0000-0000-000024000000}"/>
    <cellStyle name="ADDR" xfId="41" xr:uid="{00000000-0005-0000-0000-000025000000}"/>
    <cellStyle name="Agara" xfId="42" xr:uid="{00000000-0005-0000-0000-000026000000}"/>
    <cellStyle name="Bad 2" xfId="43" xr:uid="{00000000-0005-0000-0000-000027000000}"/>
    <cellStyle name="Body" xfId="44" xr:uid="{00000000-0005-0000-0000-000028000000}"/>
    <cellStyle name="Bottom bold border" xfId="45" xr:uid="{00000000-0005-0000-0000-000029000000}"/>
    <cellStyle name="Bottom single border" xfId="46" xr:uid="{00000000-0005-0000-0000-00002A000000}"/>
    <cellStyle name="Business Unit" xfId="47" xr:uid="{00000000-0005-0000-0000-00002B000000}"/>
    <cellStyle name="C00A" xfId="48" xr:uid="{00000000-0005-0000-0000-00002C000000}"/>
    <cellStyle name="C00B" xfId="49" xr:uid="{00000000-0005-0000-0000-00002D000000}"/>
    <cellStyle name="C00L" xfId="50" xr:uid="{00000000-0005-0000-0000-00002E000000}"/>
    <cellStyle name="C01A" xfId="51" xr:uid="{00000000-0005-0000-0000-00002F000000}"/>
    <cellStyle name="C01B" xfId="52" xr:uid="{00000000-0005-0000-0000-000030000000}"/>
    <cellStyle name="C01H" xfId="53" xr:uid="{00000000-0005-0000-0000-000031000000}"/>
    <cellStyle name="C01L" xfId="54" xr:uid="{00000000-0005-0000-0000-000032000000}"/>
    <cellStyle name="C02A" xfId="55" xr:uid="{00000000-0005-0000-0000-000033000000}"/>
    <cellStyle name="C02B" xfId="56" xr:uid="{00000000-0005-0000-0000-000034000000}"/>
    <cellStyle name="C02H" xfId="57" xr:uid="{00000000-0005-0000-0000-000035000000}"/>
    <cellStyle name="C02L" xfId="58" xr:uid="{00000000-0005-0000-0000-000036000000}"/>
    <cellStyle name="C03A" xfId="59" xr:uid="{00000000-0005-0000-0000-000037000000}"/>
    <cellStyle name="C03B" xfId="60" xr:uid="{00000000-0005-0000-0000-000038000000}"/>
    <cellStyle name="C03H" xfId="61" xr:uid="{00000000-0005-0000-0000-000039000000}"/>
    <cellStyle name="C03L" xfId="62" xr:uid="{00000000-0005-0000-0000-00003A000000}"/>
    <cellStyle name="C04A" xfId="63" xr:uid="{00000000-0005-0000-0000-00003B000000}"/>
    <cellStyle name="C04B" xfId="64" xr:uid="{00000000-0005-0000-0000-00003C000000}"/>
    <cellStyle name="C04H" xfId="65" xr:uid="{00000000-0005-0000-0000-00003D000000}"/>
    <cellStyle name="C04L" xfId="66" xr:uid="{00000000-0005-0000-0000-00003E000000}"/>
    <cellStyle name="C05A" xfId="67" xr:uid="{00000000-0005-0000-0000-00003F000000}"/>
    <cellStyle name="C05B" xfId="68" xr:uid="{00000000-0005-0000-0000-000040000000}"/>
    <cellStyle name="C05H" xfId="69" xr:uid="{00000000-0005-0000-0000-000041000000}"/>
    <cellStyle name="C05L" xfId="70" xr:uid="{00000000-0005-0000-0000-000042000000}"/>
    <cellStyle name="C06A" xfId="71" xr:uid="{00000000-0005-0000-0000-000043000000}"/>
    <cellStyle name="C06B" xfId="72" xr:uid="{00000000-0005-0000-0000-000044000000}"/>
    <cellStyle name="C06H" xfId="73" xr:uid="{00000000-0005-0000-0000-000045000000}"/>
    <cellStyle name="C06L" xfId="74" xr:uid="{00000000-0005-0000-0000-000046000000}"/>
    <cellStyle name="C07A" xfId="75" xr:uid="{00000000-0005-0000-0000-000047000000}"/>
    <cellStyle name="C07B" xfId="76" xr:uid="{00000000-0005-0000-0000-000048000000}"/>
    <cellStyle name="C07H" xfId="77" xr:uid="{00000000-0005-0000-0000-000049000000}"/>
    <cellStyle name="C07L" xfId="78" xr:uid="{00000000-0005-0000-0000-00004A000000}"/>
    <cellStyle name="Calculation 2" xfId="79" xr:uid="{00000000-0005-0000-0000-00004B000000}"/>
    <cellStyle name="Check Cell 2" xfId="80" xr:uid="{00000000-0005-0000-0000-00004C000000}"/>
    <cellStyle name="Comma" xfId="1" builtinId="3"/>
    <cellStyle name="Comma 0" xfId="81" xr:uid="{00000000-0005-0000-0000-00004E000000}"/>
    <cellStyle name="Comma 2" xfId="82" xr:uid="{00000000-0005-0000-0000-00004F000000}"/>
    <cellStyle name="Comma 3" xfId="83" xr:uid="{00000000-0005-0000-0000-000050000000}"/>
    <cellStyle name="Comma 4" xfId="84" xr:uid="{00000000-0005-0000-0000-000051000000}"/>
    <cellStyle name="Comma 5" xfId="85" xr:uid="{00000000-0005-0000-0000-000052000000}"/>
    <cellStyle name="Comma 7" xfId="211" xr:uid="{3E2E9EC5-7133-43CD-9B5C-03AD93FB1508}"/>
    <cellStyle name="Comma 96" xfId="212" xr:uid="{B6E11328-1D3B-48A0-A185-AD114B0A717F}"/>
    <cellStyle name="Comma0 - Style1" xfId="86" xr:uid="{00000000-0005-0000-0000-000053000000}"/>
    <cellStyle name="Currency" xfId="2" builtinId="4"/>
    <cellStyle name="Currency 2" xfId="87" xr:uid="{00000000-0005-0000-0000-000055000000}"/>
    <cellStyle name="Currency 3" xfId="88" xr:uid="{00000000-0005-0000-0000-000056000000}"/>
    <cellStyle name="Date" xfId="89" xr:uid="{00000000-0005-0000-0000-000057000000}"/>
    <cellStyle name="Euro" xfId="90" xr:uid="{00000000-0005-0000-0000-000058000000}"/>
    <cellStyle name="Explanatory Text 2" xfId="91" xr:uid="{00000000-0005-0000-0000-000059000000}"/>
    <cellStyle name="Fixed" xfId="92" xr:uid="{00000000-0005-0000-0000-00005A000000}"/>
    <cellStyle name="Fixed1 - Style1" xfId="93" xr:uid="{00000000-0005-0000-0000-00005B000000}"/>
    <cellStyle name="Gilsans" xfId="94" xr:uid="{00000000-0005-0000-0000-00005C000000}"/>
    <cellStyle name="Gilsansl" xfId="95" xr:uid="{00000000-0005-0000-0000-00005D000000}"/>
    <cellStyle name="Good 2" xfId="96" xr:uid="{00000000-0005-0000-0000-00005E000000}"/>
    <cellStyle name="Grey" xfId="97" xr:uid="{00000000-0005-0000-0000-00005F000000}"/>
    <cellStyle name="HEADER" xfId="98" xr:uid="{00000000-0005-0000-0000-000060000000}"/>
    <cellStyle name="Header1" xfId="99" xr:uid="{00000000-0005-0000-0000-000061000000}"/>
    <cellStyle name="Header2" xfId="100" xr:uid="{00000000-0005-0000-0000-000062000000}"/>
    <cellStyle name="Heading" xfId="101" xr:uid="{00000000-0005-0000-0000-000063000000}"/>
    <cellStyle name="Heading 1 2" xfId="102" xr:uid="{00000000-0005-0000-0000-000064000000}"/>
    <cellStyle name="Heading 2 2" xfId="103" xr:uid="{00000000-0005-0000-0000-000065000000}"/>
    <cellStyle name="Heading 3 2" xfId="104" xr:uid="{00000000-0005-0000-0000-000066000000}"/>
    <cellStyle name="Heading 4 2" xfId="105" xr:uid="{00000000-0005-0000-0000-000067000000}"/>
    <cellStyle name="Heading1" xfId="106" xr:uid="{00000000-0005-0000-0000-000068000000}"/>
    <cellStyle name="Heading2" xfId="107" xr:uid="{00000000-0005-0000-0000-000069000000}"/>
    <cellStyle name="HIGHLIGHT" xfId="108" xr:uid="{00000000-0005-0000-0000-00006A000000}"/>
    <cellStyle name="Hyperlink" xfId="206" builtinId="8"/>
    <cellStyle name="Input [yellow]" xfId="109" xr:uid="{00000000-0005-0000-0000-00006C000000}"/>
    <cellStyle name="Input 2" xfId="110" xr:uid="{00000000-0005-0000-0000-00006D000000}"/>
    <cellStyle name="Lines" xfId="111" xr:uid="{00000000-0005-0000-0000-00006E000000}"/>
    <cellStyle name="Linked Cell 2" xfId="112" xr:uid="{00000000-0005-0000-0000-00006F000000}"/>
    <cellStyle name="MEM SSN" xfId="113" xr:uid="{00000000-0005-0000-0000-000070000000}"/>
    <cellStyle name="Mine" xfId="114" xr:uid="{00000000-0005-0000-0000-000071000000}"/>
    <cellStyle name="mmm-yy" xfId="115" xr:uid="{00000000-0005-0000-0000-000072000000}"/>
    <cellStyle name="Monétaire [0]_pldt" xfId="116" xr:uid="{00000000-0005-0000-0000-000073000000}"/>
    <cellStyle name="Monétaire_pldt" xfId="117" xr:uid="{00000000-0005-0000-0000-000074000000}"/>
    <cellStyle name="Neutral 2" xfId="118" xr:uid="{00000000-0005-0000-0000-000075000000}"/>
    <cellStyle name="New" xfId="119" xr:uid="{00000000-0005-0000-0000-000076000000}"/>
    <cellStyle name="No Border" xfId="120" xr:uid="{00000000-0005-0000-0000-000077000000}"/>
    <cellStyle name="no dec" xfId="121" xr:uid="{00000000-0005-0000-0000-000078000000}"/>
    <cellStyle name="Normal" xfId="0" builtinId="0"/>
    <cellStyle name="Normal - Style1" xfId="122" xr:uid="{00000000-0005-0000-0000-00007A000000}"/>
    <cellStyle name="Normal 10" xfId="198" xr:uid="{00000000-0005-0000-0000-00007B000000}"/>
    <cellStyle name="Normal 11" xfId="199" xr:uid="{00000000-0005-0000-0000-00007C000000}"/>
    <cellStyle name="Normal 12" xfId="200" xr:uid="{00000000-0005-0000-0000-00007D000000}"/>
    <cellStyle name="Normal 14" xfId="201" xr:uid="{00000000-0005-0000-0000-00007E000000}"/>
    <cellStyle name="Normal 15" xfId="203" xr:uid="{00000000-0005-0000-0000-00007F000000}"/>
    <cellStyle name="Normal 18" xfId="197" xr:uid="{00000000-0005-0000-0000-000080000000}"/>
    <cellStyle name="Normal 2" xfId="123" xr:uid="{00000000-0005-0000-0000-000081000000}"/>
    <cellStyle name="Normal 2 2" xfId="124" xr:uid="{00000000-0005-0000-0000-000082000000}"/>
    <cellStyle name="Normal 22" xfId="202" xr:uid="{00000000-0005-0000-0000-000083000000}"/>
    <cellStyle name="Normal 3" xfId="125" xr:uid="{00000000-0005-0000-0000-000084000000}"/>
    <cellStyle name="Normal 3 2" xfId="126" xr:uid="{00000000-0005-0000-0000-000085000000}"/>
    <cellStyle name="Normal 4" xfId="127" xr:uid="{00000000-0005-0000-0000-000086000000}"/>
    <cellStyle name="Normal 5" xfId="194" xr:uid="{00000000-0005-0000-0000-000087000000}"/>
    <cellStyle name="Normal 68" xfId="209" xr:uid="{2446A59D-6A8C-4514-A85F-3781F087E18D}"/>
    <cellStyle name="Normal 8" xfId="195" xr:uid="{00000000-0005-0000-0000-000088000000}"/>
    <cellStyle name="Normal 9" xfId="196" xr:uid="{00000000-0005-0000-0000-000089000000}"/>
    <cellStyle name="Normal CEN" xfId="128" xr:uid="{00000000-0005-0000-0000-00008A000000}"/>
    <cellStyle name="Normal Centered" xfId="129" xr:uid="{00000000-0005-0000-0000-00008B000000}"/>
    <cellStyle name="NORMAL CTR" xfId="130" xr:uid="{00000000-0005-0000-0000-00008C000000}"/>
    <cellStyle name="Normal_PRECorp2002HeintzResponse 8-21-03" xfId="3" xr:uid="{00000000-0005-0000-0000-00008D000000}"/>
    <cellStyle name="Note 2" xfId="131" xr:uid="{00000000-0005-0000-0000-00008E000000}"/>
    <cellStyle name="nUMBER" xfId="132" xr:uid="{00000000-0005-0000-0000-00008F000000}"/>
    <cellStyle name="Output 2" xfId="133" xr:uid="{00000000-0005-0000-0000-000090000000}"/>
    <cellStyle name="Percent" xfId="208" builtinId="5"/>
    <cellStyle name="Percent [2]" xfId="134" xr:uid="{00000000-0005-0000-0000-000092000000}"/>
    <cellStyle name="Percent 14" xfId="204" xr:uid="{00000000-0005-0000-0000-000093000000}"/>
    <cellStyle name="Percent 2" xfId="135" xr:uid="{00000000-0005-0000-0000-000094000000}"/>
    <cellStyle name="Percent 3" xfId="213" xr:uid="{26DAF44A-A07E-4F4F-A2F4-7AE11980232D}"/>
    <cellStyle name="Percent 60 2" xfId="205" xr:uid="{00000000-0005-0000-0000-000095000000}"/>
    <cellStyle name="Percent 60 2 2" xfId="207" xr:uid="{00000000-0005-0000-0000-000096000000}"/>
    <cellStyle name="Percent 63" xfId="210" xr:uid="{8CE2AA06-7115-40AA-AC6B-96B49249D10C}"/>
    <cellStyle name="PSChar" xfId="136" xr:uid="{00000000-0005-0000-0000-000097000000}"/>
    <cellStyle name="PSDate" xfId="137" xr:uid="{00000000-0005-0000-0000-000098000000}"/>
    <cellStyle name="PSDec" xfId="138" xr:uid="{00000000-0005-0000-0000-000099000000}"/>
    <cellStyle name="PSHeading" xfId="139" xr:uid="{00000000-0005-0000-0000-00009A000000}"/>
    <cellStyle name="PSInt" xfId="140" xr:uid="{00000000-0005-0000-0000-00009B000000}"/>
    <cellStyle name="PSSpacer" xfId="141" xr:uid="{00000000-0005-0000-0000-00009C000000}"/>
    <cellStyle name="R00A" xfId="142" xr:uid="{00000000-0005-0000-0000-00009D000000}"/>
    <cellStyle name="R00B" xfId="143" xr:uid="{00000000-0005-0000-0000-00009E000000}"/>
    <cellStyle name="R00L" xfId="144" xr:uid="{00000000-0005-0000-0000-00009F000000}"/>
    <cellStyle name="R01A" xfId="145" xr:uid="{00000000-0005-0000-0000-0000A0000000}"/>
    <cellStyle name="R01B" xfId="146" xr:uid="{00000000-0005-0000-0000-0000A1000000}"/>
    <cellStyle name="R01H" xfId="147" xr:uid="{00000000-0005-0000-0000-0000A2000000}"/>
    <cellStyle name="R01L" xfId="148" xr:uid="{00000000-0005-0000-0000-0000A3000000}"/>
    <cellStyle name="R02A" xfId="149" xr:uid="{00000000-0005-0000-0000-0000A4000000}"/>
    <cellStyle name="R02B" xfId="150" xr:uid="{00000000-0005-0000-0000-0000A5000000}"/>
    <cellStyle name="R02H" xfId="151" xr:uid="{00000000-0005-0000-0000-0000A6000000}"/>
    <cellStyle name="R02L" xfId="152" xr:uid="{00000000-0005-0000-0000-0000A7000000}"/>
    <cellStyle name="R03A" xfId="153" xr:uid="{00000000-0005-0000-0000-0000A8000000}"/>
    <cellStyle name="R03B" xfId="154" xr:uid="{00000000-0005-0000-0000-0000A9000000}"/>
    <cellStyle name="R03H" xfId="155" xr:uid="{00000000-0005-0000-0000-0000AA000000}"/>
    <cellStyle name="R03L" xfId="156" xr:uid="{00000000-0005-0000-0000-0000AB000000}"/>
    <cellStyle name="R04A" xfId="157" xr:uid="{00000000-0005-0000-0000-0000AC000000}"/>
    <cellStyle name="R04B" xfId="158" xr:uid="{00000000-0005-0000-0000-0000AD000000}"/>
    <cellStyle name="R04H" xfId="159" xr:uid="{00000000-0005-0000-0000-0000AE000000}"/>
    <cellStyle name="R04L" xfId="160" xr:uid="{00000000-0005-0000-0000-0000AF000000}"/>
    <cellStyle name="R05A" xfId="161" xr:uid="{00000000-0005-0000-0000-0000B0000000}"/>
    <cellStyle name="R05B" xfId="162" xr:uid="{00000000-0005-0000-0000-0000B1000000}"/>
    <cellStyle name="R05H" xfId="163" xr:uid="{00000000-0005-0000-0000-0000B2000000}"/>
    <cellStyle name="R05L" xfId="164" xr:uid="{00000000-0005-0000-0000-0000B3000000}"/>
    <cellStyle name="R06A" xfId="165" xr:uid="{00000000-0005-0000-0000-0000B4000000}"/>
    <cellStyle name="R06B" xfId="166" xr:uid="{00000000-0005-0000-0000-0000B5000000}"/>
    <cellStyle name="R06H" xfId="167" xr:uid="{00000000-0005-0000-0000-0000B6000000}"/>
    <cellStyle name="R06L" xfId="168" xr:uid="{00000000-0005-0000-0000-0000B7000000}"/>
    <cellStyle name="R07A" xfId="169" xr:uid="{00000000-0005-0000-0000-0000B8000000}"/>
    <cellStyle name="R07B" xfId="170" xr:uid="{00000000-0005-0000-0000-0000B9000000}"/>
    <cellStyle name="R07H" xfId="171" xr:uid="{00000000-0005-0000-0000-0000BA000000}"/>
    <cellStyle name="R07L" xfId="172" xr:uid="{00000000-0005-0000-0000-0000BB000000}"/>
    <cellStyle name="Resource Detail" xfId="173" xr:uid="{00000000-0005-0000-0000-0000BC000000}"/>
    <cellStyle name="Shade" xfId="174" xr:uid="{00000000-0005-0000-0000-0000BD000000}"/>
    <cellStyle name="single acct" xfId="175" xr:uid="{00000000-0005-0000-0000-0000BE000000}"/>
    <cellStyle name="Single Border" xfId="176" xr:uid="{00000000-0005-0000-0000-0000BF000000}"/>
    <cellStyle name="Small Page Heading" xfId="177" xr:uid="{00000000-0005-0000-0000-0000C0000000}"/>
    <cellStyle name="ssn" xfId="178" xr:uid="{00000000-0005-0000-0000-0000C1000000}"/>
    <cellStyle name="Style 1" xfId="179" xr:uid="{00000000-0005-0000-0000-0000C2000000}"/>
    <cellStyle name="Style 2" xfId="180" xr:uid="{00000000-0005-0000-0000-0000C3000000}"/>
    <cellStyle name="Style 27" xfId="181" xr:uid="{00000000-0005-0000-0000-0000C4000000}"/>
    <cellStyle name="Style 28" xfId="182" xr:uid="{00000000-0005-0000-0000-0000C5000000}"/>
    <cellStyle name="Table Sub Heading" xfId="183" xr:uid="{00000000-0005-0000-0000-0000C6000000}"/>
    <cellStyle name="Table Title" xfId="184" xr:uid="{00000000-0005-0000-0000-0000C7000000}"/>
    <cellStyle name="Table Units" xfId="185" xr:uid="{00000000-0005-0000-0000-0000C8000000}"/>
    <cellStyle name="Theirs" xfId="186" xr:uid="{00000000-0005-0000-0000-0000C9000000}"/>
    <cellStyle name="Times New Roman" xfId="187" xr:uid="{00000000-0005-0000-0000-0000CA000000}"/>
    <cellStyle name="Title 2" xfId="188" xr:uid="{00000000-0005-0000-0000-0000CB000000}"/>
    <cellStyle name="Total 2" xfId="189" xr:uid="{00000000-0005-0000-0000-0000CC000000}"/>
    <cellStyle name="Unprot" xfId="190" xr:uid="{00000000-0005-0000-0000-0000CD000000}"/>
    <cellStyle name="Unprot$" xfId="191" xr:uid="{00000000-0005-0000-0000-0000CE000000}"/>
    <cellStyle name="Unprotect" xfId="192" xr:uid="{00000000-0005-0000-0000-0000CF000000}"/>
    <cellStyle name="Warning Text 2" xfId="193" xr:uid="{00000000-0005-0000-0000-0000D0000000}"/>
  </cellStyles>
  <dxfs count="0"/>
  <tableStyles count="0" defaultTableStyle="TableStyleMedium2" defaultPivotStyle="PivotStyleLight16"/>
  <colors>
    <mruColors>
      <color rgb="FF00FFFF"/>
      <color rgb="FFCC00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microsoft.com/office/2017/10/relationships/person" Target="persons/person.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5640E-CD2C-4693-9C8B-023E65C7C119}">
  <dimension ref="A1:G198"/>
  <sheetViews>
    <sheetView zoomScale="80" zoomScaleNormal="80" workbookViewId="0">
      <selection activeCell="N42" sqref="N42"/>
    </sheetView>
  </sheetViews>
  <sheetFormatPr defaultRowHeight="15"/>
  <cols>
    <col min="1" max="1" width="5.36328125" customWidth="1"/>
    <col min="2" max="2" width="1.81640625" customWidth="1"/>
    <col min="3" max="3" width="49.453125" customWidth="1"/>
    <col min="4" max="4" width="32.90625" customWidth="1"/>
    <col min="5" max="5" width="2.54296875" customWidth="1"/>
    <col min="6" max="6" width="76.54296875" bestFit="1" customWidth="1"/>
    <col min="8" max="8" width="14.453125" bestFit="1" customWidth="1"/>
  </cols>
  <sheetData>
    <row r="1" spans="1:6" ht="15.6">
      <c r="A1" s="100" t="s">
        <v>2</v>
      </c>
      <c r="B1" s="100"/>
      <c r="C1" s="100"/>
      <c r="D1" s="100"/>
      <c r="E1" s="100"/>
      <c r="F1" s="100"/>
    </row>
    <row r="2" spans="1:6" ht="15.6">
      <c r="A2" s="100" t="s">
        <v>197</v>
      </c>
      <c r="B2" s="100"/>
      <c r="C2" s="100"/>
      <c r="D2" s="100"/>
      <c r="E2" s="100"/>
      <c r="F2" s="100"/>
    </row>
    <row r="3" spans="1:6">
      <c r="A3" s="3"/>
      <c r="B3" s="3"/>
      <c r="C3" s="3"/>
      <c r="D3" s="3"/>
      <c r="E3" s="3"/>
      <c r="F3" s="3"/>
    </row>
    <row r="4" spans="1:6">
      <c r="A4" s="3"/>
      <c r="B4" s="3"/>
      <c r="C4" s="3"/>
      <c r="D4" s="3"/>
      <c r="E4" s="3"/>
      <c r="F4" s="3"/>
    </row>
    <row r="5" spans="1:6" ht="15.6">
      <c r="A5" s="3"/>
      <c r="B5" s="3"/>
      <c r="C5" s="3"/>
      <c r="D5" s="56" t="s">
        <v>63</v>
      </c>
      <c r="E5" s="3"/>
      <c r="F5" s="56" t="s">
        <v>64</v>
      </c>
    </row>
    <row r="6" spans="1:6">
      <c r="A6" s="13"/>
      <c r="B6" s="13"/>
      <c r="C6" s="19" t="s">
        <v>65</v>
      </c>
      <c r="D6" s="19" t="s">
        <v>66</v>
      </c>
      <c r="E6" s="3"/>
      <c r="F6" s="19" t="s">
        <v>66</v>
      </c>
    </row>
    <row r="7" spans="1:6" ht="15.6">
      <c r="A7" s="13"/>
      <c r="B7" s="13"/>
      <c r="C7" s="20"/>
      <c r="D7" s="21" t="s">
        <v>4</v>
      </c>
      <c r="E7" s="3"/>
      <c r="F7" s="21" t="s">
        <v>4</v>
      </c>
    </row>
    <row r="8" spans="1:6" ht="15.6">
      <c r="A8" s="22" t="s">
        <v>3</v>
      </c>
      <c r="B8" s="13"/>
      <c r="C8" s="20"/>
      <c r="D8" s="23" t="s">
        <v>6</v>
      </c>
      <c r="E8" s="3"/>
      <c r="F8" s="23" t="s">
        <v>6</v>
      </c>
    </row>
    <row r="9" spans="1:6" ht="15.6">
      <c r="A9" s="57" t="s">
        <v>5</v>
      </c>
      <c r="B9" s="13"/>
      <c r="C9" s="24" t="s">
        <v>67</v>
      </c>
      <c r="D9" s="12"/>
      <c r="E9" s="3"/>
      <c r="F9" s="12"/>
    </row>
    <row r="10" spans="1:6">
      <c r="A10" s="22"/>
      <c r="B10" s="13"/>
      <c r="C10" s="20"/>
      <c r="D10" s="12"/>
      <c r="E10" s="3"/>
      <c r="F10" s="12"/>
    </row>
    <row r="11" spans="1:6">
      <c r="A11" s="22"/>
      <c r="B11" s="13"/>
      <c r="C11" s="13" t="s">
        <v>68</v>
      </c>
      <c r="D11" s="14" t="s">
        <v>69</v>
      </c>
      <c r="E11" s="3"/>
      <c r="F11" s="14" t="s">
        <v>69</v>
      </c>
    </row>
    <row r="12" spans="1:6">
      <c r="A12" s="22">
        <v>1</v>
      </c>
      <c r="B12" s="13"/>
      <c r="C12" s="13" t="s">
        <v>70</v>
      </c>
      <c r="D12" s="25" t="s">
        <v>71</v>
      </c>
      <c r="E12" s="3"/>
      <c r="F12" s="25" t="s">
        <v>71</v>
      </c>
    </row>
    <row r="13" spans="1:6">
      <c r="A13" s="22">
        <f t="shared" ref="A13:A44" si="0">+A12+1</f>
        <v>2</v>
      </c>
      <c r="B13" s="13"/>
      <c r="C13" s="13" t="s">
        <v>72</v>
      </c>
      <c r="D13" s="25" t="s">
        <v>73</v>
      </c>
      <c r="E13" s="3"/>
      <c r="F13" s="25" t="s">
        <v>73</v>
      </c>
    </row>
    <row r="14" spans="1:6">
      <c r="A14" s="22">
        <f t="shared" si="0"/>
        <v>3</v>
      </c>
      <c r="B14" s="13"/>
      <c r="C14" s="20" t="s">
        <v>316</v>
      </c>
      <c r="D14" s="12" t="str">
        <f>"See Workpaper 2 (line 9)"</f>
        <v>See Workpaper 2 (line 9)</v>
      </c>
      <c r="E14" s="3"/>
      <c r="F14" s="12" t="s">
        <v>359</v>
      </c>
    </row>
    <row r="15" spans="1:6">
      <c r="A15" s="22">
        <f t="shared" si="0"/>
        <v>4</v>
      </c>
      <c r="B15" s="13"/>
      <c r="C15" s="20" t="s">
        <v>316</v>
      </c>
      <c r="D15" s="12" t="s">
        <v>358</v>
      </c>
      <c r="E15" s="3"/>
      <c r="F15" s="12" t="s">
        <v>360</v>
      </c>
    </row>
    <row r="16" spans="1:6">
      <c r="A16" s="22">
        <f t="shared" si="0"/>
        <v>5</v>
      </c>
      <c r="B16" s="13"/>
      <c r="C16" s="13" t="s">
        <v>74</v>
      </c>
      <c r="D16" s="25" t="s">
        <v>75</v>
      </c>
      <c r="E16" s="3"/>
      <c r="F16" s="25" t="s">
        <v>75</v>
      </c>
    </row>
    <row r="17" spans="1:6">
      <c r="A17" s="22">
        <f t="shared" si="0"/>
        <v>6</v>
      </c>
      <c r="B17" s="13"/>
      <c r="C17" s="13" t="s">
        <v>76</v>
      </c>
      <c r="D17" s="12" t="s">
        <v>357</v>
      </c>
      <c r="E17" s="3"/>
      <c r="F17" s="12" t="s">
        <v>361</v>
      </c>
    </row>
    <row r="18" spans="1:6">
      <c r="A18" s="22">
        <f t="shared" si="0"/>
        <v>7</v>
      </c>
      <c r="B18" s="13"/>
      <c r="C18" s="13" t="s">
        <v>77</v>
      </c>
      <c r="D18" s="12" t="s">
        <v>356</v>
      </c>
      <c r="E18" s="3"/>
      <c r="F18" s="12" t="s">
        <v>362</v>
      </c>
    </row>
    <row r="19" spans="1:6">
      <c r="A19" s="22">
        <f t="shared" si="0"/>
        <v>8</v>
      </c>
      <c r="B19" s="13"/>
      <c r="C19" s="13" t="s">
        <v>78</v>
      </c>
      <c r="D19" s="12" t="s">
        <v>355</v>
      </c>
      <c r="E19" s="3"/>
      <c r="F19" s="12" t="s">
        <v>355</v>
      </c>
    </row>
    <row r="20" spans="1:6">
      <c r="A20" s="22">
        <f t="shared" si="0"/>
        <v>9</v>
      </c>
      <c r="B20" s="13"/>
      <c r="C20" s="13" t="s">
        <v>79</v>
      </c>
      <c r="D20" s="25" t="s">
        <v>80</v>
      </c>
      <c r="E20" s="3"/>
      <c r="F20" s="25" t="s">
        <v>80</v>
      </c>
    </row>
    <row r="21" spans="1:6">
      <c r="A21" s="22">
        <f t="shared" si="0"/>
        <v>10</v>
      </c>
      <c r="B21" s="13"/>
      <c r="C21" s="26" t="s">
        <v>81</v>
      </c>
      <c r="D21" s="12" t="s">
        <v>354</v>
      </c>
      <c r="E21" s="3"/>
      <c r="F21" s="12" t="s">
        <v>354</v>
      </c>
    </row>
    <row r="22" spans="1:6">
      <c r="A22" s="22">
        <f t="shared" si="0"/>
        <v>11</v>
      </c>
      <c r="B22" s="13"/>
      <c r="C22" s="20"/>
      <c r="D22" s="12"/>
      <c r="E22" s="3"/>
      <c r="F22" s="12"/>
    </row>
    <row r="23" spans="1:6">
      <c r="A23" s="22">
        <f t="shared" si="0"/>
        <v>12</v>
      </c>
      <c r="B23" s="13"/>
      <c r="C23" s="13" t="s">
        <v>82</v>
      </c>
      <c r="D23" s="12"/>
      <c r="E23" s="3"/>
      <c r="F23" s="12"/>
    </row>
    <row r="24" spans="1:6">
      <c r="A24" s="22">
        <f t="shared" si="0"/>
        <v>13</v>
      </c>
      <c r="B24" s="13"/>
      <c r="C24" s="20" t="s">
        <v>70</v>
      </c>
      <c r="D24" s="14" t="s">
        <v>83</v>
      </c>
      <c r="E24" s="3"/>
      <c r="F24" s="14" t="s">
        <v>83</v>
      </c>
    </row>
    <row r="25" spans="1:6">
      <c r="A25" s="22">
        <f t="shared" si="0"/>
        <v>14</v>
      </c>
      <c r="B25" s="13"/>
      <c r="C25" s="13" t="s">
        <v>72</v>
      </c>
      <c r="D25" s="14" t="s">
        <v>84</v>
      </c>
      <c r="E25" s="3"/>
      <c r="F25" s="14" t="s">
        <v>84</v>
      </c>
    </row>
    <row r="26" spans="1:6">
      <c r="A26" s="22">
        <f t="shared" si="0"/>
        <v>15</v>
      </c>
      <c r="B26" s="13"/>
      <c r="C26" s="20" t="s">
        <v>353</v>
      </c>
      <c r="D26" s="12" t="str">
        <f>"See Workpaper 2 (line 48)"</f>
        <v>See Workpaper 2 (line 48)</v>
      </c>
      <c r="E26" s="3"/>
      <c r="F26" s="12" t="s">
        <v>352</v>
      </c>
    </row>
    <row r="27" spans="1:6">
      <c r="A27" s="22">
        <f t="shared" si="0"/>
        <v>16</v>
      </c>
      <c r="B27" s="13"/>
      <c r="C27" s="13" t="s">
        <v>74</v>
      </c>
      <c r="D27" s="14" t="s">
        <v>85</v>
      </c>
      <c r="E27" s="3"/>
      <c r="F27" s="14" t="s">
        <v>85</v>
      </c>
    </row>
    <row r="28" spans="1:6">
      <c r="A28" s="22">
        <f t="shared" si="0"/>
        <v>17</v>
      </c>
      <c r="B28" s="13"/>
      <c r="C28" s="20" t="s">
        <v>76</v>
      </c>
      <c r="D28" s="14" t="s">
        <v>351</v>
      </c>
      <c r="E28" s="3"/>
      <c r="F28" s="12" t="s">
        <v>363</v>
      </c>
    </row>
    <row r="29" spans="1:6">
      <c r="A29" s="22">
        <f t="shared" si="0"/>
        <v>18</v>
      </c>
      <c r="B29" s="13"/>
      <c r="C29" s="13" t="s">
        <v>77</v>
      </c>
      <c r="D29" s="14" t="s">
        <v>350</v>
      </c>
      <c r="E29" s="3"/>
      <c r="F29" s="12" t="s">
        <v>364</v>
      </c>
    </row>
    <row r="30" spans="1:6">
      <c r="A30" s="22">
        <f t="shared" si="0"/>
        <v>19</v>
      </c>
      <c r="B30" s="13"/>
      <c r="C30" s="20" t="s">
        <v>78</v>
      </c>
      <c r="D30" s="14" t="s">
        <v>349</v>
      </c>
      <c r="E30" s="3"/>
      <c r="F30" s="12" t="s">
        <v>365</v>
      </c>
    </row>
    <row r="31" spans="1:6">
      <c r="A31" s="22">
        <f t="shared" si="0"/>
        <v>20</v>
      </c>
      <c r="B31" s="13"/>
      <c r="C31" s="20" t="s">
        <v>79</v>
      </c>
      <c r="D31" s="14" t="s">
        <v>80</v>
      </c>
      <c r="E31" s="3"/>
      <c r="F31" s="14" t="s">
        <v>80</v>
      </c>
    </row>
    <row r="32" spans="1:6">
      <c r="A32" s="22">
        <f t="shared" si="0"/>
        <v>21</v>
      </c>
      <c r="B32" s="13"/>
      <c r="C32" s="13" t="s">
        <v>86</v>
      </c>
      <c r="D32" s="12" t="s">
        <v>348</v>
      </c>
      <c r="E32" s="3"/>
      <c r="F32" s="12" t="s">
        <v>348</v>
      </c>
    </row>
    <row r="33" spans="1:6">
      <c r="A33" s="22">
        <f t="shared" si="0"/>
        <v>22</v>
      </c>
      <c r="B33" s="13"/>
      <c r="C33" s="13"/>
      <c r="D33" s="12" t="s">
        <v>87</v>
      </c>
      <c r="E33" s="3"/>
      <c r="F33" s="12" t="s">
        <v>87</v>
      </c>
    </row>
    <row r="34" spans="1:6">
      <c r="A34" s="22">
        <f t="shared" si="0"/>
        <v>23</v>
      </c>
      <c r="B34" s="13"/>
      <c r="C34" s="13" t="s">
        <v>88</v>
      </c>
      <c r="D34" s="12"/>
      <c r="E34" s="3"/>
      <c r="F34" s="12"/>
    </row>
    <row r="35" spans="1:6">
      <c r="A35" s="22">
        <f t="shared" si="0"/>
        <v>24</v>
      </c>
      <c r="B35" s="13"/>
      <c r="C35" s="20" t="s">
        <v>70</v>
      </c>
      <c r="D35" s="12" t="s">
        <v>347</v>
      </c>
      <c r="E35" s="3"/>
      <c r="F35" s="12" t="s">
        <v>347</v>
      </c>
    </row>
    <row r="36" spans="1:6">
      <c r="A36" s="22">
        <f t="shared" si="0"/>
        <v>25</v>
      </c>
      <c r="B36" s="13"/>
      <c r="C36" s="13" t="s">
        <v>72</v>
      </c>
      <c r="D36" s="12" t="s">
        <v>346</v>
      </c>
      <c r="E36" s="3"/>
      <c r="F36" s="12" t="s">
        <v>346</v>
      </c>
    </row>
    <row r="37" spans="1:6">
      <c r="A37" s="22">
        <f t="shared" si="0"/>
        <v>26</v>
      </c>
      <c r="B37" s="13"/>
      <c r="C37" s="20" t="str">
        <f>+C14</f>
        <v xml:space="preserve">  New Construction CUS Assets</v>
      </c>
      <c r="D37" s="12" t="s">
        <v>345</v>
      </c>
      <c r="E37" s="3"/>
      <c r="F37" s="12" t="s">
        <v>345</v>
      </c>
    </row>
    <row r="38" spans="1:6">
      <c r="A38" s="22">
        <f t="shared" si="0"/>
        <v>27</v>
      </c>
      <c r="B38" s="13"/>
      <c r="C38" s="20" t="s">
        <v>316</v>
      </c>
      <c r="D38" s="12" t="s">
        <v>344</v>
      </c>
      <c r="E38" s="3"/>
      <c r="F38" s="12" t="s">
        <v>344</v>
      </c>
    </row>
    <row r="39" spans="1:6">
      <c r="A39" s="22">
        <f t="shared" si="0"/>
        <v>28</v>
      </c>
      <c r="B39" s="13"/>
      <c r="C39" s="13" t="s">
        <v>89</v>
      </c>
      <c r="D39" s="12" t="s">
        <v>343</v>
      </c>
      <c r="E39" s="3"/>
      <c r="F39" s="12" t="s">
        <v>343</v>
      </c>
    </row>
    <row r="40" spans="1:6">
      <c r="A40" s="22">
        <f t="shared" si="0"/>
        <v>29</v>
      </c>
      <c r="B40" s="13"/>
      <c r="C40" s="20" t="s">
        <v>76</v>
      </c>
      <c r="D40" s="12" t="s">
        <v>342</v>
      </c>
      <c r="E40" s="3"/>
      <c r="F40" s="12" t="s">
        <v>342</v>
      </c>
    </row>
    <row r="41" spans="1:6">
      <c r="A41" s="22">
        <f t="shared" si="0"/>
        <v>30</v>
      </c>
      <c r="B41" s="13"/>
      <c r="C41" s="13" t="s">
        <v>77</v>
      </c>
      <c r="D41" s="12" t="s">
        <v>341</v>
      </c>
      <c r="E41" s="3"/>
      <c r="F41" s="12" t="s">
        <v>341</v>
      </c>
    </row>
    <row r="42" spans="1:6">
      <c r="A42" s="22">
        <f t="shared" si="0"/>
        <v>31</v>
      </c>
      <c r="B42" s="13"/>
      <c r="C42" s="20" t="s">
        <v>78</v>
      </c>
      <c r="D42" s="12" t="s">
        <v>340</v>
      </c>
      <c r="E42" s="3"/>
      <c r="F42" s="12" t="s">
        <v>340</v>
      </c>
    </row>
    <row r="43" spans="1:6">
      <c r="A43" s="22">
        <f t="shared" si="0"/>
        <v>32</v>
      </c>
      <c r="B43" s="13"/>
      <c r="C43" s="20" t="s">
        <v>79</v>
      </c>
      <c r="D43" s="12" t="s">
        <v>339</v>
      </c>
      <c r="E43" s="3"/>
      <c r="F43" s="12" t="s">
        <v>339</v>
      </c>
    </row>
    <row r="44" spans="1:6">
      <c r="A44" s="22">
        <f t="shared" si="0"/>
        <v>33</v>
      </c>
      <c r="B44" s="13"/>
      <c r="C44" s="13" t="s">
        <v>90</v>
      </c>
      <c r="D44" s="12" t="s">
        <v>338</v>
      </c>
      <c r="E44" s="3"/>
      <c r="F44" s="12" t="s">
        <v>338</v>
      </c>
    </row>
    <row r="45" spans="1:6">
      <c r="A45" s="22">
        <f t="shared" ref="A45:A65" si="1">+A44+1</f>
        <v>34</v>
      </c>
      <c r="B45" s="13"/>
      <c r="C45" s="13"/>
      <c r="D45" s="12"/>
      <c r="E45" s="3"/>
      <c r="F45" s="12"/>
    </row>
    <row r="46" spans="1:6">
      <c r="A46" s="22">
        <f t="shared" si="1"/>
        <v>35</v>
      </c>
      <c r="B46" s="13"/>
      <c r="C46" s="26" t="s">
        <v>91</v>
      </c>
      <c r="D46" s="14" t="s">
        <v>337</v>
      </c>
      <c r="E46" s="3"/>
      <c r="F46" s="14" t="s">
        <v>337</v>
      </c>
    </row>
    <row r="47" spans="1:6">
      <c r="A47" s="22">
        <f t="shared" si="1"/>
        <v>36</v>
      </c>
      <c r="B47" s="13"/>
      <c r="C47" s="13" t="s">
        <v>92</v>
      </c>
      <c r="D47" s="14" t="s">
        <v>93</v>
      </c>
      <c r="E47" s="3"/>
      <c r="F47" s="12" t="s">
        <v>336</v>
      </c>
    </row>
    <row r="48" spans="1:6">
      <c r="A48" s="22">
        <f t="shared" si="1"/>
        <v>37</v>
      </c>
      <c r="B48" s="13"/>
      <c r="C48" s="13" t="s">
        <v>94</v>
      </c>
      <c r="D48" s="14" t="s">
        <v>95</v>
      </c>
      <c r="E48" s="3"/>
      <c r="F48" s="12" t="s">
        <v>335</v>
      </c>
    </row>
    <row r="49" spans="1:6">
      <c r="A49" s="22">
        <f t="shared" si="1"/>
        <v>38</v>
      </c>
      <c r="B49" s="13"/>
      <c r="C49" s="13" t="s">
        <v>96</v>
      </c>
      <c r="D49" s="14" t="s">
        <v>97</v>
      </c>
      <c r="E49" s="3"/>
      <c r="F49" s="12" t="s">
        <v>334</v>
      </c>
    </row>
    <row r="50" spans="1:6">
      <c r="A50" s="22">
        <f t="shared" si="1"/>
        <v>39</v>
      </c>
      <c r="B50" s="13"/>
      <c r="C50" s="13" t="s">
        <v>98</v>
      </c>
      <c r="D50" s="14" t="s">
        <v>99</v>
      </c>
      <c r="E50" s="3"/>
      <c r="F50" s="12" t="s">
        <v>333</v>
      </c>
    </row>
    <row r="51" spans="1:6">
      <c r="A51" s="22" t="s">
        <v>370</v>
      </c>
      <c r="B51" s="13"/>
      <c r="C51" s="13" t="s">
        <v>371</v>
      </c>
      <c r="D51" s="14" t="s">
        <v>372</v>
      </c>
      <c r="E51" s="3"/>
      <c r="F51" s="14" t="s">
        <v>372</v>
      </c>
    </row>
    <row r="52" spans="1:6">
      <c r="A52" s="22">
        <f>+A50+1</f>
        <v>40</v>
      </c>
      <c r="B52" s="13"/>
      <c r="C52" s="13" t="s">
        <v>100</v>
      </c>
      <c r="D52" s="27" t="s">
        <v>101</v>
      </c>
      <c r="E52" s="3"/>
      <c r="F52" s="12" t="s">
        <v>332</v>
      </c>
    </row>
    <row r="53" spans="1:6">
      <c r="A53" s="22">
        <f t="shared" si="1"/>
        <v>41</v>
      </c>
      <c r="B53" s="13"/>
      <c r="C53" s="13" t="s">
        <v>102</v>
      </c>
      <c r="D53" s="27" t="s">
        <v>103</v>
      </c>
      <c r="E53" s="3"/>
      <c r="F53" s="13" t="s">
        <v>331</v>
      </c>
    </row>
    <row r="54" spans="1:6">
      <c r="A54" s="22">
        <f t="shared" si="1"/>
        <v>42</v>
      </c>
      <c r="B54" s="13"/>
      <c r="C54" s="13" t="s">
        <v>104</v>
      </c>
      <c r="D54" s="12" t="s">
        <v>330</v>
      </c>
      <c r="E54" s="3"/>
      <c r="F54" s="12" t="s">
        <v>330</v>
      </c>
    </row>
    <row r="55" spans="1:6">
      <c r="A55" s="22">
        <f t="shared" si="1"/>
        <v>43</v>
      </c>
      <c r="B55" s="13"/>
      <c r="C55" s="13"/>
      <c r="D55" s="12"/>
      <c r="E55" s="3"/>
      <c r="F55" s="12"/>
    </row>
    <row r="56" spans="1:6">
      <c r="A56" s="22">
        <f t="shared" si="1"/>
        <v>44</v>
      </c>
      <c r="B56" s="13"/>
      <c r="C56" s="26" t="s">
        <v>105</v>
      </c>
      <c r="D56" s="12" t="s">
        <v>329</v>
      </c>
      <c r="E56" s="3"/>
      <c r="F56" s="12" t="s">
        <v>106</v>
      </c>
    </row>
    <row r="57" spans="1:6">
      <c r="A57" s="22">
        <f t="shared" si="1"/>
        <v>45</v>
      </c>
      <c r="B57" s="13"/>
      <c r="C57" s="20"/>
      <c r="D57" s="12"/>
      <c r="E57" s="3"/>
      <c r="F57" s="12"/>
    </row>
    <row r="58" spans="1:6">
      <c r="A58" s="22">
        <f t="shared" si="1"/>
        <v>46</v>
      </c>
      <c r="B58" s="13"/>
      <c r="C58" s="13" t="s">
        <v>107</v>
      </c>
      <c r="D58" s="12" t="s">
        <v>87</v>
      </c>
      <c r="E58" s="3"/>
      <c r="F58" s="12" t="s">
        <v>87</v>
      </c>
    </row>
    <row r="59" spans="1:6">
      <c r="A59" s="22">
        <f t="shared" si="1"/>
        <v>47</v>
      </c>
      <c r="B59" s="13"/>
      <c r="C59" s="13" t="s">
        <v>108</v>
      </c>
      <c r="D59" s="13" t="s">
        <v>328</v>
      </c>
      <c r="E59" s="3"/>
      <c r="F59" s="13" t="s">
        <v>328</v>
      </c>
    </row>
    <row r="60" spans="1:6">
      <c r="A60" s="22">
        <f t="shared" si="1"/>
        <v>48</v>
      </c>
      <c r="B60" s="13"/>
      <c r="C60" s="13" t="s">
        <v>109</v>
      </c>
      <c r="D60" s="14" t="s">
        <v>110</v>
      </c>
      <c r="E60" s="3"/>
      <c r="F60" s="14" t="s">
        <v>110</v>
      </c>
    </row>
    <row r="61" spans="1:6">
      <c r="A61" s="22">
        <f t="shared" si="1"/>
        <v>49</v>
      </c>
      <c r="B61" s="13"/>
      <c r="C61" s="13" t="s">
        <v>109</v>
      </c>
      <c r="D61" s="14" t="s">
        <v>111</v>
      </c>
      <c r="E61" s="3"/>
      <c r="F61" s="14" t="s">
        <v>111</v>
      </c>
    </row>
    <row r="62" spans="1:6">
      <c r="A62" s="22">
        <f t="shared" si="1"/>
        <v>50</v>
      </c>
      <c r="B62" s="13"/>
      <c r="C62" s="13" t="s">
        <v>112</v>
      </c>
      <c r="D62" s="14" t="s">
        <v>327</v>
      </c>
      <c r="E62" s="3"/>
      <c r="F62" s="14" t="s">
        <v>327</v>
      </c>
    </row>
    <row r="63" spans="1:6">
      <c r="A63" s="22">
        <f t="shared" si="1"/>
        <v>51</v>
      </c>
      <c r="B63" s="13"/>
      <c r="C63" s="13" t="s">
        <v>113</v>
      </c>
      <c r="D63" s="12" t="s">
        <v>326</v>
      </c>
      <c r="E63" s="3"/>
      <c r="F63" s="12" t="s">
        <v>326</v>
      </c>
    </row>
    <row r="64" spans="1:6">
      <c r="A64" s="22">
        <f t="shared" si="1"/>
        <v>52</v>
      </c>
      <c r="B64" s="13"/>
      <c r="C64" s="13"/>
      <c r="D64" s="12"/>
      <c r="E64" s="3"/>
      <c r="F64" s="12"/>
    </row>
    <row r="65" spans="1:6">
      <c r="A65" s="22">
        <f t="shared" si="1"/>
        <v>53</v>
      </c>
      <c r="B65" s="13"/>
      <c r="C65" s="13" t="s">
        <v>114</v>
      </c>
      <c r="D65" s="12" t="s">
        <v>325</v>
      </c>
      <c r="E65" s="3"/>
      <c r="F65" s="12" t="s">
        <v>325</v>
      </c>
    </row>
    <row r="66" spans="1:6">
      <c r="A66" s="3"/>
      <c r="B66" s="3"/>
      <c r="C66" s="3"/>
      <c r="D66" s="3"/>
      <c r="E66" s="3"/>
      <c r="F66" s="3"/>
    </row>
    <row r="67" spans="1:6">
      <c r="A67" s="3"/>
      <c r="B67" s="3"/>
      <c r="C67" s="3"/>
      <c r="D67" s="3"/>
      <c r="E67" s="3"/>
      <c r="F67" s="3"/>
    </row>
    <row r="68" spans="1:6">
      <c r="A68" s="22"/>
      <c r="B68" s="13"/>
      <c r="C68" s="19"/>
      <c r="D68" s="28"/>
      <c r="E68" s="3"/>
      <c r="F68" s="3"/>
    </row>
    <row r="69" spans="1:6" ht="15.6">
      <c r="A69" s="22"/>
      <c r="B69" s="13"/>
      <c r="C69" s="3"/>
      <c r="D69" s="18" t="s">
        <v>63</v>
      </c>
      <c r="E69" s="3"/>
      <c r="F69" s="18" t="s">
        <v>115</v>
      </c>
    </row>
    <row r="70" spans="1:6">
      <c r="A70" s="22"/>
      <c r="B70" s="13"/>
      <c r="C70" s="19" t="s">
        <v>65</v>
      </c>
      <c r="D70" s="19" t="s">
        <v>66</v>
      </c>
      <c r="E70" s="3"/>
      <c r="F70" s="19" t="s">
        <v>66</v>
      </c>
    </row>
    <row r="71" spans="1:6" ht="15.6">
      <c r="A71" s="22" t="s">
        <v>3</v>
      </c>
      <c r="B71" s="13"/>
      <c r="C71" s="20"/>
      <c r="D71" s="21" t="s">
        <v>4</v>
      </c>
      <c r="E71" s="3"/>
      <c r="F71" s="21" t="s">
        <v>4</v>
      </c>
    </row>
    <row r="72" spans="1:6" ht="15.6">
      <c r="A72" s="22" t="s">
        <v>5</v>
      </c>
      <c r="B72" s="13"/>
      <c r="C72" s="20"/>
      <c r="D72" s="23" t="s">
        <v>6</v>
      </c>
      <c r="E72" s="3"/>
      <c r="F72" s="23" t="s">
        <v>6</v>
      </c>
    </row>
    <row r="73" spans="1:6">
      <c r="A73" s="13"/>
      <c r="B73" s="13"/>
      <c r="C73" s="20"/>
      <c r="D73" s="12"/>
      <c r="E73" s="3"/>
      <c r="F73" s="12"/>
    </row>
    <row r="74" spans="1:6">
      <c r="A74" s="22"/>
      <c r="B74" s="13"/>
      <c r="C74" s="20" t="s">
        <v>116</v>
      </c>
      <c r="D74" s="12"/>
      <c r="E74" s="3"/>
      <c r="F74" s="12"/>
    </row>
    <row r="75" spans="1:6">
      <c r="A75" s="22">
        <f>+A65+1</f>
        <v>54</v>
      </c>
      <c r="B75" s="13"/>
      <c r="C75" s="20" t="s">
        <v>117</v>
      </c>
      <c r="D75" s="12" t="s">
        <v>118</v>
      </c>
      <c r="E75" s="3"/>
      <c r="F75" s="12" t="s">
        <v>118</v>
      </c>
    </row>
    <row r="76" spans="1:6">
      <c r="A76" s="22">
        <f t="shared" ref="A76:A116" si="2">+A75+1</f>
        <v>55</v>
      </c>
      <c r="B76" s="13"/>
      <c r="C76" s="20" t="s">
        <v>119</v>
      </c>
      <c r="D76" s="12" t="s">
        <v>212</v>
      </c>
      <c r="E76" s="3"/>
      <c r="F76" s="12" t="s">
        <v>120</v>
      </c>
    </row>
    <row r="77" spans="1:6">
      <c r="A77" s="22">
        <f t="shared" si="2"/>
        <v>56</v>
      </c>
      <c r="B77" s="13"/>
      <c r="C77" s="20" t="s">
        <v>121</v>
      </c>
      <c r="D77" s="12" t="s">
        <v>122</v>
      </c>
      <c r="E77" s="3"/>
      <c r="F77" s="12" t="s">
        <v>122</v>
      </c>
    </row>
    <row r="78" spans="1:6">
      <c r="A78" s="22">
        <f t="shared" si="2"/>
        <v>57</v>
      </c>
      <c r="B78" s="13"/>
      <c r="C78" s="20" t="s">
        <v>123</v>
      </c>
      <c r="D78" s="12" t="s">
        <v>124</v>
      </c>
      <c r="E78" s="3"/>
      <c r="F78" s="12" t="s">
        <v>324</v>
      </c>
    </row>
    <row r="79" spans="1:6">
      <c r="A79" s="22">
        <f t="shared" si="2"/>
        <v>58</v>
      </c>
      <c r="B79" s="13"/>
      <c r="C79" s="20" t="s">
        <v>125</v>
      </c>
      <c r="D79" s="12" t="s">
        <v>126</v>
      </c>
      <c r="E79" s="3"/>
      <c r="F79" s="12" t="s">
        <v>126</v>
      </c>
    </row>
    <row r="80" spans="1:6">
      <c r="A80" s="22">
        <f t="shared" si="2"/>
        <v>59</v>
      </c>
      <c r="B80" s="13"/>
      <c r="C80" s="20" t="s">
        <v>127</v>
      </c>
      <c r="D80" s="12" t="s">
        <v>128</v>
      </c>
      <c r="E80" s="3"/>
      <c r="F80" s="12" t="s">
        <v>323</v>
      </c>
    </row>
    <row r="81" spans="1:7">
      <c r="A81" s="22">
        <f t="shared" si="2"/>
        <v>60</v>
      </c>
      <c r="B81" s="13"/>
      <c r="C81" s="20" t="s">
        <v>129</v>
      </c>
      <c r="D81" s="12"/>
      <c r="E81" s="3"/>
      <c r="F81" s="12" t="s">
        <v>322</v>
      </c>
    </row>
    <row r="82" spans="1:7">
      <c r="A82" s="22">
        <f t="shared" si="2"/>
        <v>61</v>
      </c>
      <c r="B82" s="13"/>
      <c r="C82" s="20" t="s">
        <v>130</v>
      </c>
      <c r="D82" s="12" t="s">
        <v>321</v>
      </c>
      <c r="E82" s="3"/>
      <c r="F82" s="12" t="s">
        <v>320</v>
      </c>
    </row>
    <row r="83" spans="1:7">
      <c r="A83" s="22">
        <f t="shared" si="2"/>
        <v>62</v>
      </c>
      <c r="B83" s="13"/>
      <c r="C83" s="20" t="s">
        <v>79</v>
      </c>
      <c r="D83" s="25" t="s">
        <v>80</v>
      </c>
      <c r="E83" s="3"/>
      <c r="F83" s="25" t="s">
        <v>80</v>
      </c>
    </row>
    <row r="84" spans="1:7">
      <c r="A84" s="22">
        <f t="shared" si="2"/>
        <v>63</v>
      </c>
      <c r="B84" s="13"/>
      <c r="C84" s="20" t="s">
        <v>319</v>
      </c>
      <c r="D84" s="12"/>
      <c r="E84" s="3"/>
      <c r="F84" s="12"/>
    </row>
    <row r="85" spans="1:7">
      <c r="A85" s="22">
        <f t="shared" si="2"/>
        <v>64</v>
      </c>
      <c r="B85" s="13"/>
      <c r="C85" s="13"/>
      <c r="D85" s="12"/>
      <c r="E85" s="3"/>
      <c r="F85" s="12"/>
    </row>
    <row r="86" spans="1:7">
      <c r="A86" s="22">
        <f t="shared" si="2"/>
        <v>65</v>
      </c>
      <c r="B86" s="13"/>
      <c r="C86" s="20" t="s">
        <v>131</v>
      </c>
      <c r="D86" s="12"/>
      <c r="E86" s="3"/>
      <c r="F86" s="12"/>
    </row>
    <row r="87" spans="1:7">
      <c r="A87" s="22">
        <f t="shared" si="2"/>
        <v>66</v>
      </c>
      <c r="B87" s="13"/>
      <c r="C87" s="20" t="s">
        <v>72</v>
      </c>
      <c r="D87" s="12" t="s">
        <v>132</v>
      </c>
      <c r="E87" s="3"/>
      <c r="F87" s="12" t="s">
        <v>318</v>
      </c>
    </row>
    <row r="88" spans="1:7">
      <c r="A88" s="22">
        <f t="shared" si="2"/>
        <v>67</v>
      </c>
      <c r="B88" s="13"/>
      <c r="C88" s="20" t="s">
        <v>316</v>
      </c>
      <c r="D88" s="20" t="str">
        <f>"See Workpaper 2 (line 13)"</f>
        <v>See Workpaper 2 (line 13)</v>
      </c>
      <c r="E88" s="3"/>
      <c r="F88" s="20" t="s">
        <v>317</v>
      </c>
    </row>
    <row r="89" spans="1:7">
      <c r="A89" s="22">
        <f t="shared" si="2"/>
        <v>68</v>
      </c>
      <c r="B89" s="13"/>
      <c r="C89" s="20" t="s">
        <v>316</v>
      </c>
      <c r="D89" s="20" t="s">
        <v>315</v>
      </c>
      <c r="E89" s="3"/>
      <c r="F89" s="20" t="s">
        <v>314</v>
      </c>
    </row>
    <row r="90" spans="1:7">
      <c r="A90" s="22">
        <f t="shared" si="2"/>
        <v>69</v>
      </c>
      <c r="B90" s="13"/>
      <c r="C90" s="20" t="s">
        <v>133</v>
      </c>
      <c r="D90" s="12" t="s">
        <v>134</v>
      </c>
      <c r="E90" s="3"/>
      <c r="F90" s="12" t="s">
        <v>313</v>
      </c>
    </row>
    <row r="91" spans="1:7">
      <c r="A91" s="22">
        <f t="shared" si="2"/>
        <v>70</v>
      </c>
      <c r="B91" s="13"/>
      <c r="C91" s="20" t="s">
        <v>79</v>
      </c>
      <c r="D91" s="12" t="s">
        <v>135</v>
      </c>
      <c r="E91" s="3"/>
      <c r="F91" s="12" t="s">
        <v>135</v>
      </c>
    </row>
    <row r="92" spans="1:7">
      <c r="A92" s="22">
        <f t="shared" si="2"/>
        <v>71</v>
      </c>
      <c r="B92" s="13"/>
      <c r="C92" s="20" t="s">
        <v>312</v>
      </c>
      <c r="D92" s="12"/>
      <c r="E92" s="3"/>
      <c r="F92" s="12"/>
    </row>
    <row r="93" spans="1:7">
      <c r="A93" s="22">
        <f t="shared" si="2"/>
        <v>72</v>
      </c>
      <c r="B93" s="13"/>
      <c r="C93" s="20"/>
      <c r="D93" s="12"/>
      <c r="E93" s="3"/>
      <c r="F93" s="12"/>
    </row>
    <row r="94" spans="1:7">
      <c r="A94" s="22">
        <f t="shared" si="2"/>
        <v>73</v>
      </c>
      <c r="B94" s="13"/>
      <c r="C94" s="20" t="s">
        <v>136</v>
      </c>
      <c r="D94" s="13"/>
      <c r="E94" s="3"/>
      <c r="F94" s="13"/>
    </row>
    <row r="95" spans="1:7">
      <c r="A95" s="22">
        <f t="shared" si="2"/>
        <v>74</v>
      </c>
      <c r="B95" s="13"/>
      <c r="C95" s="20" t="s">
        <v>137</v>
      </c>
      <c r="D95" s="13"/>
      <c r="E95" s="3"/>
      <c r="F95" s="13"/>
    </row>
    <row r="96" spans="1:7">
      <c r="A96" s="22">
        <f t="shared" si="2"/>
        <v>75</v>
      </c>
      <c r="B96" s="13"/>
      <c r="C96" s="20" t="s">
        <v>138</v>
      </c>
      <c r="D96" s="12" t="s">
        <v>213</v>
      </c>
      <c r="E96" s="3"/>
      <c r="F96" s="12" t="s">
        <v>368</v>
      </c>
      <c r="G96" s="12"/>
    </row>
    <row r="97" spans="1:6">
      <c r="A97" s="22">
        <f t="shared" si="2"/>
        <v>76</v>
      </c>
      <c r="B97" s="13"/>
      <c r="C97" s="20" t="s">
        <v>139</v>
      </c>
      <c r="D97" s="12" t="s">
        <v>140</v>
      </c>
      <c r="E97" s="3"/>
      <c r="F97" s="12" t="s">
        <v>369</v>
      </c>
    </row>
    <row r="98" spans="1:6">
      <c r="A98" s="22">
        <f t="shared" si="2"/>
        <v>77</v>
      </c>
      <c r="B98" s="13"/>
      <c r="C98" s="20" t="s">
        <v>141</v>
      </c>
      <c r="D98" s="12" t="s">
        <v>87</v>
      </c>
      <c r="E98" s="3"/>
      <c r="F98" s="12" t="s">
        <v>87</v>
      </c>
    </row>
    <row r="99" spans="1:6">
      <c r="A99" s="22">
        <f t="shared" si="2"/>
        <v>78</v>
      </c>
      <c r="B99" s="13"/>
      <c r="C99" s="20" t="s">
        <v>142</v>
      </c>
      <c r="D99" s="12" t="s">
        <v>143</v>
      </c>
      <c r="E99" s="3"/>
      <c r="F99" s="12" t="s">
        <v>367</v>
      </c>
    </row>
    <row r="100" spans="1:6">
      <c r="A100" s="22">
        <f t="shared" si="2"/>
        <v>79</v>
      </c>
      <c r="B100" s="13"/>
      <c r="C100" s="20" t="s">
        <v>144</v>
      </c>
      <c r="D100" s="12" t="s">
        <v>140</v>
      </c>
      <c r="E100" s="3"/>
      <c r="F100" s="12" t="s">
        <v>369</v>
      </c>
    </row>
    <row r="101" spans="1:6">
      <c r="A101" s="22">
        <f t="shared" si="2"/>
        <v>80</v>
      </c>
      <c r="B101" s="13"/>
      <c r="C101" s="20" t="s">
        <v>145</v>
      </c>
      <c r="D101" s="12" t="s">
        <v>140</v>
      </c>
      <c r="E101" s="3"/>
      <c r="F101" s="12" t="s">
        <v>369</v>
      </c>
    </row>
    <row r="102" spans="1:6">
      <c r="A102" s="22">
        <f t="shared" si="2"/>
        <v>81</v>
      </c>
      <c r="B102" s="13"/>
      <c r="C102" s="20" t="s">
        <v>311</v>
      </c>
      <c r="D102" s="12"/>
      <c r="E102" s="3"/>
      <c r="F102" s="12"/>
    </row>
    <row r="103" spans="1:6">
      <c r="A103" s="22">
        <f t="shared" si="2"/>
        <v>82</v>
      </c>
      <c r="B103" s="13"/>
      <c r="C103" s="20"/>
      <c r="D103" s="12"/>
      <c r="E103" s="3"/>
      <c r="F103" s="12"/>
    </row>
    <row r="104" spans="1:6">
      <c r="A104" s="22">
        <f t="shared" si="2"/>
        <v>83</v>
      </c>
      <c r="B104" s="13"/>
      <c r="C104" s="20"/>
      <c r="D104" s="12"/>
      <c r="E104" s="3"/>
      <c r="F104" s="12"/>
    </row>
    <row r="105" spans="1:6">
      <c r="A105" s="22">
        <f t="shared" si="2"/>
        <v>84</v>
      </c>
      <c r="B105" s="13"/>
      <c r="C105" s="20" t="s">
        <v>146</v>
      </c>
      <c r="D105" s="12" t="s">
        <v>147</v>
      </c>
      <c r="E105" s="3"/>
      <c r="F105" s="12" t="s">
        <v>147</v>
      </c>
    </row>
    <row r="106" spans="1:6">
      <c r="A106" s="22">
        <f t="shared" si="2"/>
        <v>85</v>
      </c>
      <c r="B106" s="13"/>
      <c r="C106" s="29" t="s">
        <v>148</v>
      </c>
      <c r="D106" s="12"/>
      <c r="E106" s="3"/>
      <c r="F106" s="12"/>
    </row>
    <row r="107" spans="1:6">
      <c r="A107" s="22">
        <f t="shared" si="2"/>
        <v>86</v>
      </c>
      <c r="B107" s="13"/>
      <c r="C107" s="13" t="s">
        <v>149</v>
      </c>
      <c r="D107" s="12"/>
      <c r="E107" s="3"/>
      <c r="F107" s="12"/>
    </row>
    <row r="108" spans="1:6">
      <c r="A108" s="22">
        <f t="shared" si="2"/>
        <v>87</v>
      </c>
      <c r="B108" s="13"/>
      <c r="C108" s="20" t="s">
        <v>310</v>
      </c>
      <c r="D108" s="12"/>
      <c r="E108" s="3"/>
      <c r="F108" s="12"/>
    </row>
    <row r="109" spans="1:6">
      <c r="A109" s="22">
        <f t="shared" si="2"/>
        <v>88</v>
      </c>
      <c r="B109" s="13"/>
      <c r="C109" s="20" t="s">
        <v>150</v>
      </c>
      <c r="D109" s="12"/>
      <c r="E109" s="3"/>
      <c r="F109" s="12"/>
    </row>
    <row r="110" spans="1:6">
      <c r="A110" s="22">
        <f t="shared" si="2"/>
        <v>89</v>
      </c>
      <c r="B110" s="13"/>
      <c r="C110" s="29" t="s">
        <v>373</v>
      </c>
      <c r="D110" s="14" t="s">
        <v>374</v>
      </c>
      <c r="E110" s="3"/>
      <c r="F110" s="14" t="s">
        <v>374</v>
      </c>
    </row>
    <row r="111" spans="1:6">
      <c r="A111" s="22">
        <f t="shared" si="2"/>
        <v>90</v>
      </c>
      <c r="B111" s="13"/>
      <c r="C111" s="30" t="s">
        <v>151</v>
      </c>
      <c r="D111" s="13" t="s">
        <v>309</v>
      </c>
      <c r="E111" s="3"/>
      <c r="F111" s="13" t="s">
        <v>309</v>
      </c>
    </row>
    <row r="112" spans="1:6">
      <c r="A112" s="22">
        <f t="shared" si="2"/>
        <v>91</v>
      </c>
      <c r="B112" s="13"/>
      <c r="C112" s="31"/>
      <c r="D112" s="32"/>
      <c r="E112" s="3"/>
      <c r="F112" s="3"/>
    </row>
    <row r="113" spans="1:6">
      <c r="A113" s="22">
        <f t="shared" si="2"/>
        <v>92</v>
      </c>
      <c r="B113" s="13"/>
      <c r="C113" s="20" t="s">
        <v>152</v>
      </c>
      <c r="D113" s="33"/>
      <c r="E113" s="3"/>
      <c r="F113" s="3"/>
    </row>
    <row r="114" spans="1:6">
      <c r="A114" s="22">
        <f t="shared" si="2"/>
        <v>93</v>
      </c>
      <c r="B114" s="13"/>
      <c r="C114" s="30" t="s">
        <v>308</v>
      </c>
      <c r="D114" s="13"/>
      <c r="E114" s="3"/>
      <c r="F114" s="3"/>
    </row>
    <row r="115" spans="1:6">
      <c r="A115" s="22">
        <f t="shared" si="2"/>
        <v>94</v>
      </c>
      <c r="B115" s="13"/>
      <c r="C115" s="20"/>
      <c r="D115" s="13"/>
      <c r="E115" s="3"/>
      <c r="F115" s="3"/>
    </row>
    <row r="116" spans="1:6">
      <c r="A116" s="22">
        <f t="shared" si="2"/>
        <v>95</v>
      </c>
      <c r="B116" s="13"/>
      <c r="C116" s="20" t="s">
        <v>307</v>
      </c>
      <c r="D116" s="12"/>
      <c r="E116" s="3"/>
      <c r="F116" s="3"/>
    </row>
    <row r="117" spans="1:6">
      <c r="A117" s="3"/>
      <c r="B117" s="3"/>
      <c r="C117" s="3"/>
      <c r="D117" s="3"/>
      <c r="E117" s="3"/>
      <c r="F117" s="3"/>
    </row>
    <row r="118" spans="1:6" ht="15.6">
      <c r="A118" s="99" t="s">
        <v>153</v>
      </c>
      <c r="B118" s="99"/>
      <c r="C118" s="99"/>
      <c r="D118" s="99"/>
      <c r="E118" s="99"/>
      <c r="F118" s="99"/>
    </row>
    <row r="119" spans="1:6" ht="15.6">
      <c r="A119" s="34"/>
      <c r="B119" s="34"/>
      <c r="C119" s="34"/>
      <c r="D119" s="34"/>
      <c r="E119" s="34"/>
      <c r="F119" s="34"/>
    </row>
    <row r="120" spans="1:6">
      <c r="A120" s="3"/>
      <c r="B120" s="3"/>
      <c r="C120" s="3"/>
      <c r="D120" s="3"/>
      <c r="E120" s="3"/>
      <c r="F120" s="3"/>
    </row>
    <row r="121" spans="1:6" ht="15.6">
      <c r="A121" s="35" t="s">
        <v>3</v>
      </c>
      <c r="B121" s="36"/>
      <c r="C121" s="37"/>
      <c r="D121" s="18" t="s">
        <v>63</v>
      </c>
      <c r="E121" s="3"/>
      <c r="F121" s="18" t="s">
        <v>115</v>
      </c>
    </row>
    <row r="122" spans="1:6">
      <c r="A122" s="35" t="s">
        <v>5</v>
      </c>
      <c r="B122" s="36"/>
      <c r="C122" s="38" t="s">
        <v>154</v>
      </c>
      <c r="D122" s="39"/>
      <c r="E122" s="39"/>
      <c r="F122" s="3"/>
    </row>
    <row r="123" spans="1:6">
      <c r="A123" s="35"/>
      <c r="B123" s="36"/>
      <c r="C123" s="38"/>
      <c r="D123" s="40" t="s">
        <v>62</v>
      </c>
      <c r="E123" s="3"/>
      <c r="F123" s="41" t="s">
        <v>62</v>
      </c>
    </row>
    <row r="124" spans="1:6">
      <c r="A124" s="35">
        <v>96</v>
      </c>
      <c r="B124" s="36"/>
      <c r="C124" s="38" t="s">
        <v>155</v>
      </c>
      <c r="D124" s="40" t="s">
        <v>306</v>
      </c>
      <c r="E124" s="40"/>
      <c r="F124" s="40" t="s">
        <v>306</v>
      </c>
    </row>
    <row r="125" spans="1:6">
      <c r="A125" s="35">
        <f t="shared" ref="A125:A156" si="3">+A124+1</f>
        <v>97</v>
      </c>
      <c r="B125" s="36"/>
      <c r="C125" s="38" t="s">
        <v>156</v>
      </c>
      <c r="D125" s="36" t="s">
        <v>51</v>
      </c>
      <c r="E125" s="36"/>
      <c r="F125" s="42" t="s">
        <v>305</v>
      </c>
    </row>
    <row r="126" spans="1:6">
      <c r="A126" s="35">
        <f t="shared" si="3"/>
        <v>98</v>
      </c>
      <c r="B126" s="36"/>
      <c r="C126" s="38" t="s">
        <v>157</v>
      </c>
      <c r="D126" s="40" t="s">
        <v>51</v>
      </c>
      <c r="E126" s="39"/>
      <c r="F126" s="42" t="s">
        <v>158</v>
      </c>
    </row>
    <row r="127" spans="1:6">
      <c r="A127" s="35">
        <f t="shared" si="3"/>
        <v>99</v>
      </c>
      <c r="B127" s="36"/>
      <c r="C127" s="38" t="s">
        <v>304</v>
      </c>
      <c r="D127" s="39"/>
      <c r="E127" s="40"/>
      <c r="F127" s="3"/>
    </row>
    <row r="128" spans="1:6">
      <c r="A128" s="35">
        <f t="shared" si="3"/>
        <v>100</v>
      </c>
      <c r="B128" s="36"/>
      <c r="C128" s="38" t="s">
        <v>303</v>
      </c>
      <c r="D128" s="39"/>
      <c r="E128" s="40"/>
      <c r="F128" s="3"/>
    </row>
    <row r="129" spans="1:6">
      <c r="A129" s="35">
        <f t="shared" si="3"/>
        <v>101</v>
      </c>
      <c r="B129" s="36"/>
      <c r="C129" s="38" t="s">
        <v>302</v>
      </c>
      <c r="D129" s="39"/>
      <c r="E129" s="40"/>
      <c r="F129" s="3"/>
    </row>
    <row r="130" spans="1:6">
      <c r="A130" s="35">
        <f t="shared" si="3"/>
        <v>102</v>
      </c>
      <c r="B130" s="36"/>
      <c r="C130" s="38" t="s">
        <v>301</v>
      </c>
      <c r="D130" s="39"/>
      <c r="E130" s="40"/>
      <c r="F130" s="3"/>
    </row>
    <row r="131" spans="1:6">
      <c r="A131" s="35">
        <f t="shared" si="3"/>
        <v>103</v>
      </c>
      <c r="B131" s="36"/>
      <c r="C131" s="36"/>
      <c r="D131" s="39"/>
      <c r="E131" s="40"/>
      <c r="F131" s="3"/>
    </row>
    <row r="132" spans="1:6">
      <c r="A132" s="35">
        <f t="shared" si="3"/>
        <v>104</v>
      </c>
      <c r="B132" s="36"/>
      <c r="C132" s="38" t="s">
        <v>300</v>
      </c>
      <c r="D132" s="43"/>
      <c r="E132" s="43"/>
      <c r="F132" s="3"/>
    </row>
    <row r="133" spans="1:6">
      <c r="A133" s="35">
        <f t="shared" si="3"/>
        <v>105</v>
      </c>
      <c r="B133" s="36"/>
      <c r="C133" s="36"/>
      <c r="D133" s="36"/>
      <c r="E133" s="36"/>
      <c r="F133" s="3"/>
    </row>
    <row r="134" spans="1:6">
      <c r="A134" s="35">
        <f t="shared" si="3"/>
        <v>106</v>
      </c>
      <c r="B134" s="36"/>
      <c r="C134" s="38" t="s">
        <v>159</v>
      </c>
      <c r="D134" s="40" t="s">
        <v>62</v>
      </c>
      <c r="E134" s="3"/>
      <c r="F134" s="44" t="s">
        <v>62</v>
      </c>
    </row>
    <row r="135" spans="1:6">
      <c r="A135" s="35">
        <f t="shared" si="3"/>
        <v>107</v>
      </c>
      <c r="B135" s="36"/>
      <c r="C135" s="38" t="s">
        <v>160</v>
      </c>
      <c r="D135" s="40" t="s">
        <v>299</v>
      </c>
      <c r="E135" s="3"/>
      <c r="F135" s="40" t="s">
        <v>299</v>
      </c>
    </row>
    <row r="136" spans="1:6">
      <c r="A136" s="35">
        <f t="shared" si="3"/>
        <v>108</v>
      </c>
      <c r="B136" s="36"/>
      <c r="C136" s="38" t="s">
        <v>161</v>
      </c>
      <c r="D136" s="36" t="s">
        <v>51</v>
      </c>
      <c r="E136" s="3"/>
      <c r="F136" s="42" t="s">
        <v>298</v>
      </c>
    </row>
    <row r="137" spans="1:6">
      <c r="A137" s="35">
        <f t="shared" si="3"/>
        <v>109</v>
      </c>
      <c r="B137" s="36"/>
      <c r="C137" s="38" t="s">
        <v>162</v>
      </c>
      <c r="D137" s="36" t="s">
        <v>51</v>
      </c>
      <c r="E137" s="3"/>
      <c r="F137" s="42" t="s">
        <v>158</v>
      </c>
    </row>
    <row r="138" spans="1:6">
      <c r="A138" s="35">
        <f t="shared" si="3"/>
        <v>110</v>
      </c>
      <c r="B138" s="36"/>
      <c r="C138" s="38" t="s">
        <v>297</v>
      </c>
      <c r="D138" s="39"/>
      <c r="E138" s="40"/>
      <c r="F138" s="42" t="s">
        <v>296</v>
      </c>
    </row>
    <row r="139" spans="1:6">
      <c r="A139" s="35">
        <f t="shared" si="3"/>
        <v>111</v>
      </c>
      <c r="B139" s="36"/>
      <c r="C139" s="36"/>
      <c r="D139" s="39"/>
      <c r="E139" s="40"/>
      <c r="F139" s="3"/>
    </row>
    <row r="140" spans="1:6">
      <c r="A140" s="35">
        <f t="shared" si="3"/>
        <v>112</v>
      </c>
      <c r="B140" s="36"/>
      <c r="C140" s="38" t="s">
        <v>295</v>
      </c>
      <c r="D140" s="43"/>
      <c r="E140" s="43"/>
      <c r="F140" s="3"/>
    </row>
    <row r="141" spans="1:6">
      <c r="A141" s="35">
        <f t="shared" si="3"/>
        <v>113</v>
      </c>
      <c r="B141" s="36"/>
      <c r="C141" s="36"/>
      <c r="D141" s="39"/>
      <c r="E141" s="40"/>
      <c r="F141" s="3"/>
    </row>
    <row r="142" spans="1:6">
      <c r="A142" s="35">
        <f t="shared" si="3"/>
        <v>114</v>
      </c>
      <c r="B142" s="36"/>
      <c r="C142" s="38" t="s">
        <v>82</v>
      </c>
      <c r="D142" s="40" t="s">
        <v>62</v>
      </c>
      <c r="E142" s="3"/>
      <c r="F142" s="45" t="s">
        <v>62</v>
      </c>
    </row>
    <row r="143" spans="1:6">
      <c r="A143" s="35">
        <f t="shared" si="3"/>
        <v>115</v>
      </c>
      <c r="B143" s="36"/>
      <c r="C143" s="36" t="s">
        <v>163</v>
      </c>
      <c r="D143" s="40" t="s">
        <v>294</v>
      </c>
      <c r="E143" s="3"/>
      <c r="F143" s="40" t="s">
        <v>294</v>
      </c>
    </row>
    <row r="144" spans="1:6">
      <c r="A144" s="35">
        <f t="shared" si="3"/>
        <v>116</v>
      </c>
      <c r="B144" s="36"/>
      <c r="C144" s="38" t="s">
        <v>156</v>
      </c>
      <c r="D144" s="40" t="s">
        <v>51</v>
      </c>
      <c r="E144" s="43"/>
      <c r="F144" s="42" t="s">
        <v>293</v>
      </c>
    </row>
    <row r="145" spans="1:6">
      <c r="A145" s="35">
        <f t="shared" si="3"/>
        <v>117</v>
      </c>
      <c r="B145" s="36"/>
      <c r="C145" s="36" t="s">
        <v>292</v>
      </c>
      <c r="D145" s="39"/>
      <c r="E145" s="40"/>
      <c r="F145" s="3"/>
    </row>
    <row r="146" spans="1:6">
      <c r="A146" s="35">
        <f t="shared" si="3"/>
        <v>118</v>
      </c>
      <c r="B146" s="36"/>
      <c r="C146" s="38" t="s">
        <v>291</v>
      </c>
      <c r="D146" s="39"/>
      <c r="E146" s="40"/>
      <c r="F146" s="3"/>
    </row>
    <row r="147" spans="1:6">
      <c r="A147" s="35">
        <f t="shared" si="3"/>
        <v>119</v>
      </c>
      <c r="B147" s="36"/>
      <c r="C147" s="38" t="s">
        <v>290</v>
      </c>
      <c r="D147" s="39"/>
      <c r="E147" s="40"/>
      <c r="F147" s="3"/>
    </row>
    <row r="148" spans="1:6">
      <c r="A148" s="35">
        <f t="shared" si="3"/>
        <v>120</v>
      </c>
      <c r="B148" s="36"/>
      <c r="C148" s="38" t="s">
        <v>289</v>
      </c>
      <c r="D148" s="39"/>
      <c r="E148" s="40"/>
      <c r="F148" s="3"/>
    </row>
    <row r="149" spans="1:6">
      <c r="A149" s="35">
        <f t="shared" si="3"/>
        <v>121</v>
      </c>
      <c r="B149" s="36"/>
      <c r="C149" s="36"/>
      <c r="D149" s="39"/>
      <c r="E149" s="40"/>
      <c r="F149" s="3"/>
    </row>
    <row r="150" spans="1:6">
      <c r="A150" s="35">
        <f t="shared" si="3"/>
        <v>122</v>
      </c>
      <c r="B150" s="36"/>
      <c r="C150" s="38" t="s">
        <v>288</v>
      </c>
      <c r="D150" s="39"/>
      <c r="E150" s="40"/>
      <c r="F150" s="3"/>
    </row>
    <row r="151" spans="1:6">
      <c r="A151" s="35">
        <f t="shared" si="3"/>
        <v>123</v>
      </c>
      <c r="B151" s="36"/>
      <c r="C151" s="36"/>
      <c r="D151" s="39"/>
      <c r="E151" s="3"/>
      <c r="F151" s="3"/>
    </row>
    <row r="152" spans="1:6">
      <c r="A152" s="35">
        <f t="shared" si="3"/>
        <v>124</v>
      </c>
      <c r="B152" s="36"/>
      <c r="C152" s="36"/>
      <c r="D152" s="40" t="s">
        <v>62</v>
      </c>
      <c r="E152" s="3"/>
      <c r="F152" s="46" t="s">
        <v>62</v>
      </c>
    </row>
    <row r="153" spans="1:6">
      <c r="A153" s="35">
        <f t="shared" si="3"/>
        <v>125</v>
      </c>
      <c r="B153" s="36"/>
      <c r="C153" s="36" t="s">
        <v>164</v>
      </c>
      <c r="D153" s="40" t="s">
        <v>85</v>
      </c>
      <c r="E153" s="3"/>
      <c r="F153" s="40" t="s">
        <v>85</v>
      </c>
    </row>
    <row r="154" spans="1:6">
      <c r="A154" s="35">
        <f t="shared" si="3"/>
        <v>126</v>
      </c>
      <c r="B154" s="36"/>
      <c r="C154" s="36" t="s">
        <v>165</v>
      </c>
      <c r="D154" s="39"/>
      <c r="E154" s="3"/>
      <c r="F154" s="42" t="s">
        <v>287</v>
      </c>
    </row>
    <row r="155" spans="1:6">
      <c r="A155" s="35">
        <f t="shared" si="3"/>
        <v>127</v>
      </c>
      <c r="B155" s="36"/>
      <c r="C155" s="38" t="s">
        <v>286</v>
      </c>
      <c r="D155" s="39"/>
      <c r="E155" s="40"/>
      <c r="F155" s="42" t="s">
        <v>285</v>
      </c>
    </row>
    <row r="156" spans="1:6">
      <c r="A156" s="35">
        <f t="shared" si="3"/>
        <v>128</v>
      </c>
      <c r="B156" s="36"/>
      <c r="C156" s="36"/>
      <c r="D156" s="39"/>
      <c r="E156" s="40"/>
      <c r="F156" s="3"/>
    </row>
    <row r="157" spans="1:6">
      <c r="A157" s="35">
        <f t="shared" ref="A157:A187" si="4">+A156+1</f>
        <v>129</v>
      </c>
      <c r="B157" s="36"/>
      <c r="C157" s="38" t="s">
        <v>284</v>
      </c>
      <c r="D157" s="39"/>
      <c r="E157" s="40"/>
      <c r="F157" s="3"/>
    </row>
    <row r="158" spans="1:6">
      <c r="A158" s="35">
        <f t="shared" si="4"/>
        <v>130</v>
      </c>
      <c r="B158" s="36"/>
      <c r="C158" s="36"/>
      <c r="D158" s="39"/>
      <c r="E158" s="40"/>
      <c r="F158" s="3"/>
    </row>
    <row r="159" spans="1:6">
      <c r="A159" s="35">
        <f t="shared" si="4"/>
        <v>131</v>
      </c>
      <c r="B159" s="36"/>
      <c r="C159" s="39" t="s">
        <v>166</v>
      </c>
      <c r="D159" s="40"/>
      <c r="E159" s="40"/>
      <c r="F159" s="3"/>
    </row>
    <row r="160" spans="1:6">
      <c r="A160" s="35">
        <f t="shared" si="4"/>
        <v>132</v>
      </c>
      <c r="B160" s="36"/>
      <c r="C160" s="39"/>
      <c r="D160" s="40" t="s">
        <v>62</v>
      </c>
      <c r="E160" s="3"/>
      <c r="F160" s="40" t="s">
        <v>62</v>
      </c>
    </row>
    <row r="161" spans="1:6">
      <c r="A161" s="35">
        <f t="shared" si="4"/>
        <v>133</v>
      </c>
      <c r="B161" s="36"/>
      <c r="C161" s="39" t="s">
        <v>72</v>
      </c>
      <c r="D161" s="40" t="s">
        <v>167</v>
      </c>
      <c r="E161" s="3"/>
      <c r="F161" s="40" t="s">
        <v>167</v>
      </c>
    </row>
    <row r="162" spans="1:6">
      <c r="A162" s="35">
        <f t="shared" si="4"/>
        <v>134</v>
      </c>
      <c r="B162" s="36"/>
      <c r="C162" s="39" t="s">
        <v>168</v>
      </c>
      <c r="D162" s="40" t="s">
        <v>169</v>
      </c>
      <c r="E162" s="3"/>
      <c r="F162" s="40" t="s">
        <v>169</v>
      </c>
    </row>
    <row r="163" spans="1:6">
      <c r="A163" s="35">
        <f t="shared" si="4"/>
        <v>135</v>
      </c>
      <c r="B163" s="36"/>
      <c r="C163" s="39" t="s">
        <v>170</v>
      </c>
      <c r="D163" s="40" t="s">
        <v>171</v>
      </c>
      <c r="E163" s="3"/>
      <c r="F163" s="40" t="s">
        <v>171</v>
      </c>
    </row>
    <row r="164" spans="1:6">
      <c r="A164" s="35">
        <f t="shared" si="4"/>
        <v>136</v>
      </c>
      <c r="B164" s="36"/>
      <c r="C164" s="39" t="s">
        <v>283</v>
      </c>
      <c r="D164" s="40"/>
      <c r="E164" s="40"/>
      <c r="F164" s="3"/>
    </row>
    <row r="165" spans="1:6">
      <c r="A165" s="35">
        <f t="shared" si="4"/>
        <v>137</v>
      </c>
      <c r="B165" s="36"/>
      <c r="C165" s="39"/>
      <c r="D165" s="40"/>
      <c r="E165" s="40"/>
      <c r="F165" s="3"/>
    </row>
    <row r="166" spans="1:6">
      <c r="A166" s="35">
        <f t="shared" si="4"/>
        <v>138</v>
      </c>
      <c r="B166" s="36"/>
      <c r="C166" s="39" t="s">
        <v>172</v>
      </c>
      <c r="D166" s="40"/>
      <c r="E166" s="3"/>
      <c r="F166" s="3"/>
    </row>
    <row r="167" spans="1:6">
      <c r="A167" s="35">
        <f t="shared" si="4"/>
        <v>139</v>
      </c>
      <c r="B167" s="36"/>
      <c r="C167" s="39" t="s">
        <v>173</v>
      </c>
      <c r="D167" s="47" t="s">
        <v>267</v>
      </c>
      <c r="E167" s="3"/>
      <c r="F167" s="47" t="s">
        <v>267</v>
      </c>
    </row>
    <row r="168" spans="1:6">
      <c r="A168" s="35">
        <f t="shared" si="4"/>
        <v>140</v>
      </c>
      <c r="B168" s="36"/>
      <c r="C168" s="39" t="s">
        <v>174</v>
      </c>
      <c r="D168" s="47" t="s">
        <v>268</v>
      </c>
      <c r="E168" s="3"/>
      <c r="F168" s="47" t="s">
        <v>268</v>
      </c>
    </row>
    <row r="169" spans="1:6">
      <c r="A169" s="35">
        <f t="shared" si="4"/>
        <v>141</v>
      </c>
      <c r="B169" s="36"/>
      <c r="C169" s="39" t="s">
        <v>282</v>
      </c>
      <c r="D169" s="40"/>
      <c r="E169" s="3"/>
      <c r="F169" s="3"/>
    </row>
    <row r="170" spans="1:6">
      <c r="A170" s="35">
        <f t="shared" si="4"/>
        <v>142</v>
      </c>
      <c r="B170" s="36"/>
      <c r="C170" s="39"/>
      <c r="D170" s="40"/>
      <c r="E170" s="36"/>
      <c r="F170" s="3"/>
    </row>
    <row r="171" spans="1:6">
      <c r="A171" s="35">
        <f t="shared" si="4"/>
        <v>143</v>
      </c>
      <c r="B171" s="48"/>
      <c r="C171" s="39" t="s">
        <v>175</v>
      </c>
      <c r="D171" s="40" t="s">
        <v>62</v>
      </c>
      <c r="E171" s="40"/>
      <c r="F171" s="49" t="s">
        <v>62</v>
      </c>
    </row>
    <row r="172" spans="1:6">
      <c r="A172" s="35">
        <f t="shared" si="4"/>
        <v>144</v>
      </c>
      <c r="B172" s="48"/>
      <c r="C172" s="39" t="s">
        <v>176</v>
      </c>
      <c r="D172" s="40" t="s">
        <v>177</v>
      </c>
      <c r="E172" s="40"/>
      <c r="F172" s="49" t="s">
        <v>486</v>
      </c>
    </row>
    <row r="173" spans="1:6">
      <c r="A173" s="35">
        <f t="shared" si="4"/>
        <v>145</v>
      </c>
      <c r="B173" s="50"/>
      <c r="C173" s="39"/>
      <c r="D173" s="40"/>
      <c r="E173" s="40"/>
      <c r="F173" s="49"/>
    </row>
    <row r="174" spans="1:6">
      <c r="A174" s="35">
        <f t="shared" si="4"/>
        <v>146</v>
      </c>
      <c r="B174" s="48"/>
      <c r="C174" s="39" t="s">
        <v>178</v>
      </c>
      <c r="D174" s="40" t="s">
        <v>179</v>
      </c>
      <c r="E174" s="40"/>
      <c r="F174" s="49" t="s">
        <v>179</v>
      </c>
    </row>
    <row r="175" spans="1:6">
      <c r="A175" s="35">
        <f t="shared" si="4"/>
        <v>147</v>
      </c>
      <c r="B175" s="48"/>
      <c r="C175" s="39"/>
      <c r="D175" s="40"/>
      <c r="E175" s="40"/>
      <c r="F175" s="49"/>
    </row>
    <row r="176" spans="1:6">
      <c r="A176" s="35">
        <f t="shared" si="4"/>
        <v>148</v>
      </c>
      <c r="B176" s="48"/>
      <c r="C176" s="39" t="s">
        <v>180</v>
      </c>
      <c r="D176" s="40" t="s">
        <v>62</v>
      </c>
      <c r="E176" s="40"/>
      <c r="F176" s="49" t="s">
        <v>62</v>
      </c>
    </row>
    <row r="177" spans="1:6">
      <c r="A177" s="35">
        <f t="shared" si="4"/>
        <v>149</v>
      </c>
      <c r="B177" s="48"/>
      <c r="C177" s="39" t="s">
        <v>181</v>
      </c>
      <c r="D177" s="40" t="s">
        <v>182</v>
      </c>
      <c r="E177" s="39"/>
      <c r="F177" s="49" t="s">
        <v>182</v>
      </c>
    </row>
    <row r="178" spans="1:6">
      <c r="A178" s="35">
        <f t="shared" si="4"/>
        <v>150</v>
      </c>
      <c r="B178" s="48"/>
      <c r="C178" s="39" t="s">
        <v>183</v>
      </c>
      <c r="D178" s="40" t="s">
        <v>184</v>
      </c>
      <c r="E178" s="40"/>
      <c r="F178" s="49" t="s">
        <v>184</v>
      </c>
    </row>
    <row r="179" spans="1:6">
      <c r="A179" s="35">
        <f t="shared" si="4"/>
        <v>151</v>
      </c>
      <c r="B179" s="48"/>
      <c r="C179" s="39" t="s">
        <v>185</v>
      </c>
      <c r="D179" s="40" t="s">
        <v>186</v>
      </c>
      <c r="E179" s="40"/>
      <c r="F179" s="49" t="s">
        <v>186</v>
      </c>
    </row>
    <row r="180" spans="1:6">
      <c r="A180" s="35">
        <f t="shared" si="4"/>
        <v>152</v>
      </c>
      <c r="B180" s="48"/>
      <c r="C180" s="39" t="s">
        <v>187</v>
      </c>
      <c r="D180" s="40" t="s">
        <v>188</v>
      </c>
      <c r="E180" s="40"/>
      <c r="F180" s="49" t="s">
        <v>188</v>
      </c>
    </row>
    <row r="181" spans="1:6">
      <c r="A181" s="35">
        <f t="shared" si="4"/>
        <v>153</v>
      </c>
      <c r="B181" s="48"/>
      <c r="C181" s="51" t="s">
        <v>189</v>
      </c>
      <c r="D181" s="39" t="s">
        <v>281</v>
      </c>
      <c r="E181" s="39"/>
      <c r="F181" s="39" t="s">
        <v>281</v>
      </c>
    </row>
    <row r="182" spans="1:6">
      <c r="A182" s="35">
        <f t="shared" si="4"/>
        <v>154</v>
      </c>
      <c r="B182" s="36"/>
      <c r="C182" s="39"/>
      <c r="D182" s="40"/>
      <c r="E182" s="40"/>
      <c r="F182" s="49"/>
    </row>
    <row r="183" spans="1:6">
      <c r="A183" s="35">
        <f t="shared" si="4"/>
        <v>155</v>
      </c>
      <c r="B183" s="36"/>
      <c r="C183" s="39"/>
      <c r="D183" s="40" t="s">
        <v>62</v>
      </c>
      <c r="E183" s="3"/>
      <c r="F183" s="49" t="s">
        <v>62</v>
      </c>
    </row>
    <row r="184" spans="1:6">
      <c r="A184" s="35">
        <f t="shared" si="4"/>
        <v>156</v>
      </c>
      <c r="B184" s="36"/>
      <c r="C184" s="38" t="s">
        <v>190</v>
      </c>
      <c r="D184" s="52" t="s">
        <v>191</v>
      </c>
      <c r="E184" s="3"/>
      <c r="F184" s="53" t="s">
        <v>269</v>
      </c>
    </row>
    <row r="185" spans="1:6">
      <c r="A185" s="35">
        <f t="shared" si="4"/>
        <v>157</v>
      </c>
      <c r="B185" s="36"/>
      <c r="C185" s="38" t="s">
        <v>192</v>
      </c>
      <c r="D185" s="54" t="s">
        <v>184</v>
      </c>
      <c r="E185" s="3"/>
      <c r="F185" s="53" t="s">
        <v>184</v>
      </c>
    </row>
    <row r="186" spans="1:6">
      <c r="A186" s="35">
        <f t="shared" si="4"/>
        <v>158</v>
      </c>
      <c r="B186" s="36"/>
      <c r="C186" s="51" t="s">
        <v>193</v>
      </c>
      <c r="D186" s="54" t="s">
        <v>280</v>
      </c>
      <c r="E186" s="3"/>
      <c r="F186" s="54" t="s">
        <v>280</v>
      </c>
    </row>
    <row r="187" spans="1:6">
      <c r="A187" s="35">
        <f t="shared" si="4"/>
        <v>159</v>
      </c>
      <c r="B187" s="36"/>
      <c r="C187" s="39" t="s">
        <v>279</v>
      </c>
      <c r="D187" s="36"/>
      <c r="E187" s="3"/>
      <c r="F187" s="3"/>
    </row>
    <row r="188" spans="1:6">
      <c r="A188" s="3"/>
      <c r="B188" s="3"/>
      <c r="C188" s="3"/>
      <c r="D188" s="3"/>
      <c r="E188" s="3"/>
      <c r="F188" s="3"/>
    </row>
    <row r="189" spans="1:6">
      <c r="A189" s="3"/>
      <c r="B189" s="3" t="s">
        <v>194</v>
      </c>
      <c r="C189" s="3"/>
      <c r="D189" s="3"/>
      <c r="E189" s="3"/>
      <c r="F189" s="3"/>
    </row>
    <row r="190" spans="1:6">
      <c r="A190" s="3"/>
      <c r="B190" s="3"/>
      <c r="C190" s="55" t="s">
        <v>195</v>
      </c>
      <c r="D190" s="3"/>
      <c r="E190" s="3"/>
      <c r="F190" s="3"/>
    </row>
    <row r="191" spans="1:6">
      <c r="A191" s="3"/>
      <c r="B191" s="3"/>
      <c r="C191" s="55"/>
      <c r="D191" s="3"/>
      <c r="E191" s="3"/>
      <c r="F191" s="3"/>
    </row>
    <row r="192" spans="1:6">
      <c r="A192" s="3"/>
      <c r="B192" s="3"/>
      <c r="C192" s="3" t="s">
        <v>278</v>
      </c>
      <c r="D192" s="3"/>
      <c r="E192" s="3"/>
      <c r="F192" s="3"/>
    </row>
    <row r="193" spans="1:6">
      <c r="A193" s="3"/>
      <c r="B193" s="3"/>
      <c r="C193" s="3"/>
      <c r="D193" s="3"/>
      <c r="E193" s="3"/>
      <c r="F193" s="3"/>
    </row>
    <row r="194" spans="1:6">
      <c r="A194" s="3"/>
      <c r="B194" s="3"/>
      <c r="C194" s="3" t="s">
        <v>196</v>
      </c>
      <c r="D194" s="3"/>
      <c r="E194" s="3"/>
      <c r="F194" s="3"/>
    </row>
    <row r="196" spans="1:6">
      <c r="C196" t="s">
        <v>277</v>
      </c>
    </row>
    <row r="198" spans="1:6">
      <c r="C198" t="s">
        <v>276</v>
      </c>
    </row>
  </sheetData>
  <mergeCells count="3">
    <mergeCell ref="A118:F118"/>
    <mergeCell ref="A1:F1"/>
    <mergeCell ref="A2:F2"/>
  </mergeCells>
  <pageMargins left="0.7" right="0.7" top="0.75" bottom="0.75" header="0.3" footer="0.3"/>
  <pageSetup scale="49" fitToHeight="3" orientation="portrait" r:id="rId1"/>
  <headerFooter>
    <oddHeader>&amp;C&amp;"Arial MT,Bold"&amp;10ESTIMATED SERVICE YEAR ATRR
BLACK HILLS POWER, INC.
SUPPORTING SCHEDULES&amp;RPage &amp;P of &amp;N</oddHeader>
  </headerFooter>
  <rowBreaks count="2" manualBreakCount="2">
    <brk id="66" max="16383" man="1"/>
    <brk id="116"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3:H119"/>
  <sheetViews>
    <sheetView tabSelected="1" workbookViewId="0">
      <selection activeCell="J21" sqref="J21"/>
    </sheetView>
  </sheetViews>
  <sheetFormatPr defaultColWidth="7.08984375" defaultRowHeight="13.8"/>
  <cols>
    <col min="1" max="1" width="5.54296875" style="101" customWidth="1"/>
    <col min="2" max="2" width="35.54296875" style="101" customWidth="1"/>
    <col min="3" max="3" width="14.6328125" style="101" customWidth="1"/>
    <col min="4" max="4" width="11.08984375" style="120" customWidth="1"/>
    <col min="5" max="5" width="7.08984375" style="101"/>
    <col min="6" max="6" width="9.453125" style="101" bestFit="1" customWidth="1"/>
    <col min="7" max="7" width="18.6328125" style="101" customWidth="1"/>
    <col min="8" max="16384" width="7.08984375" style="101"/>
  </cols>
  <sheetData>
    <row r="3" spans="1:8">
      <c r="C3" s="102" t="s">
        <v>375</v>
      </c>
      <c r="D3" s="101">
        <v>2025</v>
      </c>
      <c r="F3" s="103"/>
    </row>
    <row r="4" spans="1:8">
      <c r="A4" s="104" t="s">
        <v>0</v>
      </c>
      <c r="B4" s="104"/>
      <c r="C4" s="104"/>
      <c r="D4" s="104"/>
      <c r="F4" s="105"/>
    </row>
    <row r="5" spans="1:8">
      <c r="A5" s="104" t="s">
        <v>1</v>
      </c>
      <c r="B5" s="104"/>
      <c r="C5" s="104"/>
      <c r="D5" s="104"/>
    </row>
    <row r="6" spans="1:8">
      <c r="A6" s="104" t="s">
        <v>2</v>
      </c>
      <c r="B6" s="104"/>
      <c r="C6" s="104"/>
      <c r="D6" s="104"/>
    </row>
    <row r="7" spans="1:8">
      <c r="B7" s="106"/>
      <c r="C7" s="106"/>
      <c r="D7" s="106"/>
    </row>
    <row r="8" spans="1:8">
      <c r="A8" s="107" t="s">
        <v>3</v>
      </c>
      <c r="C8" s="108" t="s">
        <v>4</v>
      </c>
      <c r="D8" s="109"/>
    </row>
    <row r="9" spans="1:8">
      <c r="A9" s="110" t="s">
        <v>5</v>
      </c>
      <c r="C9" s="111" t="s">
        <v>6</v>
      </c>
      <c r="D9" s="112" t="s">
        <v>7</v>
      </c>
      <c r="G9" s="113"/>
    </row>
    <row r="10" spans="1:8">
      <c r="A10" s="107">
        <v>1</v>
      </c>
      <c r="B10" s="101" t="s">
        <v>8</v>
      </c>
      <c r="C10" s="101" t="s">
        <v>9</v>
      </c>
      <c r="D10" s="88">
        <v>36771</v>
      </c>
      <c r="G10" s="113"/>
      <c r="H10" s="114"/>
    </row>
    <row r="11" spans="1:8">
      <c r="A11" s="107">
        <v>2</v>
      </c>
      <c r="B11" s="101" t="s">
        <v>10</v>
      </c>
      <c r="C11" s="101" t="s">
        <v>271</v>
      </c>
      <c r="D11" s="88">
        <v>548082</v>
      </c>
      <c r="F11" s="115"/>
      <c r="G11" s="116"/>
      <c r="H11" s="114"/>
    </row>
    <row r="12" spans="1:8">
      <c r="A12" s="107">
        <v>3</v>
      </c>
      <c r="B12" s="101" t="s">
        <v>11</v>
      </c>
      <c r="C12" s="101" t="s">
        <v>12</v>
      </c>
      <c r="D12" s="117">
        <v>427655</v>
      </c>
      <c r="F12" s="115"/>
      <c r="H12" s="114"/>
    </row>
    <row r="13" spans="1:8" ht="16.8">
      <c r="A13" s="107">
        <v>4</v>
      </c>
      <c r="B13" s="101" t="s">
        <v>13</v>
      </c>
      <c r="C13" s="101" t="s">
        <v>487</v>
      </c>
      <c r="D13" s="88">
        <v>0</v>
      </c>
      <c r="H13" s="114"/>
    </row>
    <row r="14" spans="1:8" ht="14.4" thickBot="1">
      <c r="A14" s="107">
        <v>5</v>
      </c>
      <c r="B14" s="118" t="s">
        <v>14</v>
      </c>
      <c r="D14" s="87">
        <f>SUM(D10:D13)</f>
        <v>1012508</v>
      </c>
      <c r="F14" s="119"/>
      <c r="G14" s="119"/>
    </row>
    <row r="15" spans="1:8" ht="14.4" thickTop="1">
      <c r="A15" s="107">
        <v>6</v>
      </c>
    </row>
    <row r="16" spans="1:8">
      <c r="A16" s="107">
        <v>7</v>
      </c>
    </row>
    <row r="17" spans="1:8">
      <c r="A17" s="107">
        <v>8</v>
      </c>
      <c r="B17" s="121" t="s">
        <v>15</v>
      </c>
      <c r="D17" s="88"/>
      <c r="F17" s="114"/>
      <c r="G17" s="114"/>
    </row>
    <row r="18" spans="1:8">
      <c r="A18" s="107">
        <v>9</v>
      </c>
      <c r="D18" s="88"/>
      <c r="H18" s="114"/>
    </row>
    <row r="19" spans="1:8">
      <c r="A19" s="107">
        <v>10</v>
      </c>
      <c r="B19" s="101" t="s">
        <v>16</v>
      </c>
      <c r="D19" s="88"/>
    </row>
    <row r="20" spans="1:8" ht="12.75" customHeight="1">
      <c r="A20" s="107">
        <v>11</v>
      </c>
      <c r="D20" s="88"/>
      <c r="H20" s="114"/>
    </row>
    <row r="21" spans="1:8">
      <c r="A21" s="107">
        <v>12</v>
      </c>
      <c r="D21" s="88"/>
    </row>
    <row r="22" spans="1:8">
      <c r="A22" s="107">
        <v>13</v>
      </c>
      <c r="D22" s="89"/>
    </row>
    <row r="23" spans="1:8" ht="16.5" customHeight="1">
      <c r="A23" s="107">
        <v>14</v>
      </c>
      <c r="B23" s="101" t="s">
        <v>17</v>
      </c>
      <c r="C23" s="121"/>
      <c r="D23" s="90">
        <f>SUM(D19:D22)</f>
        <v>0</v>
      </c>
    </row>
    <row r="24" spans="1:8">
      <c r="A24" s="107">
        <v>15</v>
      </c>
      <c r="D24" s="88"/>
    </row>
    <row r="25" spans="1:8" ht="14.4" thickBot="1">
      <c r="A25" s="107">
        <v>16</v>
      </c>
      <c r="B25" s="101" t="s">
        <v>18</v>
      </c>
      <c r="D25" s="87">
        <f>+D23/3</f>
        <v>0</v>
      </c>
    </row>
    <row r="26" spans="1:8" ht="14.4" thickTop="1">
      <c r="A26" s="107">
        <v>17</v>
      </c>
      <c r="D26" s="91"/>
    </row>
    <row r="27" spans="1:8">
      <c r="A27" s="107">
        <v>18</v>
      </c>
      <c r="D27" s="91"/>
    </row>
    <row r="28" spans="1:8">
      <c r="A28" s="107">
        <v>19</v>
      </c>
      <c r="B28" s="121" t="s">
        <v>50</v>
      </c>
      <c r="D28" s="91"/>
    </row>
    <row r="29" spans="1:8" ht="16.8">
      <c r="A29" s="107">
        <v>20</v>
      </c>
      <c r="B29" s="101" t="s">
        <v>53</v>
      </c>
      <c r="C29" s="101" t="s">
        <v>488</v>
      </c>
      <c r="D29" s="88">
        <v>0</v>
      </c>
    </row>
    <row r="30" spans="1:8" ht="16.8">
      <c r="A30" s="107">
        <v>21</v>
      </c>
      <c r="B30" s="101" t="s">
        <v>54</v>
      </c>
      <c r="C30" s="101" t="s">
        <v>488</v>
      </c>
      <c r="D30" s="88">
        <v>311301.3600000001</v>
      </c>
      <c r="H30" s="114"/>
    </row>
    <row r="31" spans="1:8" ht="14.4" thickBot="1">
      <c r="A31" s="107">
        <v>22</v>
      </c>
      <c r="B31" s="101" t="s">
        <v>50</v>
      </c>
      <c r="D31" s="87">
        <f>SUM(D29:D30)</f>
        <v>311301.3600000001</v>
      </c>
    </row>
    <row r="32" spans="1:8" ht="14.4" thickTop="1">
      <c r="A32" s="107">
        <v>23</v>
      </c>
      <c r="D32" s="91"/>
    </row>
    <row r="33" spans="1:4">
      <c r="A33" s="107">
        <v>24</v>
      </c>
      <c r="B33" s="101" t="s">
        <v>52</v>
      </c>
      <c r="D33" s="91"/>
    </row>
    <row r="34" spans="1:4">
      <c r="A34" s="107">
        <v>25</v>
      </c>
      <c r="B34" s="101" t="s">
        <v>55</v>
      </c>
    </row>
    <row r="35" spans="1:4">
      <c r="A35" s="107">
        <v>26</v>
      </c>
      <c r="B35" s="101" t="s">
        <v>19</v>
      </c>
      <c r="D35" s="101"/>
    </row>
    <row r="36" spans="1:4">
      <c r="A36" s="107">
        <v>27</v>
      </c>
      <c r="B36" s="101" t="s">
        <v>56</v>
      </c>
    </row>
    <row r="37" spans="1:4">
      <c r="A37" s="107">
        <v>28</v>
      </c>
      <c r="B37" s="101" t="s">
        <v>57</v>
      </c>
    </row>
    <row r="118" spans="7:8">
      <c r="G118" s="101" t="s">
        <v>20</v>
      </c>
      <c r="H118" s="101">
        <f>+J187</f>
        <v>0</v>
      </c>
    </row>
    <row r="119" spans="7:8">
      <c r="H119" s="101">
        <f>+H118</f>
        <v>0</v>
      </c>
    </row>
  </sheetData>
  <mergeCells count="4">
    <mergeCell ref="B7:D7"/>
    <mergeCell ref="A4:D4"/>
    <mergeCell ref="A5:D5"/>
    <mergeCell ref="A6:D6"/>
  </mergeCells>
  <printOptions horizontalCentered="1"/>
  <pageMargins left="0.75" right="0.75" top="1" bottom="1" header="0.5" footer="0.5"/>
  <pageSetup orientation="portrait" r:id="rId1"/>
  <headerFooter alignWithMargins="0">
    <oddHeader>&amp;L&amp;8 2016 BHP-Workpaper 1 Supplemental Supporting Schedules&amp;C&amp;"Arial MT,Bold"&amp;10
ACTUAL SERVICE YEAR ATRR&amp;"Arial MT,Regular"&amp;12
&amp;"Arial MT,Bold"&amp;10BLACK HILLS POWER, INC.
SUPPORTING SCHEDULES&amp;R&amp;10Page &amp;P of &amp;N</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2:O116"/>
  <sheetViews>
    <sheetView zoomScaleNormal="100" workbookViewId="0">
      <selection activeCell="I35" sqref="I35"/>
    </sheetView>
  </sheetViews>
  <sheetFormatPr defaultColWidth="7.08984375" defaultRowHeight="13.2"/>
  <cols>
    <col min="1" max="1" width="4.1796875" style="122" customWidth="1"/>
    <col min="2" max="2" width="8.1796875" style="122" customWidth="1"/>
    <col min="3" max="3" width="35.6328125" style="122" customWidth="1"/>
    <col min="4" max="4" width="1.6328125" style="145" customWidth="1"/>
    <col min="5" max="5" width="11.6328125" style="122" bestFit="1" customWidth="1"/>
    <col min="6" max="6" width="1.90625" style="122" customWidth="1"/>
    <col min="7" max="7" width="10.6328125" style="122" bestFit="1" customWidth="1"/>
    <col min="8" max="10" width="7.08984375" style="122"/>
    <col min="11" max="11" width="7.54296875" style="122" bestFit="1" customWidth="1"/>
    <col min="12" max="16384" width="7.08984375" style="122"/>
  </cols>
  <sheetData>
    <row r="2" spans="1:15">
      <c r="B2" s="123"/>
      <c r="C2" s="124"/>
      <c r="D2" s="124"/>
    </row>
    <row r="3" spans="1:15">
      <c r="B3" s="125"/>
      <c r="C3" s="126"/>
      <c r="D3" s="126"/>
      <c r="F3" s="127" t="s">
        <v>375</v>
      </c>
      <c r="G3" s="122">
        <v>2025</v>
      </c>
    </row>
    <row r="4" spans="1:15">
      <c r="A4" s="124" t="s">
        <v>21</v>
      </c>
      <c r="B4" s="124"/>
      <c r="C4" s="124"/>
      <c r="D4" s="124"/>
      <c r="E4" s="124"/>
      <c r="F4" s="124"/>
      <c r="G4" s="124"/>
    </row>
    <row r="5" spans="1:15">
      <c r="A5" s="124" t="s">
        <v>489</v>
      </c>
      <c r="B5" s="124"/>
      <c r="C5" s="124"/>
      <c r="D5" s="124"/>
      <c r="E5" s="124"/>
      <c r="F5" s="124"/>
      <c r="G5" s="124"/>
    </row>
    <row r="6" spans="1:15">
      <c r="A6" s="124" t="s">
        <v>2</v>
      </c>
      <c r="B6" s="124"/>
      <c r="C6" s="124"/>
      <c r="D6" s="124"/>
      <c r="E6" s="124"/>
      <c r="F6" s="124"/>
      <c r="G6" s="124"/>
    </row>
    <row r="7" spans="1:15">
      <c r="B7" s="125"/>
      <c r="C7" s="126"/>
      <c r="D7" s="126"/>
    </row>
    <row r="8" spans="1:15">
      <c r="A8" s="128" t="s">
        <v>3</v>
      </c>
      <c r="D8" s="129"/>
      <c r="E8" s="129"/>
    </row>
    <row r="9" spans="1:15">
      <c r="A9" s="128" t="s">
        <v>5</v>
      </c>
      <c r="D9" s="130"/>
      <c r="E9" s="131" t="s">
        <v>22</v>
      </c>
      <c r="F9" s="131"/>
      <c r="G9" s="131" t="s">
        <v>23</v>
      </c>
    </row>
    <row r="10" spans="1:15">
      <c r="A10" s="132"/>
      <c r="B10" s="133"/>
      <c r="C10" s="133"/>
      <c r="D10" s="133"/>
      <c r="E10" s="133"/>
      <c r="F10" s="133"/>
      <c r="G10" s="134" t="s">
        <v>24</v>
      </c>
    </row>
    <row r="11" spans="1:15">
      <c r="B11" s="135" t="s">
        <v>25</v>
      </c>
      <c r="C11" s="135" t="s">
        <v>26</v>
      </c>
      <c r="D11" s="133"/>
      <c r="E11" s="135" t="s">
        <v>27</v>
      </c>
      <c r="F11" s="133"/>
      <c r="G11" s="135" t="s">
        <v>28</v>
      </c>
    </row>
    <row r="12" spans="1:15">
      <c r="A12" s="128">
        <v>1</v>
      </c>
      <c r="B12" s="134">
        <v>354</v>
      </c>
      <c r="C12" s="133" t="s">
        <v>29</v>
      </c>
      <c r="D12" s="133"/>
      <c r="E12" s="136">
        <v>466725.14</v>
      </c>
      <c r="F12" s="136"/>
      <c r="G12" s="136">
        <v>204851.75037532198</v>
      </c>
      <c r="N12" s="137"/>
      <c r="O12" s="137"/>
    </row>
    <row r="13" spans="1:15" ht="12.75" customHeight="1">
      <c r="A13" s="128">
        <v>2</v>
      </c>
      <c r="B13" s="134">
        <v>355</v>
      </c>
      <c r="C13" s="133" t="s">
        <v>30</v>
      </c>
      <c r="D13" s="133"/>
      <c r="E13" s="136">
        <v>112521671.52</v>
      </c>
      <c r="F13" s="136"/>
      <c r="G13" s="136">
        <v>19019052.010180973</v>
      </c>
      <c r="N13" s="137"/>
      <c r="O13" s="137"/>
    </row>
    <row r="14" spans="1:15">
      <c r="A14" s="128">
        <v>3</v>
      </c>
      <c r="B14" s="134">
        <v>356</v>
      </c>
      <c r="C14" s="133" t="s">
        <v>31</v>
      </c>
      <c r="D14" s="133"/>
      <c r="E14" s="136">
        <v>91566288.300000012</v>
      </c>
      <c r="F14" s="136"/>
      <c r="G14" s="136">
        <v>9380719.3457180616</v>
      </c>
      <c r="N14" s="137"/>
      <c r="O14" s="137"/>
    </row>
    <row r="15" spans="1:15">
      <c r="A15" s="128">
        <v>4</v>
      </c>
      <c r="B15" s="134">
        <v>359</v>
      </c>
      <c r="C15" s="133" t="s">
        <v>32</v>
      </c>
      <c r="D15" s="133"/>
      <c r="E15" s="136">
        <v>6920.2800000000007</v>
      </c>
      <c r="F15" s="136"/>
      <c r="G15" s="136">
        <v>4785.0400300152005</v>
      </c>
      <c r="N15" s="137"/>
      <c r="O15" s="137"/>
    </row>
    <row r="16" spans="1:15">
      <c r="A16" s="128">
        <v>5</v>
      </c>
      <c r="B16" s="133"/>
      <c r="C16" s="138" t="s">
        <v>33</v>
      </c>
      <c r="D16" s="133"/>
      <c r="E16" s="139">
        <f>SUM(E12:E15)</f>
        <v>204561605.24000001</v>
      </c>
      <c r="F16" s="136"/>
      <c r="G16" s="139">
        <f>SUM(G12:G15)</f>
        <v>28609408.146304373</v>
      </c>
      <c r="N16" s="137"/>
      <c r="O16" s="137"/>
    </row>
    <row r="17" spans="1:15">
      <c r="A17" s="128">
        <v>6</v>
      </c>
      <c r="B17" s="133"/>
      <c r="C17" s="138"/>
      <c r="D17" s="133"/>
      <c r="E17" s="136"/>
      <c r="F17" s="136"/>
      <c r="G17" s="136"/>
      <c r="N17" s="137"/>
      <c r="O17" s="137"/>
    </row>
    <row r="18" spans="1:15">
      <c r="A18" s="128">
        <v>7</v>
      </c>
      <c r="B18" s="134">
        <v>353</v>
      </c>
      <c r="C18" s="138" t="s">
        <v>34</v>
      </c>
      <c r="D18" s="133"/>
      <c r="E18" s="136">
        <v>38207363.955507003</v>
      </c>
      <c r="F18" s="136"/>
      <c r="G18" s="136">
        <v>13221898.724393999</v>
      </c>
      <c r="K18" s="137"/>
      <c r="N18" s="137"/>
      <c r="O18" s="137"/>
    </row>
    <row r="19" spans="1:15">
      <c r="A19" s="128">
        <v>8</v>
      </c>
      <c r="B19" s="134">
        <v>352</v>
      </c>
      <c r="C19" s="138" t="s">
        <v>35</v>
      </c>
      <c r="D19" s="133"/>
      <c r="E19" s="136">
        <v>855964.06551699992</v>
      </c>
      <c r="F19" s="136"/>
      <c r="G19" s="136">
        <v>525243.65479900001</v>
      </c>
      <c r="N19" s="137"/>
      <c r="O19" s="137"/>
    </row>
    <row r="20" spans="1:15" ht="13.8">
      <c r="A20" s="128">
        <v>9</v>
      </c>
      <c r="B20" s="134">
        <v>351</v>
      </c>
      <c r="C20" s="138" t="s">
        <v>490</v>
      </c>
      <c r="D20" s="140"/>
      <c r="E20" s="136">
        <v>3304268.1600000025</v>
      </c>
      <c r="F20" s="136"/>
      <c r="G20" s="136">
        <v>-137402.58981286868</v>
      </c>
      <c r="N20" s="137"/>
      <c r="O20" s="137"/>
    </row>
    <row r="21" spans="1:15">
      <c r="A21" s="128">
        <v>10</v>
      </c>
      <c r="B21" s="133"/>
      <c r="C21" s="133" t="s">
        <v>36</v>
      </c>
      <c r="D21" s="133"/>
      <c r="E21" s="139">
        <f>SUM(E16:E20)</f>
        <v>246929201.42102402</v>
      </c>
      <c r="F21" s="136"/>
      <c r="G21" s="139">
        <f>SUM(G16:G20)</f>
        <v>42219147.935684502</v>
      </c>
      <c r="N21" s="137"/>
      <c r="O21" s="137"/>
    </row>
    <row r="22" spans="1:15">
      <c r="A22" s="128">
        <v>11</v>
      </c>
      <c r="B22" s="133"/>
      <c r="C22" s="133"/>
      <c r="D22" s="133"/>
      <c r="E22" s="136"/>
      <c r="F22" s="136"/>
      <c r="G22" s="136"/>
      <c r="N22" s="137"/>
      <c r="O22" s="137"/>
    </row>
    <row r="23" spans="1:15">
      <c r="A23" s="128">
        <v>12</v>
      </c>
      <c r="B23" s="134">
        <v>350</v>
      </c>
      <c r="C23" s="138" t="s">
        <v>37</v>
      </c>
      <c r="D23" s="133"/>
      <c r="E23" s="136">
        <v>9541168.540000001</v>
      </c>
      <c r="F23" s="136"/>
      <c r="G23" s="136"/>
      <c r="N23" s="137"/>
      <c r="O23" s="137"/>
    </row>
    <row r="24" spans="1:15">
      <c r="A24" s="128">
        <v>13</v>
      </c>
      <c r="B24" s="134">
        <v>350</v>
      </c>
      <c r="C24" s="138" t="s">
        <v>38</v>
      </c>
      <c r="D24" s="133"/>
      <c r="E24" s="141">
        <v>384308.74</v>
      </c>
      <c r="F24" s="133"/>
      <c r="G24" s="133"/>
      <c r="N24" s="137"/>
      <c r="O24" s="137"/>
    </row>
    <row r="25" spans="1:15">
      <c r="A25" s="128">
        <v>14</v>
      </c>
      <c r="B25" s="133"/>
      <c r="C25" s="133"/>
      <c r="D25" s="133"/>
      <c r="E25" s="133"/>
      <c r="F25" s="133"/>
      <c r="G25" s="133"/>
      <c r="N25" s="137"/>
      <c r="O25" s="137"/>
    </row>
    <row r="26" spans="1:15">
      <c r="A26" s="128">
        <v>15</v>
      </c>
      <c r="B26" s="133"/>
      <c r="C26" s="133" t="s">
        <v>39</v>
      </c>
      <c r="D26" s="142"/>
      <c r="E26" s="136">
        <f>E21+E23+E24</f>
        <v>256854678.70102403</v>
      </c>
      <c r="F26" s="133"/>
      <c r="G26" s="136">
        <f>G21+G23+G24</f>
        <v>42219147.935684502</v>
      </c>
      <c r="N26" s="137"/>
      <c r="O26" s="137"/>
    </row>
    <row r="27" spans="1:15">
      <c r="A27" s="128">
        <v>16</v>
      </c>
      <c r="B27" s="133"/>
      <c r="C27" s="133"/>
      <c r="D27" s="133"/>
      <c r="E27" s="136"/>
      <c r="F27" s="136"/>
      <c r="G27" s="136"/>
      <c r="N27" s="137"/>
      <c r="O27" s="137"/>
    </row>
    <row r="28" spans="1:15">
      <c r="A28" s="128">
        <v>17</v>
      </c>
      <c r="B28" s="134">
        <v>352</v>
      </c>
      <c r="C28" s="133" t="s">
        <v>40</v>
      </c>
      <c r="D28" s="133"/>
      <c r="E28" s="136">
        <v>32823.367830000003</v>
      </c>
      <c r="F28" s="136"/>
      <c r="G28" s="136">
        <v>22740.803045000001</v>
      </c>
      <c r="N28" s="137"/>
      <c r="O28" s="137"/>
    </row>
    <row r="29" spans="1:15">
      <c r="A29" s="128">
        <v>18</v>
      </c>
      <c r="B29" s="134">
        <v>353</v>
      </c>
      <c r="C29" s="133" t="s">
        <v>40</v>
      </c>
      <c r="D29" s="133"/>
      <c r="E29" s="136">
        <v>768952.23010000016</v>
      </c>
      <c r="F29" s="136"/>
      <c r="G29" s="136">
        <v>222392.85492800004</v>
      </c>
      <c r="N29" s="137"/>
      <c r="O29" s="137"/>
    </row>
    <row r="30" spans="1:15">
      <c r="A30" s="128">
        <v>19</v>
      </c>
      <c r="B30" s="134">
        <v>355</v>
      </c>
      <c r="C30" s="133" t="s">
        <v>40</v>
      </c>
      <c r="D30" s="133"/>
      <c r="E30" s="136">
        <v>1641770.24</v>
      </c>
      <c r="F30" s="136"/>
      <c r="G30" s="136">
        <v>200028.87337052345</v>
      </c>
      <c r="N30" s="137"/>
      <c r="O30" s="137"/>
    </row>
    <row r="31" spans="1:15">
      <c r="A31" s="128">
        <v>20</v>
      </c>
      <c r="B31" s="134">
        <v>356</v>
      </c>
      <c r="C31" s="133" t="s">
        <v>40</v>
      </c>
      <c r="D31" s="133"/>
      <c r="E31" s="136">
        <v>865996.255</v>
      </c>
      <c r="F31" s="136"/>
      <c r="G31" s="136">
        <v>52393.673436256853</v>
      </c>
      <c r="N31" s="137"/>
      <c r="O31" s="137"/>
    </row>
    <row r="32" spans="1:15">
      <c r="A32" s="128">
        <v>21</v>
      </c>
      <c r="B32" s="133"/>
      <c r="C32" s="138" t="s">
        <v>41</v>
      </c>
      <c r="D32" s="133"/>
      <c r="E32" s="139">
        <f>SUM(E28:E31)</f>
        <v>3309542.0929300003</v>
      </c>
      <c r="F32" s="136"/>
      <c r="G32" s="139">
        <f>SUM(G28:G31)</f>
        <v>497556.20477978035</v>
      </c>
      <c r="N32" s="137"/>
      <c r="O32" s="137"/>
    </row>
    <row r="33" spans="1:15">
      <c r="A33" s="128">
        <v>22</v>
      </c>
      <c r="B33" s="133"/>
      <c r="C33" s="138"/>
      <c r="D33" s="133"/>
      <c r="E33" s="136"/>
      <c r="F33" s="136"/>
      <c r="G33" s="136"/>
      <c r="N33" s="137"/>
      <c r="O33" s="137"/>
    </row>
    <row r="34" spans="1:15">
      <c r="A34" s="128">
        <v>23</v>
      </c>
      <c r="B34" s="142" t="s">
        <v>42</v>
      </c>
      <c r="C34" s="138"/>
      <c r="D34" s="133"/>
      <c r="E34" s="141">
        <f>+E32+E26</f>
        <v>260164220.79395401</v>
      </c>
      <c r="F34" s="136"/>
      <c r="G34" s="141">
        <f>+G32+G26</f>
        <v>42716704.140464284</v>
      </c>
      <c r="N34" s="137"/>
      <c r="O34" s="137"/>
    </row>
    <row r="35" spans="1:15">
      <c r="A35" s="128">
        <v>24</v>
      </c>
      <c r="B35" s="142"/>
      <c r="C35" s="138"/>
      <c r="D35" s="133"/>
      <c r="E35" s="139"/>
      <c r="F35" s="136"/>
      <c r="G35" s="136"/>
      <c r="N35" s="137"/>
      <c r="O35" s="137"/>
    </row>
    <row r="36" spans="1:15">
      <c r="A36" s="128">
        <v>25</v>
      </c>
      <c r="B36" s="133" t="s">
        <v>43</v>
      </c>
      <c r="C36" s="138"/>
      <c r="D36" s="133"/>
      <c r="E36" s="141">
        <v>299983988</v>
      </c>
      <c r="F36" s="136"/>
      <c r="G36" s="141">
        <v>55322248</v>
      </c>
      <c r="N36" s="137"/>
      <c r="O36" s="137"/>
    </row>
    <row r="37" spans="1:15">
      <c r="A37" s="128">
        <v>26</v>
      </c>
      <c r="B37" s="133"/>
      <c r="C37" s="138"/>
      <c r="D37" s="133"/>
      <c r="E37" s="136"/>
      <c r="F37" s="136"/>
      <c r="G37" s="139"/>
      <c r="N37" s="137"/>
      <c r="O37" s="137"/>
    </row>
    <row r="38" spans="1:15" ht="13.8" thickBot="1">
      <c r="A38" s="128">
        <v>27</v>
      </c>
      <c r="B38" s="133"/>
      <c r="C38" s="133" t="s">
        <v>44</v>
      </c>
      <c r="D38" s="133"/>
      <c r="E38" s="143">
        <f>E36-E34</f>
        <v>39819767.206045985</v>
      </c>
      <c r="F38" s="136"/>
      <c r="G38" s="143">
        <f>G36-G34</f>
        <v>12605543.859535716</v>
      </c>
      <c r="N38" s="137"/>
      <c r="O38" s="137"/>
    </row>
    <row r="39" spans="1:15" ht="13.8" thickTop="1">
      <c r="A39" s="128">
        <v>28</v>
      </c>
      <c r="B39" s="133"/>
      <c r="C39" s="138"/>
      <c r="D39" s="133"/>
      <c r="E39" s="136"/>
      <c r="F39" s="136"/>
      <c r="G39" s="136"/>
      <c r="N39" s="137"/>
      <c r="O39" s="137"/>
    </row>
    <row r="40" spans="1:15">
      <c r="A40" s="128">
        <v>29</v>
      </c>
      <c r="B40" s="134">
        <v>362</v>
      </c>
      <c r="C40" s="133" t="s">
        <v>40</v>
      </c>
      <c r="D40" s="133"/>
      <c r="E40" s="136">
        <v>9275271.7599999979</v>
      </c>
      <c r="F40" s="136"/>
      <c r="G40" s="136">
        <v>3199362.3550000009</v>
      </c>
      <c r="N40" s="137"/>
      <c r="O40" s="137"/>
    </row>
    <row r="41" spans="1:15">
      <c r="A41" s="128">
        <v>30</v>
      </c>
      <c r="B41" s="134">
        <v>362</v>
      </c>
      <c r="C41" s="133" t="s">
        <v>45</v>
      </c>
      <c r="D41" s="133"/>
      <c r="E41" s="136">
        <v>7255764.3500000006</v>
      </c>
      <c r="F41" s="136"/>
      <c r="G41" s="136">
        <v>2065704.3400000003</v>
      </c>
      <c r="N41" s="137"/>
      <c r="O41" s="137"/>
    </row>
    <row r="42" spans="1:15">
      <c r="A42" s="128">
        <v>31</v>
      </c>
      <c r="B42" s="133"/>
      <c r="C42" s="133"/>
      <c r="D42" s="133"/>
      <c r="E42" s="139"/>
      <c r="F42" s="136"/>
      <c r="G42" s="139"/>
      <c r="N42" s="137"/>
      <c r="O42" s="137"/>
    </row>
    <row r="43" spans="1:15">
      <c r="A43" s="128">
        <v>32</v>
      </c>
      <c r="B43" s="142" t="s">
        <v>46</v>
      </c>
      <c r="C43" s="138"/>
      <c r="D43" s="133"/>
      <c r="E43" s="141">
        <f>SUM(E40:E42)</f>
        <v>16531036.109999999</v>
      </c>
      <c r="F43" s="136"/>
      <c r="G43" s="141">
        <f>SUM(G40:G42)</f>
        <v>5265066.6950000012</v>
      </c>
      <c r="N43" s="137"/>
      <c r="O43" s="137"/>
    </row>
    <row r="44" spans="1:15">
      <c r="A44" s="128">
        <v>33</v>
      </c>
      <c r="B44" s="142"/>
      <c r="C44" s="138"/>
      <c r="D44" s="133"/>
      <c r="E44" s="136"/>
      <c r="F44" s="136"/>
      <c r="G44" s="136"/>
      <c r="N44" s="137"/>
      <c r="O44" s="137"/>
    </row>
    <row r="45" spans="1:15">
      <c r="A45" s="128">
        <v>34</v>
      </c>
      <c r="B45" s="133" t="s">
        <v>47</v>
      </c>
      <c r="C45" s="138"/>
      <c r="D45" s="133"/>
      <c r="E45" s="136">
        <v>600361634</v>
      </c>
      <c r="F45" s="136"/>
      <c r="G45" s="136">
        <v>193687355</v>
      </c>
      <c r="N45" s="137"/>
      <c r="O45" s="137"/>
    </row>
    <row r="46" spans="1:15" ht="13.8" thickBot="1">
      <c r="A46" s="128">
        <v>35</v>
      </c>
      <c r="B46" s="133"/>
      <c r="C46" s="133" t="s">
        <v>48</v>
      </c>
      <c r="D46" s="133"/>
      <c r="E46" s="144">
        <f>+E45-E43</f>
        <v>583830597.88999999</v>
      </c>
      <c r="F46" s="136"/>
      <c r="G46" s="144">
        <f>+G45-G43</f>
        <v>188422288.30500001</v>
      </c>
      <c r="N46" s="137"/>
      <c r="O46" s="137"/>
    </row>
    <row r="47" spans="1:15" ht="13.8" thickTop="1">
      <c r="A47" s="128">
        <v>36</v>
      </c>
      <c r="B47" s="133"/>
      <c r="C47" s="138"/>
      <c r="D47" s="133"/>
      <c r="E47" s="136"/>
      <c r="F47" s="136"/>
      <c r="G47" s="136"/>
      <c r="N47" s="137"/>
      <c r="O47" s="137"/>
    </row>
    <row r="48" spans="1:15" ht="13.8" thickBot="1">
      <c r="A48" s="128">
        <v>37</v>
      </c>
      <c r="B48" s="133"/>
      <c r="C48" s="142" t="s">
        <v>49</v>
      </c>
      <c r="D48" s="133"/>
      <c r="E48" s="2">
        <f>+E43+E34</f>
        <v>276695256.90395403</v>
      </c>
      <c r="F48" s="136"/>
      <c r="G48" s="2">
        <f>+G43+G34</f>
        <v>47981770.835464284</v>
      </c>
      <c r="N48" s="137"/>
      <c r="O48" s="137"/>
    </row>
    <row r="49" spans="1:2" ht="13.8" thickTop="1">
      <c r="A49" s="128">
        <v>38</v>
      </c>
    </row>
    <row r="50" spans="1:2">
      <c r="A50" s="128">
        <v>39</v>
      </c>
      <c r="B50" s="122" t="s">
        <v>58</v>
      </c>
    </row>
    <row r="51" spans="1:2">
      <c r="A51" s="128">
        <v>40</v>
      </c>
      <c r="B51" s="146" t="s">
        <v>59</v>
      </c>
    </row>
    <row r="52" spans="1:2">
      <c r="A52" s="128">
        <v>41</v>
      </c>
      <c r="B52" s="146" t="s">
        <v>61</v>
      </c>
    </row>
    <row r="53" spans="1:2">
      <c r="A53" s="128">
        <v>42</v>
      </c>
      <c r="B53" s="146" t="s">
        <v>60</v>
      </c>
    </row>
    <row r="115" spans="6:6">
      <c r="F115" s="122">
        <f>+H184</f>
        <v>0</v>
      </c>
    </row>
    <row r="116" spans="6:6">
      <c r="F116" s="122">
        <f>+F115</f>
        <v>0</v>
      </c>
    </row>
  </sheetData>
  <mergeCells count="4">
    <mergeCell ref="B2:D2"/>
    <mergeCell ref="A4:G4"/>
    <mergeCell ref="A5:G5"/>
    <mergeCell ref="A6:G6"/>
  </mergeCells>
  <printOptions horizontalCentered="1"/>
  <pageMargins left="0.5" right="0.25" top="1" bottom="1" header="0.5" footer="0.5"/>
  <pageSetup scale="98" orientation="portrait" r:id="rId1"/>
  <headerFooter alignWithMargins="0">
    <oddHeader>&amp;L&amp;8 2016 BHP-Workpaper 4 Supplemental Supporting Schedules&amp;C&amp;"Arial MT,Bold"&amp;10
ACTUAL SERVICE YEAR ATRR
BLACK HILLS POWER, INC.
SUPPORTING SCHEDULES&amp;R&amp;10Page &amp;P of &amp;N</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3:N60"/>
  <sheetViews>
    <sheetView topLeftCell="A23" workbookViewId="0">
      <selection activeCell="D21" sqref="D21"/>
    </sheetView>
  </sheetViews>
  <sheetFormatPr defaultRowHeight="13.2"/>
  <cols>
    <col min="1" max="1" width="6.08984375" style="147" customWidth="1"/>
    <col min="2" max="4" width="11.81640625" style="147" customWidth="1"/>
    <col min="5" max="6" width="9.90625" style="147" customWidth="1"/>
    <col min="7" max="7" width="15.08984375" style="147" bestFit="1" customWidth="1"/>
    <col min="8" max="11" width="8.81640625" style="147"/>
    <col min="12" max="12" width="10.6328125" style="147" bestFit="1" customWidth="1"/>
    <col min="13" max="13" width="8.81640625" style="147"/>
    <col min="14" max="14" width="54.08984375" style="147" customWidth="1"/>
    <col min="15" max="256" width="8.81640625" style="147"/>
    <col min="257" max="257" width="6.08984375" style="147" customWidth="1"/>
    <col min="258" max="260" width="11.81640625" style="147" customWidth="1"/>
    <col min="261" max="262" width="9.90625" style="147" customWidth="1"/>
    <col min="263" max="263" width="15.08984375" style="147" bestFit="1" customWidth="1"/>
    <col min="264" max="512" width="8.81640625" style="147"/>
    <col min="513" max="513" width="6.08984375" style="147" customWidth="1"/>
    <col min="514" max="516" width="11.81640625" style="147" customWidth="1"/>
    <col min="517" max="518" width="9.90625" style="147" customWidth="1"/>
    <col min="519" max="519" width="15.08984375" style="147" bestFit="1" customWidth="1"/>
    <col min="520" max="768" width="8.81640625" style="147"/>
    <col min="769" max="769" width="6.08984375" style="147" customWidth="1"/>
    <col min="770" max="772" width="11.81640625" style="147" customWidth="1"/>
    <col min="773" max="774" width="9.90625" style="147" customWidth="1"/>
    <col min="775" max="775" width="15.08984375" style="147" bestFit="1" customWidth="1"/>
    <col min="776" max="1024" width="8.81640625" style="147"/>
    <col min="1025" max="1025" width="6.08984375" style="147" customWidth="1"/>
    <col min="1026" max="1028" width="11.81640625" style="147" customWidth="1"/>
    <col min="1029" max="1030" width="9.90625" style="147" customWidth="1"/>
    <col min="1031" max="1031" width="15.08984375" style="147" bestFit="1" customWidth="1"/>
    <col min="1032" max="1280" width="8.81640625" style="147"/>
    <col min="1281" max="1281" width="6.08984375" style="147" customWidth="1"/>
    <col min="1282" max="1284" width="11.81640625" style="147" customWidth="1"/>
    <col min="1285" max="1286" width="9.90625" style="147" customWidth="1"/>
    <col min="1287" max="1287" width="15.08984375" style="147" bestFit="1" customWidth="1"/>
    <col min="1288" max="1536" width="8.81640625" style="147"/>
    <col min="1537" max="1537" width="6.08984375" style="147" customWidth="1"/>
    <col min="1538" max="1540" width="11.81640625" style="147" customWidth="1"/>
    <col min="1541" max="1542" width="9.90625" style="147" customWidth="1"/>
    <col min="1543" max="1543" width="15.08984375" style="147" bestFit="1" customWidth="1"/>
    <col min="1544" max="1792" width="8.81640625" style="147"/>
    <col min="1793" max="1793" width="6.08984375" style="147" customWidth="1"/>
    <col min="1794" max="1796" width="11.81640625" style="147" customWidth="1"/>
    <col min="1797" max="1798" width="9.90625" style="147" customWidth="1"/>
    <col min="1799" max="1799" width="15.08984375" style="147" bestFit="1" customWidth="1"/>
    <col min="1800" max="2048" width="8.81640625" style="147"/>
    <col min="2049" max="2049" width="6.08984375" style="147" customWidth="1"/>
    <col min="2050" max="2052" width="11.81640625" style="147" customWidth="1"/>
    <col min="2053" max="2054" width="9.90625" style="147" customWidth="1"/>
    <col min="2055" max="2055" width="15.08984375" style="147" bestFit="1" customWidth="1"/>
    <col min="2056" max="2304" width="8.81640625" style="147"/>
    <col min="2305" max="2305" width="6.08984375" style="147" customWidth="1"/>
    <col min="2306" max="2308" width="11.81640625" style="147" customWidth="1"/>
    <col min="2309" max="2310" width="9.90625" style="147" customWidth="1"/>
    <col min="2311" max="2311" width="15.08984375" style="147" bestFit="1" customWidth="1"/>
    <col min="2312" max="2560" width="8.81640625" style="147"/>
    <col min="2561" max="2561" width="6.08984375" style="147" customWidth="1"/>
    <col min="2562" max="2564" width="11.81640625" style="147" customWidth="1"/>
    <col min="2565" max="2566" width="9.90625" style="147" customWidth="1"/>
    <col min="2567" max="2567" width="15.08984375" style="147" bestFit="1" customWidth="1"/>
    <col min="2568" max="2816" width="8.81640625" style="147"/>
    <col min="2817" max="2817" width="6.08984375" style="147" customWidth="1"/>
    <col min="2818" max="2820" width="11.81640625" style="147" customWidth="1"/>
    <col min="2821" max="2822" width="9.90625" style="147" customWidth="1"/>
    <col min="2823" max="2823" width="15.08984375" style="147" bestFit="1" customWidth="1"/>
    <col min="2824" max="3072" width="8.81640625" style="147"/>
    <col min="3073" max="3073" width="6.08984375" style="147" customWidth="1"/>
    <col min="3074" max="3076" width="11.81640625" style="147" customWidth="1"/>
    <col min="3077" max="3078" width="9.90625" style="147" customWidth="1"/>
    <col min="3079" max="3079" width="15.08984375" style="147" bestFit="1" customWidth="1"/>
    <col min="3080" max="3328" width="8.81640625" style="147"/>
    <col min="3329" max="3329" width="6.08984375" style="147" customWidth="1"/>
    <col min="3330" max="3332" width="11.81640625" style="147" customWidth="1"/>
    <col min="3333" max="3334" width="9.90625" style="147" customWidth="1"/>
    <col min="3335" max="3335" width="15.08984375" style="147" bestFit="1" customWidth="1"/>
    <col min="3336" max="3584" width="8.81640625" style="147"/>
    <col min="3585" max="3585" width="6.08984375" style="147" customWidth="1"/>
    <col min="3586" max="3588" width="11.81640625" style="147" customWidth="1"/>
    <col min="3589" max="3590" width="9.90625" style="147" customWidth="1"/>
    <col min="3591" max="3591" width="15.08984375" style="147" bestFit="1" customWidth="1"/>
    <col min="3592" max="3840" width="8.81640625" style="147"/>
    <col min="3841" max="3841" width="6.08984375" style="147" customWidth="1"/>
    <col min="3842" max="3844" width="11.81640625" style="147" customWidth="1"/>
    <col min="3845" max="3846" width="9.90625" style="147" customWidth="1"/>
    <col min="3847" max="3847" width="15.08984375" style="147" bestFit="1" customWidth="1"/>
    <col min="3848" max="4096" width="8.81640625" style="147"/>
    <col min="4097" max="4097" width="6.08984375" style="147" customWidth="1"/>
    <col min="4098" max="4100" width="11.81640625" style="147" customWidth="1"/>
    <col min="4101" max="4102" width="9.90625" style="147" customWidth="1"/>
    <col min="4103" max="4103" width="15.08984375" style="147" bestFit="1" customWidth="1"/>
    <col min="4104" max="4352" width="8.81640625" style="147"/>
    <col min="4353" max="4353" width="6.08984375" style="147" customWidth="1"/>
    <col min="4354" max="4356" width="11.81640625" style="147" customWidth="1"/>
    <col min="4357" max="4358" width="9.90625" style="147" customWidth="1"/>
    <col min="4359" max="4359" width="15.08984375" style="147" bestFit="1" customWidth="1"/>
    <col min="4360" max="4608" width="8.81640625" style="147"/>
    <col min="4609" max="4609" width="6.08984375" style="147" customWidth="1"/>
    <col min="4610" max="4612" width="11.81640625" style="147" customWidth="1"/>
    <col min="4613" max="4614" width="9.90625" style="147" customWidth="1"/>
    <col min="4615" max="4615" width="15.08984375" style="147" bestFit="1" customWidth="1"/>
    <col min="4616" max="4864" width="8.81640625" style="147"/>
    <col min="4865" max="4865" width="6.08984375" style="147" customWidth="1"/>
    <col min="4866" max="4868" width="11.81640625" style="147" customWidth="1"/>
    <col min="4869" max="4870" width="9.90625" style="147" customWidth="1"/>
    <col min="4871" max="4871" width="15.08984375" style="147" bestFit="1" customWidth="1"/>
    <col min="4872" max="5120" width="8.81640625" style="147"/>
    <col min="5121" max="5121" width="6.08984375" style="147" customWidth="1"/>
    <col min="5122" max="5124" width="11.81640625" style="147" customWidth="1"/>
    <col min="5125" max="5126" width="9.90625" style="147" customWidth="1"/>
    <col min="5127" max="5127" width="15.08984375" style="147" bestFit="1" customWidth="1"/>
    <col min="5128" max="5376" width="8.81640625" style="147"/>
    <col min="5377" max="5377" width="6.08984375" style="147" customWidth="1"/>
    <col min="5378" max="5380" width="11.81640625" style="147" customWidth="1"/>
    <col min="5381" max="5382" width="9.90625" style="147" customWidth="1"/>
    <col min="5383" max="5383" width="15.08984375" style="147" bestFit="1" customWidth="1"/>
    <col min="5384" max="5632" width="8.81640625" style="147"/>
    <col min="5633" max="5633" width="6.08984375" style="147" customWidth="1"/>
    <col min="5634" max="5636" width="11.81640625" style="147" customWidth="1"/>
    <col min="5637" max="5638" width="9.90625" style="147" customWidth="1"/>
    <col min="5639" max="5639" width="15.08984375" style="147" bestFit="1" customWidth="1"/>
    <col min="5640" max="5888" width="8.81640625" style="147"/>
    <col min="5889" max="5889" width="6.08984375" style="147" customWidth="1"/>
    <col min="5890" max="5892" width="11.81640625" style="147" customWidth="1"/>
    <col min="5893" max="5894" width="9.90625" style="147" customWidth="1"/>
    <col min="5895" max="5895" width="15.08984375" style="147" bestFit="1" customWidth="1"/>
    <col min="5896" max="6144" width="8.81640625" style="147"/>
    <col min="6145" max="6145" width="6.08984375" style="147" customWidth="1"/>
    <col min="6146" max="6148" width="11.81640625" style="147" customWidth="1"/>
    <col min="6149" max="6150" width="9.90625" style="147" customWidth="1"/>
    <col min="6151" max="6151" width="15.08984375" style="147" bestFit="1" customWidth="1"/>
    <col min="6152" max="6400" width="8.81640625" style="147"/>
    <col min="6401" max="6401" width="6.08984375" style="147" customWidth="1"/>
    <col min="6402" max="6404" width="11.81640625" style="147" customWidth="1"/>
    <col min="6405" max="6406" width="9.90625" style="147" customWidth="1"/>
    <col min="6407" max="6407" width="15.08984375" style="147" bestFit="1" customWidth="1"/>
    <col min="6408" max="6656" width="8.81640625" style="147"/>
    <col min="6657" max="6657" width="6.08984375" style="147" customWidth="1"/>
    <col min="6658" max="6660" width="11.81640625" style="147" customWidth="1"/>
    <col min="6661" max="6662" width="9.90625" style="147" customWidth="1"/>
    <col min="6663" max="6663" width="15.08984375" style="147" bestFit="1" customWidth="1"/>
    <col min="6664" max="6912" width="8.81640625" style="147"/>
    <col min="6913" max="6913" width="6.08984375" style="147" customWidth="1"/>
    <col min="6914" max="6916" width="11.81640625" style="147" customWidth="1"/>
    <col min="6917" max="6918" width="9.90625" style="147" customWidth="1"/>
    <col min="6919" max="6919" width="15.08984375" style="147" bestFit="1" customWidth="1"/>
    <col min="6920" max="7168" width="8.81640625" style="147"/>
    <col min="7169" max="7169" width="6.08984375" style="147" customWidth="1"/>
    <col min="7170" max="7172" width="11.81640625" style="147" customWidth="1"/>
    <col min="7173" max="7174" width="9.90625" style="147" customWidth="1"/>
    <col min="7175" max="7175" width="15.08984375" style="147" bestFit="1" customWidth="1"/>
    <col min="7176" max="7424" width="8.81640625" style="147"/>
    <col min="7425" max="7425" width="6.08984375" style="147" customWidth="1"/>
    <col min="7426" max="7428" width="11.81640625" style="147" customWidth="1"/>
    <col min="7429" max="7430" width="9.90625" style="147" customWidth="1"/>
    <col min="7431" max="7431" width="15.08984375" style="147" bestFit="1" customWidth="1"/>
    <col min="7432" max="7680" width="8.81640625" style="147"/>
    <col min="7681" max="7681" width="6.08984375" style="147" customWidth="1"/>
    <col min="7682" max="7684" width="11.81640625" style="147" customWidth="1"/>
    <col min="7685" max="7686" width="9.90625" style="147" customWidth="1"/>
    <col min="7687" max="7687" width="15.08984375" style="147" bestFit="1" customWidth="1"/>
    <col min="7688" max="7936" width="8.81640625" style="147"/>
    <col min="7937" max="7937" width="6.08984375" style="147" customWidth="1"/>
    <col min="7938" max="7940" width="11.81640625" style="147" customWidth="1"/>
    <col min="7941" max="7942" width="9.90625" style="147" customWidth="1"/>
    <col min="7943" max="7943" width="15.08984375" style="147" bestFit="1" customWidth="1"/>
    <col min="7944" max="8192" width="8.81640625" style="147"/>
    <col min="8193" max="8193" width="6.08984375" style="147" customWidth="1"/>
    <col min="8194" max="8196" width="11.81640625" style="147" customWidth="1"/>
    <col min="8197" max="8198" width="9.90625" style="147" customWidth="1"/>
    <col min="8199" max="8199" width="15.08984375" style="147" bestFit="1" customWidth="1"/>
    <col min="8200" max="8448" width="8.81640625" style="147"/>
    <col min="8449" max="8449" width="6.08984375" style="147" customWidth="1"/>
    <col min="8450" max="8452" width="11.81640625" style="147" customWidth="1"/>
    <col min="8453" max="8454" width="9.90625" style="147" customWidth="1"/>
    <col min="8455" max="8455" width="15.08984375" style="147" bestFit="1" customWidth="1"/>
    <col min="8456" max="8704" width="8.81640625" style="147"/>
    <col min="8705" max="8705" width="6.08984375" style="147" customWidth="1"/>
    <col min="8706" max="8708" width="11.81640625" style="147" customWidth="1"/>
    <col min="8709" max="8710" width="9.90625" style="147" customWidth="1"/>
    <col min="8711" max="8711" width="15.08984375" style="147" bestFit="1" customWidth="1"/>
    <col min="8712" max="8960" width="8.81640625" style="147"/>
    <col min="8961" max="8961" width="6.08984375" style="147" customWidth="1"/>
    <col min="8962" max="8964" width="11.81640625" style="147" customWidth="1"/>
    <col min="8965" max="8966" width="9.90625" style="147" customWidth="1"/>
    <col min="8967" max="8967" width="15.08984375" style="147" bestFit="1" customWidth="1"/>
    <col min="8968" max="9216" width="8.81640625" style="147"/>
    <col min="9217" max="9217" width="6.08984375" style="147" customWidth="1"/>
    <col min="9218" max="9220" width="11.81640625" style="147" customWidth="1"/>
    <col min="9221" max="9222" width="9.90625" style="147" customWidth="1"/>
    <col min="9223" max="9223" width="15.08984375" style="147" bestFit="1" customWidth="1"/>
    <col min="9224" max="9472" width="8.81640625" style="147"/>
    <col min="9473" max="9473" width="6.08984375" style="147" customWidth="1"/>
    <col min="9474" max="9476" width="11.81640625" style="147" customWidth="1"/>
    <col min="9477" max="9478" width="9.90625" style="147" customWidth="1"/>
    <col min="9479" max="9479" width="15.08984375" style="147" bestFit="1" customWidth="1"/>
    <col min="9480" max="9728" width="8.81640625" style="147"/>
    <col min="9729" max="9729" width="6.08984375" style="147" customWidth="1"/>
    <col min="9730" max="9732" width="11.81640625" style="147" customWidth="1"/>
    <col min="9733" max="9734" width="9.90625" style="147" customWidth="1"/>
    <col min="9735" max="9735" width="15.08984375" style="147" bestFit="1" customWidth="1"/>
    <col min="9736" max="9984" width="8.81640625" style="147"/>
    <col min="9985" max="9985" width="6.08984375" style="147" customWidth="1"/>
    <col min="9986" max="9988" width="11.81640625" style="147" customWidth="1"/>
    <col min="9989" max="9990" width="9.90625" style="147" customWidth="1"/>
    <col min="9991" max="9991" width="15.08984375" style="147" bestFit="1" customWidth="1"/>
    <col min="9992" max="10240" width="8.81640625" style="147"/>
    <col min="10241" max="10241" width="6.08984375" style="147" customWidth="1"/>
    <col min="10242" max="10244" width="11.81640625" style="147" customWidth="1"/>
    <col min="10245" max="10246" width="9.90625" style="147" customWidth="1"/>
    <col min="10247" max="10247" width="15.08984375" style="147" bestFit="1" customWidth="1"/>
    <col min="10248" max="10496" width="8.81640625" style="147"/>
    <col min="10497" max="10497" width="6.08984375" style="147" customWidth="1"/>
    <col min="10498" max="10500" width="11.81640625" style="147" customWidth="1"/>
    <col min="10501" max="10502" width="9.90625" style="147" customWidth="1"/>
    <col min="10503" max="10503" width="15.08984375" style="147" bestFit="1" customWidth="1"/>
    <col min="10504" max="10752" width="8.81640625" style="147"/>
    <col min="10753" max="10753" width="6.08984375" style="147" customWidth="1"/>
    <col min="10754" max="10756" width="11.81640625" style="147" customWidth="1"/>
    <col min="10757" max="10758" width="9.90625" style="147" customWidth="1"/>
    <col min="10759" max="10759" width="15.08984375" style="147" bestFit="1" customWidth="1"/>
    <col min="10760" max="11008" width="8.81640625" style="147"/>
    <col min="11009" max="11009" width="6.08984375" style="147" customWidth="1"/>
    <col min="11010" max="11012" width="11.81640625" style="147" customWidth="1"/>
    <col min="11013" max="11014" width="9.90625" style="147" customWidth="1"/>
    <col min="11015" max="11015" width="15.08984375" style="147" bestFit="1" customWidth="1"/>
    <col min="11016" max="11264" width="8.81640625" style="147"/>
    <col min="11265" max="11265" width="6.08984375" style="147" customWidth="1"/>
    <col min="11266" max="11268" width="11.81640625" style="147" customWidth="1"/>
    <col min="11269" max="11270" width="9.90625" style="147" customWidth="1"/>
    <col min="11271" max="11271" width="15.08984375" style="147" bestFit="1" customWidth="1"/>
    <col min="11272" max="11520" width="8.81640625" style="147"/>
    <col min="11521" max="11521" width="6.08984375" style="147" customWidth="1"/>
    <col min="11522" max="11524" width="11.81640625" style="147" customWidth="1"/>
    <col min="11525" max="11526" width="9.90625" style="147" customWidth="1"/>
    <col min="11527" max="11527" width="15.08984375" style="147" bestFit="1" customWidth="1"/>
    <col min="11528" max="11776" width="8.81640625" style="147"/>
    <col min="11777" max="11777" width="6.08984375" style="147" customWidth="1"/>
    <col min="11778" max="11780" width="11.81640625" style="147" customWidth="1"/>
    <col min="11781" max="11782" width="9.90625" style="147" customWidth="1"/>
    <col min="11783" max="11783" width="15.08984375" style="147" bestFit="1" customWidth="1"/>
    <col min="11784" max="12032" width="8.81640625" style="147"/>
    <col min="12033" max="12033" width="6.08984375" style="147" customWidth="1"/>
    <col min="12034" max="12036" width="11.81640625" style="147" customWidth="1"/>
    <col min="12037" max="12038" width="9.90625" style="147" customWidth="1"/>
    <col min="12039" max="12039" width="15.08984375" style="147" bestFit="1" customWidth="1"/>
    <col min="12040" max="12288" width="8.81640625" style="147"/>
    <col min="12289" max="12289" width="6.08984375" style="147" customWidth="1"/>
    <col min="12290" max="12292" width="11.81640625" style="147" customWidth="1"/>
    <col min="12293" max="12294" width="9.90625" style="147" customWidth="1"/>
    <col min="12295" max="12295" width="15.08984375" style="147" bestFit="1" customWidth="1"/>
    <col min="12296" max="12544" width="8.81640625" style="147"/>
    <col min="12545" max="12545" width="6.08984375" style="147" customWidth="1"/>
    <col min="12546" max="12548" width="11.81640625" style="147" customWidth="1"/>
    <col min="12549" max="12550" width="9.90625" style="147" customWidth="1"/>
    <col min="12551" max="12551" width="15.08984375" style="147" bestFit="1" customWidth="1"/>
    <col min="12552" max="12800" width="8.81640625" style="147"/>
    <col min="12801" max="12801" width="6.08984375" style="147" customWidth="1"/>
    <col min="12802" max="12804" width="11.81640625" style="147" customWidth="1"/>
    <col min="12805" max="12806" width="9.90625" style="147" customWidth="1"/>
    <col min="12807" max="12807" width="15.08984375" style="147" bestFit="1" customWidth="1"/>
    <col min="12808" max="13056" width="8.81640625" style="147"/>
    <col min="13057" max="13057" width="6.08984375" style="147" customWidth="1"/>
    <col min="13058" max="13060" width="11.81640625" style="147" customWidth="1"/>
    <col min="13061" max="13062" width="9.90625" style="147" customWidth="1"/>
    <col min="13063" max="13063" width="15.08984375" style="147" bestFit="1" customWidth="1"/>
    <col min="13064" max="13312" width="8.81640625" style="147"/>
    <col min="13313" max="13313" width="6.08984375" style="147" customWidth="1"/>
    <col min="13314" max="13316" width="11.81640625" style="147" customWidth="1"/>
    <col min="13317" max="13318" width="9.90625" style="147" customWidth="1"/>
    <col min="13319" max="13319" width="15.08984375" style="147" bestFit="1" customWidth="1"/>
    <col min="13320" max="13568" width="8.81640625" style="147"/>
    <col min="13569" max="13569" width="6.08984375" style="147" customWidth="1"/>
    <col min="13570" max="13572" width="11.81640625" style="147" customWidth="1"/>
    <col min="13573" max="13574" width="9.90625" style="147" customWidth="1"/>
    <col min="13575" max="13575" width="15.08984375" style="147" bestFit="1" customWidth="1"/>
    <col min="13576" max="13824" width="8.81640625" style="147"/>
    <col min="13825" max="13825" width="6.08984375" style="147" customWidth="1"/>
    <col min="13826" max="13828" width="11.81640625" style="147" customWidth="1"/>
    <col min="13829" max="13830" width="9.90625" style="147" customWidth="1"/>
    <col min="13831" max="13831" width="15.08984375" style="147" bestFit="1" customWidth="1"/>
    <col min="13832" max="14080" width="8.81640625" style="147"/>
    <col min="14081" max="14081" width="6.08984375" style="147" customWidth="1"/>
    <col min="14082" max="14084" width="11.81640625" style="147" customWidth="1"/>
    <col min="14085" max="14086" width="9.90625" style="147" customWidth="1"/>
    <col min="14087" max="14087" width="15.08984375" style="147" bestFit="1" customWidth="1"/>
    <col min="14088" max="14336" width="8.81640625" style="147"/>
    <col min="14337" max="14337" width="6.08984375" style="147" customWidth="1"/>
    <col min="14338" max="14340" width="11.81640625" style="147" customWidth="1"/>
    <col min="14341" max="14342" width="9.90625" style="147" customWidth="1"/>
    <col min="14343" max="14343" width="15.08984375" style="147" bestFit="1" customWidth="1"/>
    <col min="14344" max="14592" width="8.81640625" style="147"/>
    <col min="14593" max="14593" width="6.08984375" style="147" customWidth="1"/>
    <col min="14594" max="14596" width="11.81640625" style="147" customWidth="1"/>
    <col min="14597" max="14598" width="9.90625" style="147" customWidth="1"/>
    <col min="14599" max="14599" width="15.08984375" style="147" bestFit="1" customWidth="1"/>
    <col min="14600" max="14848" width="8.81640625" style="147"/>
    <col min="14849" max="14849" width="6.08984375" style="147" customWidth="1"/>
    <col min="14850" max="14852" width="11.81640625" style="147" customWidth="1"/>
    <col min="14853" max="14854" width="9.90625" style="147" customWidth="1"/>
    <col min="14855" max="14855" width="15.08984375" style="147" bestFit="1" customWidth="1"/>
    <col min="14856" max="15104" width="8.81640625" style="147"/>
    <col min="15105" max="15105" width="6.08984375" style="147" customWidth="1"/>
    <col min="15106" max="15108" width="11.81640625" style="147" customWidth="1"/>
    <col min="15109" max="15110" width="9.90625" style="147" customWidth="1"/>
    <col min="15111" max="15111" width="15.08984375" style="147" bestFit="1" customWidth="1"/>
    <col min="15112" max="15360" width="8.81640625" style="147"/>
    <col min="15361" max="15361" width="6.08984375" style="147" customWidth="1"/>
    <col min="15362" max="15364" width="11.81640625" style="147" customWidth="1"/>
    <col min="15365" max="15366" width="9.90625" style="147" customWidth="1"/>
    <col min="15367" max="15367" width="15.08984375" style="147" bestFit="1" customWidth="1"/>
    <col min="15368" max="15616" width="8.81640625" style="147"/>
    <col min="15617" max="15617" width="6.08984375" style="147" customWidth="1"/>
    <col min="15618" max="15620" width="11.81640625" style="147" customWidth="1"/>
    <col min="15621" max="15622" width="9.90625" style="147" customWidth="1"/>
    <col min="15623" max="15623" width="15.08984375" style="147" bestFit="1" customWidth="1"/>
    <col min="15624" max="15872" width="8.81640625" style="147"/>
    <col min="15873" max="15873" width="6.08984375" style="147" customWidth="1"/>
    <col min="15874" max="15876" width="11.81640625" style="147" customWidth="1"/>
    <col min="15877" max="15878" width="9.90625" style="147" customWidth="1"/>
    <col min="15879" max="15879" width="15.08984375" style="147" bestFit="1" customWidth="1"/>
    <col min="15880" max="16128" width="8.81640625" style="147"/>
    <col min="16129" max="16129" width="6.08984375" style="147" customWidth="1"/>
    <col min="16130" max="16132" width="11.81640625" style="147" customWidth="1"/>
    <col min="16133" max="16134" width="9.90625" style="147" customWidth="1"/>
    <col min="16135" max="16135" width="15.08984375" style="147" bestFit="1" customWidth="1"/>
    <col min="16136" max="16384" width="8.81640625" style="147"/>
  </cols>
  <sheetData>
    <row r="3" spans="1:14">
      <c r="A3" s="124" t="s">
        <v>218</v>
      </c>
      <c r="B3" s="124"/>
      <c r="C3" s="124"/>
      <c r="D3" s="124"/>
      <c r="E3" s="124"/>
      <c r="F3" s="124"/>
      <c r="G3" s="124"/>
    </row>
    <row r="4" spans="1:14">
      <c r="A4" s="124" t="s">
        <v>219</v>
      </c>
      <c r="B4" s="124"/>
      <c r="C4" s="124"/>
      <c r="D4" s="124"/>
      <c r="E4" s="124"/>
      <c r="F4" s="124"/>
      <c r="G4" s="124"/>
    </row>
    <row r="5" spans="1:14">
      <c r="A5" s="124" t="s">
        <v>2</v>
      </c>
      <c r="B5" s="124"/>
      <c r="C5" s="124"/>
      <c r="D5" s="124"/>
      <c r="E5" s="124"/>
      <c r="F5" s="124"/>
      <c r="G5" s="124"/>
    </row>
    <row r="6" spans="1:14">
      <c r="A6" s="126"/>
      <c r="B6" s="126"/>
      <c r="C6" s="126"/>
      <c r="D6" s="126"/>
      <c r="E6" s="126"/>
      <c r="F6" s="126"/>
      <c r="G6" s="126"/>
    </row>
    <row r="7" spans="1:14">
      <c r="B7" s="131" t="s">
        <v>22</v>
      </c>
      <c r="C7" s="131" t="s">
        <v>23</v>
      </c>
      <c r="D7" s="131" t="s">
        <v>220</v>
      </c>
      <c r="E7" s="131" t="s">
        <v>221</v>
      </c>
      <c r="F7" s="131" t="s">
        <v>222</v>
      </c>
      <c r="G7" s="131" t="s">
        <v>223</v>
      </c>
    </row>
    <row r="8" spans="1:14">
      <c r="A8" s="128" t="s">
        <v>3</v>
      </c>
      <c r="C8" s="148" t="s">
        <v>17</v>
      </c>
      <c r="D8" s="148" t="s">
        <v>224</v>
      </c>
      <c r="E8" s="148" t="s">
        <v>225</v>
      </c>
      <c r="G8" s="148" t="s">
        <v>226</v>
      </c>
    </row>
    <row r="9" spans="1:14">
      <c r="A9" s="149" t="s">
        <v>5</v>
      </c>
      <c r="B9" s="150" t="s">
        <v>227</v>
      </c>
      <c r="C9" s="150" t="s">
        <v>228</v>
      </c>
      <c r="D9" s="150" t="s">
        <v>229</v>
      </c>
      <c r="E9" s="150" t="s">
        <v>230</v>
      </c>
      <c r="F9" s="150" t="s">
        <v>231</v>
      </c>
      <c r="G9" s="150" t="s">
        <v>232</v>
      </c>
    </row>
    <row r="10" spans="1:14">
      <c r="A10" s="128"/>
      <c r="B10" s="148"/>
      <c r="C10" s="148"/>
      <c r="D10" s="148"/>
      <c r="E10" s="148"/>
      <c r="F10" s="148"/>
      <c r="G10" s="148"/>
    </row>
    <row r="11" spans="1:14">
      <c r="A11" s="128"/>
      <c r="B11" s="151" t="s">
        <v>233</v>
      </c>
      <c r="N11" s="152" t="s">
        <v>515</v>
      </c>
    </row>
    <row r="12" spans="1:14" ht="15">
      <c r="A12" s="128">
        <v>1</v>
      </c>
      <c r="B12" s="153">
        <v>45627</v>
      </c>
      <c r="C12" s="8" t="s">
        <v>234</v>
      </c>
      <c r="D12" s="1"/>
      <c r="F12" s="154"/>
      <c r="G12" s="11">
        <v>-31128180.514660373</v>
      </c>
      <c r="I12" s="15"/>
      <c r="N12" s="147" t="s">
        <v>240</v>
      </c>
    </row>
    <row r="13" spans="1:14">
      <c r="A13" s="128">
        <f t="shared" ref="A13:A56" si="0">+A12+1</f>
        <v>2</v>
      </c>
      <c r="B13" s="153"/>
      <c r="C13" s="1"/>
      <c r="D13" s="1"/>
      <c r="F13" s="154"/>
      <c r="G13" s="1"/>
    </row>
    <row r="14" spans="1:14" ht="15">
      <c r="A14" s="128">
        <f t="shared" si="0"/>
        <v>3</v>
      </c>
      <c r="B14" s="153">
        <v>45992</v>
      </c>
      <c r="C14" s="11">
        <v>-689596.30605404032</v>
      </c>
      <c r="D14" s="1">
        <f>ROUND(+C14*L15,0)</f>
        <v>-567325</v>
      </c>
      <c r="E14" s="154"/>
      <c r="F14" s="155">
        <v>1</v>
      </c>
      <c r="G14" s="1">
        <f>ROUND(+D14*F14,0)</f>
        <v>-567325</v>
      </c>
      <c r="I14" s="15"/>
    </row>
    <row r="15" spans="1:14" ht="26.4">
      <c r="A15" s="128">
        <f t="shared" si="0"/>
        <v>4</v>
      </c>
      <c r="B15" s="153">
        <v>46023</v>
      </c>
      <c r="C15" s="11">
        <v>-61360.970204520025</v>
      </c>
      <c r="D15" s="1">
        <f>ROUND(+C15*$L$15,0)</f>
        <v>-50481</v>
      </c>
      <c r="E15" s="154">
        <f>365-30</f>
        <v>335</v>
      </c>
      <c r="F15" s="155">
        <f t="shared" ref="F15:F26" si="1">ROUND(+E15/365,6)</f>
        <v>0.91780799999999996</v>
      </c>
      <c r="G15" s="1">
        <f>ROUND(+D15*F15,0)</f>
        <v>-46332</v>
      </c>
      <c r="I15" s="156"/>
      <c r="J15" s="156"/>
      <c r="L15" s="157">
        <v>0.82269199999999998</v>
      </c>
      <c r="N15" s="158" t="s">
        <v>485</v>
      </c>
    </row>
    <row r="16" spans="1:14">
      <c r="A16" s="128">
        <f t="shared" si="0"/>
        <v>5</v>
      </c>
      <c r="B16" s="153">
        <v>46054</v>
      </c>
      <c r="C16" s="11">
        <v>-122721.94040904005</v>
      </c>
      <c r="D16" s="1">
        <f>ROUND(+C16*$L$15,0)</f>
        <v>-100962</v>
      </c>
      <c r="E16" s="154">
        <f>+E15-28</f>
        <v>307</v>
      </c>
      <c r="F16" s="155">
        <f t="shared" si="1"/>
        <v>0.84109599999999995</v>
      </c>
      <c r="G16" s="1">
        <f t="shared" ref="G16:G26" si="2">ROUND(+D16*F16,0)</f>
        <v>-84919</v>
      </c>
      <c r="I16" s="156"/>
      <c r="J16" s="156"/>
    </row>
    <row r="17" spans="1:14">
      <c r="A17" s="128">
        <f t="shared" si="0"/>
        <v>6</v>
      </c>
      <c r="B17" s="153">
        <v>46082</v>
      </c>
      <c r="C17" s="11">
        <v>-184082.91061356006</v>
      </c>
      <c r="D17" s="1">
        <f>ROUND(+C17*$L$15,0)</f>
        <v>-151444</v>
      </c>
      <c r="E17" s="154">
        <f>+E16-31</f>
        <v>276</v>
      </c>
      <c r="F17" s="155">
        <f t="shared" si="1"/>
        <v>0.75616399999999995</v>
      </c>
      <c r="G17" s="1">
        <f t="shared" si="2"/>
        <v>-114517</v>
      </c>
      <c r="I17" s="156"/>
      <c r="J17" s="156"/>
    </row>
    <row r="18" spans="1:14">
      <c r="A18" s="128">
        <f t="shared" si="0"/>
        <v>7</v>
      </c>
      <c r="B18" s="153">
        <v>46113</v>
      </c>
      <c r="C18" s="11">
        <v>-245443.8808180801</v>
      </c>
      <c r="D18" s="1">
        <f>ROUND(+C18*$L$15,0)</f>
        <v>-201925</v>
      </c>
      <c r="E18" s="154">
        <f>+E17-30</f>
        <v>246</v>
      </c>
      <c r="F18" s="155">
        <f>ROUND(+E18/365,6)</f>
        <v>0.67397300000000004</v>
      </c>
      <c r="G18" s="1">
        <f t="shared" si="2"/>
        <v>-136092</v>
      </c>
      <c r="I18" s="156"/>
      <c r="J18" s="156"/>
      <c r="N18" s="152"/>
    </row>
    <row r="19" spans="1:14">
      <c r="A19" s="128">
        <f t="shared" si="0"/>
        <v>8</v>
      </c>
      <c r="B19" s="153">
        <v>46143</v>
      </c>
      <c r="C19" s="11">
        <v>-306804.85102260014</v>
      </c>
      <c r="D19" s="1">
        <f t="shared" ref="D19:D26" si="3">ROUND(+C19*$L$15,0)</f>
        <v>-252406</v>
      </c>
      <c r="E19" s="154">
        <f>+E18-31</f>
        <v>215</v>
      </c>
      <c r="F19" s="155">
        <f t="shared" si="1"/>
        <v>0.58904100000000004</v>
      </c>
      <c r="G19" s="1">
        <f t="shared" si="2"/>
        <v>-148677</v>
      </c>
      <c r="I19" s="156"/>
      <c r="J19" s="156"/>
      <c r="N19" s="152"/>
    </row>
    <row r="20" spans="1:14">
      <c r="A20" s="128">
        <f t="shared" si="0"/>
        <v>9</v>
      </c>
      <c r="B20" s="153">
        <v>46174</v>
      </c>
      <c r="C20" s="11">
        <v>-368165.82122712018</v>
      </c>
      <c r="D20" s="1">
        <f t="shared" si="3"/>
        <v>-302887</v>
      </c>
      <c r="E20" s="154">
        <f>+E19-30</f>
        <v>185</v>
      </c>
      <c r="F20" s="155">
        <f t="shared" si="1"/>
        <v>0.50684899999999999</v>
      </c>
      <c r="G20" s="1">
        <f t="shared" si="2"/>
        <v>-153518</v>
      </c>
      <c r="I20" s="156"/>
      <c r="J20" s="156"/>
    </row>
    <row r="21" spans="1:14">
      <c r="A21" s="128">
        <f t="shared" si="0"/>
        <v>10</v>
      </c>
      <c r="B21" s="153">
        <v>46204</v>
      </c>
      <c r="C21" s="11">
        <v>-429526.79143164022</v>
      </c>
      <c r="D21" s="1">
        <f t="shared" si="3"/>
        <v>-353368</v>
      </c>
      <c r="E21" s="154">
        <f>+E20-31</f>
        <v>154</v>
      </c>
      <c r="F21" s="155">
        <f t="shared" si="1"/>
        <v>0.42191800000000002</v>
      </c>
      <c r="G21" s="1">
        <f t="shared" si="2"/>
        <v>-149092</v>
      </c>
      <c r="I21" s="156"/>
      <c r="J21" s="156"/>
    </row>
    <row r="22" spans="1:14">
      <c r="A22" s="128">
        <f t="shared" si="0"/>
        <v>11</v>
      </c>
      <c r="B22" s="153">
        <v>46235</v>
      </c>
      <c r="C22" s="11">
        <v>-490887.76163616026</v>
      </c>
      <c r="D22" s="1">
        <f t="shared" si="3"/>
        <v>-403849</v>
      </c>
      <c r="E22" s="154">
        <f>+E21-31</f>
        <v>123</v>
      </c>
      <c r="F22" s="155">
        <f t="shared" si="1"/>
        <v>0.33698600000000001</v>
      </c>
      <c r="G22" s="1">
        <f t="shared" si="2"/>
        <v>-136091</v>
      </c>
      <c r="I22" s="156"/>
      <c r="J22" s="156"/>
    </row>
    <row r="23" spans="1:14">
      <c r="A23" s="128">
        <f t="shared" si="0"/>
        <v>12</v>
      </c>
      <c r="B23" s="153">
        <v>46266</v>
      </c>
      <c r="C23" s="11">
        <v>-552248.73184068024</v>
      </c>
      <c r="D23" s="1">
        <f t="shared" si="3"/>
        <v>-454331</v>
      </c>
      <c r="E23" s="154">
        <f>+E22-30</f>
        <v>93</v>
      </c>
      <c r="F23" s="155">
        <f t="shared" si="1"/>
        <v>0.25479499999999999</v>
      </c>
      <c r="G23" s="1">
        <f t="shared" si="2"/>
        <v>-115761</v>
      </c>
      <c r="I23" s="156"/>
      <c r="J23" s="156"/>
    </row>
    <row r="24" spans="1:14">
      <c r="A24" s="128">
        <f t="shared" si="0"/>
        <v>13</v>
      </c>
      <c r="B24" s="153">
        <v>46296</v>
      </c>
      <c r="C24" s="11">
        <v>-613609.70204520028</v>
      </c>
      <c r="D24" s="1">
        <f t="shared" si="3"/>
        <v>-504812</v>
      </c>
      <c r="E24" s="154">
        <f>+E23-31</f>
        <v>62</v>
      </c>
      <c r="F24" s="155">
        <f t="shared" si="1"/>
        <v>0.16986299999999999</v>
      </c>
      <c r="G24" s="1">
        <f t="shared" si="2"/>
        <v>-85749</v>
      </c>
      <c r="I24" s="156"/>
      <c r="J24" s="156"/>
    </row>
    <row r="25" spans="1:14">
      <c r="A25" s="128">
        <f t="shared" si="0"/>
        <v>14</v>
      </c>
      <c r="B25" s="153">
        <v>46327</v>
      </c>
      <c r="C25" s="11">
        <v>-674970.67224972032</v>
      </c>
      <c r="D25" s="1">
        <f t="shared" si="3"/>
        <v>-555293</v>
      </c>
      <c r="E25" s="154">
        <f>+E24-30</f>
        <v>32</v>
      </c>
      <c r="F25" s="155">
        <f t="shared" si="1"/>
        <v>8.7670999999999999E-2</v>
      </c>
      <c r="G25" s="1">
        <f t="shared" si="2"/>
        <v>-48683</v>
      </c>
      <c r="I25" s="156"/>
      <c r="J25" s="156"/>
    </row>
    <row r="26" spans="1:14">
      <c r="A26" s="128">
        <f t="shared" si="0"/>
        <v>15</v>
      </c>
      <c r="B26" s="153">
        <v>46357</v>
      </c>
      <c r="C26" s="11">
        <v>-736331.64245424035</v>
      </c>
      <c r="D26" s="1">
        <f t="shared" si="3"/>
        <v>-605774</v>
      </c>
      <c r="E26" s="154">
        <f>+E25-31</f>
        <v>1</v>
      </c>
      <c r="F26" s="155">
        <f t="shared" si="1"/>
        <v>2.7399999999999998E-3</v>
      </c>
      <c r="G26" s="1">
        <f t="shared" si="2"/>
        <v>-1660</v>
      </c>
      <c r="I26" s="156"/>
      <c r="J26" s="156"/>
    </row>
    <row r="27" spans="1:14">
      <c r="A27" s="128">
        <f t="shared" si="0"/>
        <v>16</v>
      </c>
      <c r="F27" s="159" t="s">
        <v>235</v>
      </c>
      <c r="G27" s="9">
        <f>SUM(G12:G26)</f>
        <v>-32916596.514660373</v>
      </c>
    </row>
    <row r="28" spans="1:14">
      <c r="A28" s="128">
        <f t="shared" si="0"/>
        <v>17</v>
      </c>
    </row>
    <row r="29" spans="1:14">
      <c r="A29" s="128">
        <f t="shared" si="0"/>
        <v>18</v>
      </c>
    </row>
    <row r="30" spans="1:14">
      <c r="A30" s="128">
        <f t="shared" si="0"/>
        <v>19</v>
      </c>
      <c r="B30" s="151" t="s">
        <v>392</v>
      </c>
    </row>
    <row r="31" spans="1:14">
      <c r="A31" s="128">
        <f t="shared" si="0"/>
        <v>20</v>
      </c>
      <c r="B31" s="153">
        <v>45627</v>
      </c>
      <c r="C31" s="8" t="s">
        <v>234</v>
      </c>
      <c r="D31" s="1"/>
      <c r="F31" s="154"/>
      <c r="G31" s="11">
        <v>-12152384.838623999</v>
      </c>
      <c r="I31" s="160"/>
    </row>
    <row r="32" spans="1:14">
      <c r="A32" s="128">
        <f t="shared" si="0"/>
        <v>21</v>
      </c>
      <c r="B32" s="153"/>
      <c r="C32" s="1"/>
      <c r="D32" s="1"/>
      <c r="F32" s="154"/>
      <c r="G32" s="1"/>
    </row>
    <row r="33" spans="1:7">
      <c r="A33" s="128">
        <f t="shared" si="0"/>
        <v>22</v>
      </c>
      <c r="B33" s="153">
        <v>45992</v>
      </c>
      <c r="C33" s="11">
        <v>315293.11096708855</v>
      </c>
      <c r="D33" s="1">
        <f>C33</f>
        <v>315293.11096708855</v>
      </c>
      <c r="E33" s="154"/>
      <c r="F33" s="155">
        <v>1</v>
      </c>
      <c r="G33" s="1">
        <f>ROUND(+D33*F33,0)</f>
        <v>315293</v>
      </c>
    </row>
    <row r="34" spans="1:7">
      <c r="A34" s="128">
        <f t="shared" si="0"/>
        <v>23</v>
      </c>
      <c r="C34" s="11"/>
      <c r="D34" s="1"/>
      <c r="E34" s="154"/>
      <c r="F34" s="154"/>
      <c r="G34" s="1"/>
    </row>
    <row r="35" spans="1:7">
      <c r="A35" s="128">
        <f t="shared" si="0"/>
        <v>24</v>
      </c>
      <c r="B35" s="153">
        <v>46023</v>
      </c>
      <c r="C35" s="11">
        <f t="shared" ref="C35:C46" si="4">$C$33/12</f>
        <v>26274.425913924046</v>
      </c>
      <c r="D35" s="1">
        <f>C35</f>
        <v>26274.425913924046</v>
      </c>
      <c r="E35" s="154">
        <f>365-30</f>
        <v>335</v>
      </c>
      <c r="F35" s="155">
        <f t="shared" ref="F35:F46" si="5">ROUND(+E35/365,6)</f>
        <v>0.91780799999999996</v>
      </c>
      <c r="G35" s="1">
        <f>ROUND(+D35*F35,0)</f>
        <v>24115</v>
      </c>
    </row>
    <row r="36" spans="1:7">
      <c r="A36" s="128">
        <f t="shared" si="0"/>
        <v>25</v>
      </c>
      <c r="B36" s="153">
        <v>46054</v>
      </c>
      <c r="C36" s="11">
        <f t="shared" si="4"/>
        <v>26274.425913924046</v>
      </c>
      <c r="D36" s="1">
        <f t="shared" ref="D36:D46" si="6">C36</f>
        <v>26274.425913924046</v>
      </c>
      <c r="E36" s="154">
        <f>+E35-28</f>
        <v>307</v>
      </c>
      <c r="F36" s="155">
        <f t="shared" si="5"/>
        <v>0.84109599999999995</v>
      </c>
      <c r="G36" s="1">
        <f t="shared" ref="G36:G46" si="7">ROUND(+D36*F36,0)</f>
        <v>22099</v>
      </c>
    </row>
    <row r="37" spans="1:7">
      <c r="A37" s="128">
        <f t="shared" si="0"/>
        <v>26</v>
      </c>
      <c r="B37" s="153">
        <v>46082</v>
      </c>
      <c r="C37" s="11">
        <f t="shared" si="4"/>
        <v>26274.425913924046</v>
      </c>
      <c r="D37" s="1">
        <f t="shared" si="6"/>
        <v>26274.425913924046</v>
      </c>
      <c r="E37" s="154">
        <f>+E36-31</f>
        <v>276</v>
      </c>
      <c r="F37" s="155">
        <f t="shared" si="5"/>
        <v>0.75616399999999995</v>
      </c>
      <c r="G37" s="1">
        <f t="shared" si="7"/>
        <v>19868</v>
      </c>
    </row>
    <row r="38" spans="1:7">
      <c r="A38" s="128">
        <f t="shared" si="0"/>
        <v>27</v>
      </c>
      <c r="B38" s="153">
        <v>46113</v>
      </c>
      <c r="C38" s="11">
        <f t="shared" si="4"/>
        <v>26274.425913924046</v>
      </c>
      <c r="D38" s="1">
        <f t="shared" si="6"/>
        <v>26274.425913924046</v>
      </c>
      <c r="E38" s="154">
        <f>+E37-30</f>
        <v>246</v>
      </c>
      <c r="F38" s="155">
        <f t="shared" si="5"/>
        <v>0.67397300000000004</v>
      </c>
      <c r="G38" s="1">
        <f t="shared" si="7"/>
        <v>17708</v>
      </c>
    </row>
    <row r="39" spans="1:7">
      <c r="A39" s="128">
        <f t="shared" si="0"/>
        <v>28</v>
      </c>
      <c r="B39" s="153">
        <v>46143</v>
      </c>
      <c r="C39" s="11">
        <f t="shared" si="4"/>
        <v>26274.425913924046</v>
      </c>
      <c r="D39" s="1">
        <f t="shared" si="6"/>
        <v>26274.425913924046</v>
      </c>
      <c r="E39" s="154">
        <f>+E38-31</f>
        <v>215</v>
      </c>
      <c r="F39" s="155">
        <f t="shared" si="5"/>
        <v>0.58904100000000004</v>
      </c>
      <c r="G39" s="1">
        <f t="shared" si="7"/>
        <v>15477</v>
      </c>
    </row>
    <row r="40" spans="1:7">
      <c r="A40" s="128">
        <f t="shared" si="0"/>
        <v>29</v>
      </c>
      <c r="B40" s="153">
        <v>46174</v>
      </c>
      <c r="C40" s="11">
        <f t="shared" si="4"/>
        <v>26274.425913924046</v>
      </c>
      <c r="D40" s="1">
        <f t="shared" si="6"/>
        <v>26274.425913924046</v>
      </c>
      <c r="E40" s="154">
        <f>+E39-30</f>
        <v>185</v>
      </c>
      <c r="F40" s="155">
        <f t="shared" si="5"/>
        <v>0.50684899999999999</v>
      </c>
      <c r="G40" s="1">
        <f t="shared" si="7"/>
        <v>13317</v>
      </c>
    </row>
    <row r="41" spans="1:7">
      <c r="A41" s="128">
        <f t="shared" si="0"/>
        <v>30</v>
      </c>
      <c r="B41" s="153">
        <v>46204</v>
      </c>
      <c r="C41" s="11">
        <f t="shared" si="4"/>
        <v>26274.425913924046</v>
      </c>
      <c r="D41" s="1">
        <f t="shared" si="6"/>
        <v>26274.425913924046</v>
      </c>
      <c r="E41" s="154">
        <f>+E40-31</f>
        <v>154</v>
      </c>
      <c r="F41" s="155">
        <f t="shared" si="5"/>
        <v>0.42191800000000002</v>
      </c>
      <c r="G41" s="1">
        <f t="shared" si="7"/>
        <v>11086</v>
      </c>
    </row>
    <row r="42" spans="1:7">
      <c r="A42" s="128">
        <f t="shared" si="0"/>
        <v>31</v>
      </c>
      <c r="B42" s="153">
        <v>46235</v>
      </c>
      <c r="C42" s="11">
        <f t="shared" si="4"/>
        <v>26274.425913924046</v>
      </c>
      <c r="D42" s="1">
        <f t="shared" si="6"/>
        <v>26274.425913924046</v>
      </c>
      <c r="E42" s="154">
        <f>+E41-31</f>
        <v>123</v>
      </c>
      <c r="F42" s="155">
        <f t="shared" si="5"/>
        <v>0.33698600000000001</v>
      </c>
      <c r="G42" s="1">
        <f t="shared" si="7"/>
        <v>8854</v>
      </c>
    </row>
    <row r="43" spans="1:7">
      <c r="A43" s="128">
        <f t="shared" si="0"/>
        <v>32</v>
      </c>
      <c r="B43" s="153">
        <v>46266</v>
      </c>
      <c r="C43" s="11">
        <f t="shared" si="4"/>
        <v>26274.425913924046</v>
      </c>
      <c r="D43" s="1">
        <f t="shared" si="6"/>
        <v>26274.425913924046</v>
      </c>
      <c r="E43" s="154">
        <f>+E42-30</f>
        <v>93</v>
      </c>
      <c r="F43" s="155">
        <f t="shared" si="5"/>
        <v>0.25479499999999999</v>
      </c>
      <c r="G43" s="1">
        <f t="shared" si="7"/>
        <v>6695</v>
      </c>
    </row>
    <row r="44" spans="1:7">
      <c r="A44" s="128">
        <f t="shared" si="0"/>
        <v>33</v>
      </c>
      <c r="B44" s="153">
        <v>46296</v>
      </c>
      <c r="C44" s="11">
        <f t="shared" si="4"/>
        <v>26274.425913924046</v>
      </c>
      <c r="D44" s="1">
        <f t="shared" si="6"/>
        <v>26274.425913924046</v>
      </c>
      <c r="E44" s="154">
        <f>+E43-31</f>
        <v>62</v>
      </c>
      <c r="F44" s="155">
        <f t="shared" si="5"/>
        <v>0.16986299999999999</v>
      </c>
      <c r="G44" s="1">
        <f t="shared" si="7"/>
        <v>4463</v>
      </c>
    </row>
    <row r="45" spans="1:7">
      <c r="A45" s="128">
        <f t="shared" si="0"/>
        <v>34</v>
      </c>
      <c r="B45" s="153">
        <v>46327</v>
      </c>
      <c r="C45" s="11">
        <f t="shared" si="4"/>
        <v>26274.425913924046</v>
      </c>
      <c r="D45" s="1">
        <f t="shared" si="6"/>
        <v>26274.425913924046</v>
      </c>
      <c r="E45" s="154">
        <f>+E44-30</f>
        <v>32</v>
      </c>
      <c r="F45" s="155">
        <f t="shared" si="5"/>
        <v>8.7670999999999999E-2</v>
      </c>
      <c r="G45" s="1">
        <f t="shared" si="7"/>
        <v>2304</v>
      </c>
    </row>
    <row r="46" spans="1:7">
      <c r="A46" s="128">
        <f t="shared" si="0"/>
        <v>35</v>
      </c>
      <c r="B46" s="153">
        <v>46357</v>
      </c>
      <c r="C46" s="11">
        <f t="shared" si="4"/>
        <v>26274.425913924046</v>
      </c>
      <c r="D46" s="1">
        <f t="shared" si="6"/>
        <v>26274.425913924046</v>
      </c>
      <c r="E46" s="154">
        <f>+E45-31</f>
        <v>1</v>
      </c>
      <c r="F46" s="155">
        <f t="shared" si="5"/>
        <v>2.7399999999999998E-3</v>
      </c>
      <c r="G46" s="1">
        <f t="shared" si="7"/>
        <v>72</v>
      </c>
    </row>
    <row r="47" spans="1:7">
      <c r="A47" s="128">
        <f t="shared" si="0"/>
        <v>36</v>
      </c>
      <c r="F47" s="159" t="s">
        <v>393</v>
      </c>
      <c r="G47" s="9">
        <f>SUM(G31:G46)</f>
        <v>-11691033.838623999</v>
      </c>
    </row>
    <row r="48" spans="1:7">
      <c r="A48" s="128">
        <f t="shared" si="0"/>
        <v>37</v>
      </c>
      <c r="B48" s="161"/>
    </row>
    <row r="49" spans="1:7">
      <c r="A49" s="128">
        <f t="shared" si="0"/>
        <v>38</v>
      </c>
      <c r="B49" s="161"/>
    </row>
    <row r="50" spans="1:7">
      <c r="A50" s="128">
        <f t="shared" si="0"/>
        <v>39</v>
      </c>
      <c r="B50" s="162" t="s">
        <v>236</v>
      </c>
      <c r="C50" s="162"/>
      <c r="D50" s="162"/>
      <c r="E50" s="162"/>
      <c r="F50" s="162"/>
      <c r="G50" s="162"/>
    </row>
    <row r="51" spans="1:7" ht="12.75" customHeight="1">
      <c r="A51" s="128">
        <f t="shared" si="0"/>
        <v>40</v>
      </c>
      <c r="B51" s="162"/>
      <c r="C51" s="162"/>
      <c r="D51" s="162"/>
      <c r="E51" s="162"/>
      <c r="F51" s="162"/>
      <c r="G51" s="162"/>
    </row>
    <row r="52" spans="1:7">
      <c r="A52" s="128">
        <f t="shared" si="0"/>
        <v>41</v>
      </c>
      <c r="B52" s="162"/>
      <c r="C52" s="162"/>
      <c r="D52" s="162"/>
      <c r="E52" s="162"/>
      <c r="F52" s="162"/>
      <c r="G52" s="162"/>
    </row>
    <row r="53" spans="1:7">
      <c r="A53" s="128">
        <f t="shared" si="0"/>
        <v>42</v>
      </c>
      <c r="B53" s="147" t="s">
        <v>237</v>
      </c>
      <c r="C53" s="163"/>
      <c r="D53" s="163"/>
      <c r="E53" s="163"/>
      <c r="F53" s="163"/>
      <c r="G53" s="163"/>
    </row>
    <row r="54" spans="1:7">
      <c r="A54" s="128">
        <f t="shared" si="0"/>
        <v>43</v>
      </c>
      <c r="B54" s="147" t="s">
        <v>238</v>
      </c>
      <c r="C54" s="163"/>
      <c r="D54" s="163"/>
      <c r="E54" s="163"/>
      <c r="F54" s="163"/>
      <c r="G54" s="163"/>
    </row>
    <row r="55" spans="1:7">
      <c r="A55" s="128">
        <f t="shared" si="0"/>
        <v>44</v>
      </c>
      <c r="B55" s="147" t="s">
        <v>239</v>
      </c>
    </row>
    <row r="56" spans="1:7">
      <c r="A56" s="128">
        <f t="shared" si="0"/>
        <v>45</v>
      </c>
      <c r="B56" s="147" t="s">
        <v>270</v>
      </c>
    </row>
    <row r="57" spans="1:7">
      <c r="A57" s="128"/>
    </row>
    <row r="58" spans="1:7">
      <c r="A58" s="128"/>
    </row>
    <row r="59" spans="1:7">
      <c r="A59" s="128"/>
    </row>
    <row r="60" spans="1:7">
      <c r="A60" s="128"/>
    </row>
  </sheetData>
  <mergeCells count="4">
    <mergeCell ref="A3:G3"/>
    <mergeCell ref="A4:G4"/>
    <mergeCell ref="A5:G5"/>
    <mergeCell ref="B50:G52"/>
  </mergeCells>
  <pageMargins left="0.7" right="0.7" top="0.75" bottom="0.75" header="0.3" footer="0.3"/>
  <pageSetup scale="90" orientation="portrait" verticalDpi="0" r:id="rId1"/>
  <headerFooter>
    <oddHeader>&amp;CESTIMATED SERVICE YEAR ATRR
BLACK HILLS POWER, INC.</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037166-8860-4E35-A1D7-60C17E7E1968}">
  <sheetPr>
    <pageSetUpPr fitToPage="1"/>
  </sheetPr>
  <dimension ref="A1:R64"/>
  <sheetViews>
    <sheetView topLeftCell="B1" zoomScale="85" zoomScaleNormal="85" workbookViewId="0">
      <selection activeCell="B1" sqref="A1:XFD1048576"/>
    </sheetView>
  </sheetViews>
  <sheetFormatPr defaultColWidth="8.90625" defaultRowHeight="14.4"/>
  <cols>
    <col min="1" max="1" width="8.90625" style="164" hidden="1" customWidth="1"/>
    <col min="2" max="2" width="8.90625" style="164" customWidth="1"/>
    <col min="3" max="3" width="48.453125" style="164" customWidth="1"/>
    <col min="4" max="4" width="10.453125" style="164" customWidth="1"/>
    <col min="5" max="5" width="9.6328125" style="164" customWidth="1"/>
    <col min="6" max="6" width="11.90625" style="164" customWidth="1"/>
    <col min="7" max="7" width="15.08984375" style="164" bestFit="1" customWidth="1"/>
    <col min="8" max="8" width="11.90625" style="164" customWidth="1"/>
    <col min="9" max="9" width="10.90625" style="164" bestFit="1" customWidth="1"/>
    <col min="10" max="10" width="15.08984375" style="164" customWidth="1"/>
    <col min="11" max="11" width="13.1796875" style="164" customWidth="1"/>
    <col min="12" max="12" width="8.90625" style="164"/>
    <col min="13" max="13" width="12.453125" style="164" bestFit="1" customWidth="1"/>
    <col min="14" max="14" width="13.08984375" style="164" customWidth="1"/>
    <col min="15" max="15" width="12.08984375" style="164" customWidth="1"/>
    <col min="16" max="16" width="12.453125" style="164" bestFit="1" customWidth="1"/>
    <col min="17" max="17" width="8.90625" style="164"/>
    <col min="18" max="18" width="17" style="164" customWidth="1"/>
    <col min="19" max="16384" width="8.90625" style="164"/>
  </cols>
  <sheetData>
    <row r="1" spans="2:18">
      <c r="H1" s="165" t="s">
        <v>394</v>
      </c>
    </row>
    <row r="2" spans="2:18">
      <c r="H2" s="165"/>
    </row>
    <row r="3" spans="2:18">
      <c r="B3" s="166" t="s">
        <v>395</v>
      </c>
      <c r="C3" s="166"/>
      <c r="D3" s="166"/>
      <c r="E3" s="166"/>
      <c r="F3" s="166"/>
      <c r="G3" s="166"/>
      <c r="H3" s="166"/>
      <c r="I3" s="166"/>
      <c r="J3" s="166"/>
      <c r="K3" s="166"/>
      <c r="L3" s="166"/>
      <c r="M3" s="166"/>
      <c r="N3" s="166"/>
      <c r="O3" s="166"/>
      <c r="P3" s="166"/>
      <c r="Q3" s="166"/>
      <c r="R3" s="166"/>
    </row>
    <row r="4" spans="2:18">
      <c r="B4" s="166" t="s">
        <v>2</v>
      </c>
      <c r="C4" s="166"/>
      <c r="D4" s="166"/>
      <c r="E4" s="166"/>
      <c r="F4" s="166"/>
      <c r="G4" s="166"/>
      <c r="H4" s="166"/>
      <c r="I4" s="166"/>
      <c r="J4" s="166"/>
      <c r="K4" s="166"/>
      <c r="L4" s="166"/>
      <c r="M4" s="166"/>
      <c r="N4" s="166"/>
      <c r="O4" s="166"/>
      <c r="P4" s="166"/>
      <c r="Q4" s="166"/>
      <c r="R4" s="166"/>
    </row>
    <row r="5" spans="2:18">
      <c r="B5" s="167" t="s">
        <v>396</v>
      </c>
      <c r="C5" s="167"/>
      <c r="D5" s="167"/>
      <c r="E5" s="167"/>
      <c r="F5" s="167"/>
      <c r="G5" s="167"/>
      <c r="H5" s="167"/>
      <c r="I5" s="168">
        <v>2025</v>
      </c>
      <c r="J5" s="169"/>
      <c r="K5" s="169"/>
      <c r="L5" s="169"/>
      <c r="M5" s="169"/>
      <c r="N5" s="169"/>
      <c r="O5" s="169"/>
      <c r="P5" s="169"/>
      <c r="Q5" s="169"/>
      <c r="R5" s="169"/>
    </row>
    <row r="6" spans="2:18">
      <c r="B6" s="169"/>
      <c r="C6" s="169"/>
      <c r="D6" s="169"/>
      <c r="E6" s="169"/>
      <c r="F6" s="169"/>
      <c r="G6" s="169"/>
      <c r="H6" s="169"/>
      <c r="I6" s="169"/>
      <c r="J6" s="169"/>
      <c r="K6" s="169"/>
      <c r="L6" s="58"/>
      <c r="M6" s="170"/>
      <c r="N6" s="170"/>
      <c r="O6" s="170"/>
      <c r="P6" s="169"/>
      <c r="Q6" s="170"/>
      <c r="R6" s="170"/>
    </row>
    <row r="7" spans="2:18">
      <c r="B7" s="170"/>
      <c r="C7" s="170"/>
      <c r="D7" s="170"/>
      <c r="E7" s="170"/>
      <c r="F7" s="170"/>
      <c r="G7" s="171"/>
      <c r="H7" s="171"/>
      <c r="I7" s="171"/>
      <c r="J7" s="171"/>
      <c r="K7" s="170"/>
      <c r="L7" s="59"/>
      <c r="M7" s="171"/>
      <c r="N7" s="171"/>
      <c r="O7" s="171"/>
      <c r="P7" s="171"/>
      <c r="Q7" s="172"/>
      <c r="R7" s="172"/>
    </row>
    <row r="8" spans="2:18">
      <c r="B8" s="170"/>
      <c r="C8" s="173"/>
      <c r="D8" s="173"/>
      <c r="E8" s="173"/>
      <c r="F8" s="173"/>
      <c r="G8" s="174">
        <v>45627</v>
      </c>
      <c r="H8" s="175" t="s">
        <v>514</v>
      </c>
      <c r="I8" s="175" t="s">
        <v>514</v>
      </c>
      <c r="J8" s="174">
        <v>45992</v>
      </c>
      <c r="K8" s="176"/>
      <c r="L8" s="60"/>
      <c r="M8" s="174">
        <f>+G8</f>
        <v>45627</v>
      </c>
      <c r="N8" s="174" t="str">
        <f>+H8</f>
        <v>2025</v>
      </c>
      <c r="O8" s="175" t="str">
        <f>I8</f>
        <v>2025</v>
      </c>
      <c r="P8" s="174">
        <f>J8</f>
        <v>45992</v>
      </c>
      <c r="Q8" s="172"/>
      <c r="R8" s="172"/>
    </row>
    <row r="9" spans="2:18" ht="15" thickBot="1">
      <c r="B9" s="177" t="s">
        <v>5</v>
      </c>
      <c r="C9" s="178" t="s">
        <v>22</v>
      </c>
      <c r="D9" s="178" t="s">
        <v>397</v>
      </c>
      <c r="E9" s="178" t="s">
        <v>398</v>
      </c>
      <c r="F9" s="178" t="s">
        <v>399</v>
      </c>
      <c r="G9" s="178" t="s">
        <v>23</v>
      </c>
      <c r="H9" s="178" t="s">
        <v>220</v>
      </c>
      <c r="I9" s="178" t="s">
        <v>221</v>
      </c>
      <c r="J9" s="178" t="s">
        <v>222</v>
      </c>
      <c r="K9" s="179" t="s">
        <v>223</v>
      </c>
      <c r="L9" s="179"/>
      <c r="M9" s="178" t="s">
        <v>400</v>
      </c>
      <c r="N9" s="178" t="s">
        <v>401</v>
      </c>
      <c r="O9" s="178" t="s">
        <v>402</v>
      </c>
      <c r="P9" s="178" t="s">
        <v>403</v>
      </c>
      <c r="Q9" s="178" t="s">
        <v>404</v>
      </c>
      <c r="R9" s="178" t="s">
        <v>405</v>
      </c>
    </row>
    <row r="10" spans="2:18">
      <c r="B10" s="171"/>
      <c r="C10" s="171"/>
      <c r="D10" s="171"/>
      <c r="E10" s="171"/>
      <c r="F10" s="171"/>
      <c r="G10" s="173"/>
      <c r="H10" s="173"/>
      <c r="I10" s="173"/>
      <c r="J10" s="173"/>
      <c r="K10" s="180"/>
      <c r="L10" s="61"/>
      <c r="M10" s="180"/>
      <c r="N10" s="180"/>
      <c r="O10" s="173"/>
      <c r="P10" s="180"/>
      <c r="Q10" s="173"/>
      <c r="R10" s="173"/>
    </row>
    <row r="11" spans="2:18" ht="54" customHeight="1">
      <c r="B11" s="181" t="s">
        <v>406</v>
      </c>
      <c r="C11" s="181" t="s">
        <v>407</v>
      </c>
      <c r="D11" s="181" t="s">
        <v>408</v>
      </c>
      <c r="E11" s="182" t="s">
        <v>25</v>
      </c>
      <c r="F11" s="182" t="s">
        <v>409</v>
      </c>
      <c r="G11" s="182" t="s">
        <v>410</v>
      </c>
      <c r="H11" s="182" t="s">
        <v>411</v>
      </c>
      <c r="I11" s="182" t="s">
        <v>412</v>
      </c>
      <c r="J11" s="182" t="s">
        <v>413</v>
      </c>
      <c r="K11" s="183" t="s">
        <v>414</v>
      </c>
      <c r="L11" s="184"/>
      <c r="M11" s="182" t="s">
        <v>415</v>
      </c>
      <c r="N11" s="182" t="s">
        <v>416</v>
      </c>
      <c r="O11" s="182" t="s">
        <v>417</v>
      </c>
      <c r="P11" s="182" t="s">
        <v>418</v>
      </c>
      <c r="Q11" s="182" t="s">
        <v>419</v>
      </c>
      <c r="R11" s="182" t="s">
        <v>420</v>
      </c>
    </row>
    <row r="12" spans="2:18">
      <c r="B12" s="180"/>
      <c r="C12" s="180"/>
      <c r="D12" s="180"/>
      <c r="E12" s="180"/>
      <c r="F12" s="180"/>
      <c r="G12" s="185"/>
      <c r="H12" s="185"/>
      <c r="I12" s="185"/>
      <c r="J12" s="185"/>
      <c r="K12" s="173"/>
      <c r="L12" s="173"/>
      <c r="M12" s="185"/>
      <c r="N12" s="185"/>
      <c r="O12" s="185"/>
      <c r="P12" s="185"/>
      <c r="Q12" s="185"/>
      <c r="R12" s="185"/>
    </row>
    <row r="13" spans="2:18">
      <c r="B13" s="186">
        <v>1</v>
      </c>
      <c r="C13" s="187" t="s">
        <v>421</v>
      </c>
      <c r="D13" s="188"/>
      <c r="E13" s="188"/>
      <c r="F13" s="188"/>
      <c r="G13" s="188"/>
      <c r="H13" s="188"/>
      <c r="I13" s="188"/>
      <c r="J13" s="188"/>
      <c r="K13" s="188"/>
      <c r="L13" s="188"/>
      <c r="M13" s="188"/>
      <c r="N13" s="188"/>
      <c r="O13" s="188"/>
      <c r="P13" s="188"/>
      <c r="Q13" s="188"/>
      <c r="R13" s="188"/>
    </row>
    <row r="14" spans="2:18">
      <c r="B14" s="186">
        <f>B13+1</f>
        <v>2</v>
      </c>
      <c r="C14" s="189" t="s">
        <v>422</v>
      </c>
      <c r="D14" s="189" t="s">
        <v>423</v>
      </c>
      <c r="E14" s="190" t="s">
        <v>424</v>
      </c>
      <c r="F14" s="190"/>
      <c r="G14" s="62">
        <v>780821.4273417769</v>
      </c>
      <c r="H14" s="62"/>
      <c r="I14" s="62">
        <v>-16385.498227848671</v>
      </c>
      <c r="J14" s="62">
        <v>764435.92911392823</v>
      </c>
      <c r="K14" s="191" t="s">
        <v>425</v>
      </c>
      <c r="L14" s="63">
        <v>0</v>
      </c>
      <c r="M14" s="64">
        <f t="shared" ref="M14:P15" si="0">G14*$L14</f>
        <v>0</v>
      </c>
      <c r="N14" s="64">
        <f t="shared" si="0"/>
        <v>0</v>
      </c>
      <c r="O14" s="64">
        <f t="shared" si="0"/>
        <v>0</v>
      </c>
      <c r="P14" s="64">
        <f t="shared" si="0"/>
        <v>0</v>
      </c>
      <c r="Q14" s="192" t="s">
        <v>426</v>
      </c>
      <c r="R14" s="65" t="s">
        <v>427</v>
      </c>
    </row>
    <row r="15" spans="2:18">
      <c r="B15" s="186">
        <f>B14+1</f>
        <v>3</v>
      </c>
      <c r="C15" s="189" t="s">
        <v>428</v>
      </c>
      <c r="D15" s="193"/>
      <c r="E15" s="189"/>
      <c r="F15" s="189"/>
      <c r="G15" s="66"/>
      <c r="H15" s="66"/>
      <c r="I15" s="66"/>
      <c r="J15" s="66"/>
      <c r="K15" s="67"/>
      <c r="L15" s="68"/>
      <c r="M15" s="69">
        <f t="shared" si="0"/>
        <v>0</v>
      </c>
      <c r="N15" s="69">
        <f t="shared" si="0"/>
        <v>0</v>
      </c>
      <c r="O15" s="69">
        <f t="shared" si="0"/>
        <v>0</v>
      </c>
      <c r="P15" s="69">
        <f t="shared" si="0"/>
        <v>0</v>
      </c>
      <c r="Q15" s="67"/>
      <c r="R15" s="67"/>
    </row>
    <row r="16" spans="2:18">
      <c r="B16" s="186">
        <v>50</v>
      </c>
      <c r="C16" s="194" t="s">
        <v>429</v>
      </c>
      <c r="D16" s="194"/>
      <c r="E16" s="194"/>
      <c r="F16" s="194"/>
      <c r="G16" s="70">
        <f>SUM(G14:G15)</f>
        <v>780821.4273417769</v>
      </c>
      <c r="H16" s="70">
        <f>SUM(H14:H15)</f>
        <v>0</v>
      </c>
      <c r="I16" s="70">
        <f>SUM(I14:I15)</f>
        <v>-16385.498227848671</v>
      </c>
      <c r="J16" s="70">
        <f>SUM(J14:J15)</f>
        <v>764435.92911392823</v>
      </c>
      <c r="K16" s="180"/>
      <c r="L16" s="61"/>
      <c r="M16" s="70">
        <f>SUM(M14:M15)</f>
        <v>0</v>
      </c>
      <c r="N16" s="70">
        <f>SUM(N14:N15)</f>
        <v>0</v>
      </c>
      <c r="O16" s="70">
        <f>SUM(O14:O15)</f>
        <v>0</v>
      </c>
      <c r="P16" s="70">
        <f>SUM(P14:P15)</f>
        <v>0</v>
      </c>
      <c r="Q16" s="71"/>
      <c r="R16" s="71"/>
    </row>
    <row r="17" spans="2:18">
      <c r="B17" s="186"/>
      <c r="C17" s="194"/>
      <c r="D17" s="194"/>
      <c r="E17" s="194"/>
      <c r="F17" s="194"/>
      <c r="G17" s="72"/>
      <c r="H17" s="72"/>
      <c r="I17" s="72"/>
      <c r="J17" s="72"/>
      <c r="K17" s="180"/>
      <c r="L17" s="61"/>
      <c r="M17" s="72"/>
      <c r="N17" s="72"/>
      <c r="O17" s="72"/>
      <c r="P17" s="72"/>
      <c r="Q17" s="71"/>
      <c r="R17" s="71"/>
    </row>
    <row r="18" spans="2:18">
      <c r="B18" s="186">
        <v>51</v>
      </c>
      <c r="C18" s="189" t="s">
        <v>430</v>
      </c>
      <c r="D18" s="189" t="s">
        <v>423</v>
      </c>
      <c r="E18" s="190">
        <v>283</v>
      </c>
      <c r="F18" s="73"/>
      <c r="G18" s="62">
        <v>-163972.49974177315</v>
      </c>
      <c r="H18" s="62">
        <v>3440.9546278482303</v>
      </c>
      <c r="I18" s="62">
        <v>0</v>
      </c>
      <c r="J18" s="62">
        <v>-160531.54511392492</v>
      </c>
      <c r="K18" s="191" t="s">
        <v>425</v>
      </c>
      <c r="L18" s="63">
        <v>0</v>
      </c>
      <c r="M18" s="64">
        <f t="shared" ref="M18:P19" si="1">G18*$L18</f>
        <v>0</v>
      </c>
      <c r="N18" s="64">
        <f t="shared" si="1"/>
        <v>0</v>
      </c>
      <c r="O18" s="64">
        <f t="shared" si="1"/>
        <v>0</v>
      </c>
      <c r="P18" s="64">
        <f t="shared" si="1"/>
        <v>0</v>
      </c>
      <c r="Q18" s="192" t="s">
        <v>426</v>
      </c>
      <c r="R18" s="65" t="s">
        <v>427</v>
      </c>
    </row>
    <row r="19" spans="2:18">
      <c r="B19" s="186">
        <v>52</v>
      </c>
      <c r="C19" s="189" t="s">
        <v>428</v>
      </c>
      <c r="D19" s="193"/>
      <c r="E19" s="189"/>
      <c r="F19" s="195"/>
      <c r="G19" s="196"/>
      <c r="H19" s="74"/>
      <c r="I19" s="74"/>
      <c r="J19" s="74"/>
      <c r="K19" s="74"/>
      <c r="L19" s="67"/>
      <c r="M19" s="69">
        <f t="shared" si="1"/>
        <v>0</v>
      </c>
      <c r="N19" s="69">
        <f t="shared" si="1"/>
        <v>0</v>
      </c>
      <c r="O19" s="69">
        <f t="shared" si="1"/>
        <v>0</v>
      </c>
      <c r="P19" s="69">
        <f t="shared" si="1"/>
        <v>0</v>
      </c>
      <c r="Q19" s="67"/>
      <c r="R19" s="67"/>
    </row>
    <row r="20" spans="2:18">
      <c r="B20" s="186">
        <v>150</v>
      </c>
      <c r="C20" s="194" t="s">
        <v>431</v>
      </c>
      <c r="D20" s="194"/>
      <c r="E20" s="194"/>
      <c r="F20" s="194"/>
      <c r="G20" s="72">
        <f>SUM(G18:G19)</f>
        <v>-163972.49974177315</v>
      </c>
      <c r="H20" s="72">
        <f>SUM(H18:H19)</f>
        <v>3440.9546278482303</v>
      </c>
      <c r="I20" s="72">
        <f>SUM(I18:I19)</f>
        <v>0</v>
      </c>
      <c r="J20" s="72">
        <f>SUM(J18:J19)</f>
        <v>-160531.54511392492</v>
      </c>
      <c r="K20" s="180"/>
      <c r="L20" s="61"/>
      <c r="M20" s="72">
        <f>SUM(M18:M19)</f>
        <v>0</v>
      </c>
      <c r="N20" s="72">
        <f>SUM(N18:N19)</f>
        <v>0</v>
      </c>
      <c r="O20" s="72">
        <f>SUM(O18:O19)</f>
        <v>0</v>
      </c>
      <c r="P20" s="72">
        <f>SUM(P18:P19)</f>
        <v>0</v>
      </c>
      <c r="Q20" s="71"/>
      <c r="R20" s="71"/>
    </row>
    <row r="21" spans="2:18">
      <c r="B21" s="186">
        <v>151</v>
      </c>
      <c r="C21" s="194"/>
      <c r="D21" s="194"/>
      <c r="E21" s="194"/>
      <c r="F21" s="194"/>
      <c r="G21" s="72"/>
      <c r="H21" s="72"/>
      <c r="I21" s="72"/>
      <c r="J21" s="72"/>
      <c r="K21" s="180"/>
      <c r="L21" s="61"/>
      <c r="M21" s="72"/>
      <c r="N21" s="72"/>
      <c r="O21" s="72"/>
      <c r="P21" s="72"/>
      <c r="Q21" s="71"/>
      <c r="R21" s="71"/>
    </row>
    <row r="22" spans="2:18">
      <c r="B22" s="186">
        <v>152</v>
      </c>
      <c r="C22" s="194" t="s">
        <v>432</v>
      </c>
      <c r="D22" s="194"/>
      <c r="E22" s="194"/>
      <c r="F22" s="194"/>
      <c r="G22" s="72">
        <f>G16+G20</f>
        <v>616848.92760000378</v>
      </c>
      <c r="H22" s="72">
        <f>H16+H20</f>
        <v>3440.9546278482303</v>
      </c>
      <c r="I22" s="72">
        <f>I16+I20</f>
        <v>-16385.498227848671</v>
      </c>
      <c r="J22" s="72">
        <f>J16+J20</f>
        <v>603904.38400000334</v>
      </c>
      <c r="K22" s="180"/>
      <c r="L22" s="61"/>
      <c r="M22" s="72">
        <f>M16+M20</f>
        <v>0</v>
      </c>
      <c r="N22" s="72">
        <f>N16+N20</f>
        <v>0</v>
      </c>
      <c r="O22" s="72">
        <f>O16+O20</f>
        <v>0</v>
      </c>
      <c r="P22" s="72">
        <f>P16+P20</f>
        <v>0</v>
      </c>
      <c r="Q22" s="71"/>
      <c r="R22" s="71"/>
    </row>
    <row r="23" spans="2:18">
      <c r="B23" s="186"/>
      <c r="C23" s="194"/>
      <c r="D23" s="194"/>
      <c r="E23" s="194"/>
      <c r="F23" s="194"/>
      <c r="G23" s="72"/>
      <c r="H23" s="72"/>
      <c r="I23" s="72"/>
      <c r="J23" s="72"/>
      <c r="K23" s="180"/>
      <c r="L23" s="61"/>
      <c r="M23" s="72"/>
      <c r="N23" s="72"/>
      <c r="O23" s="72"/>
      <c r="P23" s="72"/>
      <c r="Q23" s="71"/>
      <c r="R23" s="71"/>
    </row>
    <row r="24" spans="2:18">
      <c r="B24" s="186">
        <v>200</v>
      </c>
      <c r="C24" s="187" t="s">
        <v>433</v>
      </c>
      <c r="D24" s="188"/>
      <c r="E24" s="188"/>
      <c r="F24" s="188"/>
      <c r="G24" s="188"/>
      <c r="H24" s="188"/>
      <c r="I24" s="188"/>
      <c r="J24" s="188"/>
      <c r="K24" s="188"/>
      <c r="L24" s="188"/>
      <c r="M24" s="188"/>
      <c r="N24" s="188"/>
      <c r="O24" s="188"/>
      <c r="P24" s="188"/>
      <c r="Q24" s="188"/>
      <c r="R24" s="188"/>
    </row>
    <row r="25" spans="2:18">
      <c r="B25" s="186">
        <f t="shared" ref="B25:B27" si="2">B24+1</f>
        <v>201</v>
      </c>
      <c r="C25" s="189" t="s">
        <v>434</v>
      </c>
      <c r="D25" s="189" t="s">
        <v>423</v>
      </c>
      <c r="E25" s="190" t="s">
        <v>435</v>
      </c>
      <c r="F25" s="190"/>
      <c r="G25" s="62">
        <v>-73520202.00999999</v>
      </c>
      <c r="H25" s="62">
        <v>1650499.3037974681</v>
      </c>
      <c r="I25" s="62">
        <v>129888.22620251775</v>
      </c>
      <c r="J25" s="62">
        <v>-71739814.480000004</v>
      </c>
      <c r="K25" s="192" t="s">
        <v>436</v>
      </c>
      <c r="L25" s="75">
        <v>0.1464</v>
      </c>
      <c r="M25" s="64">
        <f t="shared" ref="M25:P29" si="3">G25*$L25</f>
        <v>-10763357.574263999</v>
      </c>
      <c r="N25" s="64">
        <f t="shared" si="3"/>
        <v>241633.09807594932</v>
      </c>
      <c r="O25" s="64">
        <f t="shared" si="3"/>
        <v>19015.6363160486</v>
      </c>
      <c r="P25" s="64">
        <f t="shared" si="3"/>
        <v>-10502708.839872001</v>
      </c>
      <c r="Q25" s="192" t="s">
        <v>437</v>
      </c>
      <c r="R25" s="76" t="s">
        <v>438</v>
      </c>
    </row>
    <row r="26" spans="2:18">
      <c r="B26" s="186">
        <f t="shared" si="2"/>
        <v>202</v>
      </c>
      <c r="C26" s="189" t="s">
        <v>439</v>
      </c>
      <c r="D26" s="189" t="s">
        <v>423</v>
      </c>
      <c r="E26" s="190" t="s">
        <v>435</v>
      </c>
      <c r="F26" s="190"/>
      <c r="G26" s="62">
        <v>-9487891.1499999985</v>
      </c>
      <c r="H26" s="62">
        <v>503142.16455696203</v>
      </c>
      <c r="I26" s="62">
        <v>5684.1654430367053</v>
      </c>
      <c r="J26" s="62">
        <v>-8979064.8200000003</v>
      </c>
      <c r="K26" s="192" t="s">
        <v>436</v>
      </c>
      <c r="L26" s="75">
        <v>0.1464</v>
      </c>
      <c r="M26" s="64">
        <f t="shared" si="3"/>
        <v>-1389027.2643599999</v>
      </c>
      <c r="N26" s="64">
        <f t="shared" si="3"/>
        <v>73660.012891139238</v>
      </c>
      <c r="O26" s="64">
        <f t="shared" si="3"/>
        <v>832.1618208605737</v>
      </c>
      <c r="P26" s="64">
        <f t="shared" si="3"/>
        <v>-1314535.089648</v>
      </c>
      <c r="Q26" s="76" t="s">
        <v>437</v>
      </c>
      <c r="R26" s="77" t="s">
        <v>438</v>
      </c>
    </row>
    <row r="27" spans="2:18">
      <c r="B27" s="186">
        <f t="shared" si="2"/>
        <v>203</v>
      </c>
      <c r="C27" s="197" t="s">
        <v>440</v>
      </c>
      <c r="D27" s="198" t="s">
        <v>423</v>
      </c>
      <c r="E27" s="199" t="s">
        <v>435</v>
      </c>
      <c r="F27" s="190"/>
      <c r="G27" s="62"/>
      <c r="H27" s="62">
        <v>0</v>
      </c>
      <c r="I27" s="62"/>
      <c r="J27" s="62">
        <v>0</v>
      </c>
      <c r="K27" s="78" t="s">
        <v>441</v>
      </c>
      <c r="L27" s="75">
        <v>1</v>
      </c>
      <c r="M27" s="66">
        <f t="shared" si="3"/>
        <v>0</v>
      </c>
      <c r="N27" s="66">
        <f t="shared" si="3"/>
        <v>0</v>
      </c>
      <c r="O27" s="66">
        <f t="shared" si="3"/>
        <v>0</v>
      </c>
      <c r="P27" s="66">
        <f t="shared" si="3"/>
        <v>0</v>
      </c>
      <c r="Q27" s="79" t="s">
        <v>437</v>
      </c>
      <c r="R27" s="80" t="s">
        <v>442</v>
      </c>
    </row>
    <row r="28" spans="2:18">
      <c r="B28" s="200">
        <f>B27+1</f>
        <v>204</v>
      </c>
      <c r="C28" s="198" t="s">
        <v>443</v>
      </c>
      <c r="D28" s="201" t="s">
        <v>423</v>
      </c>
      <c r="E28" s="190"/>
      <c r="F28" s="190"/>
      <c r="G28" s="62">
        <v>-240260.28</v>
      </c>
      <c r="H28" s="62"/>
      <c r="I28" s="62">
        <v>-39746.01999999999</v>
      </c>
      <c r="J28" s="62">
        <v>-280006.3</v>
      </c>
      <c r="K28" s="192" t="s">
        <v>425</v>
      </c>
      <c r="L28" s="75">
        <v>0</v>
      </c>
      <c r="M28" s="66">
        <f t="shared" si="3"/>
        <v>0</v>
      </c>
      <c r="N28" s="66">
        <f t="shared" si="3"/>
        <v>0</v>
      </c>
      <c r="O28" s="66">
        <f t="shared" si="3"/>
        <v>0</v>
      </c>
      <c r="P28" s="66">
        <f t="shared" si="3"/>
        <v>0</v>
      </c>
      <c r="Q28" s="79" t="s">
        <v>426</v>
      </c>
      <c r="R28" s="65" t="s">
        <v>427</v>
      </c>
    </row>
    <row r="29" spans="2:18">
      <c r="B29" s="200">
        <f>B28+1</f>
        <v>205</v>
      </c>
      <c r="C29" s="189" t="s">
        <v>428</v>
      </c>
      <c r="D29" s="193"/>
      <c r="E29" s="189"/>
      <c r="F29" s="189"/>
      <c r="G29" s="66"/>
      <c r="H29" s="66"/>
      <c r="I29" s="66"/>
      <c r="J29" s="66"/>
      <c r="K29" s="67"/>
      <c r="L29" s="68"/>
      <c r="M29" s="81">
        <f t="shared" si="3"/>
        <v>0</v>
      </c>
      <c r="N29" s="81">
        <f t="shared" si="3"/>
        <v>0</v>
      </c>
      <c r="O29" s="81">
        <f t="shared" si="3"/>
        <v>0</v>
      </c>
      <c r="P29" s="81">
        <f t="shared" si="3"/>
        <v>0</v>
      </c>
      <c r="Q29" s="67"/>
      <c r="R29" s="67"/>
    </row>
    <row r="30" spans="2:18">
      <c r="B30" s="186">
        <v>299</v>
      </c>
      <c r="C30" s="194" t="s">
        <v>444</v>
      </c>
      <c r="D30" s="194"/>
      <c r="E30" s="194"/>
      <c r="F30" s="194"/>
      <c r="G30" s="70">
        <f>SUM(G25:G29)</f>
        <v>-83248353.439999998</v>
      </c>
      <c r="H30" s="70">
        <f>SUM(H25:H29)</f>
        <v>2153641.46835443</v>
      </c>
      <c r="I30" s="70">
        <f>SUM(I25:I29)</f>
        <v>95826.371645554464</v>
      </c>
      <c r="J30" s="70">
        <f>SUM(J25:J29)</f>
        <v>-80998885.600000009</v>
      </c>
      <c r="K30" s="180"/>
      <c r="L30" s="61"/>
      <c r="M30" s="70">
        <f>SUM(M25:M29)</f>
        <v>-12152384.838623999</v>
      </c>
      <c r="N30" s="70">
        <f>SUM(N25:N29)</f>
        <v>315293.11096708855</v>
      </c>
      <c r="O30" s="70">
        <f>SUM(O25:O29)</f>
        <v>19847.798136909172</v>
      </c>
      <c r="P30" s="70">
        <f>SUM(P25:P29)</f>
        <v>-11817243.92952</v>
      </c>
      <c r="Q30" s="71"/>
      <c r="R30" s="71"/>
    </row>
    <row r="31" spans="2:18">
      <c r="B31" s="186"/>
      <c r="C31" s="194"/>
      <c r="D31" s="194"/>
      <c r="E31" s="194"/>
      <c r="F31" s="194"/>
      <c r="G31" s="72"/>
      <c r="H31" s="72"/>
      <c r="I31" s="72"/>
      <c r="J31" s="72"/>
      <c r="K31" s="180"/>
      <c r="L31" s="61"/>
      <c r="M31" s="72"/>
      <c r="N31" s="72"/>
      <c r="O31" s="72"/>
      <c r="P31" s="72"/>
      <c r="Q31" s="71"/>
      <c r="R31" s="71"/>
    </row>
    <row r="32" spans="2:18">
      <c r="B32" s="186">
        <v>300</v>
      </c>
      <c r="C32" s="189" t="s">
        <v>445</v>
      </c>
      <c r="D32" s="189" t="s">
        <v>423</v>
      </c>
      <c r="E32" s="190">
        <v>190</v>
      </c>
      <c r="F32" s="190"/>
      <c r="G32" s="62">
        <v>17431699.563599996</v>
      </c>
      <c r="H32" s="62">
        <v>-452264.70835443033</v>
      </c>
      <c r="I32" s="62">
        <v>-28470.202245566434</v>
      </c>
      <c r="J32" s="62">
        <v>16950964.652999997</v>
      </c>
      <c r="K32" s="192" t="s">
        <v>436</v>
      </c>
      <c r="L32" s="75">
        <v>0.1464</v>
      </c>
      <c r="M32" s="64">
        <f t="shared" ref="M32:P35" si="4">G32*$L32</f>
        <v>2552000.8161110394</v>
      </c>
      <c r="N32" s="64">
        <f t="shared" si="4"/>
        <v>-66211.5533030886</v>
      </c>
      <c r="O32" s="64">
        <f t="shared" si="4"/>
        <v>-4168.0376087509258</v>
      </c>
      <c r="P32" s="64">
        <f t="shared" si="4"/>
        <v>2481621.2251991997</v>
      </c>
      <c r="Q32" s="192" t="s">
        <v>437</v>
      </c>
      <c r="R32" s="76" t="s">
        <v>438</v>
      </c>
    </row>
    <row r="33" spans="2:18">
      <c r="B33" s="186">
        <f>B32+1</f>
        <v>301</v>
      </c>
      <c r="C33" s="198" t="s">
        <v>446</v>
      </c>
      <c r="D33" s="189" t="s">
        <v>423</v>
      </c>
      <c r="E33" s="190">
        <v>190</v>
      </c>
      <c r="F33" s="190"/>
      <c r="G33" s="62">
        <v>0</v>
      </c>
      <c r="H33" s="62">
        <v>0</v>
      </c>
      <c r="I33" s="62">
        <v>0</v>
      </c>
      <c r="J33" s="62">
        <v>0</v>
      </c>
      <c r="K33" s="78" t="s">
        <v>447</v>
      </c>
      <c r="L33" s="75">
        <v>1</v>
      </c>
      <c r="M33" s="66">
        <f t="shared" si="4"/>
        <v>0</v>
      </c>
      <c r="N33" s="66">
        <f t="shared" si="4"/>
        <v>0</v>
      </c>
      <c r="O33" s="66">
        <f t="shared" si="4"/>
        <v>0</v>
      </c>
      <c r="P33" s="66">
        <f t="shared" si="4"/>
        <v>0</v>
      </c>
      <c r="Q33" s="79" t="s">
        <v>437</v>
      </c>
      <c r="R33" s="80" t="s">
        <v>442</v>
      </c>
    </row>
    <row r="34" spans="2:18">
      <c r="B34" s="200">
        <f>B33+1</f>
        <v>302</v>
      </c>
      <c r="C34" s="198" t="s">
        <v>448</v>
      </c>
      <c r="D34" s="198" t="s">
        <v>423</v>
      </c>
      <c r="E34" s="199">
        <v>190</v>
      </c>
      <c r="F34" s="190"/>
      <c r="G34" s="62">
        <v>50454.658799999997</v>
      </c>
      <c r="H34" s="62">
        <v>0</v>
      </c>
      <c r="I34" s="62">
        <v>8346.6641999999974</v>
      </c>
      <c r="J34" s="62">
        <v>58801.322999999997</v>
      </c>
      <c r="K34" s="192" t="s">
        <v>425</v>
      </c>
      <c r="L34" s="75">
        <v>0</v>
      </c>
      <c r="M34" s="66">
        <f t="shared" si="4"/>
        <v>0</v>
      </c>
      <c r="N34" s="66">
        <f t="shared" si="4"/>
        <v>0</v>
      </c>
      <c r="O34" s="66">
        <f t="shared" si="4"/>
        <v>0</v>
      </c>
      <c r="P34" s="66">
        <f t="shared" si="4"/>
        <v>0</v>
      </c>
      <c r="Q34" s="79" t="s">
        <v>426</v>
      </c>
      <c r="R34" s="65" t="s">
        <v>427</v>
      </c>
    </row>
    <row r="35" spans="2:18">
      <c r="B35" s="200">
        <f>B34+1</f>
        <v>303</v>
      </c>
      <c r="C35" s="189" t="s">
        <v>428</v>
      </c>
      <c r="D35" s="189"/>
      <c r="E35" s="189"/>
      <c r="F35" s="195"/>
      <c r="G35" s="196"/>
      <c r="H35" s="74"/>
      <c r="I35" s="74"/>
      <c r="J35" s="74"/>
      <c r="K35" s="74"/>
      <c r="L35" s="67"/>
      <c r="M35" s="69">
        <f t="shared" si="4"/>
        <v>0</v>
      </c>
      <c r="N35" s="69">
        <f t="shared" si="4"/>
        <v>0</v>
      </c>
      <c r="O35" s="69">
        <f t="shared" si="4"/>
        <v>0</v>
      </c>
      <c r="P35" s="69">
        <f t="shared" si="4"/>
        <v>0</v>
      </c>
      <c r="Q35" s="67"/>
      <c r="R35" s="67"/>
    </row>
    <row r="36" spans="2:18">
      <c r="B36" s="186">
        <v>350</v>
      </c>
      <c r="C36" s="194" t="s">
        <v>449</v>
      </c>
      <c r="D36" s="194"/>
      <c r="G36" s="72">
        <f>SUM(G32:G35)</f>
        <v>17482154.222399995</v>
      </c>
      <c r="H36" s="72">
        <f>SUM(H32:H35)</f>
        <v>-452264.70835443033</v>
      </c>
      <c r="I36" s="72">
        <f>SUM(I32:I35)</f>
        <v>-20123.538045566434</v>
      </c>
      <c r="J36" s="72">
        <f>SUM(J32:J35)</f>
        <v>17009765.975999996</v>
      </c>
      <c r="K36" s="180"/>
      <c r="L36" s="61"/>
      <c r="M36" s="72">
        <f>SUM(M32:M35)</f>
        <v>2552000.8161110394</v>
      </c>
      <c r="N36" s="72">
        <f>SUM(N32:N35)</f>
        <v>-66211.5533030886</v>
      </c>
      <c r="O36" s="72">
        <f>SUM(O32:O35)</f>
        <v>-4168.0376087509258</v>
      </c>
      <c r="P36" s="72">
        <f>SUM(P32:P35)</f>
        <v>2481621.2251991997</v>
      </c>
      <c r="Q36" s="71"/>
      <c r="R36" s="71"/>
    </row>
    <row r="37" spans="2:18">
      <c r="B37" s="186">
        <f>B36+1</f>
        <v>351</v>
      </c>
      <c r="C37" s="194"/>
      <c r="D37" s="194"/>
      <c r="G37" s="72"/>
      <c r="H37" s="72"/>
      <c r="I37" s="72"/>
      <c r="J37" s="72"/>
      <c r="K37" s="180"/>
      <c r="L37" s="61"/>
      <c r="M37" s="72"/>
      <c r="N37" s="72"/>
      <c r="O37" s="72"/>
      <c r="P37" s="72"/>
      <c r="Q37" s="71"/>
      <c r="R37" s="71"/>
    </row>
    <row r="38" spans="2:18">
      <c r="B38" s="186">
        <f>B37+1</f>
        <v>352</v>
      </c>
      <c r="C38" s="194" t="s">
        <v>450</v>
      </c>
      <c r="D38" s="194"/>
      <c r="E38" s="194"/>
      <c r="F38" s="194"/>
      <c r="G38" s="72">
        <f>G30+G36</f>
        <v>-65766199.217600003</v>
      </c>
      <c r="H38" s="72">
        <f>H30+H36</f>
        <v>1701376.7599999998</v>
      </c>
      <c r="I38" s="72">
        <f>I30+I36</f>
        <v>75702.833599988022</v>
      </c>
      <c r="J38" s="72">
        <f>J30+J36</f>
        <v>-63989119.624000013</v>
      </c>
      <c r="K38" s="180"/>
      <c r="L38" s="61"/>
      <c r="M38" s="72">
        <f>M30+M36</f>
        <v>-9600384.0225129593</v>
      </c>
      <c r="N38" s="72">
        <f>N30+N36</f>
        <v>249081.55766399996</v>
      </c>
      <c r="O38" s="72">
        <f>O30+O36</f>
        <v>15679.760528158247</v>
      </c>
      <c r="P38" s="72">
        <f>P30+P36</f>
        <v>-9335622.7043207996</v>
      </c>
      <c r="Q38" s="71"/>
      <c r="R38" s="71"/>
    </row>
    <row r="39" spans="2:18">
      <c r="B39" s="186"/>
      <c r="C39" s="194"/>
      <c r="D39" s="194"/>
      <c r="E39" s="194"/>
      <c r="F39" s="194"/>
      <c r="G39" s="72"/>
      <c r="H39" s="72"/>
      <c r="I39" s="72"/>
      <c r="J39" s="72"/>
      <c r="K39" s="180"/>
      <c r="L39" s="61"/>
      <c r="M39" s="72"/>
      <c r="N39" s="72"/>
      <c r="O39" s="72"/>
      <c r="P39" s="72"/>
      <c r="Q39" s="71"/>
      <c r="R39" s="71"/>
    </row>
    <row r="40" spans="2:18">
      <c r="B40" s="186">
        <v>353</v>
      </c>
      <c r="C40" s="187" t="s">
        <v>451</v>
      </c>
      <c r="D40" s="188"/>
      <c r="E40" s="188"/>
      <c r="F40" s="188"/>
      <c r="G40" s="188"/>
      <c r="H40" s="188"/>
      <c r="I40" s="188"/>
      <c r="J40" s="188"/>
      <c r="K40" s="188"/>
      <c r="L40" s="188"/>
      <c r="M40" s="188"/>
      <c r="N40" s="188"/>
      <c r="O40" s="188"/>
      <c r="P40" s="188"/>
      <c r="Q40" s="188"/>
      <c r="R40" s="188"/>
    </row>
    <row r="41" spans="2:18">
      <c r="B41" s="186">
        <f t="shared" ref="B41:B46" si="5">B40+1</f>
        <v>354</v>
      </c>
      <c r="C41" s="194"/>
      <c r="D41" s="194"/>
      <c r="E41" s="189"/>
      <c r="F41" s="194"/>
      <c r="G41" s="72"/>
      <c r="H41" s="72"/>
      <c r="I41" s="72"/>
      <c r="J41" s="72"/>
      <c r="K41" s="180"/>
      <c r="L41" s="61"/>
      <c r="M41" s="72"/>
      <c r="N41" s="72"/>
      <c r="O41" s="72"/>
      <c r="P41" s="72"/>
      <c r="Q41" s="71"/>
      <c r="R41" s="71"/>
    </row>
    <row r="42" spans="2:18">
      <c r="B42" s="186">
        <f t="shared" si="5"/>
        <v>355</v>
      </c>
      <c r="C42" s="202" t="s">
        <v>452</v>
      </c>
      <c r="D42" s="194"/>
      <c r="E42" s="194"/>
      <c r="F42" s="194"/>
      <c r="G42" s="72">
        <f>+G16+G30</f>
        <v>-82467532.012658224</v>
      </c>
      <c r="H42" s="72">
        <f>+H16+H30</f>
        <v>2153641.46835443</v>
      </c>
      <c r="I42" s="72">
        <f>+I16+I30</f>
        <v>79440.873417705792</v>
      </c>
      <c r="J42" s="72">
        <f>+J16+J30</f>
        <v>-80234449.670886084</v>
      </c>
      <c r="K42" s="82"/>
      <c r="L42" s="72"/>
      <c r="M42" s="72">
        <f>+M16+M30</f>
        <v>-12152384.838623999</v>
      </c>
      <c r="N42" s="72">
        <f>+N16+N30</f>
        <v>315293.11096708855</v>
      </c>
      <c r="O42" s="72">
        <f>+O16+O30</f>
        <v>19847.798136909172</v>
      </c>
      <c r="P42" s="72">
        <f>+P16+P30</f>
        <v>-11817243.92952</v>
      </c>
      <c r="Q42" s="71"/>
      <c r="R42" s="71"/>
    </row>
    <row r="43" spans="2:18">
      <c r="B43" s="186">
        <f t="shared" si="5"/>
        <v>356</v>
      </c>
      <c r="C43" s="194" t="s">
        <v>453</v>
      </c>
      <c r="D43" s="194"/>
      <c r="E43" s="194"/>
      <c r="F43" s="194"/>
      <c r="G43" s="83">
        <f>G20+G36</f>
        <v>17318181.722658221</v>
      </c>
      <c r="H43" s="83">
        <f>H20+H36</f>
        <v>-448823.7537265821</v>
      </c>
      <c r="I43" s="83">
        <f>I20+I36</f>
        <v>-20123.538045566434</v>
      </c>
      <c r="J43" s="83">
        <f>J20+J36</f>
        <v>16849234.430886071</v>
      </c>
      <c r="K43" s="84"/>
      <c r="L43" s="83"/>
      <c r="M43" s="83">
        <f>M20+M36</f>
        <v>2552000.8161110394</v>
      </c>
      <c r="N43" s="83">
        <f>N20+N36</f>
        <v>-66211.5533030886</v>
      </c>
      <c r="O43" s="83">
        <f>O20+O36</f>
        <v>-4168.0376087509258</v>
      </c>
      <c r="P43" s="83">
        <f>P20+P36</f>
        <v>2481621.2251991997</v>
      </c>
      <c r="Q43" s="71"/>
      <c r="R43" s="71"/>
    </row>
    <row r="44" spans="2:18">
      <c r="B44" s="186">
        <f t="shared" si="5"/>
        <v>357</v>
      </c>
      <c r="C44" s="194" t="s">
        <v>454</v>
      </c>
      <c r="D44" s="194"/>
      <c r="E44" s="194"/>
      <c r="F44" s="194"/>
      <c r="G44" s="72">
        <f>SUM(G42:G43)</f>
        <v>-65149350.290000007</v>
      </c>
      <c r="H44" s="72">
        <f>SUM(H42:H43)</f>
        <v>1704817.714627848</v>
      </c>
      <c r="I44" s="72">
        <f>SUM(I42:I43)</f>
        <v>59317.335372139358</v>
      </c>
      <c r="J44" s="72">
        <f>SUM(J42:J43)</f>
        <v>-63385215.24000001</v>
      </c>
      <c r="K44" s="82"/>
      <c r="L44" s="72"/>
      <c r="M44" s="72">
        <f>SUM(M42:M43)</f>
        <v>-9600384.0225129593</v>
      </c>
      <c r="N44" s="72">
        <f>SUM(N42:N43)</f>
        <v>249081.55766399996</v>
      </c>
      <c r="O44" s="72">
        <f>SUM(O42:O43)</f>
        <v>15679.760528158247</v>
      </c>
      <c r="P44" s="72">
        <f>SUM(P42:P43)</f>
        <v>-9335622.7043207996</v>
      </c>
      <c r="Q44" s="71"/>
      <c r="R44" s="71"/>
    </row>
    <row r="45" spans="2:18">
      <c r="B45" s="186">
        <f t="shared" si="5"/>
        <v>358</v>
      </c>
      <c r="C45" s="194" t="s">
        <v>455</v>
      </c>
      <c r="D45" s="194"/>
      <c r="E45" s="194"/>
      <c r="F45" s="194"/>
      <c r="G45" s="72"/>
      <c r="H45" s="72"/>
      <c r="I45" s="72"/>
      <c r="J45" s="72">
        <f>(J42+G42)/2</f>
        <v>-81350990.841772154</v>
      </c>
      <c r="K45" s="82"/>
      <c r="L45" s="72"/>
      <c r="M45" s="72"/>
      <c r="N45" s="72"/>
      <c r="O45" s="72"/>
      <c r="P45" s="72">
        <f>(P42+M42)/2</f>
        <v>-11984814.384071998</v>
      </c>
      <c r="R45" s="71"/>
    </row>
    <row r="46" spans="2:18" ht="15.6">
      <c r="B46" s="186">
        <f t="shared" si="5"/>
        <v>359</v>
      </c>
      <c r="C46" s="194" t="s">
        <v>456</v>
      </c>
      <c r="D46" s="194"/>
      <c r="E46" s="194"/>
      <c r="F46" s="194"/>
      <c r="G46" s="85"/>
      <c r="H46" s="85"/>
      <c r="I46" s="85"/>
      <c r="J46" s="203"/>
      <c r="K46" s="82"/>
      <c r="L46" s="72"/>
      <c r="M46" s="72"/>
      <c r="N46" s="72"/>
      <c r="O46" s="72"/>
      <c r="P46" s="86">
        <f>P44/J44</f>
        <v>0.14728391579917585</v>
      </c>
      <c r="Q46" s="204"/>
      <c r="R46" s="71"/>
    </row>
    <row r="47" spans="2:18" ht="15.6">
      <c r="B47" s="186"/>
      <c r="C47" s="194"/>
      <c r="D47" s="194"/>
      <c r="E47" s="194"/>
      <c r="F47" s="194"/>
      <c r="G47" s="205"/>
      <c r="H47" s="205"/>
      <c r="I47" s="205"/>
      <c r="J47" s="205"/>
      <c r="K47" s="82"/>
      <c r="L47" s="72"/>
      <c r="M47" s="72"/>
      <c r="N47" s="72"/>
      <c r="O47" s="72"/>
      <c r="Q47" s="71"/>
      <c r="R47" s="71"/>
    </row>
    <row r="48" spans="2:18">
      <c r="B48" s="206" t="s">
        <v>52</v>
      </c>
    </row>
    <row r="49" spans="2:18" ht="91.5" customHeight="1">
      <c r="B49" s="207" t="s">
        <v>457</v>
      </c>
      <c r="C49" s="208" t="s">
        <v>458</v>
      </c>
      <c r="D49" s="208"/>
      <c r="E49" s="208"/>
      <c r="F49" s="208"/>
      <c r="G49" s="208"/>
      <c r="H49" s="208"/>
      <c r="I49" s="208"/>
      <c r="J49" s="208"/>
      <c r="K49" s="208"/>
      <c r="L49" s="208"/>
      <c r="M49" s="208"/>
      <c r="N49" s="208"/>
      <c r="O49" s="208"/>
      <c r="P49" s="208"/>
      <c r="Q49" s="209"/>
      <c r="R49" s="209"/>
    </row>
    <row r="50" spans="2:18" ht="21" customHeight="1">
      <c r="B50" s="207" t="s">
        <v>459</v>
      </c>
      <c r="C50" s="208" t="s">
        <v>460</v>
      </c>
      <c r="D50" s="208"/>
      <c r="E50" s="208"/>
      <c r="F50" s="208"/>
      <c r="G50" s="208"/>
      <c r="H50" s="208"/>
      <c r="I50" s="208"/>
      <c r="J50" s="208"/>
      <c r="K50" s="208"/>
      <c r="L50" s="208"/>
      <c r="M50" s="208"/>
      <c r="N50" s="208"/>
      <c r="O50" s="208"/>
      <c r="P50" s="208"/>
      <c r="Q50" s="209"/>
      <c r="R50" s="209"/>
    </row>
    <row r="51" spans="2:18" ht="22.35" customHeight="1">
      <c r="B51" s="207" t="s">
        <v>461</v>
      </c>
      <c r="C51" s="208" t="s">
        <v>462</v>
      </c>
      <c r="D51" s="208"/>
      <c r="E51" s="208"/>
      <c r="F51" s="208"/>
      <c r="G51" s="208"/>
      <c r="H51" s="208"/>
      <c r="I51" s="208"/>
      <c r="J51" s="208"/>
      <c r="K51" s="208"/>
      <c r="L51" s="208"/>
      <c r="M51" s="208"/>
      <c r="N51" s="208"/>
      <c r="O51" s="208"/>
      <c r="P51" s="208"/>
      <c r="Q51" s="210"/>
      <c r="R51" s="210"/>
    </row>
    <row r="52" spans="2:18" ht="36.6" customHeight="1">
      <c r="B52" s="207" t="s">
        <v>463</v>
      </c>
      <c r="C52" s="208" t="s">
        <v>464</v>
      </c>
      <c r="D52" s="208"/>
      <c r="E52" s="208"/>
      <c r="F52" s="208"/>
      <c r="G52" s="208"/>
      <c r="H52" s="208"/>
      <c r="I52" s="208"/>
      <c r="J52" s="208"/>
      <c r="K52" s="208"/>
      <c r="L52" s="208"/>
      <c r="M52" s="208"/>
      <c r="N52" s="208"/>
      <c r="O52" s="208"/>
      <c r="P52" s="208"/>
      <c r="Q52" s="210"/>
      <c r="R52" s="210"/>
    </row>
    <row r="53" spans="2:18" ht="21" customHeight="1">
      <c r="B53" s="207" t="s">
        <v>465</v>
      </c>
      <c r="C53" s="208" t="s">
        <v>466</v>
      </c>
      <c r="D53" s="208"/>
      <c r="E53" s="208"/>
      <c r="F53" s="208"/>
      <c r="G53" s="208"/>
      <c r="H53" s="208"/>
      <c r="I53" s="208"/>
      <c r="J53" s="208"/>
      <c r="K53" s="208"/>
      <c r="L53" s="208"/>
      <c r="M53" s="208"/>
      <c r="N53" s="208"/>
      <c r="O53" s="208"/>
      <c r="P53" s="208"/>
    </row>
    <row r="54" spans="2:18" ht="34.200000000000003" customHeight="1">
      <c r="B54" s="207" t="s">
        <v>467</v>
      </c>
      <c r="C54" s="208" t="s">
        <v>468</v>
      </c>
      <c r="D54" s="208"/>
      <c r="E54" s="208"/>
      <c r="F54" s="208"/>
      <c r="G54" s="208"/>
      <c r="H54" s="208"/>
      <c r="I54" s="208"/>
      <c r="J54" s="208"/>
      <c r="K54" s="208"/>
      <c r="L54" s="208"/>
      <c r="M54" s="208"/>
      <c r="N54" s="208"/>
      <c r="O54" s="208"/>
      <c r="P54" s="208"/>
    </row>
    <row r="55" spans="2:18" ht="54.9" customHeight="1">
      <c r="B55" s="207" t="s">
        <v>469</v>
      </c>
      <c r="C55" s="211" t="s">
        <v>470</v>
      </c>
      <c r="D55" s="208"/>
      <c r="E55" s="208"/>
      <c r="F55" s="208"/>
      <c r="G55" s="208"/>
      <c r="H55" s="208"/>
      <c r="I55" s="208"/>
      <c r="J55" s="208"/>
      <c r="K55" s="208"/>
      <c r="L55" s="208"/>
      <c r="M55" s="208"/>
      <c r="N55" s="208"/>
      <c r="O55" s="208"/>
      <c r="P55" s="208"/>
    </row>
    <row r="56" spans="2:18" ht="32.4" customHeight="1">
      <c r="B56" s="207" t="s">
        <v>471</v>
      </c>
      <c r="C56" s="208" t="s">
        <v>472</v>
      </c>
      <c r="D56" s="208"/>
      <c r="E56" s="208"/>
      <c r="F56" s="208"/>
      <c r="G56" s="208"/>
      <c r="H56" s="208"/>
      <c r="I56" s="208"/>
      <c r="J56" s="208"/>
      <c r="K56" s="208"/>
      <c r="L56" s="208"/>
      <c r="M56" s="208"/>
      <c r="N56" s="208"/>
      <c r="O56" s="208"/>
      <c r="P56" s="208"/>
    </row>
    <row r="57" spans="2:18" ht="32.4" customHeight="1">
      <c r="B57" s="207" t="s">
        <v>473</v>
      </c>
      <c r="C57" s="208" t="s">
        <v>474</v>
      </c>
      <c r="D57" s="208"/>
      <c r="E57" s="208"/>
      <c r="F57" s="208"/>
      <c r="G57" s="208"/>
      <c r="H57" s="208"/>
      <c r="I57" s="208"/>
      <c r="J57" s="208"/>
      <c r="K57" s="208"/>
      <c r="L57" s="208"/>
      <c r="M57" s="208"/>
      <c r="N57" s="208"/>
      <c r="O57" s="208"/>
      <c r="P57" s="208"/>
    </row>
    <row r="58" spans="2:18" ht="46.35" customHeight="1">
      <c r="B58" s="207" t="s">
        <v>475</v>
      </c>
      <c r="C58" s="211" t="s">
        <v>476</v>
      </c>
      <c r="D58" s="211"/>
      <c r="E58" s="211"/>
      <c r="F58" s="211"/>
      <c r="G58" s="211"/>
      <c r="H58" s="211"/>
      <c r="I58" s="211"/>
      <c r="J58" s="211"/>
      <c r="K58" s="211"/>
      <c r="L58" s="211"/>
      <c r="M58" s="211"/>
      <c r="N58" s="211"/>
      <c r="O58" s="211"/>
      <c r="P58" s="211"/>
    </row>
    <row r="59" spans="2:18" ht="44.25" customHeight="1">
      <c r="B59" s="207" t="s">
        <v>477</v>
      </c>
      <c r="C59" s="208" t="s">
        <v>478</v>
      </c>
      <c r="D59" s="208"/>
      <c r="E59" s="208"/>
      <c r="F59" s="208"/>
      <c r="G59" s="208"/>
      <c r="H59" s="208"/>
      <c r="I59" s="208"/>
      <c r="J59" s="208"/>
      <c r="K59" s="208"/>
      <c r="L59" s="208"/>
      <c r="M59" s="208"/>
      <c r="N59" s="208"/>
      <c r="O59" s="208"/>
      <c r="P59" s="208"/>
    </row>
    <row r="60" spans="2:18" s="214" customFormat="1" ht="71.400000000000006" customHeight="1">
      <c r="B60" s="212" t="s">
        <v>479</v>
      </c>
      <c r="C60" s="211" t="s">
        <v>480</v>
      </c>
      <c r="D60" s="213"/>
      <c r="E60" s="213"/>
      <c r="F60" s="213"/>
      <c r="G60" s="213"/>
      <c r="H60" s="213"/>
      <c r="I60" s="213"/>
      <c r="J60" s="213"/>
      <c r="K60" s="213"/>
      <c r="L60" s="213"/>
      <c r="M60" s="213"/>
      <c r="N60" s="213"/>
      <c r="O60" s="213"/>
      <c r="P60" s="213"/>
    </row>
    <row r="61" spans="2:18" ht="27.6" customHeight="1">
      <c r="B61" s="212" t="s">
        <v>481</v>
      </c>
      <c r="C61" s="211" t="s">
        <v>482</v>
      </c>
      <c r="D61" s="213"/>
      <c r="E61" s="213"/>
      <c r="F61" s="213"/>
      <c r="G61" s="213"/>
      <c r="H61" s="213"/>
      <c r="I61" s="213"/>
      <c r="J61" s="213"/>
      <c r="K61" s="213"/>
      <c r="L61" s="213"/>
      <c r="M61" s="213"/>
      <c r="N61" s="213"/>
      <c r="O61" s="213"/>
      <c r="P61" s="213"/>
    </row>
    <row r="62" spans="2:18">
      <c r="B62" s="212" t="s">
        <v>483</v>
      </c>
      <c r="C62" s="211" t="s">
        <v>484</v>
      </c>
      <c r="D62" s="213"/>
      <c r="E62" s="213"/>
      <c r="F62" s="213"/>
      <c r="G62" s="213"/>
      <c r="H62" s="213"/>
      <c r="I62" s="213"/>
      <c r="J62" s="213"/>
      <c r="K62" s="213"/>
      <c r="L62" s="213"/>
      <c r="M62" s="213"/>
      <c r="N62" s="213"/>
      <c r="O62" s="213"/>
      <c r="P62" s="213"/>
    </row>
    <row r="63" spans="2:18">
      <c r="C63" s="215"/>
    </row>
    <row r="64" spans="2:18">
      <c r="C64" s="215"/>
    </row>
  </sheetData>
  <mergeCells count="22">
    <mergeCell ref="C59:P59"/>
    <mergeCell ref="C60:P60"/>
    <mergeCell ref="C61:P61"/>
    <mergeCell ref="C62:P62"/>
    <mergeCell ref="C53:P53"/>
    <mergeCell ref="C54:P54"/>
    <mergeCell ref="C55:P55"/>
    <mergeCell ref="C56:P56"/>
    <mergeCell ref="C57:P57"/>
    <mergeCell ref="C58:P58"/>
    <mergeCell ref="C52:P52"/>
    <mergeCell ref="B3:R3"/>
    <mergeCell ref="B4:R4"/>
    <mergeCell ref="B5:H5"/>
    <mergeCell ref="K9:L9"/>
    <mergeCell ref="K11:L11"/>
    <mergeCell ref="C13:R13"/>
    <mergeCell ref="C24:R24"/>
    <mergeCell ref="C40:R40"/>
    <mergeCell ref="C49:P49"/>
    <mergeCell ref="C50:P50"/>
    <mergeCell ref="C51:P51"/>
  </mergeCells>
  <pageMargins left="0.25" right="0.25" top="0.5" bottom="0.25" header="0.3" footer="0.3"/>
  <pageSetup scale="45" orientation="landscape"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3:AI44"/>
  <sheetViews>
    <sheetView workbookViewId="0">
      <selection activeCell="M36" sqref="M36"/>
    </sheetView>
  </sheetViews>
  <sheetFormatPr defaultRowHeight="13.8"/>
  <cols>
    <col min="1" max="1" width="3.453125" style="115" bestFit="1" customWidth="1"/>
    <col min="2" max="2" width="3.453125" style="115" customWidth="1"/>
    <col min="3" max="3" width="13.1796875" style="115" customWidth="1"/>
    <col min="4" max="4" width="2.6328125" style="115" customWidth="1"/>
    <col min="5" max="5" width="15.1796875" style="115" customWidth="1"/>
    <col min="6" max="6" width="3" style="115" customWidth="1"/>
    <col min="7" max="7" width="11.90625" style="115" bestFit="1" customWidth="1"/>
    <col min="8" max="8" width="3" style="115" customWidth="1"/>
    <col min="9" max="9" width="11.90625" style="115" bestFit="1" customWidth="1"/>
    <col min="10" max="10" width="3" style="115" customWidth="1"/>
    <col min="11" max="11" width="12.1796875" style="115" bestFit="1" customWidth="1"/>
    <col min="12" max="12" width="3.08984375" style="115" customWidth="1"/>
    <col min="13" max="13" width="12.90625" style="115" bestFit="1" customWidth="1"/>
    <col min="14" max="14" width="3.08984375" style="115" customWidth="1"/>
    <col min="15" max="15" width="13.54296875" style="115" bestFit="1" customWidth="1"/>
    <col min="16" max="16" width="9.1796875" style="115" customWidth="1"/>
    <col min="17" max="17" width="15.453125" style="88" bestFit="1" customWidth="1"/>
    <col min="18" max="18" width="14.453125" style="115" bestFit="1" customWidth="1"/>
    <col min="19" max="19" width="13.54296875" style="115" bestFit="1" customWidth="1"/>
    <col min="20" max="20" width="16.81640625" style="115" customWidth="1"/>
    <col min="21" max="21" width="10.90625" style="115" bestFit="1" customWidth="1"/>
    <col min="22" max="22" width="8.81640625" style="115"/>
    <col min="23" max="23" width="13.1796875" style="115" customWidth="1"/>
    <col min="24" max="263" width="8.81640625" style="115"/>
    <col min="264" max="264" width="3.453125" style="115" bestFit="1" customWidth="1"/>
    <col min="265" max="265" width="3.453125" style="115" customWidth="1"/>
    <col min="266" max="266" width="13.1796875" style="115" customWidth="1"/>
    <col min="267" max="267" width="2.6328125" style="115" customWidth="1"/>
    <col min="268" max="268" width="15.1796875" style="115" customWidth="1"/>
    <col min="269" max="269" width="3" style="115" customWidth="1"/>
    <col min="270" max="270" width="11.90625" style="115" bestFit="1" customWidth="1"/>
    <col min="271" max="271" width="3.08984375" style="115" customWidth="1"/>
    <col min="272" max="272" width="13.54296875" style="115" bestFit="1" customWidth="1"/>
    <col min="273" max="274" width="9.1796875" style="115" customWidth="1"/>
    <col min="275" max="519" width="8.81640625" style="115"/>
    <col min="520" max="520" width="3.453125" style="115" bestFit="1" customWidth="1"/>
    <col min="521" max="521" width="3.453125" style="115" customWidth="1"/>
    <col min="522" max="522" width="13.1796875" style="115" customWidth="1"/>
    <col min="523" max="523" width="2.6328125" style="115" customWidth="1"/>
    <col min="524" max="524" width="15.1796875" style="115" customWidth="1"/>
    <col min="525" max="525" width="3" style="115" customWidth="1"/>
    <col min="526" max="526" width="11.90625" style="115" bestFit="1" customWidth="1"/>
    <col min="527" max="527" width="3.08984375" style="115" customWidth="1"/>
    <col min="528" max="528" width="13.54296875" style="115" bestFit="1" customWidth="1"/>
    <col min="529" max="530" width="9.1796875" style="115" customWidth="1"/>
    <col min="531" max="775" width="8.81640625" style="115"/>
    <col min="776" max="776" width="3.453125" style="115" bestFit="1" customWidth="1"/>
    <col min="777" max="777" width="3.453125" style="115" customWidth="1"/>
    <col min="778" max="778" width="13.1796875" style="115" customWidth="1"/>
    <col min="779" max="779" width="2.6328125" style="115" customWidth="1"/>
    <col min="780" max="780" width="15.1796875" style="115" customWidth="1"/>
    <col min="781" max="781" width="3" style="115" customWidth="1"/>
    <col min="782" max="782" width="11.90625" style="115" bestFit="1" customWidth="1"/>
    <col min="783" max="783" width="3.08984375" style="115" customWidth="1"/>
    <col min="784" max="784" width="13.54296875" style="115" bestFit="1" customWidth="1"/>
    <col min="785" max="786" width="9.1796875" style="115" customWidth="1"/>
    <col min="787" max="1031" width="8.81640625" style="115"/>
    <col min="1032" max="1032" width="3.453125" style="115" bestFit="1" customWidth="1"/>
    <col min="1033" max="1033" width="3.453125" style="115" customWidth="1"/>
    <col min="1034" max="1034" width="13.1796875" style="115" customWidth="1"/>
    <col min="1035" max="1035" width="2.6328125" style="115" customWidth="1"/>
    <col min="1036" max="1036" width="15.1796875" style="115" customWidth="1"/>
    <col min="1037" max="1037" width="3" style="115" customWidth="1"/>
    <col min="1038" max="1038" width="11.90625" style="115" bestFit="1" customWidth="1"/>
    <col min="1039" max="1039" width="3.08984375" style="115" customWidth="1"/>
    <col min="1040" max="1040" width="13.54296875" style="115" bestFit="1" customWidth="1"/>
    <col min="1041" max="1042" width="9.1796875" style="115" customWidth="1"/>
    <col min="1043" max="1287" width="8.81640625" style="115"/>
    <col min="1288" max="1288" width="3.453125" style="115" bestFit="1" customWidth="1"/>
    <col min="1289" max="1289" width="3.453125" style="115" customWidth="1"/>
    <col min="1290" max="1290" width="13.1796875" style="115" customWidth="1"/>
    <col min="1291" max="1291" width="2.6328125" style="115" customWidth="1"/>
    <col min="1292" max="1292" width="15.1796875" style="115" customWidth="1"/>
    <col min="1293" max="1293" width="3" style="115" customWidth="1"/>
    <col min="1294" max="1294" width="11.90625" style="115" bestFit="1" customWidth="1"/>
    <col min="1295" max="1295" width="3.08984375" style="115" customWidth="1"/>
    <col min="1296" max="1296" width="13.54296875" style="115" bestFit="1" customWidth="1"/>
    <col min="1297" max="1298" width="9.1796875" style="115" customWidth="1"/>
    <col min="1299" max="1543" width="8.81640625" style="115"/>
    <col min="1544" max="1544" width="3.453125" style="115" bestFit="1" customWidth="1"/>
    <col min="1545" max="1545" width="3.453125" style="115" customWidth="1"/>
    <col min="1546" max="1546" width="13.1796875" style="115" customWidth="1"/>
    <col min="1547" max="1547" width="2.6328125" style="115" customWidth="1"/>
    <col min="1548" max="1548" width="15.1796875" style="115" customWidth="1"/>
    <col min="1549" max="1549" width="3" style="115" customWidth="1"/>
    <col min="1550" max="1550" width="11.90625" style="115" bestFit="1" customWidth="1"/>
    <col min="1551" max="1551" width="3.08984375" style="115" customWidth="1"/>
    <col min="1552" max="1552" width="13.54296875" style="115" bestFit="1" customWidth="1"/>
    <col min="1553" max="1554" width="9.1796875" style="115" customWidth="1"/>
    <col min="1555" max="1799" width="8.81640625" style="115"/>
    <col min="1800" max="1800" width="3.453125" style="115" bestFit="1" customWidth="1"/>
    <col min="1801" max="1801" width="3.453125" style="115" customWidth="1"/>
    <col min="1802" max="1802" width="13.1796875" style="115" customWidth="1"/>
    <col min="1803" max="1803" width="2.6328125" style="115" customWidth="1"/>
    <col min="1804" max="1804" width="15.1796875" style="115" customWidth="1"/>
    <col min="1805" max="1805" width="3" style="115" customWidth="1"/>
    <col min="1806" max="1806" width="11.90625" style="115" bestFit="1" customWidth="1"/>
    <col min="1807" max="1807" width="3.08984375" style="115" customWidth="1"/>
    <col min="1808" max="1808" width="13.54296875" style="115" bestFit="1" customWidth="1"/>
    <col min="1809" max="1810" width="9.1796875" style="115" customWidth="1"/>
    <col min="1811" max="2055" width="8.81640625" style="115"/>
    <col min="2056" max="2056" width="3.453125" style="115" bestFit="1" customWidth="1"/>
    <col min="2057" max="2057" width="3.453125" style="115" customWidth="1"/>
    <col min="2058" max="2058" width="13.1796875" style="115" customWidth="1"/>
    <col min="2059" max="2059" width="2.6328125" style="115" customWidth="1"/>
    <col min="2060" max="2060" width="15.1796875" style="115" customWidth="1"/>
    <col min="2061" max="2061" width="3" style="115" customWidth="1"/>
    <col min="2062" max="2062" width="11.90625" style="115" bestFit="1" customWidth="1"/>
    <col min="2063" max="2063" width="3.08984375" style="115" customWidth="1"/>
    <col min="2064" max="2064" width="13.54296875" style="115" bestFit="1" customWidth="1"/>
    <col min="2065" max="2066" width="9.1796875" style="115" customWidth="1"/>
    <col min="2067" max="2311" width="8.81640625" style="115"/>
    <col min="2312" max="2312" width="3.453125" style="115" bestFit="1" customWidth="1"/>
    <col min="2313" max="2313" width="3.453125" style="115" customWidth="1"/>
    <col min="2314" max="2314" width="13.1796875" style="115" customWidth="1"/>
    <col min="2315" max="2315" width="2.6328125" style="115" customWidth="1"/>
    <col min="2316" max="2316" width="15.1796875" style="115" customWidth="1"/>
    <col min="2317" max="2317" width="3" style="115" customWidth="1"/>
    <col min="2318" max="2318" width="11.90625" style="115" bestFit="1" customWidth="1"/>
    <col min="2319" max="2319" width="3.08984375" style="115" customWidth="1"/>
    <col min="2320" max="2320" width="13.54296875" style="115" bestFit="1" customWidth="1"/>
    <col min="2321" max="2322" width="9.1796875" style="115" customWidth="1"/>
    <col min="2323" max="2567" width="8.81640625" style="115"/>
    <col min="2568" max="2568" width="3.453125" style="115" bestFit="1" customWidth="1"/>
    <col min="2569" max="2569" width="3.453125" style="115" customWidth="1"/>
    <col min="2570" max="2570" width="13.1796875" style="115" customWidth="1"/>
    <col min="2571" max="2571" width="2.6328125" style="115" customWidth="1"/>
    <col min="2572" max="2572" width="15.1796875" style="115" customWidth="1"/>
    <col min="2573" max="2573" width="3" style="115" customWidth="1"/>
    <col min="2574" max="2574" width="11.90625" style="115" bestFit="1" customWidth="1"/>
    <col min="2575" max="2575" width="3.08984375" style="115" customWidth="1"/>
    <col min="2576" max="2576" width="13.54296875" style="115" bestFit="1" customWidth="1"/>
    <col min="2577" max="2578" width="9.1796875" style="115" customWidth="1"/>
    <col min="2579" max="2823" width="8.81640625" style="115"/>
    <col min="2824" max="2824" width="3.453125" style="115" bestFit="1" customWidth="1"/>
    <col min="2825" max="2825" width="3.453125" style="115" customWidth="1"/>
    <col min="2826" max="2826" width="13.1796875" style="115" customWidth="1"/>
    <col min="2827" max="2827" width="2.6328125" style="115" customWidth="1"/>
    <col min="2828" max="2828" width="15.1796875" style="115" customWidth="1"/>
    <col min="2829" max="2829" width="3" style="115" customWidth="1"/>
    <col min="2830" max="2830" width="11.90625" style="115" bestFit="1" customWidth="1"/>
    <col min="2831" max="2831" width="3.08984375" style="115" customWidth="1"/>
    <col min="2832" max="2832" width="13.54296875" style="115" bestFit="1" customWidth="1"/>
    <col min="2833" max="2834" width="9.1796875" style="115" customWidth="1"/>
    <col min="2835" max="3079" width="8.81640625" style="115"/>
    <col min="3080" max="3080" width="3.453125" style="115" bestFit="1" customWidth="1"/>
    <col min="3081" max="3081" width="3.453125" style="115" customWidth="1"/>
    <col min="3082" max="3082" width="13.1796875" style="115" customWidth="1"/>
    <col min="3083" max="3083" width="2.6328125" style="115" customWidth="1"/>
    <col min="3084" max="3084" width="15.1796875" style="115" customWidth="1"/>
    <col min="3085" max="3085" width="3" style="115" customWidth="1"/>
    <col min="3086" max="3086" width="11.90625" style="115" bestFit="1" customWidth="1"/>
    <col min="3087" max="3087" width="3.08984375" style="115" customWidth="1"/>
    <col min="3088" max="3088" width="13.54296875" style="115" bestFit="1" customWidth="1"/>
    <col min="3089" max="3090" width="9.1796875" style="115" customWidth="1"/>
    <col min="3091" max="3335" width="8.81640625" style="115"/>
    <col min="3336" max="3336" width="3.453125" style="115" bestFit="1" customWidth="1"/>
    <col min="3337" max="3337" width="3.453125" style="115" customWidth="1"/>
    <col min="3338" max="3338" width="13.1796875" style="115" customWidth="1"/>
    <col min="3339" max="3339" width="2.6328125" style="115" customWidth="1"/>
    <col min="3340" max="3340" width="15.1796875" style="115" customWidth="1"/>
    <col min="3341" max="3341" width="3" style="115" customWidth="1"/>
    <col min="3342" max="3342" width="11.90625" style="115" bestFit="1" customWidth="1"/>
    <col min="3343" max="3343" width="3.08984375" style="115" customWidth="1"/>
    <col min="3344" max="3344" width="13.54296875" style="115" bestFit="1" customWidth="1"/>
    <col min="3345" max="3346" width="9.1796875" style="115" customWidth="1"/>
    <col min="3347" max="3591" width="8.81640625" style="115"/>
    <col min="3592" max="3592" width="3.453125" style="115" bestFit="1" customWidth="1"/>
    <col min="3593" max="3593" width="3.453125" style="115" customWidth="1"/>
    <col min="3594" max="3594" width="13.1796875" style="115" customWidth="1"/>
    <col min="3595" max="3595" width="2.6328125" style="115" customWidth="1"/>
    <col min="3596" max="3596" width="15.1796875" style="115" customWidth="1"/>
    <col min="3597" max="3597" width="3" style="115" customWidth="1"/>
    <col min="3598" max="3598" width="11.90625" style="115" bestFit="1" customWidth="1"/>
    <col min="3599" max="3599" width="3.08984375" style="115" customWidth="1"/>
    <col min="3600" max="3600" width="13.54296875" style="115" bestFit="1" customWidth="1"/>
    <col min="3601" max="3602" width="9.1796875" style="115" customWidth="1"/>
    <col min="3603" max="3847" width="8.81640625" style="115"/>
    <col min="3848" max="3848" width="3.453125" style="115" bestFit="1" customWidth="1"/>
    <col min="3849" max="3849" width="3.453125" style="115" customWidth="1"/>
    <col min="3850" max="3850" width="13.1796875" style="115" customWidth="1"/>
    <col min="3851" max="3851" width="2.6328125" style="115" customWidth="1"/>
    <col min="3852" max="3852" width="15.1796875" style="115" customWidth="1"/>
    <col min="3853" max="3853" width="3" style="115" customWidth="1"/>
    <col min="3854" max="3854" width="11.90625" style="115" bestFit="1" customWidth="1"/>
    <col min="3855" max="3855" width="3.08984375" style="115" customWidth="1"/>
    <col min="3856" max="3856" width="13.54296875" style="115" bestFit="1" customWidth="1"/>
    <col min="3857" max="3858" width="9.1796875" style="115" customWidth="1"/>
    <col min="3859" max="4103" width="8.81640625" style="115"/>
    <col min="4104" max="4104" width="3.453125" style="115" bestFit="1" customWidth="1"/>
    <col min="4105" max="4105" width="3.453125" style="115" customWidth="1"/>
    <col min="4106" max="4106" width="13.1796875" style="115" customWidth="1"/>
    <col min="4107" max="4107" width="2.6328125" style="115" customWidth="1"/>
    <col min="4108" max="4108" width="15.1796875" style="115" customWidth="1"/>
    <col min="4109" max="4109" width="3" style="115" customWidth="1"/>
    <col min="4110" max="4110" width="11.90625" style="115" bestFit="1" customWidth="1"/>
    <col min="4111" max="4111" width="3.08984375" style="115" customWidth="1"/>
    <col min="4112" max="4112" width="13.54296875" style="115" bestFit="1" customWidth="1"/>
    <col min="4113" max="4114" width="9.1796875" style="115" customWidth="1"/>
    <col min="4115" max="4359" width="8.81640625" style="115"/>
    <col min="4360" max="4360" width="3.453125" style="115" bestFit="1" customWidth="1"/>
    <col min="4361" max="4361" width="3.453125" style="115" customWidth="1"/>
    <col min="4362" max="4362" width="13.1796875" style="115" customWidth="1"/>
    <col min="4363" max="4363" width="2.6328125" style="115" customWidth="1"/>
    <col min="4364" max="4364" width="15.1796875" style="115" customWidth="1"/>
    <col min="4365" max="4365" width="3" style="115" customWidth="1"/>
    <col min="4366" max="4366" width="11.90625" style="115" bestFit="1" customWidth="1"/>
    <col min="4367" max="4367" width="3.08984375" style="115" customWidth="1"/>
    <col min="4368" max="4368" width="13.54296875" style="115" bestFit="1" customWidth="1"/>
    <col min="4369" max="4370" width="9.1796875" style="115" customWidth="1"/>
    <col min="4371" max="4615" width="8.81640625" style="115"/>
    <col min="4616" max="4616" width="3.453125" style="115" bestFit="1" customWidth="1"/>
    <col min="4617" max="4617" width="3.453125" style="115" customWidth="1"/>
    <col min="4618" max="4618" width="13.1796875" style="115" customWidth="1"/>
    <col min="4619" max="4619" width="2.6328125" style="115" customWidth="1"/>
    <col min="4620" max="4620" width="15.1796875" style="115" customWidth="1"/>
    <col min="4621" max="4621" width="3" style="115" customWidth="1"/>
    <col min="4622" max="4622" width="11.90625" style="115" bestFit="1" customWidth="1"/>
    <col min="4623" max="4623" width="3.08984375" style="115" customWidth="1"/>
    <col min="4624" max="4624" width="13.54296875" style="115" bestFit="1" customWidth="1"/>
    <col min="4625" max="4626" width="9.1796875" style="115" customWidth="1"/>
    <col min="4627" max="4871" width="8.81640625" style="115"/>
    <col min="4872" max="4872" width="3.453125" style="115" bestFit="1" customWidth="1"/>
    <col min="4873" max="4873" width="3.453125" style="115" customWidth="1"/>
    <col min="4874" max="4874" width="13.1796875" style="115" customWidth="1"/>
    <col min="4875" max="4875" width="2.6328125" style="115" customWidth="1"/>
    <col min="4876" max="4876" width="15.1796875" style="115" customWidth="1"/>
    <col min="4877" max="4877" width="3" style="115" customWidth="1"/>
    <col min="4878" max="4878" width="11.90625" style="115" bestFit="1" customWidth="1"/>
    <col min="4879" max="4879" width="3.08984375" style="115" customWidth="1"/>
    <col min="4880" max="4880" width="13.54296875" style="115" bestFit="1" customWidth="1"/>
    <col min="4881" max="4882" width="9.1796875" style="115" customWidth="1"/>
    <col min="4883" max="5127" width="8.81640625" style="115"/>
    <col min="5128" max="5128" width="3.453125" style="115" bestFit="1" customWidth="1"/>
    <col min="5129" max="5129" width="3.453125" style="115" customWidth="1"/>
    <col min="5130" max="5130" width="13.1796875" style="115" customWidth="1"/>
    <col min="5131" max="5131" width="2.6328125" style="115" customWidth="1"/>
    <col min="5132" max="5132" width="15.1796875" style="115" customWidth="1"/>
    <col min="5133" max="5133" width="3" style="115" customWidth="1"/>
    <col min="5134" max="5134" width="11.90625" style="115" bestFit="1" customWidth="1"/>
    <col min="5135" max="5135" width="3.08984375" style="115" customWidth="1"/>
    <col min="5136" max="5136" width="13.54296875" style="115" bestFit="1" customWidth="1"/>
    <col min="5137" max="5138" width="9.1796875" style="115" customWidth="1"/>
    <col min="5139" max="5383" width="8.81640625" style="115"/>
    <col min="5384" max="5384" width="3.453125" style="115" bestFit="1" customWidth="1"/>
    <col min="5385" max="5385" width="3.453125" style="115" customWidth="1"/>
    <col min="5386" max="5386" width="13.1796875" style="115" customWidth="1"/>
    <col min="5387" max="5387" width="2.6328125" style="115" customWidth="1"/>
    <col min="5388" max="5388" width="15.1796875" style="115" customWidth="1"/>
    <col min="5389" max="5389" width="3" style="115" customWidth="1"/>
    <col min="5390" max="5390" width="11.90625" style="115" bestFit="1" customWidth="1"/>
    <col min="5391" max="5391" width="3.08984375" style="115" customWidth="1"/>
    <col min="5392" max="5392" width="13.54296875" style="115" bestFit="1" customWidth="1"/>
    <col min="5393" max="5394" width="9.1796875" style="115" customWidth="1"/>
    <col min="5395" max="5639" width="8.81640625" style="115"/>
    <col min="5640" max="5640" width="3.453125" style="115" bestFit="1" customWidth="1"/>
    <col min="5641" max="5641" width="3.453125" style="115" customWidth="1"/>
    <col min="5642" max="5642" width="13.1796875" style="115" customWidth="1"/>
    <col min="5643" max="5643" width="2.6328125" style="115" customWidth="1"/>
    <col min="5644" max="5644" width="15.1796875" style="115" customWidth="1"/>
    <col min="5645" max="5645" width="3" style="115" customWidth="1"/>
    <col min="5646" max="5646" width="11.90625" style="115" bestFit="1" customWidth="1"/>
    <col min="5647" max="5647" width="3.08984375" style="115" customWidth="1"/>
    <col min="5648" max="5648" width="13.54296875" style="115" bestFit="1" customWidth="1"/>
    <col min="5649" max="5650" width="9.1796875" style="115" customWidth="1"/>
    <col min="5651" max="5895" width="8.81640625" style="115"/>
    <col min="5896" max="5896" width="3.453125" style="115" bestFit="1" customWidth="1"/>
    <col min="5897" max="5897" width="3.453125" style="115" customWidth="1"/>
    <col min="5898" max="5898" width="13.1796875" style="115" customWidth="1"/>
    <col min="5899" max="5899" width="2.6328125" style="115" customWidth="1"/>
    <col min="5900" max="5900" width="15.1796875" style="115" customWidth="1"/>
    <col min="5901" max="5901" width="3" style="115" customWidth="1"/>
    <col min="5902" max="5902" width="11.90625" style="115" bestFit="1" customWidth="1"/>
    <col min="5903" max="5903" width="3.08984375" style="115" customWidth="1"/>
    <col min="5904" max="5904" width="13.54296875" style="115" bestFit="1" customWidth="1"/>
    <col min="5905" max="5906" width="9.1796875" style="115" customWidth="1"/>
    <col min="5907" max="6151" width="8.81640625" style="115"/>
    <col min="6152" max="6152" width="3.453125" style="115" bestFit="1" customWidth="1"/>
    <col min="6153" max="6153" width="3.453125" style="115" customWidth="1"/>
    <col min="6154" max="6154" width="13.1796875" style="115" customWidth="1"/>
    <col min="6155" max="6155" width="2.6328125" style="115" customWidth="1"/>
    <col min="6156" max="6156" width="15.1796875" style="115" customWidth="1"/>
    <col min="6157" max="6157" width="3" style="115" customWidth="1"/>
    <col min="6158" max="6158" width="11.90625" style="115" bestFit="1" customWidth="1"/>
    <col min="6159" max="6159" width="3.08984375" style="115" customWidth="1"/>
    <col min="6160" max="6160" width="13.54296875" style="115" bestFit="1" customWidth="1"/>
    <col min="6161" max="6162" width="9.1796875" style="115" customWidth="1"/>
    <col min="6163" max="6407" width="8.81640625" style="115"/>
    <col min="6408" max="6408" width="3.453125" style="115" bestFit="1" customWidth="1"/>
    <col min="6409" max="6409" width="3.453125" style="115" customWidth="1"/>
    <col min="6410" max="6410" width="13.1796875" style="115" customWidth="1"/>
    <col min="6411" max="6411" width="2.6328125" style="115" customWidth="1"/>
    <col min="6412" max="6412" width="15.1796875" style="115" customWidth="1"/>
    <col min="6413" max="6413" width="3" style="115" customWidth="1"/>
    <col min="6414" max="6414" width="11.90625" style="115" bestFit="1" customWidth="1"/>
    <col min="6415" max="6415" width="3.08984375" style="115" customWidth="1"/>
    <col min="6416" max="6416" width="13.54296875" style="115" bestFit="1" customWidth="1"/>
    <col min="6417" max="6418" width="9.1796875" style="115" customWidth="1"/>
    <col min="6419" max="6663" width="8.81640625" style="115"/>
    <col min="6664" max="6664" width="3.453125" style="115" bestFit="1" customWidth="1"/>
    <col min="6665" max="6665" width="3.453125" style="115" customWidth="1"/>
    <col min="6666" max="6666" width="13.1796875" style="115" customWidth="1"/>
    <col min="6667" max="6667" width="2.6328125" style="115" customWidth="1"/>
    <col min="6668" max="6668" width="15.1796875" style="115" customWidth="1"/>
    <col min="6669" max="6669" width="3" style="115" customWidth="1"/>
    <col min="6670" max="6670" width="11.90625" style="115" bestFit="1" customWidth="1"/>
    <col min="6671" max="6671" width="3.08984375" style="115" customWidth="1"/>
    <col min="6672" max="6672" width="13.54296875" style="115" bestFit="1" customWidth="1"/>
    <col min="6673" max="6674" width="9.1796875" style="115" customWidth="1"/>
    <col min="6675" max="6919" width="8.81640625" style="115"/>
    <col min="6920" max="6920" width="3.453125" style="115" bestFit="1" customWidth="1"/>
    <col min="6921" max="6921" width="3.453125" style="115" customWidth="1"/>
    <col min="6922" max="6922" width="13.1796875" style="115" customWidth="1"/>
    <col min="6923" max="6923" width="2.6328125" style="115" customWidth="1"/>
    <col min="6924" max="6924" width="15.1796875" style="115" customWidth="1"/>
    <col min="6925" max="6925" width="3" style="115" customWidth="1"/>
    <col min="6926" max="6926" width="11.90625" style="115" bestFit="1" customWidth="1"/>
    <col min="6927" max="6927" width="3.08984375" style="115" customWidth="1"/>
    <col min="6928" max="6928" width="13.54296875" style="115" bestFit="1" customWidth="1"/>
    <col min="6929" max="6930" width="9.1796875" style="115" customWidth="1"/>
    <col min="6931" max="7175" width="8.81640625" style="115"/>
    <col min="7176" max="7176" width="3.453125" style="115" bestFit="1" customWidth="1"/>
    <col min="7177" max="7177" width="3.453125" style="115" customWidth="1"/>
    <col min="7178" max="7178" width="13.1796875" style="115" customWidth="1"/>
    <col min="7179" max="7179" width="2.6328125" style="115" customWidth="1"/>
    <col min="7180" max="7180" width="15.1796875" style="115" customWidth="1"/>
    <col min="7181" max="7181" width="3" style="115" customWidth="1"/>
    <col min="7182" max="7182" width="11.90625" style="115" bestFit="1" customWidth="1"/>
    <col min="7183" max="7183" width="3.08984375" style="115" customWidth="1"/>
    <col min="7184" max="7184" width="13.54296875" style="115" bestFit="1" customWidth="1"/>
    <col min="7185" max="7186" width="9.1796875" style="115" customWidth="1"/>
    <col min="7187" max="7431" width="8.81640625" style="115"/>
    <col min="7432" max="7432" width="3.453125" style="115" bestFit="1" customWidth="1"/>
    <col min="7433" max="7433" width="3.453125" style="115" customWidth="1"/>
    <col min="7434" max="7434" width="13.1796875" style="115" customWidth="1"/>
    <col min="7435" max="7435" width="2.6328125" style="115" customWidth="1"/>
    <col min="7436" max="7436" width="15.1796875" style="115" customWidth="1"/>
    <col min="7437" max="7437" width="3" style="115" customWidth="1"/>
    <col min="7438" max="7438" width="11.90625" style="115" bestFit="1" customWidth="1"/>
    <col min="7439" max="7439" width="3.08984375" style="115" customWidth="1"/>
    <col min="7440" max="7440" width="13.54296875" style="115" bestFit="1" customWidth="1"/>
    <col min="7441" max="7442" width="9.1796875" style="115" customWidth="1"/>
    <col min="7443" max="7687" width="8.81640625" style="115"/>
    <col min="7688" max="7688" width="3.453125" style="115" bestFit="1" customWidth="1"/>
    <col min="7689" max="7689" width="3.453125" style="115" customWidth="1"/>
    <col min="7690" max="7690" width="13.1796875" style="115" customWidth="1"/>
    <col min="7691" max="7691" width="2.6328125" style="115" customWidth="1"/>
    <col min="7692" max="7692" width="15.1796875" style="115" customWidth="1"/>
    <col min="7693" max="7693" width="3" style="115" customWidth="1"/>
    <col min="7694" max="7694" width="11.90625" style="115" bestFit="1" customWidth="1"/>
    <col min="7695" max="7695" width="3.08984375" style="115" customWidth="1"/>
    <col min="7696" max="7696" width="13.54296875" style="115" bestFit="1" customWidth="1"/>
    <col min="7697" max="7698" width="9.1796875" style="115" customWidth="1"/>
    <col min="7699" max="7943" width="8.81640625" style="115"/>
    <col min="7944" max="7944" width="3.453125" style="115" bestFit="1" customWidth="1"/>
    <col min="7945" max="7945" width="3.453125" style="115" customWidth="1"/>
    <col min="7946" max="7946" width="13.1796875" style="115" customWidth="1"/>
    <col min="7947" max="7947" width="2.6328125" style="115" customWidth="1"/>
    <col min="7948" max="7948" width="15.1796875" style="115" customWidth="1"/>
    <col min="7949" max="7949" width="3" style="115" customWidth="1"/>
    <col min="7950" max="7950" width="11.90625" style="115" bestFit="1" customWidth="1"/>
    <col min="7951" max="7951" width="3.08984375" style="115" customWidth="1"/>
    <col min="7952" max="7952" width="13.54296875" style="115" bestFit="1" customWidth="1"/>
    <col min="7953" max="7954" width="9.1796875" style="115" customWidth="1"/>
    <col min="7955" max="8199" width="8.81640625" style="115"/>
    <col min="8200" max="8200" width="3.453125" style="115" bestFit="1" customWidth="1"/>
    <col min="8201" max="8201" width="3.453125" style="115" customWidth="1"/>
    <col min="8202" max="8202" width="13.1796875" style="115" customWidth="1"/>
    <col min="8203" max="8203" width="2.6328125" style="115" customWidth="1"/>
    <col min="8204" max="8204" width="15.1796875" style="115" customWidth="1"/>
    <col min="8205" max="8205" width="3" style="115" customWidth="1"/>
    <col min="8206" max="8206" width="11.90625" style="115" bestFit="1" customWidth="1"/>
    <col min="8207" max="8207" width="3.08984375" style="115" customWidth="1"/>
    <col min="8208" max="8208" width="13.54296875" style="115" bestFit="1" customWidth="1"/>
    <col min="8209" max="8210" width="9.1796875" style="115" customWidth="1"/>
    <col min="8211" max="8455" width="8.81640625" style="115"/>
    <col min="8456" max="8456" width="3.453125" style="115" bestFit="1" customWidth="1"/>
    <col min="8457" max="8457" width="3.453125" style="115" customWidth="1"/>
    <col min="8458" max="8458" width="13.1796875" style="115" customWidth="1"/>
    <col min="8459" max="8459" width="2.6328125" style="115" customWidth="1"/>
    <col min="8460" max="8460" width="15.1796875" style="115" customWidth="1"/>
    <col min="8461" max="8461" width="3" style="115" customWidth="1"/>
    <col min="8462" max="8462" width="11.90625" style="115" bestFit="1" customWidth="1"/>
    <col min="8463" max="8463" width="3.08984375" style="115" customWidth="1"/>
    <col min="8464" max="8464" width="13.54296875" style="115" bestFit="1" customWidth="1"/>
    <col min="8465" max="8466" width="9.1796875" style="115" customWidth="1"/>
    <col min="8467" max="8711" width="8.81640625" style="115"/>
    <col min="8712" max="8712" width="3.453125" style="115" bestFit="1" customWidth="1"/>
    <col min="8713" max="8713" width="3.453125" style="115" customWidth="1"/>
    <col min="8714" max="8714" width="13.1796875" style="115" customWidth="1"/>
    <col min="8715" max="8715" width="2.6328125" style="115" customWidth="1"/>
    <col min="8716" max="8716" width="15.1796875" style="115" customWidth="1"/>
    <col min="8717" max="8717" width="3" style="115" customWidth="1"/>
    <col min="8718" max="8718" width="11.90625" style="115" bestFit="1" customWidth="1"/>
    <col min="8719" max="8719" width="3.08984375" style="115" customWidth="1"/>
    <col min="8720" max="8720" width="13.54296875" style="115" bestFit="1" customWidth="1"/>
    <col min="8721" max="8722" width="9.1796875" style="115" customWidth="1"/>
    <col min="8723" max="8967" width="8.81640625" style="115"/>
    <col min="8968" max="8968" width="3.453125" style="115" bestFit="1" customWidth="1"/>
    <col min="8969" max="8969" width="3.453125" style="115" customWidth="1"/>
    <col min="8970" max="8970" width="13.1796875" style="115" customWidth="1"/>
    <col min="8971" max="8971" width="2.6328125" style="115" customWidth="1"/>
    <col min="8972" max="8972" width="15.1796875" style="115" customWidth="1"/>
    <col min="8973" max="8973" width="3" style="115" customWidth="1"/>
    <col min="8974" max="8974" width="11.90625" style="115" bestFit="1" customWidth="1"/>
    <col min="8975" max="8975" width="3.08984375" style="115" customWidth="1"/>
    <col min="8976" max="8976" width="13.54296875" style="115" bestFit="1" customWidth="1"/>
    <col min="8977" max="8978" width="9.1796875" style="115" customWidth="1"/>
    <col min="8979" max="9223" width="8.81640625" style="115"/>
    <col min="9224" max="9224" width="3.453125" style="115" bestFit="1" customWidth="1"/>
    <col min="9225" max="9225" width="3.453125" style="115" customWidth="1"/>
    <col min="9226" max="9226" width="13.1796875" style="115" customWidth="1"/>
    <col min="9227" max="9227" width="2.6328125" style="115" customWidth="1"/>
    <col min="9228" max="9228" width="15.1796875" style="115" customWidth="1"/>
    <col min="9229" max="9229" width="3" style="115" customWidth="1"/>
    <col min="9230" max="9230" width="11.90625" style="115" bestFit="1" customWidth="1"/>
    <col min="9231" max="9231" width="3.08984375" style="115" customWidth="1"/>
    <col min="9232" max="9232" width="13.54296875" style="115" bestFit="1" customWidth="1"/>
    <col min="9233" max="9234" width="9.1796875" style="115" customWidth="1"/>
    <col min="9235" max="9479" width="8.81640625" style="115"/>
    <col min="9480" max="9480" width="3.453125" style="115" bestFit="1" customWidth="1"/>
    <col min="9481" max="9481" width="3.453125" style="115" customWidth="1"/>
    <col min="9482" max="9482" width="13.1796875" style="115" customWidth="1"/>
    <col min="9483" max="9483" width="2.6328125" style="115" customWidth="1"/>
    <col min="9484" max="9484" width="15.1796875" style="115" customWidth="1"/>
    <col min="9485" max="9485" width="3" style="115" customWidth="1"/>
    <col min="9486" max="9486" width="11.90625" style="115" bestFit="1" customWidth="1"/>
    <col min="9487" max="9487" width="3.08984375" style="115" customWidth="1"/>
    <col min="9488" max="9488" width="13.54296875" style="115" bestFit="1" customWidth="1"/>
    <col min="9489" max="9490" width="9.1796875" style="115" customWidth="1"/>
    <col min="9491" max="9735" width="8.81640625" style="115"/>
    <col min="9736" max="9736" width="3.453125" style="115" bestFit="1" customWidth="1"/>
    <col min="9737" max="9737" width="3.453125" style="115" customWidth="1"/>
    <col min="9738" max="9738" width="13.1796875" style="115" customWidth="1"/>
    <col min="9739" max="9739" width="2.6328125" style="115" customWidth="1"/>
    <col min="9740" max="9740" width="15.1796875" style="115" customWidth="1"/>
    <col min="9741" max="9741" width="3" style="115" customWidth="1"/>
    <col min="9742" max="9742" width="11.90625" style="115" bestFit="1" customWidth="1"/>
    <col min="9743" max="9743" width="3.08984375" style="115" customWidth="1"/>
    <col min="9744" max="9744" width="13.54296875" style="115" bestFit="1" customWidth="1"/>
    <col min="9745" max="9746" width="9.1796875" style="115" customWidth="1"/>
    <col min="9747" max="9991" width="8.81640625" style="115"/>
    <col min="9992" max="9992" width="3.453125" style="115" bestFit="1" customWidth="1"/>
    <col min="9993" max="9993" width="3.453125" style="115" customWidth="1"/>
    <col min="9994" max="9994" width="13.1796875" style="115" customWidth="1"/>
    <col min="9995" max="9995" width="2.6328125" style="115" customWidth="1"/>
    <col min="9996" max="9996" width="15.1796875" style="115" customWidth="1"/>
    <col min="9997" max="9997" width="3" style="115" customWidth="1"/>
    <col min="9998" max="9998" width="11.90625" style="115" bestFit="1" customWidth="1"/>
    <col min="9999" max="9999" width="3.08984375" style="115" customWidth="1"/>
    <col min="10000" max="10000" width="13.54296875" style="115" bestFit="1" customWidth="1"/>
    <col min="10001" max="10002" width="9.1796875" style="115" customWidth="1"/>
    <col min="10003" max="10247" width="8.81640625" style="115"/>
    <col min="10248" max="10248" width="3.453125" style="115" bestFit="1" customWidth="1"/>
    <col min="10249" max="10249" width="3.453125" style="115" customWidth="1"/>
    <col min="10250" max="10250" width="13.1796875" style="115" customWidth="1"/>
    <col min="10251" max="10251" width="2.6328125" style="115" customWidth="1"/>
    <col min="10252" max="10252" width="15.1796875" style="115" customWidth="1"/>
    <col min="10253" max="10253" width="3" style="115" customWidth="1"/>
    <col min="10254" max="10254" width="11.90625" style="115" bestFit="1" customWidth="1"/>
    <col min="10255" max="10255" width="3.08984375" style="115" customWidth="1"/>
    <col min="10256" max="10256" width="13.54296875" style="115" bestFit="1" customWidth="1"/>
    <col min="10257" max="10258" width="9.1796875" style="115" customWidth="1"/>
    <col min="10259" max="10503" width="8.81640625" style="115"/>
    <col min="10504" max="10504" width="3.453125" style="115" bestFit="1" customWidth="1"/>
    <col min="10505" max="10505" width="3.453125" style="115" customWidth="1"/>
    <col min="10506" max="10506" width="13.1796875" style="115" customWidth="1"/>
    <col min="10507" max="10507" width="2.6328125" style="115" customWidth="1"/>
    <col min="10508" max="10508" width="15.1796875" style="115" customWidth="1"/>
    <col min="10509" max="10509" width="3" style="115" customWidth="1"/>
    <col min="10510" max="10510" width="11.90625" style="115" bestFit="1" customWidth="1"/>
    <col min="10511" max="10511" width="3.08984375" style="115" customWidth="1"/>
    <col min="10512" max="10512" width="13.54296875" style="115" bestFit="1" customWidth="1"/>
    <col min="10513" max="10514" width="9.1796875" style="115" customWidth="1"/>
    <col min="10515" max="10759" width="8.81640625" style="115"/>
    <col min="10760" max="10760" width="3.453125" style="115" bestFit="1" customWidth="1"/>
    <col min="10761" max="10761" width="3.453125" style="115" customWidth="1"/>
    <col min="10762" max="10762" width="13.1796875" style="115" customWidth="1"/>
    <col min="10763" max="10763" width="2.6328125" style="115" customWidth="1"/>
    <col min="10764" max="10764" width="15.1796875" style="115" customWidth="1"/>
    <col min="10765" max="10765" width="3" style="115" customWidth="1"/>
    <col min="10766" max="10766" width="11.90625" style="115" bestFit="1" customWidth="1"/>
    <col min="10767" max="10767" width="3.08984375" style="115" customWidth="1"/>
    <col min="10768" max="10768" width="13.54296875" style="115" bestFit="1" customWidth="1"/>
    <col min="10769" max="10770" width="9.1796875" style="115" customWidth="1"/>
    <col min="10771" max="11015" width="8.81640625" style="115"/>
    <col min="11016" max="11016" width="3.453125" style="115" bestFit="1" customWidth="1"/>
    <col min="11017" max="11017" width="3.453125" style="115" customWidth="1"/>
    <col min="11018" max="11018" width="13.1796875" style="115" customWidth="1"/>
    <col min="11019" max="11019" width="2.6328125" style="115" customWidth="1"/>
    <col min="11020" max="11020" width="15.1796875" style="115" customWidth="1"/>
    <col min="11021" max="11021" width="3" style="115" customWidth="1"/>
    <col min="11022" max="11022" width="11.90625" style="115" bestFit="1" customWidth="1"/>
    <col min="11023" max="11023" width="3.08984375" style="115" customWidth="1"/>
    <col min="11024" max="11024" width="13.54296875" style="115" bestFit="1" customWidth="1"/>
    <col min="11025" max="11026" width="9.1796875" style="115" customWidth="1"/>
    <col min="11027" max="11271" width="8.81640625" style="115"/>
    <col min="11272" max="11272" width="3.453125" style="115" bestFit="1" customWidth="1"/>
    <col min="11273" max="11273" width="3.453125" style="115" customWidth="1"/>
    <col min="11274" max="11274" width="13.1796875" style="115" customWidth="1"/>
    <col min="11275" max="11275" width="2.6328125" style="115" customWidth="1"/>
    <col min="11276" max="11276" width="15.1796875" style="115" customWidth="1"/>
    <col min="11277" max="11277" width="3" style="115" customWidth="1"/>
    <col min="11278" max="11278" width="11.90625" style="115" bestFit="1" customWidth="1"/>
    <col min="11279" max="11279" width="3.08984375" style="115" customWidth="1"/>
    <col min="11280" max="11280" width="13.54296875" style="115" bestFit="1" customWidth="1"/>
    <col min="11281" max="11282" width="9.1796875" style="115" customWidth="1"/>
    <col min="11283" max="11527" width="8.81640625" style="115"/>
    <col min="11528" max="11528" width="3.453125" style="115" bestFit="1" customWidth="1"/>
    <col min="11529" max="11529" width="3.453125" style="115" customWidth="1"/>
    <col min="11530" max="11530" width="13.1796875" style="115" customWidth="1"/>
    <col min="11531" max="11531" width="2.6328125" style="115" customWidth="1"/>
    <col min="11532" max="11532" width="15.1796875" style="115" customWidth="1"/>
    <col min="11533" max="11533" width="3" style="115" customWidth="1"/>
    <col min="11534" max="11534" width="11.90625" style="115" bestFit="1" customWidth="1"/>
    <col min="11535" max="11535" width="3.08984375" style="115" customWidth="1"/>
    <col min="11536" max="11536" width="13.54296875" style="115" bestFit="1" customWidth="1"/>
    <col min="11537" max="11538" width="9.1796875" style="115" customWidth="1"/>
    <col min="11539" max="11783" width="8.81640625" style="115"/>
    <col min="11784" max="11784" width="3.453125" style="115" bestFit="1" customWidth="1"/>
    <col min="11785" max="11785" width="3.453125" style="115" customWidth="1"/>
    <col min="11786" max="11786" width="13.1796875" style="115" customWidth="1"/>
    <col min="11787" max="11787" width="2.6328125" style="115" customWidth="1"/>
    <col min="11788" max="11788" width="15.1796875" style="115" customWidth="1"/>
    <col min="11789" max="11789" width="3" style="115" customWidth="1"/>
    <col min="11790" max="11790" width="11.90625" style="115" bestFit="1" customWidth="1"/>
    <col min="11791" max="11791" width="3.08984375" style="115" customWidth="1"/>
    <col min="11792" max="11792" width="13.54296875" style="115" bestFit="1" customWidth="1"/>
    <col min="11793" max="11794" width="9.1796875" style="115" customWidth="1"/>
    <col min="11795" max="12039" width="8.81640625" style="115"/>
    <col min="12040" max="12040" width="3.453125" style="115" bestFit="1" customWidth="1"/>
    <col min="12041" max="12041" width="3.453125" style="115" customWidth="1"/>
    <col min="12042" max="12042" width="13.1796875" style="115" customWidth="1"/>
    <col min="12043" max="12043" width="2.6328125" style="115" customWidth="1"/>
    <col min="12044" max="12044" width="15.1796875" style="115" customWidth="1"/>
    <col min="12045" max="12045" width="3" style="115" customWidth="1"/>
    <col min="12046" max="12046" width="11.90625" style="115" bestFit="1" customWidth="1"/>
    <col min="12047" max="12047" width="3.08984375" style="115" customWidth="1"/>
    <col min="12048" max="12048" width="13.54296875" style="115" bestFit="1" customWidth="1"/>
    <col min="12049" max="12050" width="9.1796875" style="115" customWidth="1"/>
    <col min="12051" max="12295" width="8.81640625" style="115"/>
    <col min="12296" max="12296" width="3.453125" style="115" bestFit="1" customWidth="1"/>
    <col min="12297" max="12297" width="3.453125" style="115" customWidth="1"/>
    <col min="12298" max="12298" width="13.1796875" style="115" customWidth="1"/>
    <col min="12299" max="12299" width="2.6328125" style="115" customWidth="1"/>
    <col min="12300" max="12300" width="15.1796875" style="115" customWidth="1"/>
    <col min="12301" max="12301" width="3" style="115" customWidth="1"/>
    <col min="12302" max="12302" width="11.90625" style="115" bestFit="1" customWidth="1"/>
    <col min="12303" max="12303" width="3.08984375" style="115" customWidth="1"/>
    <col min="12304" max="12304" width="13.54296875" style="115" bestFit="1" customWidth="1"/>
    <col min="12305" max="12306" width="9.1796875" style="115" customWidth="1"/>
    <col min="12307" max="12551" width="8.81640625" style="115"/>
    <col min="12552" max="12552" width="3.453125" style="115" bestFit="1" customWidth="1"/>
    <col min="12553" max="12553" width="3.453125" style="115" customWidth="1"/>
    <col min="12554" max="12554" width="13.1796875" style="115" customWidth="1"/>
    <col min="12555" max="12555" width="2.6328125" style="115" customWidth="1"/>
    <col min="12556" max="12556" width="15.1796875" style="115" customWidth="1"/>
    <col min="12557" max="12557" width="3" style="115" customWidth="1"/>
    <col min="12558" max="12558" width="11.90625" style="115" bestFit="1" customWidth="1"/>
    <col min="12559" max="12559" width="3.08984375" style="115" customWidth="1"/>
    <col min="12560" max="12560" width="13.54296875" style="115" bestFit="1" customWidth="1"/>
    <col min="12561" max="12562" width="9.1796875" style="115" customWidth="1"/>
    <col min="12563" max="12807" width="8.81640625" style="115"/>
    <col min="12808" max="12808" width="3.453125" style="115" bestFit="1" customWidth="1"/>
    <col min="12809" max="12809" width="3.453125" style="115" customWidth="1"/>
    <col min="12810" max="12810" width="13.1796875" style="115" customWidth="1"/>
    <col min="12811" max="12811" width="2.6328125" style="115" customWidth="1"/>
    <col min="12812" max="12812" width="15.1796875" style="115" customWidth="1"/>
    <col min="12813" max="12813" width="3" style="115" customWidth="1"/>
    <col min="12814" max="12814" width="11.90625" style="115" bestFit="1" customWidth="1"/>
    <col min="12815" max="12815" width="3.08984375" style="115" customWidth="1"/>
    <col min="12816" max="12816" width="13.54296875" style="115" bestFit="1" customWidth="1"/>
    <col min="12817" max="12818" width="9.1796875" style="115" customWidth="1"/>
    <col min="12819" max="13063" width="8.81640625" style="115"/>
    <col min="13064" max="13064" width="3.453125" style="115" bestFit="1" customWidth="1"/>
    <col min="13065" max="13065" width="3.453125" style="115" customWidth="1"/>
    <col min="13066" max="13066" width="13.1796875" style="115" customWidth="1"/>
    <col min="13067" max="13067" width="2.6328125" style="115" customWidth="1"/>
    <col min="13068" max="13068" width="15.1796875" style="115" customWidth="1"/>
    <col min="13069" max="13069" width="3" style="115" customWidth="1"/>
    <col min="13070" max="13070" width="11.90625" style="115" bestFit="1" customWidth="1"/>
    <col min="13071" max="13071" width="3.08984375" style="115" customWidth="1"/>
    <col min="13072" max="13072" width="13.54296875" style="115" bestFit="1" customWidth="1"/>
    <col min="13073" max="13074" width="9.1796875" style="115" customWidth="1"/>
    <col min="13075" max="13319" width="8.81640625" style="115"/>
    <col min="13320" max="13320" width="3.453125" style="115" bestFit="1" customWidth="1"/>
    <col min="13321" max="13321" width="3.453125" style="115" customWidth="1"/>
    <col min="13322" max="13322" width="13.1796875" style="115" customWidth="1"/>
    <col min="13323" max="13323" width="2.6328125" style="115" customWidth="1"/>
    <col min="13324" max="13324" width="15.1796875" style="115" customWidth="1"/>
    <col min="13325" max="13325" width="3" style="115" customWidth="1"/>
    <col min="13326" max="13326" width="11.90625" style="115" bestFit="1" customWidth="1"/>
    <col min="13327" max="13327" width="3.08984375" style="115" customWidth="1"/>
    <col min="13328" max="13328" width="13.54296875" style="115" bestFit="1" customWidth="1"/>
    <col min="13329" max="13330" width="9.1796875" style="115" customWidth="1"/>
    <col min="13331" max="13575" width="8.81640625" style="115"/>
    <col min="13576" max="13576" width="3.453125" style="115" bestFit="1" customWidth="1"/>
    <col min="13577" max="13577" width="3.453125" style="115" customWidth="1"/>
    <col min="13578" max="13578" width="13.1796875" style="115" customWidth="1"/>
    <col min="13579" max="13579" width="2.6328125" style="115" customWidth="1"/>
    <col min="13580" max="13580" width="15.1796875" style="115" customWidth="1"/>
    <col min="13581" max="13581" width="3" style="115" customWidth="1"/>
    <col min="13582" max="13582" width="11.90625" style="115" bestFit="1" customWidth="1"/>
    <col min="13583" max="13583" width="3.08984375" style="115" customWidth="1"/>
    <col min="13584" max="13584" width="13.54296875" style="115" bestFit="1" customWidth="1"/>
    <col min="13585" max="13586" width="9.1796875" style="115" customWidth="1"/>
    <col min="13587" max="13831" width="8.81640625" style="115"/>
    <col min="13832" max="13832" width="3.453125" style="115" bestFit="1" customWidth="1"/>
    <col min="13833" max="13833" width="3.453125" style="115" customWidth="1"/>
    <col min="13834" max="13834" width="13.1796875" style="115" customWidth="1"/>
    <col min="13835" max="13835" width="2.6328125" style="115" customWidth="1"/>
    <col min="13836" max="13836" width="15.1796875" style="115" customWidth="1"/>
    <col min="13837" max="13837" width="3" style="115" customWidth="1"/>
    <col min="13838" max="13838" width="11.90625" style="115" bestFit="1" customWidth="1"/>
    <col min="13839" max="13839" width="3.08984375" style="115" customWidth="1"/>
    <col min="13840" max="13840" width="13.54296875" style="115" bestFit="1" customWidth="1"/>
    <col min="13841" max="13842" width="9.1796875" style="115" customWidth="1"/>
    <col min="13843" max="14087" width="8.81640625" style="115"/>
    <col min="14088" max="14088" width="3.453125" style="115" bestFit="1" customWidth="1"/>
    <col min="14089" max="14089" width="3.453125" style="115" customWidth="1"/>
    <col min="14090" max="14090" width="13.1796875" style="115" customWidth="1"/>
    <col min="14091" max="14091" width="2.6328125" style="115" customWidth="1"/>
    <col min="14092" max="14092" width="15.1796875" style="115" customWidth="1"/>
    <col min="14093" max="14093" width="3" style="115" customWidth="1"/>
    <col min="14094" max="14094" width="11.90625" style="115" bestFit="1" customWidth="1"/>
    <col min="14095" max="14095" width="3.08984375" style="115" customWidth="1"/>
    <col min="14096" max="14096" width="13.54296875" style="115" bestFit="1" customWidth="1"/>
    <col min="14097" max="14098" width="9.1796875" style="115" customWidth="1"/>
    <col min="14099" max="14343" width="8.81640625" style="115"/>
    <col min="14344" max="14344" width="3.453125" style="115" bestFit="1" customWidth="1"/>
    <col min="14345" max="14345" width="3.453125" style="115" customWidth="1"/>
    <col min="14346" max="14346" width="13.1796875" style="115" customWidth="1"/>
    <col min="14347" max="14347" width="2.6328125" style="115" customWidth="1"/>
    <col min="14348" max="14348" width="15.1796875" style="115" customWidth="1"/>
    <col min="14349" max="14349" width="3" style="115" customWidth="1"/>
    <col min="14350" max="14350" width="11.90625" style="115" bestFit="1" customWidth="1"/>
    <col min="14351" max="14351" width="3.08984375" style="115" customWidth="1"/>
    <col min="14352" max="14352" width="13.54296875" style="115" bestFit="1" customWidth="1"/>
    <col min="14353" max="14354" width="9.1796875" style="115" customWidth="1"/>
    <col min="14355" max="14599" width="8.81640625" style="115"/>
    <col min="14600" max="14600" width="3.453125" style="115" bestFit="1" customWidth="1"/>
    <col min="14601" max="14601" width="3.453125" style="115" customWidth="1"/>
    <col min="14602" max="14602" width="13.1796875" style="115" customWidth="1"/>
    <col min="14603" max="14603" width="2.6328125" style="115" customWidth="1"/>
    <col min="14604" max="14604" width="15.1796875" style="115" customWidth="1"/>
    <col min="14605" max="14605" width="3" style="115" customWidth="1"/>
    <col min="14606" max="14606" width="11.90625" style="115" bestFit="1" customWidth="1"/>
    <col min="14607" max="14607" width="3.08984375" style="115" customWidth="1"/>
    <col min="14608" max="14608" width="13.54296875" style="115" bestFit="1" customWidth="1"/>
    <col min="14609" max="14610" width="9.1796875" style="115" customWidth="1"/>
    <col min="14611" max="14855" width="8.81640625" style="115"/>
    <col min="14856" max="14856" width="3.453125" style="115" bestFit="1" customWidth="1"/>
    <col min="14857" max="14857" width="3.453125" style="115" customWidth="1"/>
    <col min="14858" max="14858" width="13.1796875" style="115" customWidth="1"/>
    <col min="14859" max="14859" width="2.6328125" style="115" customWidth="1"/>
    <col min="14860" max="14860" width="15.1796875" style="115" customWidth="1"/>
    <col min="14861" max="14861" width="3" style="115" customWidth="1"/>
    <col min="14862" max="14862" width="11.90625" style="115" bestFit="1" customWidth="1"/>
    <col min="14863" max="14863" width="3.08984375" style="115" customWidth="1"/>
    <col min="14864" max="14864" width="13.54296875" style="115" bestFit="1" customWidth="1"/>
    <col min="14865" max="14866" width="9.1796875" style="115" customWidth="1"/>
    <col min="14867" max="15111" width="8.81640625" style="115"/>
    <col min="15112" max="15112" width="3.453125" style="115" bestFit="1" customWidth="1"/>
    <col min="15113" max="15113" width="3.453125" style="115" customWidth="1"/>
    <col min="15114" max="15114" width="13.1796875" style="115" customWidth="1"/>
    <col min="15115" max="15115" width="2.6328125" style="115" customWidth="1"/>
    <col min="15116" max="15116" width="15.1796875" style="115" customWidth="1"/>
    <col min="15117" max="15117" width="3" style="115" customWidth="1"/>
    <col min="15118" max="15118" width="11.90625" style="115" bestFit="1" customWidth="1"/>
    <col min="15119" max="15119" width="3.08984375" style="115" customWidth="1"/>
    <col min="15120" max="15120" width="13.54296875" style="115" bestFit="1" customWidth="1"/>
    <col min="15121" max="15122" width="9.1796875" style="115" customWidth="1"/>
    <col min="15123" max="15367" width="8.81640625" style="115"/>
    <col min="15368" max="15368" width="3.453125" style="115" bestFit="1" customWidth="1"/>
    <col min="15369" max="15369" width="3.453125" style="115" customWidth="1"/>
    <col min="15370" max="15370" width="13.1796875" style="115" customWidth="1"/>
    <col min="15371" max="15371" width="2.6328125" style="115" customWidth="1"/>
    <col min="15372" max="15372" width="15.1796875" style="115" customWidth="1"/>
    <col min="15373" max="15373" width="3" style="115" customWidth="1"/>
    <col min="15374" max="15374" width="11.90625" style="115" bestFit="1" customWidth="1"/>
    <col min="15375" max="15375" width="3.08984375" style="115" customWidth="1"/>
    <col min="15376" max="15376" width="13.54296875" style="115" bestFit="1" customWidth="1"/>
    <col min="15377" max="15378" width="9.1796875" style="115" customWidth="1"/>
    <col min="15379" max="15623" width="8.81640625" style="115"/>
    <col min="15624" max="15624" width="3.453125" style="115" bestFit="1" customWidth="1"/>
    <col min="15625" max="15625" width="3.453125" style="115" customWidth="1"/>
    <col min="15626" max="15626" width="13.1796875" style="115" customWidth="1"/>
    <col min="15627" max="15627" width="2.6328125" style="115" customWidth="1"/>
    <col min="15628" max="15628" width="15.1796875" style="115" customWidth="1"/>
    <col min="15629" max="15629" width="3" style="115" customWidth="1"/>
    <col min="15630" max="15630" width="11.90625" style="115" bestFit="1" customWidth="1"/>
    <col min="15631" max="15631" width="3.08984375" style="115" customWidth="1"/>
    <col min="15632" max="15632" width="13.54296875" style="115" bestFit="1" customWidth="1"/>
    <col min="15633" max="15634" width="9.1796875" style="115" customWidth="1"/>
    <col min="15635" max="15879" width="8.81640625" style="115"/>
    <col min="15880" max="15880" width="3.453125" style="115" bestFit="1" customWidth="1"/>
    <col min="15881" max="15881" width="3.453125" style="115" customWidth="1"/>
    <col min="15882" max="15882" width="13.1796875" style="115" customWidth="1"/>
    <col min="15883" max="15883" width="2.6328125" style="115" customWidth="1"/>
    <col min="15884" max="15884" width="15.1796875" style="115" customWidth="1"/>
    <col min="15885" max="15885" width="3" style="115" customWidth="1"/>
    <col min="15886" max="15886" width="11.90625" style="115" bestFit="1" customWidth="1"/>
    <col min="15887" max="15887" width="3.08984375" style="115" customWidth="1"/>
    <col min="15888" max="15888" width="13.54296875" style="115" bestFit="1" customWidth="1"/>
    <col min="15889" max="15890" width="9.1796875" style="115" customWidth="1"/>
    <col min="15891" max="16135" width="8.81640625" style="115"/>
    <col min="16136" max="16136" width="3.453125" style="115" bestFit="1" customWidth="1"/>
    <col min="16137" max="16137" width="3.453125" style="115" customWidth="1"/>
    <col min="16138" max="16138" width="13.1796875" style="115" customWidth="1"/>
    <col min="16139" max="16139" width="2.6328125" style="115" customWidth="1"/>
    <col min="16140" max="16140" width="15.1796875" style="115" customWidth="1"/>
    <col min="16141" max="16141" width="3" style="115" customWidth="1"/>
    <col min="16142" max="16142" width="11.90625" style="115" bestFit="1" customWidth="1"/>
    <col min="16143" max="16143" width="3.08984375" style="115" customWidth="1"/>
    <col min="16144" max="16144" width="13.54296875" style="115" bestFit="1" customWidth="1"/>
    <col min="16145" max="16146" width="9.1796875" style="115" customWidth="1"/>
    <col min="16147" max="16384" width="8.81640625" style="115"/>
  </cols>
  <sheetData>
    <row r="3" spans="1:35" ht="15" customHeight="1">
      <c r="A3" s="104" t="s">
        <v>211</v>
      </c>
      <c r="B3" s="104"/>
      <c r="C3" s="104"/>
      <c r="D3" s="104"/>
      <c r="E3" s="104"/>
      <c r="F3" s="104"/>
      <c r="G3" s="104"/>
      <c r="H3" s="104"/>
      <c r="I3" s="104"/>
      <c r="J3" s="104"/>
      <c r="K3" s="104"/>
      <c r="L3" s="104"/>
      <c r="M3" s="104"/>
      <c r="N3" s="104"/>
      <c r="O3" s="104"/>
      <c r="P3" s="121"/>
      <c r="Q3" s="90"/>
      <c r="R3" s="121"/>
    </row>
    <row r="4" spans="1:35" ht="15" customHeight="1">
      <c r="A4" s="104" t="s">
        <v>210</v>
      </c>
      <c r="B4" s="104"/>
      <c r="C4" s="104"/>
      <c r="D4" s="104"/>
      <c r="E4" s="104"/>
      <c r="F4" s="104"/>
      <c r="G4" s="104"/>
      <c r="H4" s="104"/>
      <c r="I4" s="104"/>
      <c r="J4" s="104"/>
      <c r="K4" s="104"/>
      <c r="L4" s="104"/>
      <c r="M4" s="104"/>
      <c r="N4" s="104"/>
      <c r="O4" s="104"/>
      <c r="P4" s="121"/>
      <c r="Q4" s="90"/>
      <c r="R4" s="121"/>
    </row>
    <row r="5" spans="1:35" ht="15" customHeight="1">
      <c r="A5" s="104" t="s">
        <v>2</v>
      </c>
      <c r="B5" s="104"/>
      <c r="C5" s="104"/>
      <c r="D5" s="104"/>
      <c r="E5" s="104"/>
      <c r="F5" s="104"/>
      <c r="G5" s="104"/>
      <c r="H5" s="104"/>
      <c r="I5" s="104"/>
      <c r="J5" s="104"/>
      <c r="K5" s="104"/>
      <c r="L5" s="104"/>
      <c r="M5" s="104"/>
      <c r="N5" s="104"/>
      <c r="O5" s="104"/>
      <c r="P5" s="121"/>
      <c r="Q5" s="90"/>
      <c r="R5" s="121"/>
    </row>
    <row r="6" spans="1:35">
      <c r="A6" s="216"/>
      <c r="B6" s="216"/>
      <c r="C6" s="107"/>
      <c r="D6" s="107"/>
      <c r="E6" s="107"/>
      <c r="F6" s="107"/>
      <c r="G6" s="107"/>
      <c r="H6" s="107"/>
      <c r="I6" s="107"/>
      <c r="J6" s="107"/>
      <c r="K6" s="107"/>
      <c r="L6" s="107"/>
      <c r="M6" s="107"/>
      <c r="N6" s="107"/>
      <c r="O6" s="107" t="s">
        <v>377</v>
      </c>
      <c r="P6" s="216"/>
      <c r="Q6" s="90"/>
      <c r="R6" s="121"/>
    </row>
    <row r="7" spans="1:35" ht="16.8" thickBot="1">
      <c r="C7" s="107" t="s">
        <v>22</v>
      </c>
      <c r="D7" s="107"/>
      <c r="E7" s="107" t="s">
        <v>491</v>
      </c>
      <c r="F7" s="107"/>
      <c r="G7" s="108" t="s">
        <v>492</v>
      </c>
      <c r="H7" s="107"/>
      <c r="I7" s="108" t="s">
        <v>493</v>
      </c>
      <c r="J7" s="107"/>
      <c r="K7" s="107" t="s">
        <v>494</v>
      </c>
      <c r="L7" s="108"/>
      <c r="M7" s="107" t="s">
        <v>378</v>
      </c>
      <c r="N7" s="108"/>
      <c r="O7" s="108" t="s">
        <v>274</v>
      </c>
      <c r="R7" s="115" t="s">
        <v>495</v>
      </c>
    </row>
    <row r="8" spans="1:35">
      <c r="A8" s="107" t="s">
        <v>3</v>
      </c>
      <c r="B8" s="107"/>
      <c r="C8" s="107"/>
      <c r="D8" s="107"/>
      <c r="E8" s="107" t="s">
        <v>206</v>
      </c>
      <c r="F8" s="107"/>
      <c r="G8" s="107" t="s">
        <v>205</v>
      </c>
      <c r="H8" s="107"/>
      <c r="I8" s="107"/>
      <c r="J8" s="107"/>
      <c r="K8" s="107" t="s">
        <v>379</v>
      </c>
      <c r="L8" s="107"/>
      <c r="M8" s="107" t="s">
        <v>272</v>
      </c>
      <c r="N8" s="107"/>
      <c r="O8" s="107" t="s">
        <v>204</v>
      </c>
      <c r="Q8" s="217"/>
      <c r="R8" s="218"/>
      <c r="S8" s="218"/>
      <c r="T8" s="219"/>
    </row>
    <row r="9" spans="1:35">
      <c r="A9" s="110" t="s">
        <v>5</v>
      </c>
      <c r="B9" s="110"/>
      <c r="C9" s="110" t="s">
        <v>203</v>
      </c>
      <c r="D9" s="110"/>
      <c r="E9" s="220" t="s">
        <v>202</v>
      </c>
      <c r="F9" s="220"/>
      <c r="G9" s="221" t="s">
        <v>201</v>
      </c>
      <c r="H9" s="220"/>
      <c r="I9" s="110" t="s">
        <v>216</v>
      </c>
      <c r="J9" s="220"/>
      <c r="K9" s="110" t="s">
        <v>380</v>
      </c>
      <c r="L9" s="221"/>
      <c r="M9" s="110" t="s">
        <v>273</v>
      </c>
      <c r="N9" s="221"/>
      <c r="O9" s="222" t="s">
        <v>200</v>
      </c>
      <c r="Q9" s="223"/>
      <c r="R9" s="111"/>
      <c r="S9" s="111"/>
      <c r="T9" s="224" t="s">
        <v>496</v>
      </c>
    </row>
    <row r="10" spans="1:35">
      <c r="A10" s="107"/>
      <c r="B10" s="225" t="s">
        <v>376</v>
      </c>
      <c r="D10" s="226"/>
      <c r="E10" s="227"/>
      <c r="F10" s="227"/>
      <c r="G10" s="228"/>
      <c r="H10" s="227"/>
      <c r="I10" s="228"/>
      <c r="J10" s="227"/>
      <c r="K10" s="228"/>
      <c r="L10" s="228"/>
      <c r="M10" s="228"/>
      <c r="N10" s="228"/>
      <c r="O10" s="111"/>
      <c r="Q10" s="223" t="s">
        <v>497</v>
      </c>
      <c r="R10" s="111" t="s">
        <v>498</v>
      </c>
      <c r="S10" s="111" t="s">
        <v>499</v>
      </c>
      <c r="T10" s="224" t="s">
        <v>500</v>
      </c>
    </row>
    <row r="11" spans="1:35" ht="15">
      <c r="A11" s="107">
        <v>1</v>
      </c>
      <c r="B11" s="107"/>
      <c r="C11" s="229">
        <v>45627</v>
      </c>
      <c r="D11" s="229"/>
      <c r="E11" s="92">
        <f>T11</f>
        <v>48981743.027324013</v>
      </c>
      <c r="F11" s="108"/>
      <c r="G11" s="92">
        <f>S31</f>
        <v>2468456.05786933</v>
      </c>
      <c r="H11" s="108"/>
      <c r="I11" s="92">
        <v>15291562.100513078</v>
      </c>
      <c r="J11" s="108"/>
      <c r="K11" s="92">
        <v>3588609</v>
      </c>
      <c r="L11" s="108"/>
      <c r="M11" s="92">
        <v>31844484.205706436</v>
      </c>
      <c r="N11" s="108"/>
      <c r="O11" s="108">
        <f>E11+G11+I11-M11+K11</f>
        <v>38485885.979999989</v>
      </c>
      <c r="P11" s="108"/>
      <c r="Q11" s="230">
        <v>64273305.127837092</v>
      </c>
      <c r="R11" s="231">
        <v>0</v>
      </c>
      <c r="S11" s="232">
        <v>15291562.100513078</v>
      </c>
      <c r="T11" s="233">
        <f>+Q11+R11-S11</f>
        <v>48981743.027324013</v>
      </c>
      <c r="U11" s="92"/>
      <c r="V11" s="92"/>
      <c r="W11" s="243"/>
      <c r="X11" s="243"/>
      <c r="Y11" s="243"/>
      <c r="Z11" s="243"/>
      <c r="AA11" s="243"/>
      <c r="AB11" s="243"/>
      <c r="AC11" s="243"/>
      <c r="AD11" s="243"/>
      <c r="AE11" s="243"/>
      <c r="AF11" s="243"/>
      <c r="AG11" s="243"/>
      <c r="AH11" s="243"/>
      <c r="AI11" s="243"/>
    </row>
    <row r="12" spans="1:35">
      <c r="A12" s="234">
        <f t="shared" ref="A12:A30" si="0">A11+1</f>
        <v>2</v>
      </c>
      <c r="B12" s="234"/>
      <c r="C12" s="229">
        <v>45658</v>
      </c>
      <c r="D12" s="229"/>
      <c r="E12" s="92">
        <f t="shared" ref="E12:E23" si="1">T12</f>
        <v>49236753.060425155</v>
      </c>
      <c r="F12" s="108"/>
      <c r="G12" s="92">
        <f t="shared" ref="G12:G23" si="2">S32</f>
        <v>2929850.5199558754</v>
      </c>
      <c r="H12" s="108"/>
      <c r="I12" s="92">
        <v>15329543.169805298</v>
      </c>
      <c r="J12" s="108"/>
      <c r="K12" s="92">
        <v>3614824</v>
      </c>
      <c r="L12" s="108"/>
      <c r="M12" s="92">
        <v>32219921.600186326</v>
      </c>
      <c r="N12" s="108"/>
      <c r="O12" s="108">
        <f>E12+G12+I12-M12+K12</f>
        <v>38891049.149999999</v>
      </c>
      <c r="P12" s="235"/>
      <c r="Q12" s="230">
        <v>64566296.230230451</v>
      </c>
      <c r="R12" s="231"/>
      <c r="S12" s="232">
        <v>15329543.169805298</v>
      </c>
      <c r="T12" s="233">
        <f t="shared" ref="T12:T23" si="3">+Q12+R12-S12</f>
        <v>49236753.060425155</v>
      </c>
      <c r="U12" s="92"/>
      <c r="V12" s="92"/>
    </row>
    <row r="13" spans="1:35">
      <c r="A13" s="234">
        <f t="shared" si="0"/>
        <v>3</v>
      </c>
      <c r="B13" s="234"/>
      <c r="C13" s="229">
        <v>45689</v>
      </c>
      <c r="D13" s="229"/>
      <c r="E13" s="92">
        <f t="shared" si="1"/>
        <v>49022016.54482846</v>
      </c>
      <c r="F13" s="108"/>
      <c r="G13" s="92">
        <f t="shared" si="2"/>
        <v>2974495.3996237093</v>
      </c>
      <c r="H13" s="108"/>
      <c r="I13" s="92">
        <v>15452477.173144724</v>
      </c>
      <c r="J13" s="108"/>
      <c r="K13" s="92">
        <v>3642628</v>
      </c>
      <c r="L13" s="108"/>
      <c r="M13" s="92">
        <v>32561591.247596905</v>
      </c>
      <c r="N13" s="108"/>
      <c r="O13" s="108">
        <f>E13+G13+I13-M13+K13</f>
        <v>38530025.86999999</v>
      </c>
      <c r="Q13" s="230">
        <v>64474493.717973188</v>
      </c>
      <c r="R13" s="231"/>
      <c r="S13" s="232">
        <v>15452477.173144724</v>
      </c>
      <c r="T13" s="233">
        <f t="shared" si="3"/>
        <v>49022016.54482846</v>
      </c>
      <c r="U13" s="92"/>
      <c r="V13" s="92"/>
    </row>
    <row r="14" spans="1:35">
      <c r="A14" s="234">
        <f t="shared" si="0"/>
        <v>4</v>
      </c>
      <c r="B14" s="234"/>
      <c r="C14" s="229">
        <v>45717</v>
      </c>
      <c r="D14" s="229"/>
      <c r="E14" s="92">
        <f t="shared" si="1"/>
        <v>48884885.508842096</v>
      </c>
      <c r="F14" s="108"/>
      <c r="G14" s="92">
        <f t="shared" si="2"/>
        <v>3019107.095495292</v>
      </c>
      <c r="H14" s="108"/>
      <c r="I14" s="92">
        <v>15524873.865875412</v>
      </c>
      <c r="J14" s="108"/>
      <c r="K14" s="92">
        <v>3670526</v>
      </c>
      <c r="L14" s="108"/>
      <c r="M14" s="92">
        <v>32900630.560212802</v>
      </c>
      <c r="N14" s="108"/>
      <c r="O14" s="108">
        <f>E14+G14+I14-M14+K14</f>
        <v>38198761.909999996</v>
      </c>
      <c r="P14" s="93"/>
      <c r="Q14" s="230">
        <v>64421514.41471751</v>
      </c>
      <c r="R14" s="232">
        <v>-11755.04</v>
      </c>
      <c r="S14" s="232">
        <v>15524873.865875412</v>
      </c>
      <c r="T14" s="233">
        <f t="shared" si="3"/>
        <v>48884885.508842096</v>
      </c>
      <c r="U14" s="92"/>
      <c r="V14" s="92"/>
    </row>
    <row r="15" spans="1:35">
      <c r="A15" s="234">
        <f t="shared" si="0"/>
        <v>5</v>
      </c>
      <c r="B15" s="234"/>
      <c r="C15" s="229">
        <v>45748</v>
      </c>
      <c r="D15" s="229"/>
      <c r="E15" s="92">
        <f t="shared" si="1"/>
        <v>49409999.909622431</v>
      </c>
      <c r="F15" s="108"/>
      <c r="G15" s="92">
        <f t="shared" si="2"/>
        <v>3013077.5925386259</v>
      </c>
      <c r="H15" s="108"/>
      <c r="I15" s="92">
        <v>15641532.696109045</v>
      </c>
      <c r="J15" s="108"/>
      <c r="K15" s="92">
        <v>3698518</v>
      </c>
      <c r="L15" s="108"/>
      <c r="M15" s="92">
        <v>33238844.408270095</v>
      </c>
      <c r="N15" s="108"/>
      <c r="O15" s="108">
        <f>E15+G15+I15-M15+K15</f>
        <v>38524283.790000007</v>
      </c>
      <c r="P15" s="93"/>
      <c r="Q15" s="230">
        <v>65051532.605731472</v>
      </c>
      <c r="R15" s="232"/>
      <c r="S15" s="232">
        <v>15641532.696109045</v>
      </c>
      <c r="T15" s="233">
        <f t="shared" si="3"/>
        <v>49409999.909622431</v>
      </c>
      <c r="U15" s="92"/>
      <c r="V15" s="92"/>
    </row>
    <row r="16" spans="1:35" ht="15">
      <c r="A16" s="234">
        <f t="shared" si="0"/>
        <v>6</v>
      </c>
      <c r="B16" s="234"/>
      <c r="C16" s="229">
        <v>45778</v>
      </c>
      <c r="D16" s="229"/>
      <c r="E16" s="92">
        <f t="shared" si="1"/>
        <v>49906328.930862397</v>
      </c>
      <c r="F16" s="108"/>
      <c r="G16" s="92">
        <f t="shared" si="2"/>
        <v>3062275.4654699597</v>
      </c>
      <c r="H16" s="108"/>
      <c r="I16" s="92">
        <v>15773263.78629729</v>
      </c>
      <c r="J16" s="108"/>
      <c r="K16" s="92">
        <v>3727406</v>
      </c>
      <c r="L16" s="108"/>
      <c r="M16" s="92">
        <v>33580288.682629645</v>
      </c>
      <c r="N16" s="108"/>
      <c r="O16" s="108">
        <f t="shared" ref="O16:O23" si="4">E16+G16+I16-M16+K16</f>
        <v>38888985.5</v>
      </c>
      <c r="P16" s="93"/>
      <c r="Q16" s="230">
        <v>65679592.717159688</v>
      </c>
      <c r="R16" s="93"/>
      <c r="S16" s="232">
        <v>15773263.78629729</v>
      </c>
      <c r="T16" s="233">
        <f t="shared" si="3"/>
        <v>49906328.930862397</v>
      </c>
      <c r="U16" s="92"/>
      <c r="V16" s="92"/>
      <c r="W16" s="243"/>
    </row>
    <row r="17" spans="1:23" ht="15">
      <c r="A17" s="234">
        <f t="shared" si="0"/>
        <v>7</v>
      </c>
      <c r="B17" s="234"/>
      <c r="C17" s="229">
        <v>45809</v>
      </c>
      <c r="D17" s="229"/>
      <c r="E17" s="92">
        <f t="shared" si="1"/>
        <v>50188137.45327121</v>
      </c>
      <c r="F17" s="108"/>
      <c r="G17" s="92">
        <f t="shared" si="2"/>
        <v>3092697.7006880427</v>
      </c>
      <c r="H17" s="108"/>
      <c r="I17" s="92">
        <v>15942209.850343227</v>
      </c>
      <c r="J17" s="108"/>
      <c r="K17" s="92">
        <v>3757819</v>
      </c>
      <c r="L17" s="108"/>
      <c r="M17" s="92">
        <v>33919729.404302485</v>
      </c>
      <c r="N17" s="108"/>
      <c r="O17" s="108">
        <f t="shared" si="4"/>
        <v>39061134.599999987</v>
      </c>
      <c r="Q17" s="230">
        <v>66130347.303614438</v>
      </c>
      <c r="R17" s="93">
        <v>0</v>
      </c>
      <c r="S17" s="232">
        <v>15942209.850343227</v>
      </c>
      <c r="T17" s="233">
        <f t="shared" si="3"/>
        <v>50188137.45327121</v>
      </c>
      <c r="U17" s="92"/>
      <c r="V17" s="92"/>
      <c r="W17" s="243"/>
    </row>
    <row r="18" spans="1:23" ht="15">
      <c r="A18" s="234">
        <f t="shared" si="0"/>
        <v>8</v>
      </c>
      <c r="B18" s="234"/>
      <c r="C18" s="229">
        <v>45839</v>
      </c>
      <c r="D18" s="229"/>
      <c r="E18" s="92">
        <f t="shared" si="1"/>
        <v>50668309.771413602</v>
      </c>
      <c r="F18" s="108"/>
      <c r="G18" s="92">
        <f t="shared" si="2"/>
        <v>3141198.1259061256</v>
      </c>
      <c r="H18" s="108"/>
      <c r="I18" s="92">
        <v>16065694.578919388</v>
      </c>
      <c r="J18" s="108"/>
      <c r="K18" s="92">
        <v>3788331</v>
      </c>
      <c r="L18" s="108"/>
      <c r="M18" s="92">
        <v>34256524.846239127</v>
      </c>
      <c r="N18" s="108"/>
      <c r="O18" s="108">
        <f t="shared" si="4"/>
        <v>39407008.629999988</v>
      </c>
      <c r="Q18" s="230">
        <v>66734004.35033299</v>
      </c>
      <c r="R18" s="232"/>
      <c r="S18" s="232">
        <v>16065694.578919388</v>
      </c>
      <c r="T18" s="233">
        <f t="shared" si="3"/>
        <v>50668309.771413602</v>
      </c>
      <c r="U18" s="92"/>
      <c r="V18" s="92"/>
      <c r="W18" s="243"/>
    </row>
    <row r="19" spans="1:23" ht="15">
      <c r="A19" s="234">
        <f t="shared" si="0"/>
        <v>9</v>
      </c>
      <c r="B19" s="234"/>
      <c r="C19" s="229">
        <v>45870</v>
      </c>
      <c r="D19" s="229"/>
      <c r="E19" s="92">
        <f t="shared" si="1"/>
        <v>51190274.596455328</v>
      </c>
      <c r="F19" s="108"/>
      <c r="G19" s="92">
        <f t="shared" si="2"/>
        <v>3189795.9379082099</v>
      </c>
      <c r="H19" s="108"/>
      <c r="I19" s="92">
        <v>16190098.45260025</v>
      </c>
      <c r="J19" s="108"/>
      <c r="K19" s="92">
        <v>3818907</v>
      </c>
      <c r="L19" s="108"/>
      <c r="M19" s="92">
        <v>34589125.386963777</v>
      </c>
      <c r="N19" s="108"/>
      <c r="O19" s="108">
        <f t="shared" si="4"/>
        <v>39799950.600000016</v>
      </c>
      <c r="Q19" s="230">
        <v>67380373.049055576</v>
      </c>
      <c r="R19" s="232"/>
      <c r="S19" s="232">
        <v>16190098.45260025</v>
      </c>
      <c r="T19" s="233">
        <f t="shared" si="3"/>
        <v>51190274.596455328</v>
      </c>
      <c r="U19" s="92"/>
      <c r="V19" s="92"/>
      <c r="W19" s="243"/>
    </row>
    <row r="20" spans="1:23" ht="15">
      <c r="A20" s="234">
        <f t="shared" si="0"/>
        <v>10</v>
      </c>
      <c r="B20" s="234"/>
      <c r="C20" s="229">
        <v>45901</v>
      </c>
      <c r="D20" s="229"/>
      <c r="E20" s="92">
        <f>T20</f>
        <v>51680582.055954009</v>
      </c>
      <c r="F20" s="108"/>
      <c r="G20" s="92">
        <f t="shared" si="2"/>
        <v>3239551.9675785429</v>
      </c>
      <c r="H20" s="108"/>
      <c r="I20" s="92">
        <v>16289269.06991042</v>
      </c>
      <c r="J20" s="108"/>
      <c r="K20" s="92">
        <v>3849583</v>
      </c>
      <c r="L20" s="108"/>
      <c r="M20" s="92">
        <v>34928037.293442972</v>
      </c>
      <c r="N20" s="108"/>
      <c r="O20" s="108">
        <f t="shared" si="4"/>
        <v>40130948.800000004</v>
      </c>
      <c r="Q20" s="230">
        <v>67969851.125864431</v>
      </c>
      <c r="R20" s="232">
        <v>0</v>
      </c>
      <c r="S20" s="232">
        <v>16289269.06991042</v>
      </c>
      <c r="T20" s="233">
        <f t="shared" si="3"/>
        <v>51680582.055954009</v>
      </c>
      <c r="U20" s="92"/>
      <c r="V20" s="92"/>
      <c r="W20" s="243"/>
    </row>
    <row r="21" spans="1:23" ht="15">
      <c r="A21" s="234">
        <f t="shared" si="0"/>
        <v>11</v>
      </c>
      <c r="B21" s="234"/>
      <c r="C21" s="229">
        <v>45931</v>
      </c>
      <c r="D21" s="229"/>
      <c r="E21" s="92">
        <f t="shared" si="1"/>
        <v>51978318.191967063</v>
      </c>
      <c r="F21" s="108"/>
      <c r="G21" s="92">
        <f t="shared" si="2"/>
        <v>3291534.0881232093</v>
      </c>
      <c r="H21" s="108"/>
      <c r="I21" s="92">
        <v>16426182.237733044</v>
      </c>
      <c r="J21" s="108"/>
      <c r="K21" s="92">
        <v>3880357</v>
      </c>
      <c r="L21" s="108"/>
      <c r="M21" s="92">
        <v>35274639.837823316</v>
      </c>
      <c r="N21" s="108"/>
      <c r="O21" s="108">
        <f t="shared" si="4"/>
        <v>40301751.679999992</v>
      </c>
      <c r="Q21" s="230">
        <v>68404500.429700106</v>
      </c>
      <c r="R21" s="232"/>
      <c r="S21" s="232">
        <v>16426182.237733044</v>
      </c>
      <c r="T21" s="233">
        <f t="shared" si="3"/>
        <v>51978318.191967063</v>
      </c>
      <c r="U21" s="92"/>
      <c r="V21" s="92"/>
      <c r="W21" s="243"/>
    </row>
    <row r="22" spans="1:23" ht="15">
      <c r="A22" s="234">
        <f t="shared" si="0"/>
        <v>12</v>
      </c>
      <c r="B22" s="234"/>
      <c r="C22" s="229">
        <v>45962</v>
      </c>
      <c r="D22" s="229"/>
      <c r="E22" s="92">
        <f t="shared" si="1"/>
        <v>52388282.57167501</v>
      </c>
      <c r="F22" s="108"/>
      <c r="G22" s="92">
        <f t="shared" si="2"/>
        <v>3353995.240086793</v>
      </c>
      <c r="H22" s="108"/>
      <c r="I22" s="92">
        <v>16636976.098333513</v>
      </c>
      <c r="J22" s="108"/>
      <c r="K22" s="92">
        <v>3911232</v>
      </c>
      <c r="L22" s="108"/>
      <c r="M22" s="92">
        <v>35615048.120095313</v>
      </c>
      <c r="N22" s="108"/>
      <c r="O22" s="108">
        <f t="shared" si="4"/>
        <v>40675437.790000007</v>
      </c>
      <c r="Q22" s="230">
        <v>69025258.670008525</v>
      </c>
      <c r="R22" s="232"/>
      <c r="S22" s="232">
        <v>16636976.098333513</v>
      </c>
      <c r="T22" s="233">
        <f t="shared" si="3"/>
        <v>52388282.57167501</v>
      </c>
      <c r="U22" s="92"/>
      <c r="V22" s="92"/>
      <c r="W22" s="243"/>
    </row>
    <row r="23" spans="1:23" ht="15">
      <c r="A23" s="234">
        <f t="shared" si="0"/>
        <v>13</v>
      </c>
      <c r="B23" s="234"/>
      <c r="C23" s="229">
        <v>45992</v>
      </c>
      <c r="D23" s="229"/>
      <c r="E23" s="92">
        <f t="shared" si="1"/>
        <v>52791781.162961863</v>
      </c>
      <c r="F23" s="108"/>
      <c r="G23" s="92">
        <f t="shared" si="2"/>
        <v>2959500.1090445425</v>
      </c>
      <c r="H23" s="108"/>
      <c r="I23" s="92">
        <v>16842162.438292272</v>
      </c>
      <c r="J23" s="108"/>
      <c r="K23" s="92">
        <v>3942206</v>
      </c>
      <c r="L23" s="108"/>
      <c r="M23" s="92">
        <v>35959202.430298686</v>
      </c>
      <c r="N23" s="108"/>
      <c r="O23" s="108">
        <f t="shared" si="4"/>
        <v>40576447.280000001</v>
      </c>
      <c r="P23" s="108"/>
      <c r="Q23" s="230">
        <v>69633943.601254135</v>
      </c>
      <c r="R23" s="232">
        <v>0</v>
      </c>
      <c r="S23" s="232">
        <v>16842162.438292272</v>
      </c>
      <c r="T23" s="233">
        <f t="shared" si="3"/>
        <v>52791781.162961863</v>
      </c>
      <c r="U23" s="92"/>
      <c r="V23" s="92"/>
      <c r="W23" s="243"/>
    </row>
    <row r="24" spans="1:23" ht="15.6" thickBot="1">
      <c r="A24" s="234">
        <f t="shared" si="0"/>
        <v>14</v>
      </c>
      <c r="B24" s="234"/>
      <c r="C24" s="94" t="s">
        <v>199</v>
      </c>
      <c r="D24" s="94"/>
      <c r="E24" s="108">
        <f>AVERAGE(E11:E23)</f>
        <v>50486724.060430966</v>
      </c>
      <c r="F24" s="108"/>
      <c r="G24" s="108">
        <f>AVERAGE(G11:G23)</f>
        <v>3056579.6384837115</v>
      </c>
      <c r="H24" s="108"/>
      <c r="I24" s="108">
        <f>AVERAGE(I11:I23)</f>
        <v>15954295.809067456</v>
      </c>
      <c r="J24" s="108"/>
      <c r="K24" s="108">
        <f>AVERAGE(K11:K23)</f>
        <v>3760842</v>
      </c>
      <c r="L24" s="108"/>
      <c r="M24" s="108">
        <f>AVERAGE(M11:M23)</f>
        <v>33914466.771059066</v>
      </c>
      <c r="N24" s="108"/>
      <c r="O24" s="108">
        <f>AVERAGE(O11:O23)</f>
        <v>39343974.736923084</v>
      </c>
      <c r="Q24" s="236"/>
      <c r="R24" s="237"/>
      <c r="S24" s="237"/>
      <c r="T24" s="238"/>
      <c r="W24" s="243"/>
    </row>
    <row r="25" spans="1:23" ht="15">
      <c r="A25" s="234">
        <f t="shared" si="0"/>
        <v>15</v>
      </c>
      <c r="B25" s="234"/>
      <c r="C25" s="239"/>
      <c r="D25" s="239"/>
      <c r="W25" s="243"/>
    </row>
    <row r="26" spans="1:23" ht="15">
      <c r="A26" s="234">
        <f t="shared" si="0"/>
        <v>16</v>
      </c>
      <c r="B26" s="240" t="s">
        <v>501</v>
      </c>
      <c r="D26" s="240"/>
      <c r="W26" s="243"/>
    </row>
    <row r="27" spans="1:23" ht="15.6" thickBot="1">
      <c r="A27" s="234">
        <f t="shared" si="0"/>
        <v>17</v>
      </c>
      <c r="B27" s="240" t="s">
        <v>198</v>
      </c>
      <c r="D27" s="240"/>
      <c r="R27" s="115" t="s">
        <v>502</v>
      </c>
      <c r="W27" s="243"/>
    </row>
    <row r="28" spans="1:23" ht="15">
      <c r="A28" s="234">
        <f t="shared" si="0"/>
        <v>18</v>
      </c>
      <c r="B28" s="240" t="s">
        <v>217</v>
      </c>
      <c r="D28" s="240"/>
      <c r="Q28" s="217"/>
      <c r="R28" s="218"/>
      <c r="S28" s="219"/>
      <c r="W28" s="243"/>
    </row>
    <row r="29" spans="1:23">
      <c r="A29" s="234">
        <f t="shared" si="0"/>
        <v>19</v>
      </c>
      <c r="B29" s="240" t="s">
        <v>381</v>
      </c>
      <c r="D29" s="240"/>
      <c r="Q29" s="223"/>
      <c r="R29" s="111"/>
      <c r="S29" s="224" t="s">
        <v>503</v>
      </c>
    </row>
    <row r="30" spans="1:23">
      <c r="A30" s="234">
        <f t="shared" si="0"/>
        <v>20</v>
      </c>
      <c r="B30" s="240" t="s">
        <v>382</v>
      </c>
      <c r="D30" s="240"/>
      <c r="Q30" s="223" t="s">
        <v>497</v>
      </c>
      <c r="R30" s="111" t="s">
        <v>498</v>
      </c>
      <c r="S30" s="224" t="s">
        <v>205</v>
      </c>
    </row>
    <row r="31" spans="1:23">
      <c r="A31" s="234">
        <f>A29+1</f>
        <v>20</v>
      </c>
      <c r="B31" s="240" t="s">
        <v>383</v>
      </c>
      <c r="Q31" s="230">
        <v>2468456.05786933</v>
      </c>
      <c r="R31" s="231">
        <v>0</v>
      </c>
      <c r="S31" s="233">
        <f>+Q31+R31</f>
        <v>2468456.05786933</v>
      </c>
    </row>
    <row r="32" spans="1:23">
      <c r="Q32" s="230">
        <v>2929850.5199558754</v>
      </c>
      <c r="R32" s="231"/>
      <c r="S32" s="233">
        <f t="shared" ref="S32:S43" si="5">+Q32+R32</f>
        <v>2929850.5199558754</v>
      </c>
    </row>
    <row r="33" spans="1:19">
      <c r="Q33" s="230">
        <v>2974495.3996237093</v>
      </c>
      <c r="R33" s="231"/>
      <c r="S33" s="233">
        <f t="shared" si="5"/>
        <v>2974495.3996237093</v>
      </c>
    </row>
    <row r="34" spans="1:19">
      <c r="Q34" s="230">
        <v>3019107.095495292</v>
      </c>
      <c r="R34" s="232">
        <v>0</v>
      </c>
      <c r="S34" s="233">
        <f t="shared" si="5"/>
        <v>3019107.095495292</v>
      </c>
    </row>
    <row r="35" spans="1:19">
      <c r="Q35" s="230">
        <v>3013077.5925386259</v>
      </c>
      <c r="R35" s="232"/>
      <c r="S35" s="233">
        <f t="shared" si="5"/>
        <v>3013077.5925386259</v>
      </c>
    </row>
    <row r="36" spans="1:19">
      <c r="A36" s="107"/>
      <c r="B36" s="107"/>
      <c r="C36" s="216"/>
      <c r="D36" s="216"/>
      <c r="E36" s="216"/>
      <c r="F36" s="216"/>
      <c r="G36" s="108"/>
      <c r="H36" s="216"/>
      <c r="I36" s="108"/>
      <c r="J36" s="216"/>
      <c r="L36" s="108"/>
      <c r="M36" s="108"/>
      <c r="N36" s="108"/>
      <c r="O36" s="108"/>
      <c r="Q36" s="230">
        <v>3062275.4654699597</v>
      </c>
      <c r="R36" s="93"/>
      <c r="S36" s="233">
        <f t="shared" si="5"/>
        <v>3062275.4654699597</v>
      </c>
    </row>
    <row r="37" spans="1:19">
      <c r="A37" s="107"/>
      <c r="B37" s="107"/>
      <c r="C37" s="118"/>
      <c r="D37" s="118"/>
      <c r="Q37" s="230">
        <v>3092697.7006880427</v>
      </c>
      <c r="R37" s="93">
        <v>0</v>
      </c>
      <c r="S37" s="233">
        <f t="shared" si="5"/>
        <v>3092697.7006880427</v>
      </c>
    </row>
    <row r="38" spans="1:19">
      <c r="A38" s="234"/>
      <c r="B38" s="234"/>
      <c r="C38" s="241"/>
      <c r="D38" s="241"/>
      <c r="E38" s="242"/>
      <c r="F38" s="242"/>
      <c r="G38" s="93"/>
      <c r="H38" s="242"/>
      <c r="I38" s="93"/>
      <c r="J38" s="242"/>
      <c r="L38" s="93"/>
      <c r="M38" s="93"/>
      <c r="N38" s="93"/>
      <c r="O38" s="93"/>
      <c r="Q38" s="230">
        <v>3141198.1259061256</v>
      </c>
      <c r="R38" s="232"/>
      <c r="S38" s="233">
        <f t="shared" si="5"/>
        <v>3141198.1259061256</v>
      </c>
    </row>
    <row r="39" spans="1:19">
      <c r="A39" s="107"/>
      <c r="B39" s="107"/>
      <c r="C39" s="118"/>
      <c r="D39" s="118"/>
      <c r="G39" s="93"/>
      <c r="I39" s="93"/>
      <c r="L39" s="93"/>
      <c r="M39" s="93"/>
      <c r="N39" s="93"/>
      <c r="O39" s="93"/>
      <c r="Q39" s="230">
        <v>3189795.9379082099</v>
      </c>
      <c r="R39" s="232"/>
      <c r="S39" s="233">
        <f t="shared" si="5"/>
        <v>3189795.9379082099</v>
      </c>
    </row>
    <row r="40" spans="1:19">
      <c r="A40" s="107"/>
      <c r="B40" s="107"/>
      <c r="G40" s="93"/>
      <c r="I40" s="93"/>
      <c r="L40" s="93"/>
      <c r="M40" s="93"/>
      <c r="N40" s="93"/>
      <c r="O40" s="93"/>
      <c r="Q40" s="230">
        <v>3239551.9675785429</v>
      </c>
      <c r="R40" s="232">
        <v>0</v>
      </c>
      <c r="S40" s="233">
        <f t="shared" si="5"/>
        <v>3239551.9675785429</v>
      </c>
    </row>
    <row r="41" spans="1:19">
      <c r="Q41" s="230">
        <v>3291534.0881232093</v>
      </c>
      <c r="R41" s="232"/>
      <c r="S41" s="233">
        <f t="shared" si="5"/>
        <v>3291534.0881232093</v>
      </c>
    </row>
    <row r="42" spans="1:19">
      <c r="Q42" s="230">
        <v>3353995.240086793</v>
      </c>
      <c r="R42" s="232"/>
      <c r="S42" s="233">
        <f t="shared" si="5"/>
        <v>3353995.240086793</v>
      </c>
    </row>
    <row r="43" spans="1:19">
      <c r="Q43" s="230">
        <v>2965933.6490445426</v>
      </c>
      <c r="R43" s="232">
        <v>-6433.5399999999991</v>
      </c>
      <c r="S43" s="233">
        <f t="shared" si="5"/>
        <v>2959500.1090445425</v>
      </c>
    </row>
    <row r="44" spans="1:19" ht="14.4" thickBot="1">
      <c r="Q44" s="236"/>
      <c r="R44" s="237"/>
      <c r="S44" s="238"/>
    </row>
  </sheetData>
  <mergeCells count="3">
    <mergeCell ref="A3:O3"/>
    <mergeCell ref="A4:O4"/>
    <mergeCell ref="A5:O5"/>
  </mergeCells>
  <pageMargins left="0.7" right="0.7" top="0.75" bottom="0.75" header="0.3" footer="0.3"/>
  <pageSetup orientation="portrait" verticalDpi="0" r:id="rId1"/>
  <headerFooter>
    <oddHeader>&amp;L&amp;8 2016 BHP-Workpaper 9 Supplemental Supporting Schedules&amp;C
ACTUAL SERVICE YEAR ATRR
BLACK HILLS POWER, INC.
SUPPORTING SCHEDULES&amp;RPage &amp;P of &amp;N</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AB39"/>
  <sheetViews>
    <sheetView workbookViewId="0">
      <selection sqref="A1:XFD1048576"/>
    </sheetView>
  </sheetViews>
  <sheetFormatPr defaultRowHeight="15"/>
  <cols>
    <col min="1" max="1" width="3.453125" style="205" bestFit="1" customWidth="1"/>
    <col min="2" max="2" width="3.453125" style="205" customWidth="1"/>
    <col min="3" max="3" width="13.1796875" style="205" customWidth="1"/>
    <col min="4" max="4" width="2.6328125" style="205" customWidth="1"/>
    <col min="5" max="5" width="15.1796875" style="205" customWidth="1"/>
    <col min="6" max="6" width="3" style="205" customWidth="1"/>
    <col min="7" max="7" width="11.90625" style="205" bestFit="1" customWidth="1"/>
    <col min="8" max="8" width="3" style="205" customWidth="1"/>
    <col min="9" max="9" width="14.453125" style="205" bestFit="1" customWidth="1"/>
    <col min="10" max="10" width="3.08984375" style="205" customWidth="1"/>
    <col min="11" max="11" width="11.90625" style="205" bestFit="1" customWidth="1"/>
    <col min="12" max="12" width="3.08984375" style="205" customWidth="1"/>
    <col min="13" max="13" width="14.453125" style="205" bestFit="1" customWidth="1"/>
    <col min="14" max="14" width="15.90625" style="205" bestFit="1" customWidth="1"/>
    <col min="15" max="15" width="14.453125" style="205" bestFit="1" customWidth="1"/>
    <col min="16" max="16" width="10.08984375" style="205" bestFit="1" customWidth="1"/>
    <col min="17" max="17" width="9.81640625" style="205" bestFit="1" customWidth="1"/>
    <col min="18" max="19" width="8.81640625" style="205" bestFit="1" customWidth="1"/>
    <col min="20" max="28" width="9.81640625" style="205" bestFit="1" customWidth="1"/>
    <col min="29" max="260" width="8.7265625" style="205"/>
    <col min="261" max="261" width="3.453125" style="205" bestFit="1" customWidth="1"/>
    <col min="262" max="262" width="3.453125" style="205" customWidth="1"/>
    <col min="263" max="263" width="13.1796875" style="205" customWidth="1"/>
    <col min="264" max="264" width="2.6328125" style="205" customWidth="1"/>
    <col min="265" max="265" width="15.1796875" style="205" customWidth="1"/>
    <col min="266" max="266" width="3" style="205" customWidth="1"/>
    <col min="267" max="267" width="11.90625" style="205" bestFit="1" customWidth="1"/>
    <col min="268" max="268" width="3.08984375" style="205" customWidth="1"/>
    <col min="269" max="269" width="13.54296875" style="205" bestFit="1" customWidth="1"/>
    <col min="270" max="271" width="9.1796875" style="205" customWidth="1"/>
    <col min="272" max="516" width="8.7265625" style="205"/>
    <col min="517" max="517" width="3.453125" style="205" bestFit="1" customWidth="1"/>
    <col min="518" max="518" width="3.453125" style="205" customWidth="1"/>
    <col min="519" max="519" width="13.1796875" style="205" customWidth="1"/>
    <col min="520" max="520" width="2.6328125" style="205" customWidth="1"/>
    <col min="521" max="521" width="15.1796875" style="205" customWidth="1"/>
    <col min="522" max="522" width="3" style="205" customWidth="1"/>
    <col min="523" max="523" width="11.90625" style="205" bestFit="1" customWidth="1"/>
    <col min="524" max="524" width="3.08984375" style="205" customWidth="1"/>
    <col min="525" max="525" width="13.54296875" style="205" bestFit="1" customWidth="1"/>
    <col min="526" max="527" width="9.1796875" style="205" customWidth="1"/>
    <col min="528" max="772" width="8.7265625" style="205"/>
    <col min="773" max="773" width="3.453125" style="205" bestFit="1" customWidth="1"/>
    <col min="774" max="774" width="3.453125" style="205" customWidth="1"/>
    <col min="775" max="775" width="13.1796875" style="205" customWidth="1"/>
    <col min="776" max="776" width="2.6328125" style="205" customWidth="1"/>
    <col min="777" max="777" width="15.1796875" style="205" customWidth="1"/>
    <col min="778" max="778" width="3" style="205" customWidth="1"/>
    <col min="779" max="779" width="11.90625" style="205" bestFit="1" customWidth="1"/>
    <col min="780" max="780" width="3.08984375" style="205" customWidth="1"/>
    <col min="781" max="781" width="13.54296875" style="205" bestFit="1" customWidth="1"/>
    <col min="782" max="783" width="9.1796875" style="205" customWidth="1"/>
    <col min="784" max="1028" width="8.7265625" style="205"/>
    <col min="1029" max="1029" width="3.453125" style="205" bestFit="1" customWidth="1"/>
    <col min="1030" max="1030" width="3.453125" style="205" customWidth="1"/>
    <col min="1031" max="1031" width="13.1796875" style="205" customWidth="1"/>
    <col min="1032" max="1032" width="2.6328125" style="205" customWidth="1"/>
    <col min="1033" max="1033" width="15.1796875" style="205" customWidth="1"/>
    <col min="1034" max="1034" width="3" style="205" customWidth="1"/>
    <col min="1035" max="1035" width="11.90625" style="205" bestFit="1" customWidth="1"/>
    <col min="1036" max="1036" width="3.08984375" style="205" customWidth="1"/>
    <col min="1037" max="1037" width="13.54296875" style="205" bestFit="1" customWidth="1"/>
    <col min="1038" max="1039" width="9.1796875" style="205" customWidth="1"/>
    <col min="1040" max="1284" width="8.7265625" style="205"/>
    <col min="1285" max="1285" width="3.453125" style="205" bestFit="1" customWidth="1"/>
    <col min="1286" max="1286" width="3.453125" style="205" customWidth="1"/>
    <col min="1287" max="1287" width="13.1796875" style="205" customWidth="1"/>
    <col min="1288" max="1288" width="2.6328125" style="205" customWidth="1"/>
    <col min="1289" max="1289" width="15.1796875" style="205" customWidth="1"/>
    <col min="1290" max="1290" width="3" style="205" customWidth="1"/>
    <col min="1291" max="1291" width="11.90625" style="205" bestFit="1" customWidth="1"/>
    <col min="1292" max="1292" width="3.08984375" style="205" customWidth="1"/>
    <col min="1293" max="1293" width="13.54296875" style="205" bestFit="1" customWidth="1"/>
    <col min="1294" max="1295" width="9.1796875" style="205" customWidth="1"/>
    <col min="1296" max="1540" width="8.7265625" style="205"/>
    <col min="1541" max="1541" width="3.453125" style="205" bestFit="1" customWidth="1"/>
    <col min="1542" max="1542" width="3.453125" style="205" customWidth="1"/>
    <col min="1543" max="1543" width="13.1796875" style="205" customWidth="1"/>
    <col min="1544" max="1544" width="2.6328125" style="205" customWidth="1"/>
    <col min="1545" max="1545" width="15.1796875" style="205" customWidth="1"/>
    <col min="1546" max="1546" width="3" style="205" customWidth="1"/>
    <col min="1547" max="1547" width="11.90625" style="205" bestFit="1" customWidth="1"/>
    <col min="1548" max="1548" width="3.08984375" style="205" customWidth="1"/>
    <col min="1549" max="1549" width="13.54296875" style="205" bestFit="1" customWidth="1"/>
    <col min="1550" max="1551" width="9.1796875" style="205" customWidth="1"/>
    <col min="1552" max="1796" width="8.7265625" style="205"/>
    <col min="1797" max="1797" width="3.453125" style="205" bestFit="1" customWidth="1"/>
    <col min="1798" max="1798" width="3.453125" style="205" customWidth="1"/>
    <col min="1799" max="1799" width="13.1796875" style="205" customWidth="1"/>
    <col min="1800" max="1800" width="2.6328125" style="205" customWidth="1"/>
    <col min="1801" max="1801" width="15.1796875" style="205" customWidth="1"/>
    <col min="1802" max="1802" width="3" style="205" customWidth="1"/>
    <col min="1803" max="1803" width="11.90625" style="205" bestFit="1" customWidth="1"/>
    <col min="1804" max="1804" width="3.08984375" style="205" customWidth="1"/>
    <col min="1805" max="1805" width="13.54296875" style="205" bestFit="1" customWidth="1"/>
    <col min="1806" max="1807" width="9.1796875" style="205" customWidth="1"/>
    <col min="1808" max="2052" width="8.7265625" style="205"/>
    <col min="2053" max="2053" width="3.453125" style="205" bestFit="1" customWidth="1"/>
    <col min="2054" max="2054" width="3.453125" style="205" customWidth="1"/>
    <col min="2055" max="2055" width="13.1796875" style="205" customWidth="1"/>
    <col min="2056" max="2056" width="2.6328125" style="205" customWidth="1"/>
    <col min="2057" max="2057" width="15.1796875" style="205" customWidth="1"/>
    <col min="2058" max="2058" width="3" style="205" customWidth="1"/>
    <col min="2059" max="2059" width="11.90625" style="205" bestFit="1" customWidth="1"/>
    <col min="2060" max="2060" width="3.08984375" style="205" customWidth="1"/>
    <col min="2061" max="2061" width="13.54296875" style="205" bestFit="1" customWidth="1"/>
    <col min="2062" max="2063" width="9.1796875" style="205" customWidth="1"/>
    <col min="2064" max="2308" width="8.7265625" style="205"/>
    <col min="2309" max="2309" width="3.453125" style="205" bestFit="1" customWidth="1"/>
    <col min="2310" max="2310" width="3.453125" style="205" customWidth="1"/>
    <col min="2311" max="2311" width="13.1796875" style="205" customWidth="1"/>
    <col min="2312" max="2312" width="2.6328125" style="205" customWidth="1"/>
    <col min="2313" max="2313" width="15.1796875" style="205" customWidth="1"/>
    <col min="2314" max="2314" width="3" style="205" customWidth="1"/>
    <col min="2315" max="2315" width="11.90625" style="205" bestFit="1" customWidth="1"/>
    <col min="2316" max="2316" width="3.08984375" style="205" customWidth="1"/>
    <col min="2317" max="2317" width="13.54296875" style="205" bestFit="1" customWidth="1"/>
    <col min="2318" max="2319" width="9.1796875" style="205" customWidth="1"/>
    <col min="2320" max="2564" width="8.7265625" style="205"/>
    <col min="2565" max="2565" width="3.453125" style="205" bestFit="1" customWidth="1"/>
    <col min="2566" max="2566" width="3.453125" style="205" customWidth="1"/>
    <col min="2567" max="2567" width="13.1796875" style="205" customWidth="1"/>
    <col min="2568" max="2568" width="2.6328125" style="205" customWidth="1"/>
    <col min="2569" max="2569" width="15.1796875" style="205" customWidth="1"/>
    <col min="2570" max="2570" width="3" style="205" customWidth="1"/>
    <col min="2571" max="2571" width="11.90625" style="205" bestFit="1" customWidth="1"/>
    <col min="2572" max="2572" width="3.08984375" style="205" customWidth="1"/>
    <col min="2573" max="2573" width="13.54296875" style="205" bestFit="1" customWidth="1"/>
    <col min="2574" max="2575" width="9.1796875" style="205" customWidth="1"/>
    <col min="2576" max="2820" width="8.7265625" style="205"/>
    <col min="2821" max="2821" width="3.453125" style="205" bestFit="1" customWidth="1"/>
    <col min="2822" max="2822" width="3.453125" style="205" customWidth="1"/>
    <col min="2823" max="2823" width="13.1796875" style="205" customWidth="1"/>
    <col min="2824" max="2824" width="2.6328125" style="205" customWidth="1"/>
    <col min="2825" max="2825" width="15.1796875" style="205" customWidth="1"/>
    <col min="2826" max="2826" width="3" style="205" customWidth="1"/>
    <col min="2827" max="2827" width="11.90625" style="205" bestFit="1" customWidth="1"/>
    <col min="2828" max="2828" width="3.08984375" style="205" customWidth="1"/>
    <col min="2829" max="2829" width="13.54296875" style="205" bestFit="1" customWidth="1"/>
    <col min="2830" max="2831" width="9.1796875" style="205" customWidth="1"/>
    <col min="2832" max="3076" width="8.7265625" style="205"/>
    <col min="3077" max="3077" width="3.453125" style="205" bestFit="1" customWidth="1"/>
    <col min="3078" max="3078" width="3.453125" style="205" customWidth="1"/>
    <col min="3079" max="3079" width="13.1796875" style="205" customWidth="1"/>
    <col min="3080" max="3080" width="2.6328125" style="205" customWidth="1"/>
    <col min="3081" max="3081" width="15.1796875" style="205" customWidth="1"/>
    <col min="3082" max="3082" width="3" style="205" customWidth="1"/>
    <col min="3083" max="3083" width="11.90625" style="205" bestFit="1" customWidth="1"/>
    <col min="3084" max="3084" width="3.08984375" style="205" customWidth="1"/>
    <col min="3085" max="3085" width="13.54296875" style="205" bestFit="1" customWidth="1"/>
    <col min="3086" max="3087" width="9.1796875" style="205" customWidth="1"/>
    <col min="3088" max="3332" width="8.7265625" style="205"/>
    <col min="3333" max="3333" width="3.453125" style="205" bestFit="1" customWidth="1"/>
    <col min="3334" max="3334" width="3.453125" style="205" customWidth="1"/>
    <col min="3335" max="3335" width="13.1796875" style="205" customWidth="1"/>
    <col min="3336" max="3336" width="2.6328125" style="205" customWidth="1"/>
    <col min="3337" max="3337" width="15.1796875" style="205" customWidth="1"/>
    <col min="3338" max="3338" width="3" style="205" customWidth="1"/>
    <col min="3339" max="3339" width="11.90625" style="205" bestFit="1" customWidth="1"/>
    <col min="3340" max="3340" width="3.08984375" style="205" customWidth="1"/>
    <col min="3341" max="3341" width="13.54296875" style="205" bestFit="1" customWidth="1"/>
    <col min="3342" max="3343" width="9.1796875" style="205" customWidth="1"/>
    <col min="3344" max="3588" width="8.7265625" style="205"/>
    <col min="3589" max="3589" width="3.453125" style="205" bestFit="1" customWidth="1"/>
    <col min="3590" max="3590" width="3.453125" style="205" customWidth="1"/>
    <col min="3591" max="3591" width="13.1796875" style="205" customWidth="1"/>
    <col min="3592" max="3592" width="2.6328125" style="205" customWidth="1"/>
    <col min="3593" max="3593" width="15.1796875" style="205" customWidth="1"/>
    <col min="3594" max="3594" width="3" style="205" customWidth="1"/>
    <col min="3595" max="3595" width="11.90625" style="205" bestFit="1" customWidth="1"/>
    <col min="3596" max="3596" width="3.08984375" style="205" customWidth="1"/>
    <col min="3597" max="3597" width="13.54296875" style="205" bestFit="1" customWidth="1"/>
    <col min="3598" max="3599" width="9.1796875" style="205" customWidth="1"/>
    <col min="3600" max="3844" width="8.7265625" style="205"/>
    <col min="3845" max="3845" width="3.453125" style="205" bestFit="1" customWidth="1"/>
    <col min="3846" max="3846" width="3.453125" style="205" customWidth="1"/>
    <col min="3847" max="3847" width="13.1796875" style="205" customWidth="1"/>
    <col min="3848" max="3848" width="2.6328125" style="205" customWidth="1"/>
    <col min="3849" max="3849" width="15.1796875" style="205" customWidth="1"/>
    <col min="3850" max="3850" width="3" style="205" customWidth="1"/>
    <col min="3851" max="3851" width="11.90625" style="205" bestFit="1" customWidth="1"/>
    <col min="3852" max="3852" width="3.08984375" style="205" customWidth="1"/>
    <col min="3853" max="3853" width="13.54296875" style="205" bestFit="1" customWidth="1"/>
    <col min="3854" max="3855" width="9.1796875" style="205" customWidth="1"/>
    <col min="3856" max="4100" width="8.7265625" style="205"/>
    <col min="4101" max="4101" width="3.453125" style="205" bestFit="1" customWidth="1"/>
    <col min="4102" max="4102" width="3.453125" style="205" customWidth="1"/>
    <col min="4103" max="4103" width="13.1796875" style="205" customWidth="1"/>
    <col min="4104" max="4104" width="2.6328125" style="205" customWidth="1"/>
    <col min="4105" max="4105" width="15.1796875" style="205" customWidth="1"/>
    <col min="4106" max="4106" width="3" style="205" customWidth="1"/>
    <col min="4107" max="4107" width="11.90625" style="205" bestFit="1" customWidth="1"/>
    <col min="4108" max="4108" width="3.08984375" style="205" customWidth="1"/>
    <col min="4109" max="4109" width="13.54296875" style="205" bestFit="1" customWidth="1"/>
    <col min="4110" max="4111" width="9.1796875" style="205" customWidth="1"/>
    <col min="4112" max="4356" width="8.7265625" style="205"/>
    <col min="4357" max="4357" width="3.453125" style="205" bestFit="1" customWidth="1"/>
    <col min="4358" max="4358" width="3.453125" style="205" customWidth="1"/>
    <col min="4359" max="4359" width="13.1796875" style="205" customWidth="1"/>
    <col min="4360" max="4360" width="2.6328125" style="205" customWidth="1"/>
    <col min="4361" max="4361" width="15.1796875" style="205" customWidth="1"/>
    <col min="4362" max="4362" width="3" style="205" customWidth="1"/>
    <col min="4363" max="4363" width="11.90625" style="205" bestFit="1" customWidth="1"/>
    <col min="4364" max="4364" width="3.08984375" style="205" customWidth="1"/>
    <col min="4365" max="4365" width="13.54296875" style="205" bestFit="1" customWidth="1"/>
    <col min="4366" max="4367" width="9.1796875" style="205" customWidth="1"/>
    <col min="4368" max="4612" width="8.7265625" style="205"/>
    <col min="4613" max="4613" width="3.453125" style="205" bestFit="1" customWidth="1"/>
    <col min="4614" max="4614" width="3.453125" style="205" customWidth="1"/>
    <col min="4615" max="4615" width="13.1796875" style="205" customWidth="1"/>
    <col min="4616" max="4616" width="2.6328125" style="205" customWidth="1"/>
    <col min="4617" max="4617" width="15.1796875" style="205" customWidth="1"/>
    <col min="4618" max="4618" width="3" style="205" customWidth="1"/>
    <col min="4619" max="4619" width="11.90625" style="205" bestFit="1" customWidth="1"/>
    <col min="4620" max="4620" width="3.08984375" style="205" customWidth="1"/>
    <col min="4621" max="4621" width="13.54296875" style="205" bestFit="1" customWidth="1"/>
    <col min="4622" max="4623" width="9.1796875" style="205" customWidth="1"/>
    <col min="4624" max="4868" width="8.7265625" style="205"/>
    <col min="4869" max="4869" width="3.453125" style="205" bestFit="1" customWidth="1"/>
    <col min="4870" max="4870" width="3.453125" style="205" customWidth="1"/>
    <col min="4871" max="4871" width="13.1796875" style="205" customWidth="1"/>
    <col min="4872" max="4872" width="2.6328125" style="205" customWidth="1"/>
    <col min="4873" max="4873" width="15.1796875" style="205" customWidth="1"/>
    <col min="4874" max="4874" width="3" style="205" customWidth="1"/>
    <col min="4875" max="4875" width="11.90625" style="205" bestFit="1" customWidth="1"/>
    <col min="4876" max="4876" width="3.08984375" style="205" customWidth="1"/>
    <col min="4877" max="4877" width="13.54296875" style="205" bestFit="1" customWidth="1"/>
    <col min="4878" max="4879" width="9.1796875" style="205" customWidth="1"/>
    <col min="4880" max="5124" width="8.7265625" style="205"/>
    <col min="5125" max="5125" width="3.453125" style="205" bestFit="1" customWidth="1"/>
    <col min="5126" max="5126" width="3.453125" style="205" customWidth="1"/>
    <col min="5127" max="5127" width="13.1796875" style="205" customWidth="1"/>
    <col min="5128" max="5128" width="2.6328125" style="205" customWidth="1"/>
    <col min="5129" max="5129" width="15.1796875" style="205" customWidth="1"/>
    <col min="5130" max="5130" width="3" style="205" customWidth="1"/>
    <col min="5131" max="5131" width="11.90625" style="205" bestFit="1" customWidth="1"/>
    <col min="5132" max="5132" width="3.08984375" style="205" customWidth="1"/>
    <col min="5133" max="5133" width="13.54296875" style="205" bestFit="1" customWidth="1"/>
    <col min="5134" max="5135" width="9.1796875" style="205" customWidth="1"/>
    <col min="5136" max="5380" width="8.7265625" style="205"/>
    <col min="5381" max="5381" width="3.453125" style="205" bestFit="1" customWidth="1"/>
    <col min="5382" max="5382" width="3.453125" style="205" customWidth="1"/>
    <col min="5383" max="5383" width="13.1796875" style="205" customWidth="1"/>
    <col min="5384" max="5384" width="2.6328125" style="205" customWidth="1"/>
    <col min="5385" max="5385" width="15.1796875" style="205" customWidth="1"/>
    <col min="5386" max="5386" width="3" style="205" customWidth="1"/>
    <col min="5387" max="5387" width="11.90625" style="205" bestFit="1" customWidth="1"/>
    <col min="5388" max="5388" width="3.08984375" style="205" customWidth="1"/>
    <col min="5389" max="5389" width="13.54296875" style="205" bestFit="1" customWidth="1"/>
    <col min="5390" max="5391" width="9.1796875" style="205" customWidth="1"/>
    <col min="5392" max="5636" width="8.7265625" style="205"/>
    <col min="5637" max="5637" width="3.453125" style="205" bestFit="1" customWidth="1"/>
    <col min="5638" max="5638" width="3.453125" style="205" customWidth="1"/>
    <col min="5639" max="5639" width="13.1796875" style="205" customWidth="1"/>
    <col min="5640" max="5640" width="2.6328125" style="205" customWidth="1"/>
    <col min="5641" max="5641" width="15.1796875" style="205" customWidth="1"/>
    <col min="5642" max="5642" width="3" style="205" customWidth="1"/>
    <col min="5643" max="5643" width="11.90625" style="205" bestFit="1" customWidth="1"/>
    <col min="5644" max="5644" width="3.08984375" style="205" customWidth="1"/>
    <col min="5645" max="5645" width="13.54296875" style="205" bestFit="1" customWidth="1"/>
    <col min="5646" max="5647" width="9.1796875" style="205" customWidth="1"/>
    <col min="5648" max="5892" width="8.7265625" style="205"/>
    <col min="5893" max="5893" width="3.453125" style="205" bestFit="1" customWidth="1"/>
    <col min="5894" max="5894" width="3.453125" style="205" customWidth="1"/>
    <col min="5895" max="5895" width="13.1796875" style="205" customWidth="1"/>
    <col min="5896" max="5896" width="2.6328125" style="205" customWidth="1"/>
    <col min="5897" max="5897" width="15.1796875" style="205" customWidth="1"/>
    <col min="5898" max="5898" width="3" style="205" customWidth="1"/>
    <col min="5899" max="5899" width="11.90625" style="205" bestFit="1" customWidth="1"/>
    <col min="5900" max="5900" width="3.08984375" style="205" customWidth="1"/>
    <col min="5901" max="5901" width="13.54296875" style="205" bestFit="1" customWidth="1"/>
    <col min="5902" max="5903" width="9.1796875" style="205" customWidth="1"/>
    <col min="5904" max="6148" width="8.7265625" style="205"/>
    <col min="6149" max="6149" width="3.453125" style="205" bestFit="1" customWidth="1"/>
    <col min="6150" max="6150" width="3.453125" style="205" customWidth="1"/>
    <col min="6151" max="6151" width="13.1796875" style="205" customWidth="1"/>
    <col min="6152" max="6152" width="2.6328125" style="205" customWidth="1"/>
    <col min="6153" max="6153" width="15.1796875" style="205" customWidth="1"/>
    <col min="6154" max="6154" width="3" style="205" customWidth="1"/>
    <col min="6155" max="6155" width="11.90625" style="205" bestFit="1" customWidth="1"/>
    <col min="6156" max="6156" width="3.08984375" style="205" customWidth="1"/>
    <col min="6157" max="6157" width="13.54296875" style="205" bestFit="1" customWidth="1"/>
    <col min="6158" max="6159" width="9.1796875" style="205" customWidth="1"/>
    <col min="6160" max="6404" width="8.7265625" style="205"/>
    <col min="6405" max="6405" width="3.453125" style="205" bestFit="1" customWidth="1"/>
    <col min="6406" max="6406" width="3.453125" style="205" customWidth="1"/>
    <col min="6407" max="6407" width="13.1796875" style="205" customWidth="1"/>
    <col min="6408" max="6408" width="2.6328125" style="205" customWidth="1"/>
    <col min="6409" max="6409" width="15.1796875" style="205" customWidth="1"/>
    <col min="6410" max="6410" width="3" style="205" customWidth="1"/>
    <col min="6411" max="6411" width="11.90625" style="205" bestFit="1" customWidth="1"/>
    <col min="6412" max="6412" width="3.08984375" style="205" customWidth="1"/>
    <col min="6413" max="6413" width="13.54296875" style="205" bestFit="1" customWidth="1"/>
    <col min="6414" max="6415" width="9.1796875" style="205" customWidth="1"/>
    <col min="6416" max="6660" width="8.7265625" style="205"/>
    <col min="6661" max="6661" width="3.453125" style="205" bestFit="1" customWidth="1"/>
    <col min="6662" max="6662" width="3.453125" style="205" customWidth="1"/>
    <col min="6663" max="6663" width="13.1796875" style="205" customWidth="1"/>
    <col min="6664" max="6664" width="2.6328125" style="205" customWidth="1"/>
    <col min="6665" max="6665" width="15.1796875" style="205" customWidth="1"/>
    <col min="6666" max="6666" width="3" style="205" customWidth="1"/>
    <col min="6667" max="6667" width="11.90625" style="205" bestFit="1" customWidth="1"/>
    <col min="6668" max="6668" width="3.08984375" style="205" customWidth="1"/>
    <col min="6669" max="6669" width="13.54296875" style="205" bestFit="1" customWidth="1"/>
    <col min="6670" max="6671" width="9.1796875" style="205" customWidth="1"/>
    <col min="6672" max="6916" width="8.7265625" style="205"/>
    <col min="6917" max="6917" width="3.453125" style="205" bestFit="1" customWidth="1"/>
    <col min="6918" max="6918" width="3.453125" style="205" customWidth="1"/>
    <col min="6919" max="6919" width="13.1796875" style="205" customWidth="1"/>
    <col min="6920" max="6920" width="2.6328125" style="205" customWidth="1"/>
    <col min="6921" max="6921" width="15.1796875" style="205" customWidth="1"/>
    <col min="6922" max="6922" width="3" style="205" customWidth="1"/>
    <col min="6923" max="6923" width="11.90625" style="205" bestFit="1" customWidth="1"/>
    <col min="6924" max="6924" width="3.08984375" style="205" customWidth="1"/>
    <col min="6925" max="6925" width="13.54296875" style="205" bestFit="1" customWidth="1"/>
    <col min="6926" max="6927" width="9.1796875" style="205" customWidth="1"/>
    <col min="6928" max="7172" width="8.7265625" style="205"/>
    <col min="7173" max="7173" width="3.453125" style="205" bestFit="1" customWidth="1"/>
    <col min="7174" max="7174" width="3.453125" style="205" customWidth="1"/>
    <col min="7175" max="7175" width="13.1796875" style="205" customWidth="1"/>
    <col min="7176" max="7176" width="2.6328125" style="205" customWidth="1"/>
    <col min="7177" max="7177" width="15.1796875" style="205" customWidth="1"/>
    <col min="7178" max="7178" width="3" style="205" customWidth="1"/>
    <col min="7179" max="7179" width="11.90625" style="205" bestFit="1" customWidth="1"/>
    <col min="7180" max="7180" width="3.08984375" style="205" customWidth="1"/>
    <col min="7181" max="7181" width="13.54296875" style="205" bestFit="1" customWidth="1"/>
    <col min="7182" max="7183" width="9.1796875" style="205" customWidth="1"/>
    <col min="7184" max="7428" width="8.7265625" style="205"/>
    <col min="7429" max="7429" width="3.453125" style="205" bestFit="1" customWidth="1"/>
    <col min="7430" max="7430" width="3.453125" style="205" customWidth="1"/>
    <col min="7431" max="7431" width="13.1796875" style="205" customWidth="1"/>
    <col min="7432" max="7432" width="2.6328125" style="205" customWidth="1"/>
    <col min="7433" max="7433" width="15.1796875" style="205" customWidth="1"/>
    <col min="7434" max="7434" width="3" style="205" customWidth="1"/>
    <col min="7435" max="7435" width="11.90625" style="205" bestFit="1" customWidth="1"/>
    <col min="7436" max="7436" width="3.08984375" style="205" customWidth="1"/>
    <col min="7437" max="7437" width="13.54296875" style="205" bestFit="1" customWidth="1"/>
    <col min="7438" max="7439" width="9.1796875" style="205" customWidth="1"/>
    <col min="7440" max="7684" width="8.7265625" style="205"/>
    <col min="7685" max="7685" width="3.453125" style="205" bestFit="1" customWidth="1"/>
    <col min="7686" max="7686" width="3.453125" style="205" customWidth="1"/>
    <col min="7687" max="7687" width="13.1796875" style="205" customWidth="1"/>
    <col min="7688" max="7688" width="2.6328125" style="205" customWidth="1"/>
    <col min="7689" max="7689" width="15.1796875" style="205" customWidth="1"/>
    <col min="7690" max="7690" width="3" style="205" customWidth="1"/>
    <col min="7691" max="7691" width="11.90625" style="205" bestFit="1" customWidth="1"/>
    <col min="7692" max="7692" width="3.08984375" style="205" customWidth="1"/>
    <col min="7693" max="7693" width="13.54296875" style="205" bestFit="1" customWidth="1"/>
    <col min="7694" max="7695" width="9.1796875" style="205" customWidth="1"/>
    <col min="7696" max="7940" width="8.7265625" style="205"/>
    <col min="7941" max="7941" width="3.453125" style="205" bestFit="1" customWidth="1"/>
    <col min="7942" max="7942" width="3.453125" style="205" customWidth="1"/>
    <col min="7943" max="7943" width="13.1796875" style="205" customWidth="1"/>
    <col min="7944" max="7944" width="2.6328125" style="205" customWidth="1"/>
    <col min="7945" max="7945" width="15.1796875" style="205" customWidth="1"/>
    <col min="7946" max="7946" width="3" style="205" customWidth="1"/>
    <col min="7947" max="7947" width="11.90625" style="205" bestFit="1" customWidth="1"/>
    <col min="7948" max="7948" width="3.08984375" style="205" customWidth="1"/>
    <col min="7949" max="7949" width="13.54296875" style="205" bestFit="1" customWidth="1"/>
    <col min="7950" max="7951" width="9.1796875" style="205" customWidth="1"/>
    <col min="7952" max="8196" width="8.7265625" style="205"/>
    <col min="8197" max="8197" width="3.453125" style="205" bestFit="1" customWidth="1"/>
    <col min="8198" max="8198" width="3.453125" style="205" customWidth="1"/>
    <col min="8199" max="8199" width="13.1796875" style="205" customWidth="1"/>
    <col min="8200" max="8200" width="2.6328125" style="205" customWidth="1"/>
    <col min="8201" max="8201" width="15.1796875" style="205" customWidth="1"/>
    <col min="8202" max="8202" width="3" style="205" customWidth="1"/>
    <col min="8203" max="8203" width="11.90625" style="205" bestFit="1" customWidth="1"/>
    <col min="8204" max="8204" width="3.08984375" style="205" customWidth="1"/>
    <col min="8205" max="8205" width="13.54296875" style="205" bestFit="1" customWidth="1"/>
    <col min="8206" max="8207" width="9.1796875" style="205" customWidth="1"/>
    <col min="8208" max="8452" width="8.7265625" style="205"/>
    <col min="8453" max="8453" width="3.453125" style="205" bestFit="1" customWidth="1"/>
    <col min="8454" max="8454" width="3.453125" style="205" customWidth="1"/>
    <col min="8455" max="8455" width="13.1796875" style="205" customWidth="1"/>
    <col min="8456" max="8456" width="2.6328125" style="205" customWidth="1"/>
    <col min="8457" max="8457" width="15.1796875" style="205" customWidth="1"/>
    <col min="8458" max="8458" width="3" style="205" customWidth="1"/>
    <col min="8459" max="8459" width="11.90625" style="205" bestFit="1" customWidth="1"/>
    <col min="8460" max="8460" width="3.08984375" style="205" customWidth="1"/>
    <col min="8461" max="8461" width="13.54296875" style="205" bestFit="1" customWidth="1"/>
    <col min="8462" max="8463" width="9.1796875" style="205" customWidth="1"/>
    <col min="8464" max="8708" width="8.7265625" style="205"/>
    <col min="8709" max="8709" width="3.453125" style="205" bestFit="1" customWidth="1"/>
    <col min="8710" max="8710" width="3.453125" style="205" customWidth="1"/>
    <col min="8711" max="8711" width="13.1796875" style="205" customWidth="1"/>
    <col min="8712" max="8712" width="2.6328125" style="205" customWidth="1"/>
    <col min="8713" max="8713" width="15.1796875" style="205" customWidth="1"/>
    <col min="8714" max="8714" width="3" style="205" customWidth="1"/>
    <col min="8715" max="8715" width="11.90625" style="205" bestFit="1" customWidth="1"/>
    <col min="8716" max="8716" width="3.08984375" style="205" customWidth="1"/>
    <col min="8717" max="8717" width="13.54296875" style="205" bestFit="1" customWidth="1"/>
    <col min="8718" max="8719" width="9.1796875" style="205" customWidth="1"/>
    <col min="8720" max="8964" width="8.7265625" style="205"/>
    <col min="8965" max="8965" width="3.453125" style="205" bestFit="1" customWidth="1"/>
    <col min="8966" max="8966" width="3.453125" style="205" customWidth="1"/>
    <col min="8967" max="8967" width="13.1796875" style="205" customWidth="1"/>
    <col min="8968" max="8968" width="2.6328125" style="205" customWidth="1"/>
    <col min="8969" max="8969" width="15.1796875" style="205" customWidth="1"/>
    <col min="8970" max="8970" width="3" style="205" customWidth="1"/>
    <col min="8971" max="8971" width="11.90625" style="205" bestFit="1" customWidth="1"/>
    <col min="8972" max="8972" width="3.08984375" style="205" customWidth="1"/>
    <col min="8973" max="8973" width="13.54296875" style="205" bestFit="1" customWidth="1"/>
    <col min="8974" max="8975" width="9.1796875" style="205" customWidth="1"/>
    <col min="8976" max="9220" width="8.7265625" style="205"/>
    <col min="9221" max="9221" width="3.453125" style="205" bestFit="1" customWidth="1"/>
    <col min="9222" max="9222" width="3.453125" style="205" customWidth="1"/>
    <col min="9223" max="9223" width="13.1796875" style="205" customWidth="1"/>
    <col min="9224" max="9224" width="2.6328125" style="205" customWidth="1"/>
    <col min="9225" max="9225" width="15.1796875" style="205" customWidth="1"/>
    <col min="9226" max="9226" width="3" style="205" customWidth="1"/>
    <col min="9227" max="9227" width="11.90625" style="205" bestFit="1" customWidth="1"/>
    <col min="9228" max="9228" width="3.08984375" style="205" customWidth="1"/>
    <col min="9229" max="9229" width="13.54296875" style="205" bestFit="1" customWidth="1"/>
    <col min="9230" max="9231" width="9.1796875" style="205" customWidth="1"/>
    <col min="9232" max="9476" width="8.7265625" style="205"/>
    <col min="9477" max="9477" width="3.453125" style="205" bestFit="1" customWidth="1"/>
    <col min="9478" max="9478" width="3.453125" style="205" customWidth="1"/>
    <col min="9479" max="9479" width="13.1796875" style="205" customWidth="1"/>
    <col min="9480" max="9480" width="2.6328125" style="205" customWidth="1"/>
    <col min="9481" max="9481" width="15.1796875" style="205" customWidth="1"/>
    <col min="9482" max="9482" width="3" style="205" customWidth="1"/>
    <col min="9483" max="9483" width="11.90625" style="205" bestFit="1" customWidth="1"/>
    <col min="9484" max="9484" width="3.08984375" style="205" customWidth="1"/>
    <col min="9485" max="9485" width="13.54296875" style="205" bestFit="1" customWidth="1"/>
    <col min="9486" max="9487" width="9.1796875" style="205" customWidth="1"/>
    <col min="9488" max="9732" width="8.7265625" style="205"/>
    <col min="9733" max="9733" width="3.453125" style="205" bestFit="1" customWidth="1"/>
    <col min="9734" max="9734" width="3.453125" style="205" customWidth="1"/>
    <col min="9735" max="9735" width="13.1796875" style="205" customWidth="1"/>
    <col min="9736" max="9736" width="2.6328125" style="205" customWidth="1"/>
    <col min="9737" max="9737" width="15.1796875" style="205" customWidth="1"/>
    <col min="9738" max="9738" width="3" style="205" customWidth="1"/>
    <col min="9739" max="9739" width="11.90625" style="205" bestFit="1" customWidth="1"/>
    <col min="9740" max="9740" width="3.08984375" style="205" customWidth="1"/>
    <col min="9741" max="9741" width="13.54296875" style="205" bestFit="1" customWidth="1"/>
    <col min="9742" max="9743" width="9.1796875" style="205" customWidth="1"/>
    <col min="9744" max="9988" width="8.7265625" style="205"/>
    <col min="9989" max="9989" width="3.453125" style="205" bestFit="1" customWidth="1"/>
    <col min="9990" max="9990" width="3.453125" style="205" customWidth="1"/>
    <col min="9991" max="9991" width="13.1796875" style="205" customWidth="1"/>
    <col min="9992" max="9992" width="2.6328125" style="205" customWidth="1"/>
    <col min="9993" max="9993" width="15.1796875" style="205" customWidth="1"/>
    <col min="9994" max="9994" width="3" style="205" customWidth="1"/>
    <col min="9995" max="9995" width="11.90625" style="205" bestFit="1" customWidth="1"/>
    <col min="9996" max="9996" width="3.08984375" style="205" customWidth="1"/>
    <col min="9997" max="9997" width="13.54296875" style="205" bestFit="1" customWidth="1"/>
    <col min="9998" max="9999" width="9.1796875" style="205" customWidth="1"/>
    <col min="10000" max="10244" width="8.7265625" style="205"/>
    <col min="10245" max="10245" width="3.453125" style="205" bestFit="1" customWidth="1"/>
    <col min="10246" max="10246" width="3.453125" style="205" customWidth="1"/>
    <col min="10247" max="10247" width="13.1796875" style="205" customWidth="1"/>
    <col min="10248" max="10248" width="2.6328125" style="205" customWidth="1"/>
    <col min="10249" max="10249" width="15.1796875" style="205" customWidth="1"/>
    <col min="10250" max="10250" width="3" style="205" customWidth="1"/>
    <col min="10251" max="10251" width="11.90625" style="205" bestFit="1" customWidth="1"/>
    <col min="10252" max="10252" width="3.08984375" style="205" customWidth="1"/>
    <col min="10253" max="10253" width="13.54296875" style="205" bestFit="1" customWidth="1"/>
    <col min="10254" max="10255" width="9.1796875" style="205" customWidth="1"/>
    <col min="10256" max="10500" width="8.7265625" style="205"/>
    <col min="10501" max="10501" width="3.453125" style="205" bestFit="1" customWidth="1"/>
    <col min="10502" max="10502" width="3.453125" style="205" customWidth="1"/>
    <col min="10503" max="10503" width="13.1796875" style="205" customWidth="1"/>
    <col min="10504" max="10504" width="2.6328125" style="205" customWidth="1"/>
    <col min="10505" max="10505" width="15.1796875" style="205" customWidth="1"/>
    <col min="10506" max="10506" width="3" style="205" customWidth="1"/>
    <col min="10507" max="10507" width="11.90625" style="205" bestFit="1" customWidth="1"/>
    <col min="10508" max="10508" width="3.08984375" style="205" customWidth="1"/>
    <col min="10509" max="10509" width="13.54296875" style="205" bestFit="1" customWidth="1"/>
    <col min="10510" max="10511" width="9.1796875" style="205" customWidth="1"/>
    <col min="10512" max="10756" width="8.7265625" style="205"/>
    <col min="10757" max="10757" width="3.453125" style="205" bestFit="1" customWidth="1"/>
    <col min="10758" max="10758" width="3.453125" style="205" customWidth="1"/>
    <col min="10759" max="10759" width="13.1796875" style="205" customWidth="1"/>
    <col min="10760" max="10760" width="2.6328125" style="205" customWidth="1"/>
    <col min="10761" max="10761" width="15.1796875" style="205" customWidth="1"/>
    <col min="10762" max="10762" width="3" style="205" customWidth="1"/>
    <col min="10763" max="10763" width="11.90625" style="205" bestFit="1" customWidth="1"/>
    <col min="10764" max="10764" width="3.08984375" style="205" customWidth="1"/>
    <col min="10765" max="10765" width="13.54296875" style="205" bestFit="1" customWidth="1"/>
    <col min="10766" max="10767" width="9.1796875" style="205" customWidth="1"/>
    <col min="10768" max="11012" width="8.7265625" style="205"/>
    <col min="11013" max="11013" width="3.453125" style="205" bestFit="1" customWidth="1"/>
    <col min="11014" max="11014" width="3.453125" style="205" customWidth="1"/>
    <col min="11015" max="11015" width="13.1796875" style="205" customWidth="1"/>
    <col min="11016" max="11016" width="2.6328125" style="205" customWidth="1"/>
    <col min="11017" max="11017" width="15.1796875" style="205" customWidth="1"/>
    <col min="11018" max="11018" width="3" style="205" customWidth="1"/>
    <col min="11019" max="11019" width="11.90625" style="205" bestFit="1" customWidth="1"/>
    <col min="11020" max="11020" width="3.08984375" style="205" customWidth="1"/>
    <col min="11021" max="11021" width="13.54296875" style="205" bestFit="1" customWidth="1"/>
    <col min="11022" max="11023" width="9.1796875" style="205" customWidth="1"/>
    <col min="11024" max="11268" width="8.7265625" style="205"/>
    <col min="11269" max="11269" width="3.453125" style="205" bestFit="1" customWidth="1"/>
    <col min="11270" max="11270" width="3.453125" style="205" customWidth="1"/>
    <col min="11271" max="11271" width="13.1796875" style="205" customWidth="1"/>
    <col min="11272" max="11272" width="2.6328125" style="205" customWidth="1"/>
    <col min="11273" max="11273" width="15.1796875" style="205" customWidth="1"/>
    <col min="11274" max="11274" width="3" style="205" customWidth="1"/>
    <col min="11275" max="11275" width="11.90625" style="205" bestFit="1" customWidth="1"/>
    <col min="11276" max="11276" width="3.08984375" style="205" customWidth="1"/>
    <col min="11277" max="11277" width="13.54296875" style="205" bestFit="1" customWidth="1"/>
    <col min="11278" max="11279" width="9.1796875" style="205" customWidth="1"/>
    <col min="11280" max="11524" width="8.7265625" style="205"/>
    <col min="11525" max="11525" width="3.453125" style="205" bestFit="1" customWidth="1"/>
    <col min="11526" max="11526" width="3.453125" style="205" customWidth="1"/>
    <col min="11527" max="11527" width="13.1796875" style="205" customWidth="1"/>
    <col min="11528" max="11528" width="2.6328125" style="205" customWidth="1"/>
    <col min="11529" max="11529" width="15.1796875" style="205" customWidth="1"/>
    <col min="11530" max="11530" width="3" style="205" customWidth="1"/>
    <col min="11531" max="11531" width="11.90625" style="205" bestFit="1" customWidth="1"/>
    <col min="11532" max="11532" width="3.08984375" style="205" customWidth="1"/>
    <col min="11533" max="11533" width="13.54296875" style="205" bestFit="1" customWidth="1"/>
    <col min="11534" max="11535" width="9.1796875" style="205" customWidth="1"/>
    <col min="11536" max="11780" width="8.7265625" style="205"/>
    <col min="11781" max="11781" width="3.453125" style="205" bestFit="1" customWidth="1"/>
    <col min="11782" max="11782" width="3.453125" style="205" customWidth="1"/>
    <col min="11783" max="11783" width="13.1796875" style="205" customWidth="1"/>
    <col min="11784" max="11784" width="2.6328125" style="205" customWidth="1"/>
    <col min="11785" max="11785" width="15.1796875" style="205" customWidth="1"/>
    <col min="11786" max="11786" width="3" style="205" customWidth="1"/>
    <col min="11787" max="11787" width="11.90625" style="205" bestFit="1" customWidth="1"/>
    <col min="11788" max="11788" width="3.08984375" style="205" customWidth="1"/>
    <col min="11789" max="11789" width="13.54296875" style="205" bestFit="1" customWidth="1"/>
    <col min="11790" max="11791" width="9.1796875" style="205" customWidth="1"/>
    <col min="11792" max="12036" width="8.7265625" style="205"/>
    <col min="12037" max="12037" width="3.453125" style="205" bestFit="1" customWidth="1"/>
    <col min="12038" max="12038" width="3.453125" style="205" customWidth="1"/>
    <col min="12039" max="12039" width="13.1796875" style="205" customWidth="1"/>
    <col min="12040" max="12040" width="2.6328125" style="205" customWidth="1"/>
    <col min="12041" max="12041" width="15.1796875" style="205" customWidth="1"/>
    <col min="12042" max="12042" width="3" style="205" customWidth="1"/>
    <col min="12043" max="12043" width="11.90625" style="205" bestFit="1" customWidth="1"/>
    <col min="12044" max="12044" width="3.08984375" style="205" customWidth="1"/>
    <col min="12045" max="12045" width="13.54296875" style="205" bestFit="1" customWidth="1"/>
    <col min="12046" max="12047" width="9.1796875" style="205" customWidth="1"/>
    <col min="12048" max="12292" width="8.7265625" style="205"/>
    <col min="12293" max="12293" width="3.453125" style="205" bestFit="1" customWidth="1"/>
    <col min="12294" max="12294" width="3.453125" style="205" customWidth="1"/>
    <col min="12295" max="12295" width="13.1796875" style="205" customWidth="1"/>
    <col min="12296" max="12296" width="2.6328125" style="205" customWidth="1"/>
    <col min="12297" max="12297" width="15.1796875" style="205" customWidth="1"/>
    <col min="12298" max="12298" width="3" style="205" customWidth="1"/>
    <col min="12299" max="12299" width="11.90625" style="205" bestFit="1" customWidth="1"/>
    <col min="12300" max="12300" width="3.08984375" style="205" customWidth="1"/>
    <col min="12301" max="12301" width="13.54296875" style="205" bestFit="1" customWidth="1"/>
    <col min="12302" max="12303" width="9.1796875" style="205" customWidth="1"/>
    <col min="12304" max="12548" width="8.7265625" style="205"/>
    <col min="12549" max="12549" width="3.453125" style="205" bestFit="1" customWidth="1"/>
    <col min="12550" max="12550" width="3.453125" style="205" customWidth="1"/>
    <col min="12551" max="12551" width="13.1796875" style="205" customWidth="1"/>
    <col min="12552" max="12552" width="2.6328125" style="205" customWidth="1"/>
    <col min="12553" max="12553" width="15.1796875" style="205" customWidth="1"/>
    <col min="12554" max="12554" width="3" style="205" customWidth="1"/>
    <col min="12555" max="12555" width="11.90625" style="205" bestFit="1" customWidth="1"/>
    <col min="12556" max="12556" width="3.08984375" style="205" customWidth="1"/>
    <col min="12557" max="12557" width="13.54296875" style="205" bestFit="1" customWidth="1"/>
    <col min="12558" max="12559" width="9.1796875" style="205" customWidth="1"/>
    <col min="12560" max="12804" width="8.7265625" style="205"/>
    <col min="12805" max="12805" width="3.453125" style="205" bestFit="1" customWidth="1"/>
    <col min="12806" max="12806" width="3.453125" style="205" customWidth="1"/>
    <col min="12807" max="12807" width="13.1796875" style="205" customWidth="1"/>
    <col min="12808" max="12808" width="2.6328125" style="205" customWidth="1"/>
    <col min="12809" max="12809" width="15.1796875" style="205" customWidth="1"/>
    <col min="12810" max="12810" width="3" style="205" customWidth="1"/>
    <col min="12811" max="12811" width="11.90625" style="205" bestFit="1" customWidth="1"/>
    <col min="12812" max="12812" width="3.08984375" style="205" customWidth="1"/>
    <col min="12813" max="12813" width="13.54296875" style="205" bestFit="1" customWidth="1"/>
    <col min="12814" max="12815" width="9.1796875" style="205" customWidth="1"/>
    <col min="12816" max="13060" width="8.7265625" style="205"/>
    <col min="13061" max="13061" width="3.453125" style="205" bestFit="1" customWidth="1"/>
    <col min="13062" max="13062" width="3.453125" style="205" customWidth="1"/>
    <col min="13063" max="13063" width="13.1796875" style="205" customWidth="1"/>
    <col min="13064" max="13064" width="2.6328125" style="205" customWidth="1"/>
    <col min="13065" max="13065" width="15.1796875" style="205" customWidth="1"/>
    <col min="13066" max="13066" width="3" style="205" customWidth="1"/>
    <col min="13067" max="13067" width="11.90625" style="205" bestFit="1" customWidth="1"/>
    <col min="13068" max="13068" width="3.08984375" style="205" customWidth="1"/>
    <col min="13069" max="13069" width="13.54296875" style="205" bestFit="1" customWidth="1"/>
    <col min="13070" max="13071" width="9.1796875" style="205" customWidth="1"/>
    <col min="13072" max="13316" width="8.7265625" style="205"/>
    <col min="13317" max="13317" width="3.453125" style="205" bestFit="1" customWidth="1"/>
    <col min="13318" max="13318" width="3.453125" style="205" customWidth="1"/>
    <col min="13319" max="13319" width="13.1796875" style="205" customWidth="1"/>
    <col min="13320" max="13320" width="2.6328125" style="205" customWidth="1"/>
    <col min="13321" max="13321" width="15.1796875" style="205" customWidth="1"/>
    <col min="13322" max="13322" width="3" style="205" customWidth="1"/>
    <col min="13323" max="13323" width="11.90625" style="205" bestFit="1" customWidth="1"/>
    <col min="13324" max="13324" width="3.08984375" style="205" customWidth="1"/>
    <col min="13325" max="13325" width="13.54296875" style="205" bestFit="1" customWidth="1"/>
    <col min="13326" max="13327" width="9.1796875" style="205" customWidth="1"/>
    <col min="13328" max="13572" width="8.7265625" style="205"/>
    <col min="13573" max="13573" width="3.453125" style="205" bestFit="1" customWidth="1"/>
    <col min="13574" max="13574" width="3.453125" style="205" customWidth="1"/>
    <col min="13575" max="13575" width="13.1796875" style="205" customWidth="1"/>
    <col min="13576" max="13576" width="2.6328125" style="205" customWidth="1"/>
    <col min="13577" max="13577" width="15.1796875" style="205" customWidth="1"/>
    <col min="13578" max="13578" width="3" style="205" customWidth="1"/>
    <col min="13579" max="13579" width="11.90625" style="205" bestFit="1" customWidth="1"/>
    <col min="13580" max="13580" width="3.08984375" style="205" customWidth="1"/>
    <col min="13581" max="13581" width="13.54296875" style="205" bestFit="1" customWidth="1"/>
    <col min="13582" max="13583" width="9.1796875" style="205" customWidth="1"/>
    <col min="13584" max="13828" width="8.7265625" style="205"/>
    <col min="13829" max="13829" width="3.453125" style="205" bestFit="1" customWidth="1"/>
    <col min="13830" max="13830" width="3.453125" style="205" customWidth="1"/>
    <col min="13831" max="13831" width="13.1796875" style="205" customWidth="1"/>
    <col min="13832" max="13832" width="2.6328125" style="205" customWidth="1"/>
    <col min="13833" max="13833" width="15.1796875" style="205" customWidth="1"/>
    <col min="13834" max="13834" width="3" style="205" customWidth="1"/>
    <col min="13835" max="13835" width="11.90625" style="205" bestFit="1" customWidth="1"/>
    <col min="13836" max="13836" width="3.08984375" style="205" customWidth="1"/>
    <col min="13837" max="13837" width="13.54296875" style="205" bestFit="1" customWidth="1"/>
    <col min="13838" max="13839" width="9.1796875" style="205" customWidth="1"/>
    <col min="13840" max="14084" width="8.7265625" style="205"/>
    <col min="14085" max="14085" width="3.453125" style="205" bestFit="1" customWidth="1"/>
    <col min="14086" max="14086" width="3.453125" style="205" customWidth="1"/>
    <col min="14087" max="14087" width="13.1796875" style="205" customWidth="1"/>
    <col min="14088" max="14088" width="2.6328125" style="205" customWidth="1"/>
    <col min="14089" max="14089" width="15.1796875" style="205" customWidth="1"/>
    <col min="14090" max="14090" width="3" style="205" customWidth="1"/>
    <col min="14091" max="14091" width="11.90625" style="205" bestFit="1" customWidth="1"/>
    <col min="14092" max="14092" width="3.08984375" style="205" customWidth="1"/>
    <col min="14093" max="14093" width="13.54296875" style="205" bestFit="1" customWidth="1"/>
    <col min="14094" max="14095" width="9.1796875" style="205" customWidth="1"/>
    <col min="14096" max="14340" width="8.7265625" style="205"/>
    <col min="14341" max="14341" width="3.453125" style="205" bestFit="1" customWidth="1"/>
    <col min="14342" max="14342" width="3.453125" style="205" customWidth="1"/>
    <col min="14343" max="14343" width="13.1796875" style="205" customWidth="1"/>
    <col min="14344" max="14344" width="2.6328125" style="205" customWidth="1"/>
    <col min="14345" max="14345" width="15.1796875" style="205" customWidth="1"/>
    <col min="14346" max="14346" width="3" style="205" customWidth="1"/>
    <col min="14347" max="14347" width="11.90625" style="205" bestFit="1" customWidth="1"/>
    <col min="14348" max="14348" width="3.08984375" style="205" customWidth="1"/>
    <col min="14349" max="14349" width="13.54296875" style="205" bestFit="1" customWidth="1"/>
    <col min="14350" max="14351" width="9.1796875" style="205" customWidth="1"/>
    <col min="14352" max="14596" width="8.7265625" style="205"/>
    <col min="14597" max="14597" width="3.453125" style="205" bestFit="1" customWidth="1"/>
    <col min="14598" max="14598" width="3.453125" style="205" customWidth="1"/>
    <col min="14599" max="14599" width="13.1796875" style="205" customWidth="1"/>
    <col min="14600" max="14600" width="2.6328125" style="205" customWidth="1"/>
    <col min="14601" max="14601" width="15.1796875" style="205" customWidth="1"/>
    <col min="14602" max="14602" width="3" style="205" customWidth="1"/>
    <col min="14603" max="14603" width="11.90625" style="205" bestFit="1" customWidth="1"/>
    <col min="14604" max="14604" width="3.08984375" style="205" customWidth="1"/>
    <col min="14605" max="14605" width="13.54296875" style="205" bestFit="1" customWidth="1"/>
    <col min="14606" max="14607" width="9.1796875" style="205" customWidth="1"/>
    <col min="14608" max="14852" width="8.7265625" style="205"/>
    <col min="14853" max="14853" width="3.453125" style="205" bestFit="1" customWidth="1"/>
    <col min="14854" max="14854" width="3.453125" style="205" customWidth="1"/>
    <col min="14855" max="14855" width="13.1796875" style="205" customWidth="1"/>
    <col min="14856" max="14856" width="2.6328125" style="205" customWidth="1"/>
    <col min="14857" max="14857" width="15.1796875" style="205" customWidth="1"/>
    <col min="14858" max="14858" width="3" style="205" customWidth="1"/>
    <col min="14859" max="14859" width="11.90625" style="205" bestFit="1" customWidth="1"/>
    <col min="14860" max="14860" width="3.08984375" style="205" customWidth="1"/>
    <col min="14861" max="14861" width="13.54296875" style="205" bestFit="1" customWidth="1"/>
    <col min="14862" max="14863" width="9.1796875" style="205" customWidth="1"/>
    <col min="14864" max="15108" width="8.7265625" style="205"/>
    <col min="15109" max="15109" width="3.453125" style="205" bestFit="1" customWidth="1"/>
    <col min="15110" max="15110" width="3.453125" style="205" customWidth="1"/>
    <col min="15111" max="15111" width="13.1796875" style="205" customWidth="1"/>
    <col min="15112" max="15112" width="2.6328125" style="205" customWidth="1"/>
    <col min="15113" max="15113" width="15.1796875" style="205" customWidth="1"/>
    <col min="15114" max="15114" width="3" style="205" customWidth="1"/>
    <col min="15115" max="15115" width="11.90625" style="205" bestFit="1" customWidth="1"/>
    <col min="15116" max="15116" width="3.08984375" style="205" customWidth="1"/>
    <col min="15117" max="15117" width="13.54296875" style="205" bestFit="1" customWidth="1"/>
    <col min="15118" max="15119" width="9.1796875" style="205" customWidth="1"/>
    <col min="15120" max="15364" width="8.7265625" style="205"/>
    <col min="15365" max="15365" width="3.453125" style="205" bestFit="1" customWidth="1"/>
    <col min="15366" max="15366" width="3.453125" style="205" customWidth="1"/>
    <col min="15367" max="15367" width="13.1796875" style="205" customWidth="1"/>
    <col min="15368" max="15368" width="2.6328125" style="205" customWidth="1"/>
    <col min="15369" max="15369" width="15.1796875" style="205" customWidth="1"/>
    <col min="15370" max="15370" width="3" style="205" customWidth="1"/>
    <col min="15371" max="15371" width="11.90625" style="205" bestFit="1" customWidth="1"/>
    <col min="15372" max="15372" width="3.08984375" style="205" customWidth="1"/>
    <col min="15373" max="15373" width="13.54296875" style="205" bestFit="1" customWidth="1"/>
    <col min="15374" max="15375" width="9.1796875" style="205" customWidth="1"/>
    <col min="15376" max="15620" width="8.7265625" style="205"/>
    <col min="15621" max="15621" width="3.453125" style="205" bestFit="1" customWidth="1"/>
    <col min="15622" max="15622" width="3.453125" style="205" customWidth="1"/>
    <col min="15623" max="15623" width="13.1796875" style="205" customWidth="1"/>
    <col min="15624" max="15624" width="2.6328125" style="205" customWidth="1"/>
    <col min="15625" max="15625" width="15.1796875" style="205" customWidth="1"/>
    <col min="15626" max="15626" width="3" style="205" customWidth="1"/>
    <col min="15627" max="15627" width="11.90625" style="205" bestFit="1" customWidth="1"/>
    <col min="15628" max="15628" width="3.08984375" style="205" customWidth="1"/>
    <col min="15629" max="15629" width="13.54296875" style="205" bestFit="1" customWidth="1"/>
    <col min="15630" max="15631" width="9.1796875" style="205" customWidth="1"/>
    <col min="15632" max="15876" width="8.7265625" style="205"/>
    <col min="15877" max="15877" width="3.453125" style="205" bestFit="1" customWidth="1"/>
    <col min="15878" max="15878" width="3.453125" style="205" customWidth="1"/>
    <col min="15879" max="15879" width="13.1796875" style="205" customWidth="1"/>
    <col min="15880" max="15880" width="2.6328125" style="205" customWidth="1"/>
    <col min="15881" max="15881" width="15.1796875" style="205" customWidth="1"/>
    <col min="15882" max="15882" width="3" style="205" customWidth="1"/>
    <col min="15883" max="15883" width="11.90625" style="205" bestFit="1" customWidth="1"/>
    <col min="15884" max="15884" width="3.08984375" style="205" customWidth="1"/>
    <col min="15885" max="15885" width="13.54296875" style="205" bestFit="1" customWidth="1"/>
    <col min="15886" max="15887" width="9.1796875" style="205" customWidth="1"/>
    <col min="15888" max="16132" width="8.7265625" style="205"/>
    <col min="16133" max="16133" width="3.453125" style="205" bestFit="1" customWidth="1"/>
    <col min="16134" max="16134" width="3.453125" style="205" customWidth="1"/>
    <col min="16135" max="16135" width="13.1796875" style="205" customWidth="1"/>
    <col min="16136" max="16136" width="2.6328125" style="205" customWidth="1"/>
    <col min="16137" max="16137" width="15.1796875" style="205" customWidth="1"/>
    <col min="16138" max="16138" width="3" style="205" customWidth="1"/>
    <col min="16139" max="16139" width="11.90625" style="205" bestFit="1" customWidth="1"/>
    <col min="16140" max="16140" width="3.08984375" style="205" customWidth="1"/>
    <col min="16141" max="16141" width="13.54296875" style="205" bestFit="1" customWidth="1"/>
    <col min="16142" max="16143" width="9.1796875" style="205" customWidth="1"/>
    <col min="16144" max="16384" width="8.7265625" style="205"/>
  </cols>
  <sheetData>
    <row r="3" spans="1:19" s="147" customFormat="1" ht="15" customHeight="1">
      <c r="A3" s="124" t="s">
        <v>241</v>
      </c>
      <c r="B3" s="124"/>
      <c r="C3" s="124"/>
      <c r="D3" s="124"/>
      <c r="E3" s="124"/>
      <c r="F3" s="124"/>
      <c r="G3" s="124"/>
      <c r="H3" s="124"/>
      <c r="I3" s="124"/>
      <c r="J3" s="124"/>
      <c r="K3" s="124"/>
      <c r="L3" s="124"/>
      <c r="M3" s="124"/>
      <c r="N3" s="244"/>
      <c r="O3" s="244"/>
    </row>
    <row r="4" spans="1:19" s="147" customFormat="1" ht="15" customHeight="1">
      <c r="A4" s="124" t="s">
        <v>242</v>
      </c>
      <c r="B4" s="124"/>
      <c r="C4" s="124"/>
      <c r="D4" s="124"/>
      <c r="E4" s="124"/>
      <c r="F4" s="124"/>
      <c r="G4" s="124"/>
      <c r="H4" s="124"/>
      <c r="I4" s="124"/>
      <c r="J4" s="124"/>
      <c r="K4" s="124"/>
      <c r="L4" s="124"/>
      <c r="M4" s="124"/>
      <c r="N4" s="244"/>
      <c r="O4" s="244"/>
    </row>
    <row r="5" spans="1:19" s="147" customFormat="1" ht="15" customHeight="1">
      <c r="A5" s="124" t="s">
        <v>2</v>
      </c>
      <c r="B5" s="124"/>
      <c r="C5" s="124"/>
      <c r="D5" s="124"/>
      <c r="E5" s="124"/>
      <c r="F5" s="124"/>
      <c r="G5" s="124"/>
      <c r="H5" s="124"/>
      <c r="I5" s="124"/>
      <c r="J5" s="124"/>
      <c r="K5" s="124"/>
      <c r="L5" s="124"/>
      <c r="M5" s="124"/>
      <c r="N5" s="244"/>
      <c r="O5" s="244"/>
    </row>
    <row r="6" spans="1:19" s="147" customFormat="1" ht="13.2">
      <c r="A6" s="126"/>
      <c r="B6" s="126"/>
      <c r="C6" s="128"/>
      <c r="D6" s="128"/>
      <c r="E6" s="128"/>
      <c r="F6" s="128"/>
      <c r="G6" s="128"/>
      <c r="H6" s="128"/>
      <c r="I6" s="128"/>
      <c r="J6" s="128"/>
      <c r="K6" s="128"/>
      <c r="L6" s="128"/>
      <c r="M6" s="128" t="s">
        <v>388</v>
      </c>
      <c r="N6" s="126"/>
      <c r="O6" s="244"/>
    </row>
    <row r="7" spans="1:19" s="147" customFormat="1" ht="16.2">
      <c r="C7" s="128" t="s">
        <v>22</v>
      </c>
      <c r="D7" s="128"/>
      <c r="E7" s="128" t="s">
        <v>209</v>
      </c>
      <c r="F7" s="128"/>
      <c r="G7" s="131" t="s">
        <v>208</v>
      </c>
      <c r="H7" s="128"/>
      <c r="I7" s="131" t="s">
        <v>215</v>
      </c>
      <c r="J7" s="131"/>
      <c r="K7" s="128" t="s">
        <v>214</v>
      </c>
      <c r="L7" s="131"/>
      <c r="M7" s="131" t="s">
        <v>207</v>
      </c>
    </row>
    <row r="8" spans="1:19" s="147" customFormat="1" ht="13.2">
      <c r="A8" s="128" t="s">
        <v>3</v>
      </c>
      <c r="B8" s="128"/>
      <c r="C8" s="128"/>
      <c r="D8" s="128"/>
      <c r="E8" s="128" t="s">
        <v>206</v>
      </c>
      <c r="F8" s="128"/>
      <c r="G8" s="128" t="s">
        <v>205</v>
      </c>
      <c r="H8" s="128"/>
      <c r="I8" s="128"/>
      <c r="J8" s="128"/>
      <c r="K8" s="128" t="s">
        <v>389</v>
      </c>
      <c r="L8" s="128"/>
      <c r="M8" s="128" t="s">
        <v>204</v>
      </c>
    </row>
    <row r="9" spans="1:19" s="147" customFormat="1" ht="13.2">
      <c r="A9" s="149" t="s">
        <v>5</v>
      </c>
      <c r="B9" s="149"/>
      <c r="C9" s="149" t="s">
        <v>203</v>
      </c>
      <c r="D9" s="149"/>
      <c r="E9" s="245" t="s">
        <v>202</v>
      </c>
      <c r="F9" s="245"/>
      <c r="G9" s="246" t="s">
        <v>201</v>
      </c>
      <c r="H9" s="245"/>
      <c r="I9" s="149" t="s">
        <v>216</v>
      </c>
      <c r="J9" s="246"/>
      <c r="K9" s="149" t="s">
        <v>390</v>
      </c>
      <c r="L9" s="246"/>
      <c r="M9" s="150" t="s">
        <v>200</v>
      </c>
    </row>
    <row r="10" spans="1:19" s="147" customFormat="1" ht="13.2">
      <c r="A10" s="128"/>
      <c r="B10" s="247" t="s">
        <v>384</v>
      </c>
      <c r="D10" s="159"/>
      <c r="E10" s="248"/>
      <c r="F10" s="248"/>
      <c r="G10" s="249"/>
      <c r="H10" s="248"/>
      <c r="I10" s="249"/>
      <c r="J10" s="249"/>
      <c r="K10" s="249"/>
      <c r="L10" s="249"/>
      <c r="M10" s="148"/>
    </row>
    <row r="11" spans="1:19" s="147" customFormat="1" ht="15.6">
      <c r="A11" s="128">
        <v>1</v>
      </c>
      <c r="B11" s="128"/>
      <c r="C11" s="250">
        <v>45627</v>
      </c>
      <c r="D11" s="251"/>
      <c r="E11" s="131">
        <v>73208646.720000058</v>
      </c>
      <c r="F11" s="131"/>
      <c r="G11" s="131">
        <v>6753338.9000000004</v>
      </c>
      <c r="H11" s="131"/>
      <c r="I11" s="131">
        <v>74531736.210000008</v>
      </c>
      <c r="J11" s="131"/>
      <c r="K11" s="131">
        <v>16792412</v>
      </c>
      <c r="L11" s="131"/>
      <c r="M11" s="131">
        <f>E11+G11+K11+I11</f>
        <v>171286133.83000007</v>
      </c>
      <c r="N11" s="131"/>
      <c r="O11" s="131"/>
      <c r="P11" s="6"/>
      <c r="R11" s="6"/>
      <c r="S11" s="6"/>
    </row>
    <row r="12" spans="1:19" s="147" customFormat="1" ht="15.6">
      <c r="A12" s="252">
        <f t="shared" ref="A12:A30" si="0">A11+1</f>
        <v>2</v>
      </c>
      <c r="B12" s="252"/>
      <c r="C12" s="250">
        <v>45658</v>
      </c>
      <c r="D12" s="251"/>
      <c r="E12" s="131">
        <v>69118027.329999983</v>
      </c>
      <c r="F12" s="131"/>
      <c r="G12" s="131">
        <v>8480806.540000001</v>
      </c>
      <c r="H12" s="131"/>
      <c r="I12" s="131">
        <v>74911053.980000019</v>
      </c>
      <c r="J12" s="131"/>
      <c r="K12" s="131">
        <v>16792412</v>
      </c>
      <c r="L12" s="131"/>
      <c r="M12" s="131">
        <f t="shared" ref="M12:M23" si="1">E12+G12+K12+I12</f>
        <v>169302299.85000002</v>
      </c>
      <c r="N12" s="253"/>
      <c r="O12" s="253"/>
      <c r="P12" s="6"/>
      <c r="R12" s="6"/>
      <c r="S12" s="6"/>
    </row>
    <row r="13" spans="1:19" ht="15.6">
      <c r="A13" s="252">
        <f t="shared" si="0"/>
        <v>3</v>
      </c>
      <c r="B13" s="252"/>
      <c r="C13" s="250">
        <v>45689</v>
      </c>
      <c r="D13" s="251"/>
      <c r="E13" s="131">
        <v>68398542.350000009</v>
      </c>
      <c r="F13" s="131"/>
      <c r="G13" s="131">
        <v>8480806.540000001</v>
      </c>
      <c r="H13" s="131"/>
      <c r="I13" s="131">
        <v>75127294.070000008</v>
      </c>
      <c r="J13" s="131"/>
      <c r="K13" s="131">
        <v>16792412</v>
      </c>
      <c r="L13" s="131"/>
      <c r="M13" s="131">
        <f t="shared" si="1"/>
        <v>168799054.96000004</v>
      </c>
      <c r="N13" s="254"/>
      <c r="O13" s="131"/>
      <c r="P13" s="6"/>
      <c r="R13" s="95"/>
      <c r="S13" s="6"/>
    </row>
    <row r="14" spans="1:19" ht="15.6">
      <c r="A14" s="252">
        <f t="shared" si="0"/>
        <v>4</v>
      </c>
      <c r="B14" s="252"/>
      <c r="C14" s="250">
        <v>45717</v>
      </c>
      <c r="D14" s="251"/>
      <c r="E14" s="131">
        <v>67948806.400000006</v>
      </c>
      <c r="F14" s="131"/>
      <c r="G14" s="131">
        <v>8477501.4800000004</v>
      </c>
      <c r="H14" s="131"/>
      <c r="I14" s="131">
        <v>75077348.730000004</v>
      </c>
      <c r="J14" s="131"/>
      <c r="K14" s="131">
        <v>16792412</v>
      </c>
      <c r="L14" s="131"/>
      <c r="M14" s="131">
        <f t="shared" si="1"/>
        <v>168296068.61000001</v>
      </c>
      <c r="N14" s="4"/>
      <c r="O14" s="6"/>
      <c r="P14" s="6"/>
      <c r="R14" s="95"/>
      <c r="S14" s="6"/>
    </row>
    <row r="15" spans="1:19" ht="15.6">
      <c r="A15" s="252">
        <f t="shared" si="0"/>
        <v>5</v>
      </c>
      <c r="B15" s="252"/>
      <c r="C15" s="250">
        <v>45748</v>
      </c>
      <c r="D15" s="251"/>
      <c r="E15" s="131">
        <v>68007255.860000059</v>
      </c>
      <c r="F15" s="131"/>
      <c r="G15" s="131">
        <v>8427300.9700000007</v>
      </c>
      <c r="H15" s="131"/>
      <c r="I15" s="131">
        <v>75082694.220000014</v>
      </c>
      <c r="J15" s="131"/>
      <c r="K15" s="131">
        <v>16792412</v>
      </c>
      <c r="L15" s="131"/>
      <c r="M15" s="131">
        <f t="shared" si="1"/>
        <v>168309663.05000007</v>
      </c>
      <c r="N15" s="4"/>
      <c r="O15" s="131"/>
      <c r="P15" s="6"/>
      <c r="R15" s="95"/>
      <c r="S15" s="6"/>
    </row>
    <row r="16" spans="1:19" ht="15.6">
      <c r="A16" s="252">
        <f t="shared" si="0"/>
        <v>6</v>
      </c>
      <c r="B16" s="252"/>
      <c r="C16" s="250">
        <v>45778</v>
      </c>
      <c r="D16" s="251"/>
      <c r="E16" s="131">
        <v>67538599.590000093</v>
      </c>
      <c r="F16" s="131"/>
      <c r="G16" s="131">
        <v>8998535.7300000004</v>
      </c>
      <c r="H16" s="131"/>
      <c r="I16" s="131">
        <v>75082958.659999996</v>
      </c>
      <c r="J16" s="131"/>
      <c r="K16" s="131">
        <v>16816691</v>
      </c>
      <c r="L16" s="131"/>
      <c r="M16" s="131">
        <f t="shared" si="1"/>
        <v>168436784.98000008</v>
      </c>
      <c r="N16" s="4"/>
      <c r="O16" s="6"/>
      <c r="P16" s="6"/>
      <c r="R16" s="95"/>
      <c r="S16" s="6"/>
    </row>
    <row r="17" spans="1:28" ht="15.6">
      <c r="A17" s="252">
        <f t="shared" si="0"/>
        <v>7</v>
      </c>
      <c r="B17" s="252"/>
      <c r="C17" s="250">
        <v>45809</v>
      </c>
      <c r="D17" s="251"/>
      <c r="E17" s="131">
        <v>67735739.770000055</v>
      </c>
      <c r="F17" s="131"/>
      <c r="G17" s="131">
        <v>8913865.8000000007</v>
      </c>
      <c r="H17" s="131"/>
      <c r="I17" s="131">
        <v>75255506.910000011</v>
      </c>
      <c r="J17" s="131"/>
      <c r="K17" s="131">
        <v>16816691</v>
      </c>
      <c r="L17" s="131"/>
      <c r="M17" s="131">
        <f t="shared" si="1"/>
        <v>168721803.48000008</v>
      </c>
      <c r="P17" s="6"/>
      <c r="R17" s="95"/>
      <c r="S17" s="6"/>
    </row>
    <row r="18" spans="1:28" ht="15.6">
      <c r="A18" s="252">
        <f t="shared" si="0"/>
        <v>8</v>
      </c>
      <c r="B18" s="252"/>
      <c r="C18" s="250">
        <v>45839</v>
      </c>
      <c r="D18" s="251"/>
      <c r="E18" s="131">
        <v>69644955.920000032</v>
      </c>
      <c r="F18" s="131"/>
      <c r="G18" s="131">
        <v>8913865.8000000007</v>
      </c>
      <c r="H18" s="131"/>
      <c r="I18" s="131">
        <v>75255506.910000011</v>
      </c>
      <c r="J18" s="131"/>
      <c r="K18" s="131">
        <v>16816691</v>
      </c>
      <c r="L18" s="131"/>
      <c r="M18" s="131">
        <f>E18+G18+K18+I18</f>
        <v>170631019.63000005</v>
      </c>
      <c r="O18" s="147"/>
      <c r="P18" s="6"/>
      <c r="R18" s="95"/>
      <c r="S18" s="6"/>
    </row>
    <row r="19" spans="1:28" ht="15.6">
      <c r="A19" s="252">
        <f t="shared" si="0"/>
        <v>9</v>
      </c>
      <c r="B19" s="252"/>
      <c r="C19" s="250">
        <v>45870</v>
      </c>
      <c r="D19" s="251"/>
      <c r="E19" s="131">
        <v>70155648.920000076</v>
      </c>
      <c r="F19" s="131"/>
      <c r="G19" s="131">
        <v>8924932.4800000004</v>
      </c>
      <c r="H19" s="131"/>
      <c r="I19" s="131">
        <v>75348810.599999994</v>
      </c>
      <c r="J19" s="131"/>
      <c r="K19" s="131">
        <v>16816691</v>
      </c>
      <c r="L19" s="131"/>
      <c r="M19" s="131">
        <f t="shared" si="1"/>
        <v>171246083.00000006</v>
      </c>
      <c r="O19" s="147"/>
      <c r="P19" s="6"/>
      <c r="R19" s="95"/>
      <c r="S19" s="6"/>
    </row>
    <row r="20" spans="1:28" ht="15.6">
      <c r="A20" s="252">
        <f t="shared" si="0"/>
        <v>10</v>
      </c>
      <c r="B20" s="252"/>
      <c r="C20" s="250">
        <v>45901</v>
      </c>
      <c r="D20" s="251"/>
      <c r="E20" s="131">
        <v>69205921.480000108</v>
      </c>
      <c r="F20" s="131"/>
      <c r="G20" s="131">
        <v>8936037.9800000004</v>
      </c>
      <c r="H20" s="131"/>
      <c r="I20" s="131">
        <v>75323933.780000001</v>
      </c>
      <c r="J20" s="131"/>
      <c r="K20" s="131">
        <v>16816691</v>
      </c>
      <c r="L20" s="131"/>
      <c r="M20" s="131">
        <f t="shared" si="1"/>
        <v>170282584.24000013</v>
      </c>
      <c r="O20" s="147"/>
      <c r="P20" s="6"/>
      <c r="R20" s="95"/>
      <c r="S20" s="6"/>
    </row>
    <row r="21" spans="1:28" ht="15.6">
      <c r="A21" s="252">
        <f t="shared" si="0"/>
        <v>11</v>
      </c>
      <c r="B21" s="252"/>
      <c r="C21" s="250">
        <v>45931</v>
      </c>
      <c r="D21" s="251"/>
      <c r="E21" s="131">
        <v>68040118.00000006</v>
      </c>
      <c r="F21" s="131"/>
      <c r="G21" s="131">
        <v>10213409.280000001</v>
      </c>
      <c r="H21" s="131"/>
      <c r="I21" s="131">
        <v>75816740.780000001</v>
      </c>
      <c r="J21" s="131"/>
      <c r="K21" s="131">
        <v>16642783</v>
      </c>
      <c r="L21" s="131"/>
      <c r="M21" s="131">
        <f t="shared" si="1"/>
        <v>170713051.06000006</v>
      </c>
      <c r="O21" s="147"/>
      <c r="P21" s="6"/>
      <c r="R21" s="95"/>
      <c r="S21" s="6"/>
    </row>
    <row r="22" spans="1:28" ht="15.6">
      <c r="A22" s="252">
        <f t="shared" si="0"/>
        <v>12</v>
      </c>
      <c r="B22" s="252"/>
      <c r="C22" s="250">
        <v>45962</v>
      </c>
      <c r="D22" s="251"/>
      <c r="E22" s="131">
        <v>67987878.670000061</v>
      </c>
      <c r="F22" s="131"/>
      <c r="G22" s="131">
        <v>10322349.020000001</v>
      </c>
      <c r="H22" s="131"/>
      <c r="I22" s="131">
        <v>75822872.070000008</v>
      </c>
      <c r="J22" s="131"/>
      <c r="K22" s="131">
        <v>16642783</v>
      </c>
      <c r="L22" s="131"/>
      <c r="M22" s="131">
        <f t="shared" si="1"/>
        <v>170775882.76000005</v>
      </c>
      <c r="O22" s="147"/>
      <c r="P22" s="96"/>
      <c r="Q22" s="255"/>
      <c r="R22" s="97"/>
      <c r="S22" s="96"/>
      <c r="T22" s="255"/>
      <c r="U22" s="255"/>
      <c r="V22" s="255"/>
      <c r="W22" s="255"/>
      <c r="X22" s="255"/>
      <c r="Y22" s="255"/>
      <c r="Z22" s="255"/>
      <c r="AA22" s="255"/>
      <c r="AB22" s="255"/>
    </row>
    <row r="23" spans="1:28" ht="15.6">
      <c r="A23" s="252">
        <f t="shared" si="0"/>
        <v>13</v>
      </c>
      <c r="B23" s="252"/>
      <c r="C23" s="250">
        <v>45992</v>
      </c>
      <c r="D23" s="251"/>
      <c r="E23" s="131">
        <v>67951828.110000089</v>
      </c>
      <c r="F23" s="131"/>
      <c r="G23" s="131">
        <v>10799267.960000001</v>
      </c>
      <c r="H23" s="131"/>
      <c r="I23" s="131">
        <v>76244466.679999992</v>
      </c>
      <c r="J23" s="131"/>
      <c r="K23" s="131">
        <v>16642782</v>
      </c>
      <c r="L23" s="131"/>
      <c r="M23" s="131">
        <f t="shared" si="1"/>
        <v>171638344.75000006</v>
      </c>
      <c r="O23" s="147"/>
      <c r="P23" s="96"/>
      <c r="Q23" s="255"/>
      <c r="R23" s="97"/>
      <c r="S23" s="96"/>
      <c r="T23" s="255"/>
      <c r="U23" s="255"/>
      <c r="V23" s="255"/>
      <c r="W23" s="255"/>
      <c r="X23" s="255"/>
      <c r="Y23" s="255"/>
      <c r="Z23" s="255"/>
      <c r="AA23" s="255"/>
      <c r="AB23" s="255"/>
    </row>
    <row r="24" spans="1:28">
      <c r="A24" s="252">
        <f t="shared" si="0"/>
        <v>14</v>
      </c>
      <c r="B24" s="252"/>
      <c r="C24" s="7" t="s">
        <v>199</v>
      </c>
      <c r="D24" s="7"/>
      <c r="E24" s="131">
        <f>AVERAGE(E11:E23)</f>
        <v>68841689.93230775</v>
      </c>
      <c r="F24" s="131"/>
      <c r="G24" s="131">
        <f>AVERAGE(G11:G23)</f>
        <v>8972462.9600000009</v>
      </c>
      <c r="H24" s="131"/>
      <c r="I24" s="131">
        <f>AVERAGE(I11:I23)</f>
        <v>75298532.584615394</v>
      </c>
      <c r="J24" s="131"/>
      <c r="K24" s="131">
        <f>AVERAGE(K11:K23)</f>
        <v>16767220.23076923</v>
      </c>
      <c r="L24" s="131"/>
      <c r="M24" s="131">
        <f>AVERAGE(M11:M23)</f>
        <v>169879905.70769235</v>
      </c>
      <c r="O24" s="147"/>
      <c r="P24" s="147"/>
      <c r="R24" s="95"/>
    </row>
    <row r="25" spans="1:28">
      <c r="A25" s="252">
        <f t="shared" si="0"/>
        <v>15</v>
      </c>
      <c r="B25" s="252"/>
      <c r="C25" s="256"/>
      <c r="D25" s="256"/>
      <c r="O25" s="147"/>
      <c r="P25" s="96"/>
      <c r="Q25" s="96"/>
    </row>
    <row r="26" spans="1:28">
      <c r="A26" s="252">
        <f t="shared" si="0"/>
        <v>16</v>
      </c>
      <c r="B26" s="257" t="s">
        <v>385</v>
      </c>
      <c r="D26" s="257"/>
      <c r="P26" s="255"/>
      <c r="Q26" s="255"/>
    </row>
    <row r="27" spans="1:28">
      <c r="A27" s="252">
        <f t="shared" si="0"/>
        <v>17</v>
      </c>
      <c r="B27" s="257" t="s">
        <v>198</v>
      </c>
      <c r="D27" s="257"/>
      <c r="P27" s="97"/>
      <c r="Q27" s="97"/>
    </row>
    <row r="28" spans="1:28">
      <c r="A28" s="252">
        <f t="shared" si="0"/>
        <v>18</v>
      </c>
      <c r="B28" s="257" t="s">
        <v>217</v>
      </c>
      <c r="D28" s="257"/>
      <c r="P28" s="96"/>
      <c r="Q28" s="96"/>
    </row>
    <row r="29" spans="1:28">
      <c r="A29" s="252">
        <f t="shared" si="0"/>
        <v>19</v>
      </c>
      <c r="B29" s="257" t="s">
        <v>386</v>
      </c>
      <c r="P29" s="255"/>
      <c r="Q29" s="255"/>
    </row>
    <row r="30" spans="1:28">
      <c r="A30" s="252">
        <f t="shared" si="0"/>
        <v>20</v>
      </c>
      <c r="B30" s="257" t="s">
        <v>387</v>
      </c>
      <c r="P30" s="255"/>
      <c r="Q30" s="255"/>
    </row>
    <row r="31" spans="1:28">
      <c r="P31" s="255"/>
      <c r="Q31" s="255"/>
    </row>
    <row r="32" spans="1:28">
      <c r="P32" s="255"/>
      <c r="Q32" s="255"/>
    </row>
    <row r="33" spans="1:17">
      <c r="P33" s="255"/>
      <c r="Q33" s="255"/>
    </row>
    <row r="34" spans="1:17">
      <c r="A34" s="128"/>
      <c r="B34" s="128"/>
      <c r="C34" s="126"/>
      <c r="D34" s="126"/>
      <c r="E34" s="126"/>
      <c r="F34" s="126"/>
      <c r="G34" s="131"/>
      <c r="H34" s="126"/>
      <c r="I34" s="131"/>
      <c r="J34" s="131"/>
      <c r="K34" s="131"/>
      <c r="L34" s="131"/>
      <c r="M34" s="131"/>
      <c r="P34" s="255"/>
      <c r="Q34" s="255"/>
    </row>
    <row r="35" spans="1:17">
      <c r="A35" s="128"/>
      <c r="B35" s="128"/>
      <c r="C35" s="135"/>
      <c r="D35" s="135"/>
      <c r="E35" s="135"/>
      <c r="F35" s="135"/>
      <c r="G35" s="253"/>
      <c r="H35" s="135"/>
      <c r="I35" s="253"/>
      <c r="J35" s="253"/>
      <c r="K35" s="253"/>
      <c r="L35" s="253"/>
      <c r="M35" s="253"/>
      <c r="P35" s="255"/>
      <c r="Q35" s="255"/>
    </row>
    <row r="36" spans="1:17">
      <c r="A36" s="128"/>
      <c r="B36" s="128"/>
      <c r="C36" s="154"/>
      <c r="D36" s="154"/>
      <c r="G36" s="254"/>
      <c r="I36" s="254"/>
      <c r="J36" s="254"/>
      <c r="K36" s="254"/>
      <c r="L36" s="254"/>
      <c r="M36" s="254"/>
      <c r="P36" s="255"/>
      <c r="Q36" s="255"/>
    </row>
    <row r="37" spans="1:17">
      <c r="A37" s="252"/>
      <c r="B37" s="252"/>
      <c r="C37" s="258"/>
      <c r="D37" s="258"/>
      <c r="E37" s="259"/>
      <c r="F37" s="259"/>
      <c r="G37" s="4"/>
      <c r="H37" s="259"/>
      <c r="I37" s="4"/>
      <c r="J37" s="4"/>
      <c r="K37" s="4"/>
      <c r="L37" s="4"/>
      <c r="M37" s="4"/>
      <c r="P37" s="255"/>
      <c r="Q37" s="255"/>
    </row>
    <row r="38" spans="1:17">
      <c r="A38" s="128"/>
      <c r="B38" s="128"/>
      <c r="C38" s="154"/>
      <c r="D38" s="154"/>
      <c r="E38" s="147"/>
      <c r="F38" s="147"/>
      <c r="G38" s="4"/>
      <c r="H38" s="147"/>
      <c r="I38" s="4"/>
      <c r="J38" s="4"/>
      <c r="K38" s="4"/>
      <c r="L38" s="4"/>
      <c r="M38" s="4"/>
    </row>
    <row r="39" spans="1:17">
      <c r="A39" s="128"/>
      <c r="B39" s="128"/>
      <c r="C39" s="147"/>
      <c r="D39" s="147"/>
      <c r="E39" s="147"/>
      <c r="F39" s="147"/>
      <c r="G39" s="4"/>
      <c r="H39" s="147"/>
      <c r="I39" s="4"/>
      <c r="J39" s="4"/>
      <c r="K39" s="4"/>
      <c r="L39" s="4"/>
      <c r="M39" s="4"/>
    </row>
  </sheetData>
  <mergeCells count="3">
    <mergeCell ref="A3:M3"/>
    <mergeCell ref="A4:M4"/>
    <mergeCell ref="A5:M5"/>
  </mergeCells>
  <pageMargins left="0.7" right="0.7" top="0.75" bottom="0.75" header="0.3" footer="0.3"/>
  <pageSetup orientation="portrait" verticalDpi="0" r:id="rId1"/>
  <headerFooter>
    <oddHeader>&amp;L&amp;8 2016 BHP-Workpaper 9 Supplemental Supporting Schedules&amp;C
ACTUAL SERVICE YEAR ATRR
BLACK HILLS POWER, INC.
SUPPORTING SCHEDULES&amp;RPage &amp;P of &amp;N</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3:K39"/>
  <sheetViews>
    <sheetView workbookViewId="0">
      <selection sqref="A1:XFD1048576"/>
    </sheetView>
  </sheetViews>
  <sheetFormatPr defaultRowHeight="15"/>
  <cols>
    <col min="1" max="1" width="3.453125" style="205" bestFit="1" customWidth="1"/>
    <col min="2" max="2" width="3.453125" style="205" customWidth="1"/>
    <col min="3" max="3" width="34.81640625" style="205" bestFit="1" customWidth="1"/>
    <col min="4" max="4" width="2.81640625" style="205" customWidth="1"/>
    <col min="5" max="5" width="13.453125" style="205" customWidth="1"/>
    <col min="6" max="6" width="2.81640625" style="205" customWidth="1"/>
    <col min="7" max="7" width="15.36328125" style="205" customWidth="1"/>
    <col min="8" max="8" width="3" style="205" customWidth="1"/>
    <col min="9" max="11" width="8.7265625" style="205"/>
    <col min="12" max="12" width="11.54296875" style="205" bestFit="1" customWidth="1"/>
    <col min="13" max="16384" width="8.7265625" style="205"/>
  </cols>
  <sheetData>
    <row r="3" spans="1:11" s="147" customFormat="1" ht="15" customHeight="1">
      <c r="A3" s="124" t="s">
        <v>243</v>
      </c>
      <c r="B3" s="124"/>
      <c r="C3" s="124"/>
      <c r="D3" s="124"/>
      <c r="E3" s="124"/>
      <c r="F3" s="124"/>
      <c r="G3" s="124"/>
      <c r="H3" s="124"/>
      <c r="I3" s="244"/>
      <c r="J3" s="244"/>
    </row>
    <row r="4" spans="1:11" s="147" customFormat="1" ht="15" customHeight="1">
      <c r="A4" s="124" t="s">
        <v>244</v>
      </c>
      <c r="B4" s="124"/>
      <c r="C4" s="124"/>
      <c r="D4" s="124"/>
      <c r="E4" s="124"/>
      <c r="F4" s="124"/>
      <c r="G4" s="124"/>
      <c r="H4" s="124"/>
      <c r="I4" s="244"/>
      <c r="J4" s="244"/>
    </row>
    <row r="5" spans="1:11" s="147" customFormat="1" ht="15" customHeight="1">
      <c r="A5" s="124" t="s">
        <v>2</v>
      </c>
      <c r="B5" s="124"/>
      <c r="C5" s="124"/>
      <c r="D5" s="124"/>
      <c r="E5" s="124"/>
      <c r="F5" s="124"/>
      <c r="G5" s="124"/>
      <c r="H5" s="124"/>
      <c r="I5" s="244"/>
      <c r="J5" s="244"/>
    </row>
    <row r="6" spans="1:11" s="147" customFormat="1" ht="13.2">
      <c r="A6" s="126"/>
      <c r="B6" s="126"/>
      <c r="C6" s="128"/>
      <c r="D6" s="128"/>
      <c r="E6" s="128"/>
      <c r="F6" s="128"/>
      <c r="G6" s="128"/>
      <c r="H6" s="128"/>
      <c r="I6" s="126"/>
      <c r="J6" s="244"/>
    </row>
    <row r="7" spans="1:11" s="147" customFormat="1" ht="13.2">
      <c r="C7" s="128" t="s">
        <v>22</v>
      </c>
      <c r="D7" s="128"/>
      <c r="E7" s="128" t="s">
        <v>23</v>
      </c>
      <c r="F7" s="128"/>
      <c r="G7" s="128" t="s">
        <v>245</v>
      </c>
      <c r="H7" s="128"/>
    </row>
    <row r="8" spans="1:11" s="147" customFormat="1" ht="13.2">
      <c r="A8" s="128" t="s">
        <v>3</v>
      </c>
      <c r="B8" s="128"/>
      <c r="C8" s="128"/>
      <c r="D8" s="128"/>
      <c r="E8" s="128"/>
      <c r="F8" s="128"/>
      <c r="G8" s="128"/>
      <c r="H8" s="128"/>
    </row>
    <row r="9" spans="1:11" s="147" customFormat="1" ht="13.2">
      <c r="A9" s="149" t="s">
        <v>5</v>
      </c>
      <c r="B9" s="149"/>
      <c r="C9" s="149" t="s">
        <v>26</v>
      </c>
      <c r="D9" s="149"/>
      <c r="E9" s="149" t="s">
        <v>246</v>
      </c>
      <c r="F9" s="149"/>
      <c r="G9" s="245" t="s">
        <v>247</v>
      </c>
      <c r="H9" s="245"/>
    </row>
    <row r="10" spans="1:11">
      <c r="A10" s="128"/>
      <c r="B10" s="247"/>
      <c r="C10" s="147"/>
      <c r="D10" s="159"/>
      <c r="E10" s="159"/>
      <c r="F10" s="159"/>
      <c r="G10" s="248"/>
      <c r="H10" s="248"/>
      <c r="K10" s="260"/>
    </row>
    <row r="11" spans="1:11">
      <c r="A11" s="128">
        <f>1+A10</f>
        <v>1</v>
      </c>
      <c r="B11" s="128"/>
      <c r="C11" s="251" t="s">
        <v>248</v>
      </c>
      <c r="D11" s="251"/>
      <c r="E11" s="251" t="s">
        <v>143</v>
      </c>
      <c r="F11" s="251"/>
      <c r="G11" s="5">
        <v>0</v>
      </c>
      <c r="H11" s="131"/>
    </row>
    <row r="12" spans="1:11">
      <c r="A12" s="128">
        <f t="shared" ref="A12:A16" si="0">1+A11</f>
        <v>2</v>
      </c>
      <c r="B12" s="252"/>
      <c r="C12" s="251" t="s">
        <v>249</v>
      </c>
      <c r="D12" s="251"/>
      <c r="E12" s="251" t="s">
        <v>366</v>
      </c>
      <c r="F12" s="251"/>
      <c r="G12" s="5">
        <v>7946603.3999999985</v>
      </c>
      <c r="H12" s="131"/>
    </row>
    <row r="13" spans="1:11">
      <c r="A13" s="128">
        <f t="shared" si="0"/>
        <v>3</v>
      </c>
      <c r="B13" s="252"/>
      <c r="C13" s="251"/>
      <c r="D13" s="251"/>
      <c r="E13" s="251"/>
      <c r="F13" s="251"/>
      <c r="G13" s="5"/>
      <c r="H13" s="131"/>
    </row>
    <row r="14" spans="1:11">
      <c r="A14" s="128">
        <f t="shared" si="0"/>
        <v>4</v>
      </c>
      <c r="B14" s="252"/>
      <c r="C14" s="251" t="s">
        <v>250</v>
      </c>
      <c r="D14" s="251"/>
      <c r="E14" s="251" t="s">
        <v>51</v>
      </c>
      <c r="F14" s="251"/>
      <c r="G14" s="5">
        <v>-500209.2</v>
      </c>
      <c r="H14" s="131"/>
    </row>
    <row r="15" spans="1:11">
      <c r="A15" s="128">
        <f t="shared" si="0"/>
        <v>5</v>
      </c>
      <c r="B15" s="252"/>
      <c r="C15" s="251"/>
      <c r="D15" s="251"/>
      <c r="E15" s="251"/>
      <c r="F15" s="251"/>
      <c r="G15" s="5"/>
      <c r="H15" s="131"/>
    </row>
    <row r="16" spans="1:11" ht="15.6" customHeight="1">
      <c r="A16" s="128">
        <f t="shared" si="0"/>
        <v>6</v>
      </c>
      <c r="B16" s="252"/>
      <c r="C16" s="251" t="s">
        <v>251</v>
      </c>
      <c r="D16" s="251"/>
      <c r="E16" s="251" t="s">
        <v>252</v>
      </c>
      <c r="F16" s="251"/>
      <c r="G16" s="10">
        <f>SUM(G12:G15)</f>
        <v>7446394.1999999983</v>
      </c>
      <c r="H16" s="131"/>
    </row>
    <row r="17" spans="1:8">
      <c r="A17" s="128"/>
      <c r="B17" s="252"/>
      <c r="C17" s="251"/>
      <c r="D17" s="251"/>
      <c r="E17" s="251"/>
      <c r="F17" s="251"/>
      <c r="G17" s="5"/>
      <c r="H17" s="131"/>
    </row>
    <row r="18" spans="1:8">
      <c r="A18" s="128"/>
      <c r="B18" s="252"/>
      <c r="C18" s="251"/>
      <c r="D18" s="251"/>
      <c r="E18" s="251"/>
      <c r="F18" s="251"/>
      <c r="G18" s="5"/>
      <c r="H18" s="131"/>
    </row>
    <row r="19" spans="1:8">
      <c r="A19" s="128"/>
      <c r="B19" s="252"/>
      <c r="C19" s="251"/>
      <c r="D19" s="251"/>
      <c r="E19" s="251"/>
      <c r="F19" s="251"/>
      <c r="G19" s="5"/>
      <c r="H19" s="131"/>
    </row>
    <row r="20" spans="1:8">
      <c r="A20" s="128"/>
      <c r="B20" s="252"/>
      <c r="C20" s="251"/>
      <c r="D20" s="251"/>
      <c r="E20" s="251"/>
      <c r="F20" s="251"/>
      <c r="G20" s="5"/>
      <c r="H20" s="131"/>
    </row>
    <row r="21" spans="1:8">
      <c r="A21" s="252"/>
      <c r="B21" s="252"/>
      <c r="C21" s="251"/>
      <c r="D21" s="251"/>
      <c r="E21" s="251"/>
      <c r="F21" s="251"/>
      <c r="G21" s="5"/>
      <c r="H21" s="131"/>
    </row>
    <row r="22" spans="1:8">
      <c r="A22" s="252"/>
      <c r="B22" s="252"/>
      <c r="C22" s="251"/>
      <c r="D22" s="251"/>
      <c r="E22" s="251"/>
      <c r="F22" s="251"/>
      <c r="G22" s="5"/>
      <c r="H22" s="131"/>
    </row>
    <row r="23" spans="1:8">
      <c r="A23" s="252"/>
      <c r="B23" s="252"/>
      <c r="C23" s="251"/>
      <c r="D23" s="251"/>
      <c r="E23" s="251"/>
      <c r="F23" s="251"/>
      <c r="G23" s="5"/>
      <c r="H23" s="131"/>
    </row>
    <row r="24" spans="1:8">
      <c r="A24" s="252"/>
      <c r="B24" s="252"/>
      <c r="C24" s="7"/>
      <c r="D24" s="7"/>
      <c r="E24" s="7"/>
      <c r="F24" s="7"/>
      <c r="G24" s="131"/>
      <c r="H24" s="131"/>
    </row>
    <row r="25" spans="1:8">
      <c r="A25" s="252"/>
      <c r="B25" s="252"/>
      <c r="C25" s="256"/>
      <c r="D25" s="256"/>
      <c r="E25" s="256"/>
      <c r="F25" s="256"/>
    </row>
    <row r="26" spans="1:8">
      <c r="A26" s="252"/>
      <c r="B26" s="257"/>
      <c r="D26" s="257"/>
      <c r="E26" s="257"/>
      <c r="F26" s="257"/>
    </row>
    <row r="27" spans="1:8">
      <c r="A27" s="252"/>
      <c r="B27" s="257"/>
      <c r="D27" s="257"/>
      <c r="E27" s="257"/>
      <c r="F27" s="257"/>
    </row>
    <row r="28" spans="1:8">
      <c r="A28" s="252"/>
      <c r="B28" s="257"/>
      <c r="D28" s="257"/>
      <c r="E28" s="257"/>
      <c r="F28" s="257"/>
    </row>
    <row r="29" spans="1:8">
      <c r="B29" s="257"/>
    </row>
    <row r="34" spans="1:8">
      <c r="A34" s="128"/>
      <c r="B34" s="128"/>
      <c r="C34" s="126"/>
      <c r="D34" s="126"/>
      <c r="E34" s="126"/>
      <c r="F34" s="126"/>
      <c r="G34" s="126"/>
      <c r="H34" s="126"/>
    </row>
    <row r="35" spans="1:8">
      <c r="A35" s="128"/>
      <c r="B35" s="128"/>
      <c r="C35" s="135"/>
      <c r="D35" s="135"/>
      <c r="E35" s="135"/>
      <c r="F35" s="135"/>
      <c r="G35" s="135"/>
      <c r="H35" s="135"/>
    </row>
    <row r="36" spans="1:8">
      <c r="A36" s="128"/>
      <c r="B36" s="128"/>
      <c r="C36" s="154"/>
      <c r="D36" s="154"/>
      <c r="E36" s="154"/>
      <c r="F36" s="154"/>
    </row>
    <row r="37" spans="1:8">
      <c r="A37" s="252"/>
      <c r="B37" s="252"/>
      <c r="C37" s="258"/>
      <c r="D37" s="258"/>
      <c r="E37" s="258"/>
      <c r="F37" s="258"/>
      <c r="G37" s="259"/>
      <c r="H37" s="259"/>
    </row>
    <row r="38" spans="1:8">
      <c r="A38" s="128"/>
      <c r="B38" s="128"/>
      <c r="C38" s="154"/>
      <c r="D38" s="154"/>
      <c r="E38" s="154"/>
      <c r="F38" s="154"/>
      <c r="G38" s="147"/>
      <c r="H38" s="147"/>
    </row>
    <row r="39" spans="1:8">
      <c r="A39" s="128"/>
      <c r="B39" s="128"/>
      <c r="C39" s="147"/>
      <c r="D39" s="147"/>
      <c r="E39" s="147"/>
      <c r="F39" s="147"/>
      <c r="G39" s="147"/>
      <c r="H39" s="147"/>
    </row>
  </sheetData>
  <mergeCells count="3">
    <mergeCell ref="A3:H3"/>
    <mergeCell ref="A4:H4"/>
    <mergeCell ref="A5:H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J25"/>
  <sheetViews>
    <sheetView topLeftCell="C1" zoomScale="85" zoomScaleNormal="85" workbookViewId="0">
      <selection activeCell="L4" sqref="L4"/>
    </sheetView>
  </sheetViews>
  <sheetFormatPr defaultColWidth="8.90625" defaultRowHeight="13.2"/>
  <cols>
    <col min="1" max="1" width="8.90625" style="147"/>
    <col min="2" max="2" width="23" style="147" bestFit="1" customWidth="1"/>
    <col min="3" max="3" width="1.81640625" style="147" customWidth="1"/>
    <col min="4" max="4" width="15" style="147" customWidth="1"/>
    <col min="5" max="5" width="1.81640625" style="147" customWidth="1"/>
    <col min="6" max="8" width="13" style="147" customWidth="1"/>
    <col min="9" max="12" width="8.90625" style="147"/>
    <col min="13" max="15" width="10.36328125" style="147" bestFit="1" customWidth="1"/>
    <col min="16" max="16384" width="8.90625" style="147"/>
  </cols>
  <sheetData>
    <row r="3" spans="1:10" ht="15" customHeight="1">
      <c r="A3" s="124" t="s">
        <v>253</v>
      </c>
      <c r="B3" s="124"/>
      <c r="C3" s="124"/>
      <c r="D3" s="124"/>
      <c r="E3" s="124"/>
      <c r="F3" s="124"/>
      <c r="G3" s="124"/>
      <c r="H3" s="124"/>
      <c r="I3" s="244"/>
      <c r="J3" s="244"/>
    </row>
    <row r="4" spans="1:10" ht="15" customHeight="1">
      <c r="A4" s="124" t="s">
        <v>254</v>
      </c>
      <c r="B4" s="124"/>
      <c r="C4" s="124"/>
      <c r="D4" s="124"/>
      <c r="E4" s="124"/>
      <c r="F4" s="124"/>
      <c r="G4" s="124"/>
      <c r="H4" s="124"/>
      <c r="I4" s="244"/>
      <c r="J4" s="244"/>
    </row>
    <row r="5" spans="1:10" ht="15" customHeight="1">
      <c r="A5" s="124" t="s">
        <v>2</v>
      </c>
      <c r="B5" s="124"/>
      <c r="C5" s="124"/>
      <c r="D5" s="124"/>
      <c r="E5" s="124"/>
      <c r="F5" s="124"/>
      <c r="G5" s="124"/>
      <c r="H5" s="124"/>
      <c r="I5" s="244"/>
      <c r="J5" s="244"/>
    </row>
    <row r="6" spans="1:10" ht="15" customHeight="1">
      <c r="A6" s="126"/>
      <c r="B6" s="126"/>
      <c r="C6" s="126"/>
      <c r="D6" s="126"/>
      <c r="E6" s="126"/>
      <c r="F6" s="126">
        <v>2024</v>
      </c>
      <c r="G6" s="126">
        <v>2025</v>
      </c>
      <c r="H6" s="126"/>
      <c r="I6" s="244"/>
      <c r="J6" s="244"/>
    </row>
    <row r="7" spans="1:10">
      <c r="B7" s="128" t="s">
        <v>22</v>
      </c>
      <c r="C7" s="128"/>
      <c r="D7" s="128" t="s">
        <v>23</v>
      </c>
      <c r="E7" s="128"/>
      <c r="F7" s="128" t="s">
        <v>245</v>
      </c>
      <c r="G7" s="128" t="s">
        <v>221</v>
      </c>
      <c r="H7" s="128" t="s">
        <v>222</v>
      </c>
    </row>
    <row r="8" spans="1:10">
      <c r="A8" s="128" t="s">
        <v>3</v>
      </c>
    </row>
    <row r="9" spans="1:10">
      <c r="A9" s="149" t="s">
        <v>5</v>
      </c>
      <c r="B9" s="149" t="s">
        <v>26</v>
      </c>
      <c r="C9" s="149"/>
      <c r="D9" s="149" t="s">
        <v>246</v>
      </c>
      <c r="E9" s="149"/>
      <c r="F9" s="245" t="s">
        <v>255</v>
      </c>
      <c r="G9" s="245" t="s">
        <v>256</v>
      </c>
      <c r="H9" s="245" t="s">
        <v>257</v>
      </c>
    </row>
    <row r="10" spans="1:10">
      <c r="A10" s="128"/>
    </row>
    <row r="11" spans="1:10" ht="15">
      <c r="A11" s="128">
        <f>1+A10</f>
        <v>1</v>
      </c>
      <c r="B11" s="261" t="s">
        <v>258</v>
      </c>
      <c r="C11" s="251"/>
      <c r="D11" s="251" t="s">
        <v>259</v>
      </c>
      <c r="E11" s="251"/>
      <c r="F11" s="11">
        <v>-152741606</v>
      </c>
      <c r="G11" s="11">
        <v>-165540826</v>
      </c>
      <c r="H11" s="11">
        <f>(+F11+G11)/2</f>
        <v>-159141216</v>
      </c>
      <c r="J11" s="205"/>
    </row>
    <row r="12" spans="1:10">
      <c r="A12" s="128">
        <f t="shared" ref="A12:A25" si="0">1+A11</f>
        <v>2</v>
      </c>
      <c r="B12" s="261" t="s">
        <v>260</v>
      </c>
      <c r="G12" s="11"/>
      <c r="H12" s="11">
        <v>0</v>
      </c>
    </row>
    <row r="13" spans="1:10">
      <c r="A13" s="128">
        <f t="shared" si="0"/>
        <v>3</v>
      </c>
      <c r="B13" s="251" t="s">
        <v>216</v>
      </c>
      <c r="D13" s="147" t="s">
        <v>275</v>
      </c>
      <c r="F13" s="11">
        <v>-2508356.54</v>
      </c>
      <c r="G13" s="11">
        <v>-2892782</v>
      </c>
      <c r="H13" s="11">
        <v>-2700569.27</v>
      </c>
    </row>
    <row r="14" spans="1:10">
      <c r="A14" s="128">
        <f t="shared" si="0"/>
        <v>4</v>
      </c>
      <c r="B14" s="251"/>
      <c r="F14" s="11"/>
      <c r="G14" s="11"/>
      <c r="H14" s="11">
        <f>SUM(F14:G14)/2</f>
        <v>0</v>
      </c>
    </row>
    <row r="15" spans="1:10">
      <c r="A15" s="128">
        <f t="shared" si="0"/>
        <v>5</v>
      </c>
      <c r="B15" s="251" t="s">
        <v>261</v>
      </c>
      <c r="D15" s="147" t="s">
        <v>262</v>
      </c>
      <c r="F15" s="16">
        <f>F11-F13-F14</f>
        <v>-150233249.46000001</v>
      </c>
      <c r="G15" s="16">
        <f>G11-G13-G14</f>
        <v>-162648044</v>
      </c>
      <c r="H15" s="16">
        <f>H11-H13-H14</f>
        <v>-156440646.72999999</v>
      </c>
    </row>
    <row r="16" spans="1:10">
      <c r="A16" s="128">
        <f t="shared" si="0"/>
        <v>6</v>
      </c>
      <c r="B16" s="251"/>
      <c r="F16" s="11"/>
      <c r="G16" s="11"/>
      <c r="H16" s="11"/>
    </row>
    <row r="17" spans="1:10">
      <c r="A17" s="128">
        <f t="shared" si="0"/>
        <v>7</v>
      </c>
    </row>
    <row r="18" spans="1:10">
      <c r="A18" s="128">
        <f t="shared" si="0"/>
        <v>8</v>
      </c>
      <c r="B18" s="261" t="s">
        <v>102</v>
      </c>
      <c r="C18" s="251"/>
      <c r="E18" s="251"/>
      <c r="F18" s="11"/>
      <c r="G18" s="11"/>
      <c r="H18" s="11"/>
    </row>
    <row r="19" spans="1:10" ht="15">
      <c r="A19" s="128">
        <f t="shared" si="0"/>
        <v>9</v>
      </c>
      <c r="B19" s="261" t="s">
        <v>263</v>
      </c>
      <c r="D19" s="251" t="s">
        <v>264</v>
      </c>
      <c r="F19" s="11">
        <v>3812287</v>
      </c>
      <c r="G19" s="11">
        <v>4726225</v>
      </c>
      <c r="H19" s="11">
        <v>3812287</v>
      </c>
      <c r="J19" s="205"/>
    </row>
    <row r="20" spans="1:10">
      <c r="A20" s="128">
        <f t="shared" si="0"/>
        <v>10</v>
      </c>
      <c r="B20" s="261" t="s">
        <v>265</v>
      </c>
      <c r="D20" s="251"/>
      <c r="F20" s="17">
        <v>0.21</v>
      </c>
      <c r="G20" s="17">
        <v>0.21</v>
      </c>
      <c r="H20" s="17">
        <v>0.21</v>
      </c>
    </row>
    <row r="21" spans="1:10">
      <c r="A21" s="128">
        <f t="shared" si="0"/>
        <v>11</v>
      </c>
      <c r="B21" s="261"/>
      <c r="D21" s="251"/>
      <c r="F21" s="16">
        <f>F19*F20</f>
        <v>800580.27</v>
      </c>
      <c r="G21" s="16">
        <f>G19*G20</f>
        <v>992507.25</v>
      </c>
      <c r="H21" s="16">
        <f>SUM(F21:G21)/2</f>
        <v>896543.76</v>
      </c>
    </row>
    <row r="22" spans="1:10">
      <c r="A22" s="128">
        <f t="shared" si="0"/>
        <v>12</v>
      </c>
      <c r="F22" s="11"/>
      <c r="G22" s="11"/>
      <c r="H22" s="11"/>
    </row>
    <row r="23" spans="1:10">
      <c r="A23" s="128">
        <f t="shared" si="0"/>
        <v>13</v>
      </c>
      <c r="B23" s="251" t="s">
        <v>216</v>
      </c>
      <c r="D23" s="147" t="s">
        <v>51</v>
      </c>
      <c r="F23" s="11">
        <v>-876365.55</v>
      </c>
      <c r="G23" s="11">
        <v>-884277</v>
      </c>
      <c r="H23" s="11">
        <v>-880321.27500000002</v>
      </c>
    </row>
    <row r="24" spans="1:10">
      <c r="A24" s="128">
        <f t="shared" si="0"/>
        <v>14</v>
      </c>
      <c r="B24" s="262"/>
      <c r="F24" s="11"/>
      <c r="G24" s="11"/>
      <c r="H24" s="11"/>
    </row>
    <row r="25" spans="1:10">
      <c r="A25" s="128">
        <f t="shared" si="0"/>
        <v>15</v>
      </c>
      <c r="B25" s="251" t="s">
        <v>261</v>
      </c>
      <c r="D25" s="147" t="s">
        <v>266</v>
      </c>
      <c r="F25" s="16">
        <f>SUM(F21:F22)+F23+F24</f>
        <v>-75785.280000000028</v>
      </c>
      <c r="G25" s="16">
        <f t="shared" ref="G25:H25" si="1">SUM(G21:G22)+G23+G24</f>
        <v>108230.25</v>
      </c>
      <c r="H25" s="16">
        <f t="shared" si="1"/>
        <v>16222.484999999986</v>
      </c>
    </row>
  </sheetData>
  <mergeCells count="3">
    <mergeCell ref="A3:H3"/>
    <mergeCell ref="A4:H4"/>
    <mergeCell ref="A5:H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CE02-10C7-4788-B523-5A55A9838017}">
  <dimension ref="A1:P31"/>
  <sheetViews>
    <sheetView zoomScale="80" zoomScaleNormal="80" workbookViewId="0">
      <selection activeCell="F40" sqref="F40"/>
    </sheetView>
  </sheetViews>
  <sheetFormatPr defaultRowHeight="15"/>
  <cols>
    <col min="1" max="1" width="25.453125" style="205" bestFit="1" customWidth="1"/>
    <col min="2" max="14" width="12.1796875" style="205" bestFit="1" customWidth="1"/>
    <col min="15" max="15" width="19.08984375" style="205" bestFit="1" customWidth="1"/>
    <col min="16" max="16" width="13.08984375" style="205" bestFit="1" customWidth="1"/>
    <col min="17" max="16384" width="8.7265625" style="205"/>
  </cols>
  <sheetData>
    <row r="1" spans="1:16" ht="15.6" thickBot="1">
      <c r="B1" s="263">
        <v>45627</v>
      </c>
      <c r="C1" s="263">
        <v>45658</v>
      </c>
      <c r="D1" s="263">
        <v>45689</v>
      </c>
      <c r="E1" s="263">
        <v>45717</v>
      </c>
      <c r="F1" s="263">
        <v>45748</v>
      </c>
      <c r="G1" s="263">
        <v>45778</v>
      </c>
      <c r="H1" s="263">
        <v>45809</v>
      </c>
      <c r="I1" s="263">
        <v>45839</v>
      </c>
      <c r="J1" s="263">
        <v>45870</v>
      </c>
      <c r="K1" s="263">
        <v>45901</v>
      </c>
      <c r="L1" s="263">
        <v>45931</v>
      </c>
      <c r="M1" s="263">
        <v>45962</v>
      </c>
      <c r="N1" s="263">
        <v>45992</v>
      </c>
    </row>
    <row r="2" spans="1:16" ht="15.6">
      <c r="A2" s="264" t="s">
        <v>504</v>
      </c>
      <c r="B2" s="265"/>
      <c r="C2" s="265"/>
      <c r="D2" s="265"/>
      <c r="E2" s="265"/>
      <c r="F2" s="265"/>
      <c r="G2" s="265"/>
      <c r="H2" s="265"/>
      <c r="I2" s="265"/>
      <c r="J2" s="265"/>
      <c r="K2" s="265"/>
      <c r="L2" s="265"/>
      <c r="M2" s="265"/>
      <c r="N2" s="266"/>
    </row>
    <row r="3" spans="1:16">
      <c r="A3" s="267" t="s">
        <v>505</v>
      </c>
      <c r="B3" s="98">
        <v>181963879.92309201</v>
      </c>
      <c r="C3" s="98">
        <v>186804756.19999996</v>
      </c>
      <c r="D3" s="98">
        <v>187478724.23999995</v>
      </c>
      <c r="E3" s="98">
        <v>184436199.51111209</v>
      </c>
      <c r="F3" s="98">
        <v>189396656.19999999</v>
      </c>
      <c r="G3" s="98">
        <v>190308115.31000003</v>
      </c>
      <c r="H3" s="98">
        <v>187465957.36366868</v>
      </c>
      <c r="I3" s="98">
        <v>192639478.67000002</v>
      </c>
      <c r="J3" s="98">
        <v>193805785.89000002</v>
      </c>
      <c r="K3" s="98">
        <v>190370876.16774699</v>
      </c>
      <c r="L3" s="98">
        <v>195643094.68000004</v>
      </c>
      <c r="M3" s="98">
        <v>196790136.56999999</v>
      </c>
      <c r="N3" s="268">
        <v>193687354.79250705</v>
      </c>
      <c r="O3" s="98"/>
      <c r="P3" s="243"/>
    </row>
    <row r="4" spans="1:16">
      <c r="A4" s="267" t="s">
        <v>506</v>
      </c>
      <c r="B4" s="98">
        <v>34486091.249999993</v>
      </c>
      <c r="C4" s="98">
        <v>34686876.400000006</v>
      </c>
      <c r="D4" s="98">
        <v>34283339.999999993</v>
      </c>
      <c r="E4" s="98">
        <v>34108930.149999999</v>
      </c>
      <c r="F4" s="98">
        <v>34397860.809999995</v>
      </c>
      <c r="G4" s="98">
        <v>34593967.800000004</v>
      </c>
      <c r="H4" s="98">
        <v>33941026.010000005</v>
      </c>
      <c r="I4" s="98">
        <v>34241858.779999986</v>
      </c>
      <c r="J4" s="98">
        <v>34164776.090000004</v>
      </c>
      <c r="K4" s="98">
        <v>34361118.950000003</v>
      </c>
      <c r="L4" s="98">
        <v>34695902.450000003</v>
      </c>
      <c r="M4" s="98">
        <v>34496688.010000005</v>
      </c>
      <c r="N4" s="268">
        <v>34797063.61999999</v>
      </c>
      <c r="O4" s="98"/>
      <c r="P4" s="243"/>
    </row>
    <row r="5" spans="1:16">
      <c r="A5" s="267" t="s">
        <v>507</v>
      </c>
      <c r="B5" s="98">
        <v>0</v>
      </c>
      <c r="C5" s="98">
        <v>0</v>
      </c>
      <c r="D5" s="98">
        <v>0</v>
      </c>
      <c r="E5" s="98">
        <v>0</v>
      </c>
      <c r="F5" s="98">
        <v>0</v>
      </c>
      <c r="G5" s="98">
        <v>0</v>
      </c>
      <c r="H5" s="98">
        <v>0</v>
      </c>
      <c r="I5" s="98">
        <v>0</v>
      </c>
      <c r="J5" s="98">
        <v>0</v>
      </c>
      <c r="K5" s="98">
        <v>0</v>
      </c>
      <c r="L5" s="98">
        <v>0</v>
      </c>
      <c r="M5" s="98">
        <v>1354.77</v>
      </c>
      <c r="N5" s="268">
        <v>2931.92</v>
      </c>
      <c r="O5" s="98"/>
      <c r="P5" s="243"/>
    </row>
    <row r="6" spans="1:16">
      <c r="A6" s="267" t="s">
        <v>508</v>
      </c>
      <c r="B6" s="98">
        <v>83694881.129999995</v>
      </c>
      <c r="C6" s="98">
        <v>75858369.789999992</v>
      </c>
      <c r="D6" s="98">
        <v>76278847.480000004</v>
      </c>
      <c r="E6" s="98">
        <v>76775476.139999986</v>
      </c>
      <c r="F6" s="98">
        <v>77272129.030000001</v>
      </c>
      <c r="G6" s="98">
        <v>77768960.709999993</v>
      </c>
      <c r="H6" s="98">
        <v>78158948.759999976</v>
      </c>
      <c r="I6" s="98">
        <v>78666578.939999983</v>
      </c>
      <c r="J6" s="98">
        <v>79163092.709999964</v>
      </c>
      <c r="K6" s="98">
        <v>79477730.949999988</v>
      </c>
      <c r="L6" s="98">
        <v>79954537.959999979</v>
      </c>
      <c r="M6" s="98">
        <v>80454509.25999999</v>
      </c>
      <c r="N6" s="268">
        <v>76953829.710000008</v>
      </c>
      <c r="O6" s="98"/>
      <c r="P6" s="243"/>
    </row>
    <row r="7" spans="1:16">
      <c r="A7" s="267" t="s">
        <v>509</v>
      </c>
      <c r="B7" s="98">
        <v>182272207.07000002</v>
      </c>
      <c r="C7" s="98">
        <v>182716683.57000002</v>
      </c>
      <c r="D7" s="98">
        <v>183826855.03000003</v>
      </c>
      <c r="E7" s="98">
        <v>184450234.71000004</v>
      </c>
      <c r="F7" s="98">
        <v>185567326.60999998</v>
      </c>
      <c r="G7" s="98">
        <v>186678003.86000001</v>
      </c>
      <c r="H7" s="98">
        <v>183698983.32000002</v>
      </c>
      <c r="I7" s="98">
        <v>188573740.81000003</v>
      </c>
      <c r="J7" s="98">
        <v>189582366.18000007</v>
      </c>
      <c r="K7" s="98">
        <v>185875893.45999995</v>
      </c>
      <c r="L7" s="98">
        <v>187865273.89000005</v>
      </c>
      <c r="M7" s="98">
        <v>188983094.55000001</v>
      </c>
      <c r="N7" s="268">
        <v>185873721.57000002</v>
      </c>
      <c r="O7" s="98"/>
      <c r="P7" s="243"/>
    </row>
    <row r="8" spans="1:16">
      <c r="A8" s="267" t="s">
        <v>510</v>
      </c>
      <c r="B8" s="98">
        <v>50271466.990000002</v>
      </c>
      <c r="C8" s="98">
        <v>50846616.800000004</v>
      </c>
      <c r="D8" s="98">
        <v>51377420.31000001</v>
      </c>
      <c r="E8" s="98">
        <v>51823874.82</v>
      </c>
      <c r="F8" s="98">
        <v>52447461.789999999</v>
      </c>
      <c r="G8" s="98">
        <v>53010932.630000003</v>
      </c>
      <c r="H8" s="98">
        <v>53509766.030000009</v>
      </c>
      <c r="I8" s="98">
        <v>53909076.259999998</v>
      </c>
      <c r="J8" s="98">
        <v>54478131.599999994</v>
      </c>
      <c r="K8" s="98">
        <v>55038253.859999999</v>
      </c>
      <c r="L8" s="98">
        <v>55616524.460000001</v>
      </c>
      <c r="M8" s="98">
        <v>56188885.229999997</v>
      </c>
      <c r="N8" s="268">
        <v>55322247.859999999</v>
      </c>
      <c r="O8" s="98"/>
      <c r="P8" s="243"/>
    </row>
    <row r="9" spans="1:16">
      <c r="A9" s="267" t="s">
        <v>511</v>
      </c>
      <c r="B9" s="269">
        <v>0</v>
      </c>
      <c r="C9" s="269">
        <v>8428304.9399999995</v>
      </c>
      <c r="D9" s="269">
        <v>8678263.0999999996</v>
      </c>
      <c r="E9" s="269">
        <v>8845826.7999999989</v>
      </c>
      <c r="F9" s="269">
        <v>9014544.8900000006</v>
      </c>
      <c r="G9" s="269">
        <v>9184468.620000001</v>
      </c>
      <c r="H9" s="269">
        <v>8807403.4800000023</v>
      </c>
      <c r="I9" s="269">
        <v>9525836.4900000002</v>
      </c>
      <c r="J9" s="269">
        <v>9695811.4699999988</v>
      </c>
      <c r="K9" s="269">
        <v>9317328.4299999978</v>
      </c>
      <c r="L9" s="269">
        <v>10035761.440000001</v>
      </c>
      <c r="M9" s="269">
        <v>10205749.74</v>
      </c>
      <c r="N9" s="270">
        <v>9825607.8000000007</v>
      </c>
      <c r="O9" s="98"/>
      <c r="P9" s="243"/>
    </row>
    <row r="10" spans="1:16">
      <c r="A10" s="271" t="s">
        <v>205</v>
      </c>
      <c r="B10" s="269">
        <v>2816174.7300000004</v>
      </c>
      <c r="C10" s="269">
        <v>3271300.75</v>
      </c>
      <c r="D10" s="269">
        <v>3345630.87</v>
      </c>
      <c r="E10" s="269">
        <v>3419922.76</v>
      </c>
      <c r="F10" s="269">
        <v>3443466.98</v>
      </c>
      <c r="G10" s="269">
        <v>3522493.7</v>
      </c>
      <c r="H10" s="269">
        <v>3531208.37</v>
      </c>
      <c r="I10" s="269">
        <v>3614448.8499999996</v>
      </c>
      <c r="J10" s="269">
        <v>3697801.5100000002</v>
      </c>
      <c r="K10" s="269">
        <v>3782438.8500000006</v>
      </c>
      <c r="L10" s="269">
        <v>3869064.2300000004</v>
      </c>
      <c r="M10" s="269">
        <v>3967197.01</v>
      </c>
      <c r="N10" s="270">
        <v>3610612.7399999998</v>
      </c>
      <c r="O10" s="98"/>
      <c r="P10" s="243"/>
    </row>
    <row r="11" spans="1:16">
      <c r="A11" s="267"/>
      <c r="B11" s="272">
        <v>535504701.09309208</v>
      </c>
      <c r="C11" s="272">
        <v>542612908.45000005</v>
      </c>
      <c r="D11" s="272">
        <v>545269081.02999997</v>
      </c>
      <c r="E11" s="272">
        <v>543860464.89111209</v>
      </c>
      <c r="F11" s="272">
        <v>551539446.30999994</v>
      </c>
      <c r="G11" s="272">
        <v>555066942.63000011</v>
      </c>
      <c r="H11" s="272">
        <v>549113293.33366871</v>
      </c>
      <c r="I11" s="272">
        <v>561171018.80000007</v>
      </c>
      <c r="J11" s="272">
        <v>564587765.45000005</v>
      </c>
      <c r="K11" s="272">
        <v>558223640.6677469</v>
      </c>
      <c r="L11" s="272">
        <v>567680159.11000013</v>
      </c>
      <c r="M11" s="272">
        <v>571087615.13999999</v>
      </c>
      <c r="N11" s="273">
        <v>560073370.01250708</v>
      </c>
      <c r="O11" s="243"/>
      <c r="P11" s="243"/>
    </row>
    <row r="12" spans="1:16">
      <c r="A12" s="274"/>
      <c r="N12" s="275"/>
      <c r="O12" s="243"/>
      <c r="P12" s="243"/>
    </row>
    <row r="13" spans="1:16">
      <c r="A13" s="276" t="s">
        <v>391</v>
      </c>
      <c r="N13" s="275"/>
    </row>
    <row r="14" spans="1:16">
      <c r="A14" s="271" t="s">
        <v>505</v>
      </c>
      <c r="B14" s="98">
        <v>0</v>
      </c>
      <c r="C14" s="98">
        <v>0</v>
      </c>
      <c r="D14" s="98">
        <v>0</v>
      </c>
      <c r="E14" s="98">
        <v>0</v>
      </c>
      <c r="F14" s="98">
        <v>0</v>
      </c>
      <c r="G14" s="98">
        <v>0</v>
      </c>
      <c r="H14" s="98">
        <v>0</v>
      </c>
      <c r="I14" s="98">
        <v>0</v>
      </c>
      <c r="J14" s="98">
        <v>0</v>
      </c>
      <c r="K14" s="98">
        <v>0</v>
      </c>
      <c r="L14" s="98">
        <v>0</v>
      </c>
      <c r="M14" s="98">
        <v>0</v>
      </c>
      <c r="N14" s="268">
        <v>0</v>
      </c>
    </row>
    <row r="15" spans="1:16">
      <c r="A15" s="271" t="s">
        <v>506</v>
      </c>
      <c r="B15" s="98">
        <v>32192202.877837103</v>
      </c>
      <c r="C15" s="98">
        <v>32561371.830230448</v>
      </c>
      <c r="D15" s="98">
        <v>32932726.717973195</v>
      </c>
      <c r="E15" s="98">
        <v>33301446.224717509</v>
      </c>
      <c r="F15" s="98">
        <v>33669233.79573147</v>
      </c>
      <c r="G15" s="98">
        <v>34040506.917159684</v>
      </c>
      <c r="H15" s="98">
        <v>34358240.073614441</v>
      </c>
      <c r="I15" s="98">
        <v>34729775.570333004</v>
      </c>
      <c r="J15" s="98">
        <v>35097130.959055565</v>
      </c>
      <c r="K15" s="98">
        <v>35470924.175864428</v>
      </c>
      <c r="L15" s="98">
        <v>35852169.979700103</v>
      </c>
      <c r="M15" s="98">
        <v>36228249.890008517</v>
      </c>
      <c r="N15" s="268">
        <v>36610315.061254144</v>
      </c>
    </row>
    <row r="16" spans="1:16">
      <c r="A16" s="271" t="s">
        <v>507</v>
      </c>
      <c r="B16" s="98">
        <v>0</v>
      </c>
      <c r="C16" s="98">
        <v>0</v>
      </c>
      <c r="D16" s="98">
        <v>0</v>
      </c>
      <c r="E16" s="98">
        <v>0</v>
      </c>
      <c r="F16" s="98">
        <v>0</v>
      </c>
      <c r="G16" s="98">
        <v>0</v>
      </c>
      <c r="H16" s="98">
        <v>0</v>
      </c>
      <c r="I16" s="98">
        <v>0</v>
      </c>
      <c r="J16" s="98">
        <v>0</v>
      </c>
      <c r="K16" s="98">
        <v>0</v>
      </c>
      <c r="L16" s="98">
        <v>0</v>
      </c>
      <c r="M16" s="98">
        <v>0</v>
      </c>
      <c r="N16" s="268">
        <v>0</v>
      </c>
    </row>
    <row r="17" spans="1:14">
      <c r="A17" s="271" t="s">
        <v>508</v>
      </c>
      <c r="B17" s="98">
        <v>0</v>
      </c>
      <c r="C17" s="98">
        <v>0</v>
      </c>
      <c r="D17" s="98">
        <v>0</v>
      </c>
      <c r="E17" s="98">
        <v>0</v>
      </c>
      <c r="F17" s="98">
        <v>0</v>
      </c>
      <c r="G17" s="98">
        <v>0</v>
      </c>
      <c r="H17" s="98">
        <v>0</v>
      </c>
      <c r="I17" s="98">
        <v>0</v>
      </c>
      <c r="J17" s="98">
        <v>0</v>
      </c>
      <c r="K17" s="98">
        <v>0</v>
      </c>
      <c r="L17" s="98">
        <v>0</v>
      </c>
      <c r="M17" s="98">
        <v>0</v>
      </c>
      <c r="N17" s="268">
        <v>0</v>
      </c>
    </row>
    <row r="18" spans="1:14">
      <c r="A18" s="271" t="s">
        <v>509</v>
      </c>
      <c r="B18" s="98">
        <v>0</v>
      </c>
      <c r="C18" s="98">
        <v>0</v>
      </c>
      <c r="D18" s="98">
        <v>0</v>
      </c>
      <c r="E18" s="98">
        <v>0</v>
      </c>
      <c r="F18" s="98">
        <v>0</v>
      </c>
      <c r="G18" s="98">
        <v>0</v>
      </c>
      <c r="H18" s="98">
        <v>0</v>
      </c>
      <c r="I18" s="98">
        <v>0</v>
      </c>
      <c r="J18" s="98">
        <v>0</v>
      </c>
      <c r="K18" s="98">
        <v>0</v>
      </c>
      <c r="L18" s="98">
        <v>0</v>
      </c>
      <c r="M18" s="98">
        <v>0</v>
      </c>
      <c r="N18" s="268">
        <v>0</v>
      </c>
    </row>
    <row r="19" spans="1:14">
      <c r="A19" s="271" t="s">
        <v>510</v>
      </c>
      <c r="B19" s="98">
        <v>409104.99621455243</v>
      </c>
      <c r="C19" s="98">
        <v>379862.6070399647</v>
      </c>
      <c r="D19" s="98">
        <v>349972.30464488477</v>
      </c>
      <c r="E19" s="98">
        <v>320099.95501730277</v>
      </c>
      <c r="F19" s="98">
        <v>290273.31741680013</v>
      </c>
      <c r="G19" s="98">
        <v>260488.92106738524</v>
      </c>
      <c r="H19" s="98">
        <v>230695.90355980358</v>
      </c>
      <c r="I19" s="98">
        <v>200850.21541021852</v>
      </c>
      <c r="J19" s="98">
        <v>170985.78896138654</v>
      </c>
      <c r="K19" s="98">
        <v>141148.14946522153</v>
      </c>
      <c r="L19" s="98">
        <v>111209.49591246704</v>
      </c>
      <c r="M19" s="98">
        <v>81154.259494967991</v>
      </c>
      <c r="N19" s="268">
        <v>51173.566073709699</v>
      </c>
    </row>
    <row r="20" spans="1:14">
      <c r="A20" s="271" t="s">
        <v>511</v>
      </c>
      <c r="B20" s="98">
        <v>0</v>
      </c>
      <c r="C20" s="98">
        <v>0</v>
      </c>
      <c r="D20" s="98">
        <v>0</v>
      </c>
      <c r="E20" s="98">
        <v>0</v>
      </c>
      <c r="F20" s="98">
        <v>0</v>
      </c>
      <c r="G20" s="98">
        <v>0</v>
      </c>
      <c r="H20" s="98">
        <v>0</v>
      </c>
      <c r="I20" s="98">
        <v>0</v>
      </c>
      <c r="J20" s="98">
        <v>0</v>
      </c>
      <c r="K20" s="98">
        <v>0</v>
      </c>
      <c r="L20" s="98">
        <v>0</v>
      </c>
      <c r="M20" s="98">
        <v>0</v>
      </c>
      <c r="N20" s="268">
        <v>0</v>
      </c>
    </row>
    <row r="21" spans="1:14">
      <c r="A21" s="271" t="s">
        <v>205</v>
      </c>
      <c r="B21" s="98">
        <v>-347718.67213066621</v>
      </c>
      <c r="C21" s="98">
        <v>-341450.23004412442</v>
      </c>
      <c r="D21" s="98">
        <v>-371135.47037629085</v>
      </c>
      <c r="E21" s="98">
        <v>-400815.66450470762</v>
      </c>
      <c r="F21" s="98">
        <v>-430389.38746137422</v>
      </c>
      <c r="G21" s="98">
        <v>-460218.2345300407</v>
      </c>
      <c r="H21" s="98">
        <v>-438510.66931195738</v>
      </c>
      <c r="I21" s="98">
        <v>-473250.72409387404</v>
      </c>
      <c r="J21" s="98">
        <v>-508005.57209179061</v>
      </c>
      <c r="K21" s="98">
        <v>-542886.88242145721</v>
      </c>
      <c r="L21" s="98">
        <v>-577530.14187679067</v>
      </c>
      <c r="M21" s="98">
        <v>-613201.76991320704</v>
      </c>
      <c r="N21" s="268">
        <v>-651112.63095545722</v>
      </c>
    </row>
    <row r="22" spans="1:14">
      <c r="A22" s="277"/>
      <c r="N22" s="275"/>
    </row>
    <row r="23" spans="1:14">
      <c r="A23" s="267" t="s">
        <v>505</v>
      </c>
      <c r="B23" s="269">
        <v>181963879.92309201</v>
      </c>
      <c r="C23" s="269">
        <v>186804756.19999996</v>
      </c>
      <c r="D23" s="269">
        <v>187478724.23999995</v>
      </c>
      <c r="E23" s="269">
        <v>184436199.51111209</v>
      </c>
      <c r="F23" s="269">
        <v>189396656.19999999</v>
      </c>
      <c r="G23" s="269">
        <v>190308115.31000003</v>
      </c>
      <c r="H23" s="269">
        <v>187465957.36366868</v>
      </c>
      <c r="I23" s="269">
        <v>192639478.67000002</v>
      </c>
      <c r="J23" s="269">
        <v>193805785.89000002</v>
      </c>
      <c r="K23" s="269">
        <v>190370876.16774699</v>
      </c>
      <c r="L23" s="269">
        <v>195643094.68000004</v>
      </c>
      <c r="M23" s="269">
        <v>196790136.56999999</v>
      </c>
      <c r="N23" s="270">
        <v>193687354.79250705</v>
      </c>
    </row>
    <row r="24" spans="1:14">
      <c r="A24" s="267" t="s">
        <v>506</v>
      </c>
      <c r="B24" s="269">
        <v>66678294.127837092</v>
      </c>
      <c r="C24" s="269">
        <v>67248248.230230451</v>
      </c>
      <c r="D24" s="269">
        <v>67216066.717973188</v>
      </c>
      <c r="E24" s="269">
        <v>67410376.374717504</v>
      </c>
      <c r="F24" s="269">
        <v>68067094.605731457</v>
      </c>
      <c r="G24" s="269">
        <v>68634474.717159688</v>
      </c>
      <c r="H24" s="269">
        <v>68299266.083614439</v>
      </c>
      <c r="I24" s="269">
        <v>68971634.35033299</v>
      </c>
      <c r="J24" s="269">
        <v>69261907.049055576</v>
      </c>
      <c r="K24" s="269">
        <v>69832043.125864431</v>
      </c>
      <c r="L24" s="269">
        <v>70548072.429700106</v>
      </c>
      <c r="M24" s="269">
        <v>70724937.900008529</v>
      </c>
      <c r="N24" s="270">
        <v>71407378.681254134</v>
      </c>
    </row>
    <row r="25" spans="1:14">
      <c r="A25" s="267" t="s">
        <v>507</v>
      </c>
      <c r="B25" s="269">
        <v>0</v>
      </c>
      <c r="C25" s="269">
        <v>0</v>
      </c>
      <c r="D25" s="269">
        <v>0</v>
      </c>
      <c r="E25" s="269">
        <v>0</v>
      </c>
      <c r="F25" s="269">
        <v>0</v>
      </c>
      <c r="G25" s="269">
        <v>0</v>
      </c>
      <c r="H25" s="269">
        <v>0</v>
      </c>
      <c r="I25" s="269">
        <v>0</v>
      </c>
      <c r="J25" s="269">
        <v>0</v>
      </c>
      <c r="K25" s="269">
        <v>0</v>
      </c>
      <c r="L25" s="269">
        <v>0</v>
      </c>
      <c r="M25" s="269">
        <v>1354.77</v>
      </c>
      <c r="N25" s="270">
        <v>2931.92</v>
      </c>
    </row>
    <row r="26" spans="1:14">
      <c r="A26" s="267" t="s">
        <v>508</v>
      </c>
      <c r="B26" s="269">
        <v>83694881.129999995</v>
      </c>
      <c r="C26" s="269">
        <v>75858369.789999992</v>
      </c>
      <c r="D26" s="269">
        <v>76278847.480000004</v>
      </c>
      <c r="E26" s="269">
        <v>76775476.139999986</v>
      </c>
      <c r="F26" s="269">
        <v>77272129.030000001</v>
      </c>
      <c r="G26" s="269">
        <v>77768960.709999993</v>
      </c>
      <c r="H26" s="269">
        <v>78158948.759999976</v>
      </c>
      <c r="I26" s="269">
        <v>78666578.939999983</v>
      </c>
      <c r="J26" s="269">
        <v>79163092.709999964</v>
      </c>
      <c r="K26" s="269">
        <v>79477730.949999988</v>
      </c>
      <c r="L26" s="269">
        <v>79954537.959999979</v>
      </c>
      <c r="M26" s="269">
        <v>80454509.25999999</v>
      </c>
      <c r="N26" s="270">
        <v>76953829.710000008</v>
      </c>
    </row>
    <row r="27" spans="1:14">
      <c r="A27" s="267" t="s">
        <v>509</v>
      </c>
      <c r="B27" s="269">
        <v>182272207.07000002</v>
      </c>
      <c r="C27" s="269">
        <v>182716683.57000002</v>
      </c>
      <c r="D27" s="269">
        <v>183826855.03000003</v>
      </c>
      <c r="E27" s="269">
        <v>184450234.71000004</v>
      </c>
      <c r="F27" s="269">
        <v>185567326.60999998</v>
      </c>
      <c r="G27" s="269">
        <v>186678003.86000001</v>
      </c>
      <c r="H27" s="269">
        <v>183698983.32000002</v>
      </c>
      <c r="I27" s="269">
        <v>188573740.81000003</v>
      </c>
      <c r="J27" s="269">
        <v>189582366.18000007</v>
      </c>
      <c r="K27" s="269">
        <v>185875893.45999995</v>
      </c>
      <c r="L27" s="269">
        <v>187865273.89000005</v>
      </c>
      <c r="M27" s="269">
        <v>188983094.55000001</v>
      </c>
      <c r="N27" s="270">
        <v>185873721.57000002</v>
      </c>
    </row>
    <row r="28" spans="1:14">
      <c r="A28" s="267" t="s">
        <v>510</v>
      </c>
      <c r="B28" s="269">
        <v>50680571.986214556</v>
      </c>
      <c r="C28" s="269">
        <v>51226479.40703997</v>
      </c>
      <c r="D28" s="269">
        <v>51727392.614644893</v>
      </c>
      <c r="E28" s="269">
        <v>52143974.775017306</v>
      </c>
      <c r="F28" s="269">
        <v>52737735.107416801</v>
      </c>
      <c r="G28" s="269">
        <v>53271421.55106739</v>
      </c>
      <c r="H28" s="269">
        <v>53740461.933559813</v>
      </c>
      <c r="I28" s="269">
        <v>54109926.475410216</v>
      </c>
      <c r="J28" s="269">
        <v>54649117.388961382</v>
      </c>
      <c r="K28" s="269">
        <v>55179402.009465218</v>
      </c>
      <c r="L28" s="269">
        <v>55727733.955912471</v>
      </c>
      <c r="M28" s="269">
        <v>56270039.489494964</v>
      </c>
      <c r="N28" s="270">
        <v>55373421.426073708</v>
      </c>
    </row>
    <row r="29" spans="1:14">
      <c r="A29" s="267" t="s">
        <v>511</v>
      </c>
      <c r="B29" s="269">
        <v>0</v>
      </c>
      <c r="C29" s="269">
        <v>8428304.9399999995</v>
      </c>
      <c r="D29" s="269">
        <v>8678263.0999999996</v>
      </c>
      <c r="E29" s="269">
        <v>8845826.7999999989</v>
      </c>
      <c r="F29" s="269">
        <v>9014544.8900000006</v>
      </c>
      <c r="G29" s="269">
        <v>9184468.620000001</v>
      </c>
      <c r="H29" s="269">
        <v>8807403.4800000023</v>
      </c>
      <c r="I29" s="269">
        <v>9525836.4900000002</v>
      </c>
      <c r="J29" s="269">
        <v>9695811.4699999988</v>
      </c>
      <c r="K29" s="269">
        <v>9317328.4299999978</v>
      </c>
      <c r="L29" s="269">
        <v>10035761.440000001</v>
      </c>
      <c r="M29" s="269">
        <v>10205749.74</v>
      </c>
      <c r="N29" s="270">
        <v>9825607.8000000007</v>
      </c>
    </row>
    <row r="30" spans="1:14">
      <c r="A30" s="267" t="s">
        <v>512</v>
      </c>
      <c r="B30" s="269">
        <v>2468456.0578693342</v>
      </c>
      <c r="C30" s="269">
        <v>2929850.5199558754</v>
      </c>
      <c r="D30" s="269">
        <v>2974495.3996237093</v>
      </c>
      <c r="E30" s="269">
        <v>3019107.095495292</v>
      </c>
      <c r="F30" s="269">
        <v>3013077.5925386259</v>
      </c>
      <c r="G30" s="269">
        <v>3062275.4654699597</v>
      </c>
      <c r="H30" s="269">
        <v>3092697.7006880427</v>
      </c>
      <c r="I30" s="269">
        <v>3141198.1259061256</v>
      </c>
      <c r="J30" s="269">
        <v>3189795.9379082099</v>
      </c>
      <c r="K30" s="269">
        <v>3239551.9675785434</v>
      </c>
      <c r="L30" s="269">
        <v>3291534.0881232098</v>
      </c>
      <c r="M30" s="269">
        <v>3353995.240086793</v>
      </c>
      <c r="N30" s="270">
        <v>2959500.1090445425</v>
      </c>
    </row>
    <row r="31" spans="1:14" ht="16.2" thickBot="1">
      <c r="A31" s="278" t="s">
        <v>513</v>
      </c>
      <c r="B31" s="279">
        <v>567758290.29501295</v>
      </c>
      <c r="C31" s="279">
        <v>575212692.65722632</v>
      </c>
      <c r="D31" s="279">
        <v>578180644.58224189</v>
      </c>
      <c r="E31" s="279">
        <v>577081195.40634215</v>
      </c>
      <c r="F31" s="279">
        <v>585068564.03568673</v>
      </c>
      <c r="G31" s="279">
        <v>588907720.23369706</v>
      </c>
      <c r="H31" s="279">
        <v>583263718.64153087</v>
      </c>
      <c r="I31" s="279">
        <v>595628393.86164939</v>
      </c>
      <c r="J31" s="279">
        <v>599347876.62592518</v>
      </c>
      <c r="K31" s="279">
        <v>593292826.11065507</v>
      </c>
      <c r="L31" s="279">
        <v>603066008.44373596</v>
      </c>
      <c r="M31" s="279">
        <v>606783817.51959026</v>
      </c>
      <c r="N31" s="280">
        <v>596083746.00887942</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48D3477F073934384A207DA4AB3CB09" ma:contentTypeVersion="0" ma:contentTypeDescription="Create a new document." ma:contentTypeScope="" ma:versionID="930fe33627802e2f8bca8db2d47a94d4">
  <xsd:schema xmlns:xsd="http://www.w3.org/2001/XMLSchema" xmlns:xs="http://www.w3.org/2001/XMLSchema" xmlns:p="http://schemas.microsoft.com/office/2006/metadata/properties" targetNamespace="http://schemas.microsoft.com/office/2006/metadata/properties" ma:root="true" ma:fieldsID="500c6692915ba10984c0aabd49f31b22">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6142FECE-3243-4FD3-84F0-CCD728B41367}"/>
</file>

<file path=customXml/itemProps2.xml><?xml version="1.0" encoding="utf-8"?>
<ds:datastoreItem xmlns:ds="http://schemas.openxmlformats.org/officeDocument/2006/customXml" ds:itemID="{407B64B2-7CB9-4ACC-861A-08A1B3007FA9}"/>
</file>

<file path=customXml/itemProps3.xml><?xml version="1.0" encoding="utf-8"?>
<ds:datastoreItem xmlns:ds="http://schemas.openxmlformats.org/officeDocument/2006/customXml" ds:itemID="{8003F9A6-14B1-4897-B827-EAB7B14CC35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Cost of Service References</vt:lpstr>
      <vt:lpstr>BHP WP1 A&amp;G</vt:lpstr>
      <vt:lpstr>BHP WP4 Transmission Assets</vt:lpstr>
      <vt:lpstr>BHP WP8 Adj to Rate Base</vt:lpstr>
      <vt:lpstr>BHP WP 8.1 EDIT-DDIT</vt:lpstr>
      <vt:lpstr>BHP WP9 Accum Depr</vt:lpstr>
      <vt:lpstr>BHP WP10 Plant in Service</vt:lpstr>
      <vt:lpstr>BHP WP11 Property Tax Expense</vt:lpstr>
      <vt:lpstr>BHP WP12 ADIT</vt:lpstr>
      <vt:lpstr>BHP WP13 Accum Reserve</vt:lpstr>
      <vt:lpstr>'BHP WP 8.1 EDIT-DDIT'!Print_Area</vt:lpstr>
      <vt:lpstr>'BHP WP1 A&amp;G'!Print_Area</vt:lpstr>
      <vt:lpstr>'BHP WP10 Plant in Service'!Print_Area</vt:lpstr>
      <vt:lpstr>'BHP WP4 Transmission Assets'!Print_Area</vt:lpstr>
      <vt:lpstr>'BHP WP9 Accum Depr'!Print_Area</vt:lpstr>
      <vt:lpstr>'Cost of Service References'!Print_Area</vt:lpstr>
    </vt:vector>
  </TitlesOfParts>
  <Company>BHC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Cody Hoffman</dc:creator>
  <cp:lastModifiedBy>Escue, Ethan</cp:lastModifiedBy>
  <cp:lastPrinted>2016-05-31T15:34:06Z</cp:lastPrinted>
  <dcterms:created xsi:type="dcterms:W3CDTF">2015-05-28T18:39:45Z</dcterms:created>
  <dcterms:modified xsi:type="dcterms:W3CDTF">2026-09-29T17:51:35Z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ContentTypeId">
    <vt:lpwstr>0x010100948D3477F073934384A207DA4AB3CB09</vt:lpwstr>
  </property>
</Properties>
</file>