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codeName="ThisWorkbook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6 CUS Filing (2027 rate)\Files for Oasis\"/>
    </mc:Choice>
  </mc:AlternateContent>
  <xr:revisionPtr revIDLastSave="2" documentId="13_ncr:1_{BEA9B589-358F-429E-9ABD-F491F3888E60}" xr6:coauthVersionLast="47" xr6:coauthVersionMax="47" xr10:uidLastSave="{4A95DA13-9950-46AA-BB56-5232CB7EC68C}"/>
  <bookViews>
    <workbookView xWindow="15468" yWindow="-16308" windowWidth="29016" windowHeight="15696" tabRatio="893" firstSheet="6" activeTab="6" xr2:uid="{00000000-000D-0000-FFFF-FFFF00000000}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  <sheet name="WP14 Long Term Interest" sheetId="44" r:id="rId8"/>
  </sheets>
  <definedNames>
    <definedName name="_xlnm.Print_Area" localSheetId="2">'BHP WP2 Capital Additions'!$B$1:$G$60</definedName>
    <definedName name="_xlnm.Print_Area" localSheetId="3">'BHP WP3 Capital Additions'!$A$1:$F$30</definedName>
    <definedName name="_xlnm.Print_Area" localSheetId="0">'CU AC Rate Design'!$A$1:$H$36</definedName>
    <definedName name="_xlnm.Print_Area" localSheetId="1">Estimate!$A$1:$K$235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37" l="1"/>
  <c r="G51" i="37" l="1"/>
  <c r="E56" i="35" l="1"/>
  <c r="J56" i="35" s="1"/>
  <c r="E53" i="35"/>
  <c r="E52" i="35"/>
  <c r="E51" i="35"/>
  <c r="E50" i="35"/>
  <c r="J200" i="35" l="1"/>
  <c r="G52" i="37" l="1"/>
  <c r="E59" i="35" l="1"/>
  <c r="E34" i="35" l="1"/>
  <c r="E23" i="35"/>
  <c r="Q171" i="37" l="1"/>
  <c r="P171" i="37"/>
  <c r="O171" i="37"/>
  <c r="N171" i="37"/>
  <c r="M171" i="37"/>
  <c r="L171" i="37"/>
  <c r="K171" i="37"/>
  <c r="J171" i="37"/>
  <c r="I171" i="37"/>
  <c r="H171" i="37"/>
  <c r="G171" i="37"/>
  <c r="F171" i="37"/>
  <c r="E171" i="37"/>
  <c r="Q161" i="37"/>
  <c r="P161" i="37"/>
  <c r="O161" i="37"/>
  <c r="N161" i="37"/>
  <c r="M161" i="37"/>
  <c r="L161" i="37"/>
  <c r="K161" i="37"/>
  <c r="J161" i="37"/>
  <c r="I161" i="37"/>
  <c r="H161" i="37"/>
  <c r="G161" i="37"/>
  <c r="F161" i="37"/>
  <c r="E161" i="37"/>
  <c r="I149" i="37"/>
  <c r="I150" i="37" s="1"/>
  <c r="Q140" i="37"/>
  <c r="P140" i="37"/>
  <c r="O140" i="37"/>
  <c r="N140" i="37"/>
  <c r="M140" i="37"/>
  <c r="L140" i="37"/>
  <c r="K140" i="37"/>
  <c r="J140" i="37"/>
  <c r="I140" i="37"/>
  <c r="H140" i="37"/>
  <c r="G140" i="37"/>
  <c r="F140" i="37"/>
  <c r="E140" i="37"/>
  <c r="Q128" i="37"/>
  <c r="P128" i="37"/>
  <c r="O128" i="37"/>
  <c r="N128" i="37"/>
  <c r="M128" i="37"/>
  <c r="L128" i="37"/>
  <c r="K128" i="37"/>
  <c r="J128" i="37"/>
  <c r="I128" i="37"/>
  <c r="H128" i="37"/>
  <c r="G128" i="37"/>
  <c r="F128" i="37"/>
  <c r="E128" i="37"/>
  <c r="Q118" i="37"/>
  <c r="P118" i="37"/>
  <c r="O118" i="37"/>
  <c r="N118" i="37"/>
  <c r="M118" i="37"/>
  <c r="L118" i="37"/>
  <c r="K118" i="37"/>
  <c r="J118" i="37"/>
  <c r="I118" i="37"/>
  <c r="H118" i="37"/>
  <c r="G118" i="37"/>
  <c r="F118" i="37"/>
  <c r="E118" i="37"/>
  <c r="Q107" i="37"/>
  <c r="P107" i="37"/>
  <c r="O107" i="37"/>
  <c r="N107" i="37"/>
  <c r="M107" i="37"/>
  <c r="L107" i="37"/>
  <c r="K107" i="37"/>
  <c r="J107" i="37"/>
  <c r="I107" i="37"/>
  <c r="H107" i="37"/>
  <c r="G107" i="37"/>
  <c r="F107" i="37"/>
  <c r="E107" i="37"/>
  <c r="C106" i="37"/>
  <c r="Q97" i="37"/>
  <c r="P97" i="37"/>
  <c r="O97" i="37"/>
  <c r="N97" i="37"/>
  <c r="M97" i="37"/>
  <c r="L97" i="37"/>
  <c r="K97" i="37"/>
  <c r="J97" i="37"/>
  <c r="I97" i="37"/>
  <c r="H97" i="37"/>
  <c r="G97" i="37"/>
  <c r="F97" i="37"/>
  <c r="E97" i="37"/>
  <c r="Q87" i="37"/>
  <c r="P87" i="37"/>
  <c r="O87" i="37"/>
  <c r="N87" i="37"/>
  <c r="M87" i="37"/>
  <c r="L87" i="37"/>
  <c r="K87" i="37"/>
  <c r="J87" i="37"/>
  <c r="I87" i="37"/>
  <c r="H87" i="37"/>
  <c r="G87" i="37"/>
  <c r="F87" i="37"/>
  <c r="E87" i="37"/>
  <c r="H149" i="37" s="1"/>
  <c r="H150" i="37" s="1"/>
  <c r="C85" i="37"/>
  <c r="C83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E76" i="37"/>
  <c r="F65" i="37"/>
  <c r="E65" i="37"/>
  <c r="G64" i="37"/>
  <c r="G63" i="37"/>
  <c r="G62" i="37"/>
  <c r="G65" i="37" s="1"/>
  <c r="G58" i="37"/>
  <c r="F56" i="37"/>
  <c r="E56" i="37"/>
  <c r="G54" i="37"/>
  <c r="G53" i="37"/>
  <c r="G50" i="37"/>
  <c r="Q41" i="37"/>
  <c r="P41" i="37"/>
  <c r="O41" i="37"/>
  <c r="N41" i="37"/>
  <c r="M41" i="37"/>
  <c r="L41" i="37"/>
  <c r="K41" i="37"/>
  <c r="J41" i="37"/>
  <c r="I41" i="37"/>
  <c r="H41" i="37"/>
  <c r="G41" i="37"/>
  <c r="F41" i="37"/>
  <c r="E41" i="37"/>
  <c r="C40" i="37"/>
  <c r="L39" i="37"/>
  <c r="K39" i="37"/>
  <c r="J39" i="37"/>
  <c r="G39" i="37"/>
  <c r="O38" i="37"/>
  <c r="N38" i="37"/>
  <c r="J38" i="37"/>
  <c r="C38" i="37"/>
  <c r="P36" i="37"/>
  <c r="O36" i="37"/>
  <c r="N36" i="37"/>
  <c r="M36" i="37"/>
  <c r="L36" i="37"/>
  <c r="K36" i="37"/>
  <c r="F36" i="37"/>
  <c r="Q35" i="37"/>
  <c r="P35" i="37"/>
  <c r="P42" i="37" s="1"/>
  <c r="O35" i="37"/>
  <c r="O42" i="37" s="1"/>
  <c r="G35" i="37"/>
  <c r="F35" i="37"/>
  <c r="F42" i="37" s="1"/>
  <c r="E35" i="37"/>
  <c r="C35" i="37"/>
  <c r="R31" i="37"/>
  <c r="C31" i="37"/>
  <c r="C41" i="37" s="1"/>
  <c r="Q30" i="37"/>
  <c r="Q40" i="37" s="1"/>
  <c r="P30" i="37"/>
  <c r="O30" i="37"/>
  <c r="N30" i="37"/>
  <c r="M30" i="37"/>
  <c r="L30" i="37"/>
  <c r="K30" i="37"/>
  <c r="J30" i="37"/>
  <c r="I30" i="37"/>
  <c r="I40" i="37" s="1"/>
  <c r="H30" i="37"/>
  <c r="H40" i="37" s="1"/>
  <c r="G30" i="37"/>
  <c r="G40" i="37" s="1"/>
  <c r="F30" i="37"/>
  <c r="F40" i="37" s="1"/>
  <c r="E30" i="37"/>
  <c r="E40" i="37" s="1"/>
  <c r="C30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R29" i="37" s="1"/>
  <c r="Q28" i="37"/>
  <c r="P28" i="37"/>
  <c r="O28" i="37"/>
  <c r="N28" i="37"/>
  <c r="M28" i="37"/>
  <c r="L28" i="37"/>
  <c r="K28" i="37"/>
  <c r="J28" i="37"/>
  <c r="I28" i="37"/>
  <c r="H28" i="37"/>
  <c r="G28" i="37"/>
  <c r="F28" i="37"/>
  <c r="E28" i="37"/>
  <c r="R28" i="37" s="1"/>
  <c r="C28" i="37"/>
  <c r="Q27" i="37"/>
  <c r="P27" i="37"/>
  <c r="O27" i="37"/>
  <c r="N27" i="37"/>
  <c r="M27" i="37"/>
  <c r="L27" i="37"/>
  <c r="K27" i="37"/>
  <c r="J27" i="37"/>
  <c r="I27" i="37"/>
  <c r="H27" i="37"/>
  <c r="G27" i="37"/>
  <c r="F27" i="37"/>
  <c r="E27" i="37"/>
  <c r="R27" i="37" s="1"/>
  <c r="Q26" i="37"/>
  <c r="P26" i="37"/>
  <c r="O26" i="37"/>
  <c r="N26" i="37"/>
  <c r="M26" i="37"/>
  <c r="L26" i="37"/>
  <c r="K26" i="37"/>
  <c r="J26" i="37"/>
  <c r="I26" i="37"/>
  <c r="H26" i="37"/>
  <c r="H36" i="37" s="1"/>
  <c r="G26" i="37"/>
  <c r="G32" i="37" s="1"/>
  <c r="F26" i="37"/>
  <c r="E26" i="37"/>
  <c r="R26" i="37" s="1"/>
  <c r="Q25" i="37"/>
  <c r="Q32" i="37" s="1"/>
  <c r="P25" i="37"/>
  <c r="P32" i="37" s="1"/>
  <c r="O25" i="37"/>
  <c r="O32" i="37" s="1"/>
  <c r="N25" i="37"/>
  <c r="N32" i="37" s="1"/>
  <c r="M25" i="37"/>
  <c r="M32" i="37" s="1"/>
  <c r="L25" i="37"/>
  <c r="L35" i="37" s="1"/>
  <c r="K25" i="37"/>
  <c r="K35" i="37" s="1"/>
  <c r="J25" i="37"/>
  <c r="J35" i="37" s="1"/>
  <c r="I25" i="37"/>
  <c r="I32" i="37" s="1"/>
  <c r="H25" i="37"/>
  <c r="H32" i="37" s="1"/>
  <c r="G25" i="37"/>
  <c r="F25" i="37"/>
  <c r="F32" i="37" s="1"/>
  <c r="E25" i="37"/>
  <c r="R25" i="37" s="1"/>
  <c r="C25" i="37"/>
  <c r="R21" i="37"/>
  <c r="R41" i="37" s="1"/>
  <c r="Q20" i="37"/>
  <c r="P20" i="37"/>
  <c r="P40" i="37" s="1"/>
  <c r="O20" i="37"/>
  <c r="O40" i="37" s="1"/>
  <c r="N20" i="37"/>
  <c r="N40" i="37" s="1"/>
  <c r="M20" i="37"/>
  <c r="M40" i="37" s="1"/>
  <c r="L20" i="37"/>
  <c r="L40" i="37" s="1"/>
  <c r="K20" i="37"/>
  <c r="K40" i="37" s="1"/>
  <c r="J20" i="37"/>
  <c r="J40" i="37" s="1"/>
  <c r="I20" i="37"/>
  <c r="H20" i="37"/>
  <c r="G20" i="37"/>
  <c r="F20" i="37"/>
  <c r="E20" i="37"/>
  <c r="R20" i="37" s="1"/>
  <c r="Q19" i="37"/>
  <c r="Q39" i="37" s="1"/>
  <c r="P19" i="37"/>
  <c r="P39" i="37" s="1"/>
  <c r="O19" i="37"/>
  <c r="O39" i="37" s="1"/>
  <c r="N19" i="37"/>
  <c r="N39" i="37" s="1"/>
  <c r="M19" i="37"/>
  <c r="M39" i="37" s="1"/>
  <c r="L19" i="37"/>
  <c r="K19" i="37"/>
  <c r="J19" i="37"/>
  <c r="I19" i="37"/>
  <c r="I39" i="37" s="1"/>
  <c r="H19" i="37"/>
  <c r="H39" i="37" s="1"/>
  <c r="G19" i="37"/>
  <c r="F19" i="37"/>
  <c r="F39" i="37" s="1"/>
  <c r="E19" i="37"/>
  <c r="E39" i="37" s="1"/>
  <c r="Q18" i="37"/>
  <c r="Q38" i="37" s="1"/>
  <c r="P18" i="37"/>
  <c r="P38" i="37" s="1"/>
  <c r="O18" i="37"/>
  <c r="N18" i="37"/>
  <c r="M18" i="37"/>
  <c r="M38" i="37" s="1"/>
  <c r="L18" i="37"/>
  <c r="L38" i="37" s="1"/>
  <c r="K18" i="37"/>
  <c r="K38" i="37" s="1"/>
  <c r="J18" i="37"/>
  <c r="I18" i="37"/>
  <c r="I38" i="37" s="1"/>
  <c r="H18" i="37"/>
  <c r="H38" i="37" s="1"/>
  <c r="G18" i="37"/>
  <c r="G38" i="37" s="1"/>
  <c r="F18" i="37"/>
  <c r="F38" i="37" s="1"/>
  <c r="E18" i="37"/>
  <c r="E38" i="37" s="1"/>
  <c r="A18" i="37"/>
  <c r="Q17" i="37"/>
  <c r="Q37" i="37" s="1"/>
  <c r="P17" i="37"/>
  <c r="P37" i="37" s="1"/>
  <c r="O17" i="37"/>
  <c r="O37" i="37" s="1"/>
  <c r="N17" i="37"/>
  <c r="N37" i="37" s="1"/>
  <c r="M17" i="37"/>
  <c r="M37" i="37" s="1"/>
  <c r="L17" i="37"/>
  <c r="L37" i="37" s="1"/>
  <c r="K17" i="37"/>
  <c r="K37" i="37" s="1"/>
  <c r="J17" i="37"/>
  <c r="J37" i="37" s="1"/>
  <c r="I17" i="37"/>
  <c r="I22" i="37" s="1"/>
  <c r="H17" i="37"/>
  <c r="H37" i="37" s="1"/>
  <c r="G17" i="37"/>
  <c r="G22" i="37" s="1"/>
  <c r="F17" i="37"/>
  <c r="F37" i="37" s="1"/>
  <c r="E17" i="37"/>
  <c r="R17" i="37" s="1"/>
  <c r="A17" i="37"/>
  <c r="Q16" i="37"/>
  <c r="Q36" i="37" s="1"/>
  <c r="P16" i="37"/>
  <c r="O16" i="37"/>
  <c r="N16" i="37"/>
  <c r="M16" i="37"/>
  <c r="L16" i="37"/>
  <c r="L22" i="37" s="1"/>
  <c r="K16" i="37"/>
  <c r="K22" i="37" s="1"/>
  <c r="J16" i="37"/>
  <c r="J36" i="37" s="1"/>
  <c r="I16" i="37"/>
  <c r="I36" i="37" s="1"/>
  <c r="H16" i="37"/>
  <c r="G16" i="37"/>
  <c r="F16" i="37"/>
  <c r="E16" i="37"/>
  <c r="R16" i="37" s="1"/>
  <c r="A16" i="37"/>
  <c r="Q15" i="37"/>
  <c r="P15" i="37"/>
  <c r="O15" i="37"/>
  <c r="O22" i="37" s="1"/>
  <c r="N15" i="37"/>
  <c r="N35" i="37" s="1"/>
  <c r="M15" i="37"/>
  <c r="M22" i="37" s="1"/>
  <c r="L15" i="37"/>
  <c r="K15" i="37"/>
  <c r="J15" i="37"/>
  <c r="J22" i="37" s="1"/>
  <c r="I15" i="37"/>
  <c r="I35" i="37" s="1"/>
  <c r="H15" i="37"/>
  <c r="H35" i="37" s="1"/>
  <c r="H42" i="37" s="1"/>
  <c r="G15" i="37"/>
  <c r="F15" i="37"/>
  <c r="E15" i="37"/>
  <c r="R15" i="37" s="1"/>
  <c r="R2" i="37"/>
  <c r="G56" i="37" l="1"/>
  <c r="R37" i="37"/>
  <c r="L42" i="37"/>
  <c r="R32" i="37"/>
  <c r="J42" i="37"/>
  <c r="R35" i="37"/>
  <c r="R36" i="37"/>
  <c r="Q42" i="37"/>
  <c r="I42" i="37"/>
  <c r="K42" i="37"/>
  <c r="N42" i="37"/>
  <c r="R30" i="37"/>
  <c r="R40" i="37" s="1"/>
  <c r="K32" i="37"/>
  <c r="F22" i="37"/>
  <c r="I37" i="37"/>
  <c r="A19" i="37"/>
  <c r="H22" i="37"/>
  <c r="N149" i="37"/>
  <c r="N150" i="37" s="1"/>
  <c r="E36" i="37"/>
  <c r="E42" i="37" s="1"/>
  <c r="O149" i="37"/>
  <c r="O150" i="37" s="1"/>
  <c r="P22" i="37"/>
  <c r="G37" i="37"/>
  <c r="Q22" i="37"/>
  <c r="J149" i="37"/>
  <c r="J150" i="37" s="1"/>
  <c r="R18" i="37"/>
  <c r="R38" i="37" s="1"/>
  <c r="K149" i="37"/>
  <c r="K150" i="37" s="1"/>
  <c r="R19" i="37"/>
  <c r="R39" i="37" s="1"/>
  <c r="G36" i="37"/>
  <c r="G42" i="37" s="1"/>
  <c r="E149" i="37"/>
  <c r="E150" i="37" s="1"/>
  <c r="Q149" i="37"/>
  <c r="Q150" i="37" s="1"/>
  <c r="E22" i="37"/>
  <c r="L32" i="37"/>
  <c r="N22" i="37"/>
  <c r="M35" i="37"/>
  <c r="M42" i="37" s="1"/>
  <c r="E37" i="37"/>
  <c r="G149" i="37"/>
  <c r="G150" i="37" s="1"/>
  <c r="J32" i="37"/>
  <c r="L149" i="37"/>
  <c r="L150" i="37" s="1"/>
  <c r="M149" i="37"/>
  <c r="M150" i="37" s="1"/>
  <c r="E32" i="37"/>
  <c r="P149" i="37"/>
  <c r="P150" i="37" s="1"/>
  <c r="F149" i="37"/>
  <c r="F150" i="37" s="1"/>
  <c r="A20" i="37" l="1"/>
  <c r="R22" i="37"/>
  <c r="R42" i="37"/>
  <c r="A21" i="37" l="1"/>
  <c r="A22" i="37" l="1"/>
  <c r="A23" i="37" s="1"/>
  <c r="A24" i="37" s="1"/>
  <c r="A25" i="37" s="1"/>
  <c r="D22" i="37"/>
  <c r="A26" i="37" l="1"/>
  <c r="D35" i="37"/>
  <c r="D36" i="37" l="1"/>
  <c r="A27" i="37"/>
  <c r="A28" i="37" l="1"/>
  <c r="D37" i="37"/>
  <c r="A29" i="37" l="1"/>
  <c r="D38" i="37"/>
  <c r="A30" i="37" l="1"/>
  <c r="D39" i="37"/>
  <c r="A31" i="37" l="1"/>
  <c r="D40" i="37"/>
  <c r="A32" i="37" l="1"/>
  <c r="A33" i="37" s="1"/>
  <c r="A34" i="37" s="1"/>
  <c r="A35" i="37" s="1"/>
  <c r="D41" i="37"/>
  <c r="D32" i="37"/>
  <c r="A36" i="37" l="1"/>
  <c r="A37" i="37" s="1"/>
  <c r="A38" i="37" s="1"/>
  <c r="A39" i="37" s="1"/>
  <c r="A40" i="37" s="1"/>
  <c r="A41" i="37" s="1"/>
  <c r="A42" i="37" s="1"/>
  <c r="A48" i="37" s="1"/>
  <c r="A49" i="37" s="1"/>
  <c r="A50" i="37" s="1"/>
  <c r="D42" i="37"/>
  <c r="A51" i="37" l="1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D56" i="37"/>
  <c r="A62" i="37" l="1"/>
  <c r="A63" i="37" s="1"/>
  <c r="A64" i="37" s="1"/>
  <c r="A65" i="37" s="1"/>
  <c r="D65" i="37"/>
  <c r="D57" i="42" l="1"/>
  <c r="D55" i="42"/>
  <c r="D54" i="42"/>
  <c r="F20" i="44" l="1"/>
  <c r="J185" i="35" s="1"/>
  <c r="A13" i="44"/>
  <c r="A14" i="44" s="1"/>
  <c r="A15" i="44" s="1"/>
  <c r="A16" i="44" s="1"/>
  <c r="A17" i="44" s="1"/>
  <c r="A18" i="44" s="1"/>
  <c r="A19" i="44" s="1"/>
  <c r="A20" i="44" s="1"/>
  <c r="A21" i="44" s="1"/>
  <c r="A22" i="44" s="1"/>
  <c r="A23" i="44" s="1"/>
  <c r="A12" i="44"/>
  <c r="F20" i="42" l="1"/>
  <c r="F22" i="42" l="1"/>
  <c r="E24" i="24" l="1"/>
  <c r="J42" i="35" l="1"/>
  <c r="E41" i="35"/>
  <c r="J22" i="24" l="1"/>
  <c r="J21" i="24"/>
  <c r="J20" i="24"/>
  <c r="J19" i="24"/>
  <c r="J18" i="24"/>
  <c r="J17" i="24"/>
  <c r="J16" i="24"/>
  <c r="J15" i="24"/>
  <c r="J14" i="24"/>
  <c r="J13" i="24"/>
  <c r="J12" i="24"/>
  <c r="J11" i="24"/>
  <c r="D181" i="35" l="1"/>
  <c r="D180" i="35"/>
  <c r="D108" i="35"/>
  <c r="D90" i="35"/>
  <c r="D68" i="35"/>
  <c r="D66" i="35"/>
  <c r="D57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H197" i="35" l="1"/>
  <c r="E91" i="35" l="1"/>
  <c r="E62" i="35" s="1"/>
  <c r="J59" i="35" l="1"/>
  <c r="F12" i="41"/>
  <c r="E177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6" i="35"/>
  <c r="C95" i="35"/>
  <c r="C40" i="35"/>
  <c r="F21" i="42"/>
  <c r="F25" i="43" s="1"/>
  <c r="E65" i="35"/>
  <c r="E64" i="35"/>
  <c r="E63" i="35"/>
  <c r="E55" i="35"/>
  <c r="E33" i="35"/>
  <c r="E31" i="35"/>
  <c r="E30" i="35"/>
  <c r="J166" i="35" s="1"/>
  <c r="J159" i="35" s="1"/>
  <c r="E28" i="35"/>
  <c r="E27" i="35"/>
  <c r="J23" i="35"/>
  <c r="E22" i="35"/>
  <c r="E21" i="35"/>
  <c r="E20" i="35"/>
  <c r="E19" i="35"/>
  <c r="E16" i="35"/>
  <c r="E28" i="42" s="1"/>
  <c r="E15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F24" i="24"/>
  <c r="G24" i="24"/>
  <c r="H24" i="24"/>
  <c r="I24" i="24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H114" i="42"/>
  <c r="H115" i="42" s="1"/>
  <c r="C27" i="35"/>
  <c r="G27" i="35"/>
  <c r="G50" i="35" s="1"/>
  <c r="G107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 s="1"/>
  <c r="G55" i="35" s="1"/>
  <c r="G56" i="35" s="1"/>
  <c r="J69" i="35"/>
  <c r="I70" i="35"/>
  <c r="J70" i="35"/>
  <c r="G78" i="35"/>
  <c r="G79" i="35"/>
  <c r="G83" i="35"/>
  <c r="J85" i="35"/>
  <c r="G86" i="35"/>
  <c r="G87" i="35" s="1"/>
  <c r="G88" i="35"/>
  <c r="G89" i="35"/>
  <c r="H90" i="35"/>
  <c r="J90" i="35" s="1"/>
  <c r="C94" i="35"/>
  <c r="C98" i="35"/>
  <c r="G104" i="35"/>
  <c r="G108" i="35"/>
  <c r="E109" i="35"/>
  <c r="E113" i="35"/>
  <c r="J125" i="35"/>
  <c r="I126" i="35"/>
  <c r="J126" i="35"/>
  <c r="E148" i="35"/>
  <c r="H175" i="35"/>
  <c r="H176" i="35"/>
  <c r="J194" i="35"/>
  <c r="J197" i="35"/>
  <c r="H198" i="35"/>
  <c r="J199" i="35"/>
  <c r="J201" i="35"/>
  <c r="I202" i="35"/>
  <c r="J202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2" i="35"/>
  <c r="A83" i="35" s="1"/>
  <c r="A84" i="35" s="1"/>
  <c r="A85" i="35" s="1"/>
  <c r="A86" i="35" s="1"/>
  <c r="A87" i="35" s="1"/>
  <c r="A88" i="35" s="1"/>
  <c r="A89" i="35" s="1"/>
  <c r="A90" i="35" s="1"/>
  <c r="A91" i="35" s="1"/>
  <c r="E29" i="42" l="1"/>
  <c r="E30" i="42" s="1"/>
  <c r="F28" i="42"/>
  <c r="E45" i="35"/>
  <c r="J148" i="35"/>
  <c r="E42" i="35"/>
  <c r="E46" i="35"/>
  <c r="F29" i="42"/>
  <c r="J170" i="35"/>
  <c r="E43" i="35"/>
  <c r="E66" i="35"/>
  <c r="J34" i="35"/>
  <c r="J46" i="35" s="1"/>
  <c r="E181" i="35"/>
  <c r="E94" i="35"/>
  <c r="E38" i="35"/>
  <c r="E39" i="35"/>
  <c r="E97" i="35"/>
  <c r="B21" i="42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2" i="35"/>
  <c r="A92" i="35"/>
  <c r="A93" i="35" s="1"/>
  <c r="A94" i="35" s="1"/>
  <c r="E32" i="35"/>
  <c r="E44" i="35" s="1"/>
  <c r="C91" i="35"/>
  <c r="H98" i="35"/>
  <c r="J98" i="35" s="1"/>
  <c r="E199" i="35"/>
  <c r="E200" i="35" s="1"/>
  <c r="F198" i="35" s="1"/>
  <c r="J198" i="35" s="1"/>
  <c r="J44" i="24"/>
  <c r="G22" i="41" s="1"/>
  <c r="E45" i="41" s="1"/>
  <c r="F15" i="41"/>
  <c r="G14" i="41" s="1"/>
  <c r="H14" i="41" s="1"/>
  <c r="E24" i="41" s="1"/>
  <c r="F24" i="41" s="1"/>
  <c r="G12" i="41" l="1"/>
  <c r="E114" i="35"/>
  <c r="B41" i="42"/>
  <c r="B42" i="42" s="1"/>
  <c r="G23" i="41"/>
  <c r="G13" i="41"/>
  <c r="H13" i="41" s="1"/>
  <c r="E23" i="41" s="1"/>
  <c r="C22" i="42"/>
  <c r="A95" i="35"/>
  <c r="A96" i="35" s="1"/>
  <c r="A97" i="35" s="1"/>
  <c r="A98" i="35" s="1"/>
  <c r="A99" i="35" s="1"/>
  <c r="G15" i="41"/>
  <c r="H12" i="41"/>
  <c r="E22" i="41" s="1"/>
  <c r="F23" i="41" l="1"/>
  <c r="H23" i="41" s="1"/>
  <c r="E25" i="41"/>
  <c r="E43" i="41" s="1"/>
  <c r="H15" i="41"/>
  <c r="G24" i="41"/>
  <c r="H24" i="41" s="1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A100" i="35"/>
  <c r="A101" i="35" s="1"/>
  <c r="A102" i="35" s="1"/>
  <c r="A103" i="35" s="1"/>
  <c r="C99" i="35"/>
  <c r="A104" i="35" l="1"/>
  <c r="A105" i="35" s="1"/>
  <c r="A106" i="35" s="1"/>
  <c r="A107" i="35" s="1"/>
  <c r="A108" i="35" s="1"/>
  <c r="A109" i="35" s="1"/>
  <c r="B55" i="42"/>
  <c r="C109" i="35" l="1"/>
  <c r="A110" i="35"/>
  <c r="A111" i="35" s="1"/>
  <c r="A112" i="35" s="1"/>
  <c r="A113" i="35" s="1"/>
  <c r="A114" i="35" s="1"/>
  <c r="B56" i="42"/>
  <c r="B57" i="42" s="1"/>
  <c r="A115" i="35" l="1"/>
  <c r="A116" i="35" s="1"/>
  <c r="A117" i="35" s="1"/>
  <c r="A118" i="35" s="1"/>
  <c r="A119" i="35" l="1"/>
  <c r="A120" i="35" s="1"/>
  <c r="A121" i="35" s="1"/>
  <c r="C123" i="35"/>
  <c r="A122" i="35" l="1"/>
  <c r="A123" i="35" s="1"/>
  <c r="A137" i="35" s="1"/>
  <c r="D118" i="35"/>
  <c r="A138" i="35" l="1"/>
  <c r="A139" i="35" s="1"/>
  <c r="A140" i="35" s="1"/>
  <c r="A141" i="35" l="1"/>
  <c r="A142" i="35" s="1"/>
  <c r="C140" i="35"/>
  <c r="A143" i="35" l="1"/>
  <c r="A144" i="35" s="1"/>
  <c r="A145" i="35" s="1"/>
  <c r="A146" i="35" s="1"/>
  <c r="A147" i="35" s="1"/>
  <c r="A148" i="35" s="1"/>
  <c r="C142" i="35"/>
  <c r="A149" i="35" l="1"/>
  <c r="A150" i="35" s="1"/>
  <c r="A151" i="35" s="1"/>
  <c r="C153" i="35" s="1"/>
  <c r="C145" i="35"/>
  <c r="A152" i="35" l="1"/>
  <c r="A153" i="35" s="1"/>
  <c r="A154" i="35" s="1"/>
  <c r="A155" i="35" s="1"/>
  <c r="A156" i="35" s="1"/>
  <c r="C141" i="35"/>
  <c r="C143" i="35"/>
  <c r="C151" i="35"/>
  <c r="A157" i="35" l="1"/>
  <c r="A158" i="35" s="1"/>
  <c r="C158" i="35" l="1"/>
  <c r="A159" i="35"/>
  <c r="C160" i="35"/>
  <c r="A160" i="35" l="1"/>
  <c r="C161" i="35"/>
  <c r="A161" i="35" l="1"/>
  <c r="A162" i="35" s="1"/>
  <c r="A163" i="35" s="1"/>
  <c r="A164" i="35" s="1"/>
  <c r="A165" i="35" s="1"/>
  <c r="A166" i="35" s="1"/>
  <c r="C163" i="35" l="1"/>
  <c r="A167" i="35"/>
  <c r="A168" i="35" s="1"/>
  <c r="C168" i="35" l="1"/>
  <c r="A169" i="35"/>
  <c r="A170" i="35" s="1"/>
  <c r="A171" i="35" s="1"/>
  <c r="A172" i="35" s="1"/>
  <c r="A173" i="35" s="1"/>
  <c r="A174" i="35" s="1"/>
  <c r="A175" i="35" s="1"/>
  <c r="C170" i="35"/>
  <c r="C159" i="35"/>
  <c r="A176" i="35" l="1"/>
  <c r="A177" i="35" s="1"/>
  <c r="A178" i="35" s="1"/>
  <c r="A179" i="35" s="1"/>
  <c r="A180" i="35" s="1"/>
  <c r="C177" i="35"/>
  <c r="A181" i="35" l="1"/>
  <c r="A182" i="35" s="1"/>
  <c r="A183" i="35" s="1"/>
  <c r="A184" i="35" s="1"/>
  <c r="A185" i="35" s="1"/>
  <c r="A186" i="35" s="1"/>
  <c r="A187" i="35" s="1"/>
  <c r="A188" i="35" s="1"/>
  <c r="A189" i="35" s="1"/>
  <c r="A190" i="35" s="1"/>
  <c r="C182" i="35"/>
  <c r="A191" i="35" l="1"/>
  <c r="A192" i="35" s="1"/>
  <c r="A193" i="35" s="1"/>
  <c r="A194" i="35" s="1"/>
  <c r="E194" i="35" l="1"/>
  <c r="D199" i="35"/>
  <c r="A195" i="35"/>
  <c r="A196" i="35" s="1"/>
  <c r="A197" i="35" s="1"/>
  <c r="A198" i="35" l="1"/>
  <c r="A199" i="35" s="1"/>
  <c r="A200" i="35" s="1"/>
  <c r="C121" i="35" s="1"/>
  <c r="C200" i="35" l="1"/>
  <c r="C115" i="35"/>
  <c r="F21" i="43"/>
  <c r="F15" i="43"/>
  <c r="E95" i="35" l="1"/>
  <c r="E17" i="35"/>
  <c r="D23" i="43"/>
  <c r="F14" i="43"/>
  <c r="F23" i="43" s="1"/>
  <c r="F27" i="43" l="1"/>
  <c r="E96" i="35" s="1"/>
  <c r="E99" i="35" s="1"/>
  <c r="E123" i="35" s="1"/>
  <c r="E18" i="35"/>
  <c r="J137" i="35" s="1"/>
  <c r="E24" i="35" l="1"/>
  <c r="J140" i="35" l="1"/>
  <c r="E31" i="42" l="1"/>
  <c r="E32" i="42" s="1"/>
  <c r="E33" i="42" s="1"/>
  <c r="F30" i="42" l="1"/>
  <c r="F31" i="42" l="1"/>
  <c r="F32" i="42" l="1"/>
  <c r="E34" i="42" l="1"/>
  <c r="F34" i="42" s="1"/>
  <c r="F33" i="42"/>
  <c r="E35" i="42" l="1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l="1"/>
  <c r="E29" i="35" s="1"/>
  <c r="E40" i="35" s="1"/>
  <c r="E180" i="35" s="1"/>
  <c r="E182" i="35" s="1"/>
  <c r="E35" i="35" l="1"/>
  <c r="E47" i="35" s="1"/>
  <c r="J156" i="35"/>
  <c r="J161" i="35" s="1"/>
  <c r="F181" i="35"/>
  <c r="F180" i="35"/>
  <c r="J158" i="35"/>
  <c r="J160" i="35" s="1"/>
  <c r="J163" i="35" l="1"/>
  <c r="H28" i="35" s="1"/>
  <c r="H29" i="35" s="1"/>
  <c r="J29" i="35" s="1"/>
  <c r="F182" i="35"/>
  <c r="J28" i="35" l="1"/>
  <c r="J153" i="35" l="1"/>
  <c r="J141" i="35" l="1"/>
  <c r="J142" i="35" s="1"/>
  <c r="J143" i="35"/>
  <c r="J145" i="35" l="1"/>
  <c r="G180" i="35" s="1"/>
  <c r="H180" i="35" s="1"/>
  <c r="J182" i="35" s="1"/>
  <c r="H94" i="35" l="1"/>
  <c r="H82" i="35"/>
  <c r="F174" i="35"/>
  <c r="H174" i="35" s="1"/>
  <c r="H177" i="35" s="1"/>
  <c r="J177" i="35" s="1"/>
  <c r="H103" i="35" s="1"/>
  <c r="H64" i="35"/>
  <c r="J64" i="35" s="1"/>
  <c r="H16" i="35"/>
  <c r="J94" i="35"/>
  <c r="H95" i="35"/>
  <c r="J82" i="35"/>
  <c r="H89" i="35"/>
  <c r="J89" i="35" s="1"/>
  <c r="H83" i="35"/>
  <c r="J83" i="35" s="1"/>
  <c r="H22" i="35"/>
  <c r="H63" i="35"/>
  <c r="J63" i="35" s="1"/>
  <c r="H20" i="35" l="1"/>
  <c r="H31" i="35" s="1"/>
  <c r="J16" i="35"/>
  <c r="H17" i="35"/>
  <c r="J17" i="35" s="1"/>
  <c r="J40" i="35" s="1"/>
  <c r="J22" i="35"/>
  <c r="H33" i="35"/>
  <c r="J33" i="35" s="1"/>
  <c r="H96" i="35"/>
  <c r="J96" i="35" s="1"/>
  <c r="J95" i="35"/>
  <c r="H104" i="35"/>
  <c r="J104" i="35" s="1"/>
  <c r="J103" i="35"/>
  <c r="J39" i="35"/>
  <c r="H21" i="35" l="1"/>
  <c r="J21" i="35" s="1"/>
  <c r="J20" i="35"/>
  <c r="H18" i="35"/>
  <c r="J18" i="35" s="1"/>
  <c r="J41" i="35" s="1"/>
  <c r="J31" i="35"/>
  <c r="H32" i="35"/>
  <c r="J32" i="35" s="1"/>
  <c r="H84" i="35"/>
  <c r="J45" i="35"/>
  <c r="J44" i="35" l="1"/>
  <c r="J24" i="35"/>
  <c r="H24" i="35" s="1"/>
  <c r="H65" i="35" s="1"/>
  <c r="J65" i="35" s="1"/>
  <c r="J43" i="35"/>
  <c r="J35" i="35"/>
  <c r="J84" i="35"/>
  <c r="H97" i="35"/>
  <c r="J97" i="35" s="1"/>
  <c r="J99" i="35" s="1"/>
  <c r="H88" i="35"/>
  <c r="J88" i="35" s="1"/>
  <c r="H86" i="35"/>
  <c r="J47" i="35" l="1"/>
  <c r="H47" i="35" s="1"/>
  <c r="H51" i="35" s="1"/>
  <c r="H106" i="35"/>
  <c r="J106" i="35" s="1"/>
  <c r="J86" i="35"/>
  <c r="H87" i="35"/>
  <c r="J87" i="35" s="1"/>
  <c r="H52" i="35" l="1"/>
  <c r="J52" i="35" s="1"/>
  <c r="H108" i="35"/>
  <c r="J108" i="35" s="1"/>
  <c r="J109" i="35" s="1"/>
  <c r="J91" i="35"/>
  <c r="J62" i="35" s="1"/>
  <c r="J66" i="35" s="1"/>
  <c r="H53" i="35" l="1"/>
  <c r="J53" i="35" s="1"/>
  <c r="H55" i="35"/>
  <c r="J55" i="35" s="1"/>
  <c r="H56" i="35" l="1"/>
  <c r="J57" i="35" s="1"/>
  <c r="J68" i="35" s="1"/>
  <c r="J121" i="35" s="1"/>
  <c r="J118" i="35" s="1"/>
  <c r="J123" i="35" s="1"/>
  <c r="D22" i="41" s="1"/>
  <c r="F22" i="41" s="1"/>
  <c r="F25" i="41" l="1"/>
  <c r="E44" i="41" s="1"/>
  <c r="E46" i="41" s="1"/>
  <c r="H22" i="41"/>
  <c r="D25" i="41"/>
  <c r="E42" i="41" s="1"/>
  <c r="H25" i="41"/>
  <c r="F28" i="41" l="1"/>
  <c r="F29" i="41" s="1"/>
  <c r="H29" i="41" s="1"/>
  <c r="F30" i="41" l="1"/>
  <c r="H30" i="41" s="1"/>
  <c r="H28" i="41"/>
  <c r="F32" i="41" l="1"/>
  <c r="F34" i="41" s="1"/>
  <c r="H34" i="41" s="1"/>
  <c r="F31" i="41"/>
  <c r="H31" i="41" s="1"/>
  <c r="H32" i="41" l="1"/>
  <c r="F33" i="41"/>
  <c r="H33" i="41" s="1"/>
</calcChain>
</file>

<file path=xl/sharedStrings.xml><?xml version="1.0" encoding="utf-8"?>
<sst xmlns="http://schemas.openxmlformats.org/spreadsheetml/2006/main" count="768" uniqueCount="434">
  <si>
    <t>BHP-11 Page 1 
Date: September 30, 2026</t>
  </si>
  <si>
    <t>Joint Tariff Rates</t>
  </si>
  <si>
    <t>Common Use AC Facilities</t>
  </si>
  <si>
    <t>Allocation of the Revenue Credits to the Common Use AC Facilities:</t>
  </si>
  <si>
    <t>Revenue Credits - Non-Firm transmission revenue</t>
  </si>
  <si>
    <t>Amount based on actual calendar year 2025</t>
  </si>
  <si>
    <t>Components of the Annual Rate (lines 6-8)</t>
  </si>
  <si>
    <t>%</t>
  </si>
  <si>
    <t>Allocated Revenue Credits</t>
  </si>
  <si>
    <t>Black Hills</t>
  </si>
  <si>
    <t>Basin Electric</t>
  </si>
  <si>
    <t>PRECorp</t>
  </si>
  <si>
    <t>Total</t>
  </si>
  <si>
    <t>Common Use AC Facilities Rates:</t>
  </si>
  <si>
    <t>FOR RATES EFFECTIVE JANUARY 1, 2027</t>
  </si>
  <si>
    <t>Entity</t>
  </si>
  <si>
    <t>Component Annual Revenue Requirements</t>
  </si>
  <si>
    <t>Allocated Revenue Credits (lines 2-4)</t>
  </si>
  <si>
    <t>Net Revenue Requirements</t>
  </si>
  <si>
    <t>Projected 2027 Load</t>
  </si>
  <si>
    <t>Annual Rate</t>
  </si>
  <si>
    <t>Note:  to address the circular reference</t>
  </si>
  <si>
    <t>Circular Reference</t>
  </si>
  <si>
    <t>copy and paste values from cells H22:H24</t>
  </si>
  <si>
    <t>to L22:L24 until the rates in H22:H24 no</t>
  </si>
  <si>
    <t>longer change.</t>
  </si>
  <si>
    <t>Rates:</t>
  </si>
  <si>
    <t>Annual</t>
  </si>
  <si>
    <t>/kW-year</t>
  </si>
  <si>
    <t>MW-year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</si>
  <si>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</si>
  <si>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</si>
  <si>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</si>
  <si>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</si>
  <si>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</si>
  <si>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</si>
  <si>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</si>
  <si>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</si>
  <si>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</si>
  <si>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</si>
  <si>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</si>
  <si>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</si>
  <si>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</si>
  <si>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</si>
  <si>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</si>
  <si>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Revenue Credits</t>
  </si>
  <si>
    <t>Date</t>
  </si>
  <si>
    <t>Service Year</t>
  </si>
  <si>
    <t>Cost of Service</t>
  </si>
  <si>
    <t xml:space="preserve"> Utilizing FERC Form 1 Data</t>
  </si>
  <si>
    <t>Black Hills Power, Inc.</t>
  </si>
  <si>
    <t>(1)</t>
  </si>
  <si>
    <t>(2)</t>
  </si>
  <si>
    <t>(3)</t>
  </si>
  <si>
    <t xml:space="preserve"> </t>
  </si>
  <si>
    <t>(4)</t>
  </si>
  <si>
    <t>(5)</t>
  </si>
  <si>
    <t>Form No. 1</t>
  </si>
  <si>
    <t xml:space="preserve">      Allocator</t>
  </si>
  <si>
    <t>Transmission</t>
  </si>
  <si>
    <t>Line</t>
  </si>
  <si>
    <t>Page, Line, Col.</t>
  </si>
  <si>
    <t>Company Total</t>
  </si>
  <si>
    <t xml:space="preserve">        (page 4)</t>
  </si>
  <si>
    <t>(Col 3 times Col 4)</t>
  </si>
  <si>
    <t>No.</t>
  </si>
  <si>
    <t>RATE BASE:</t>
  </si>
  <si>
    <t>GROSS PLANT IN SERVICE</t>
  </si>
  <si>
    <t>(Note H)</t>
  </si>
  <si>
    <t xml:space="preserve">  Production</t>
  </si>
  <si>
    <t>205.46.g</t>
  </si>
  <si>
    <t>NA</t>
  </si>
  <si>
    <t xml:space="preserve">  Transmission</t>
  </si>
  <si>
    <t>207.58.g</t>
  </si>
  <si>
    <t>TP</t>
  </si>
  <si>
    <t xml:space="preserve">  New Construction CUS Assets</t>
  </si>
  <si>
    <t>See Workpaper 2 (line 9)</t>
  </si>
  <si>
    <t>See Workpaper 3 (line 19 col D)</t>
  </si>
  <si>
    <t xml:space="preserve">  Distribution</t>
  </si>
  <si>
    <t>207.75.g</t>
  </si>
  <si>
    <t xml:space="preserve">  General &amp; Intangible</t>
  </si>
  <si>
    <t>See Workpaper 4 (line 5 col 1)</t>
  </si>
  <si>
    <t>W/S</t>
  </si>
  <si>
    <t xml:space="preserve">  Allocated Plant</t>
  </si>
  <si>
    <t>See Workpaper 5 (line 5)</t>
  </si>
  <si>
    <t xml:space="preserve">  Communication System</t>
  </si>
  <si>
    <t>207.94g</t>
  </si>
  <si>
    <t>T&amp;D</t>
  </si>
  <si>
    <t xml:space="preserve">  Common</t>
  </si>
  <si>
    <t>356.1</t>
  </si>
  <si>
    <t>CE</t>
  </si>
  <si>
    <t>TOTAL GROSS PLANT</t>
  </si>
  <si>
    <t>GP=</t>
  </si>
  <si>
    <t>ACCUMULATED DEPRECIATION</t>
  </si>
  <si>
    <t>219.20-24.c</t>
  </si>
  <si>
    <t>219.25.c</t>
  </si>
  <si>
    <t>TPA</t>
  </si>
  <si>
    <t xml:space="preserve">  Additional Transmission Depr</t>
  </si>
  <si>
    <t>219.26.c</t>
  </si>
  <si>
    <t>See Workpaper 4 (line 24 col 1)</t>
  </si>
  <si>
    <t>See Workpaper 5 (line 11)</t>
  </si>
  <si>
    <t>See Workpaper 4 (line 22 col 2)</t>
  </si>
  <si>
    <t xml:space="preserve">TOTAL ACCUM. DEPRECIATION </t>
  </si>
  <si>
    <t>NET PLANT IN SERVICE</t>
  </si>
  <si>
    <t>Auto</t>
  </si>
  <si>
    <t>(line 4)</t>
  </si>
  <si>
    <t xml:space="preserve">  Distribution </t>
  </si>
  <si>
    <t xml:space="preserve">TOTAL NET PLANT </t>
  </si>
  <si>
    <t>NP=</t>
  </si>
  <si>
    <t xml:space="preserve">ADJUSTMENTS TO RATE BASE      </t>
  </si>
  <si>
    <t>(Note A)</t>
  </si>
  <si>
    <t xml:space="preserve">  Account No. 281 (enter negative)</t>
  </si>
  <si>
    <t>273.8.k</t>
  </si>
  <si>
    <t>zero</t>
  </si>
  <si>
    <t xml:space="preserve">  Account No. 282 (enter negative)</t>
  </si>
  <si>
    <t>275.2.k</t>
  </si>
  <si>
    <t>NP</t>
  </si>
  <si>
    <t xml:space="preserve">  Account No. 283 (enter negative)</t>
  </si>
  <si>
    <t>277.9.k</t>
  </si>
  <si>
    <t xml:space="preserve">  Account No. 190 </t>
  </si>
  <si>
    <t>234.8.c</t>
  </si>
  <si>
    <t>39a</t>
  </si>
  <si>
    <t>EDIT/DDIT (Net) - Transmission Only</t>
  </si>
  <si>
    <t>See Workpaper 8.1 EDIT-DDIT Estimate (line 68, col H)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</si>
  <si>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</si>
  <si>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</si>
  <si>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</si>
  <si>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</si>
  <si>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</si>
  <si>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</si>
  <si>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B)</t>
  </si>
  <si>
    <t>DA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</si>
  <si>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</si>
  <si>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</si>
  <si>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</si>
  <si>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</si>
  <si>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</si>
  <si>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</si>
  <si>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>111.57.c</t>
  </si>
  <si>
    <t>GP</t>
  </si>
  <si>
    <t xml:space="preserve">TOTAL WORKING CAPITAL </t>
  </si>
  <si>
    <t xml:space="preserve">TRANSMISSION RATE BASE 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</si>
  <si>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</si>
  <si>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</si>
  <si>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</si>
  <si>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</si>
  <si>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</si>
  <si>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</si>
  <si>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</si>
  <si>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</si>
  <si>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</si>
  <si>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</si>
  <si>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</si>
  <si>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</si>
  <si>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</si>
  <si>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</si>
  <si>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</si>
  <si>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(Workpaper 1 line 11)</t>
  </si>
  <si>
    <t>DEPRECIATION EXPENSE  (Note I)</t>
  </si>
  <si>
    <t>336.7.b</t>
  </si>
  <si>
    <t>See Workpaper 2 (line 13)</t>
  </si>
  <si>
    <t>See Workpaper 3 (line 23)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</si>
  <si>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</si>
  <si>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</si>
  <si>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</si>
  <si>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</si>
  <si>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</si>
  <si>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</si>
  <si>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>263.3i, 263.4i, 263.12i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</si>
  <si>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</si>
  <si>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</si>
  <si>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</si>
  <si>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</si>
  <si>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</si>
  <si>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</si>
  <si>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</si>
  <si>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</si>
  <si>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</si>
  <si>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</si>
  <si>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</si>
  <si>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</si>
  <si>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Amortization of EDIT/DDIT (NET) (Note J)</t>
  </si>
  <si>
    <t>See Workpaper 8.1 EDIT-DDIT Estimate (line 63, col H)</t>
  </si>
  <si>
    <t>Total Income Taxes</t>
  </si>
  <si>
    <t xml:space="preserve">RETURN </t>
  </si>
  <si>
    <t>SUPPORTING CALCULATIONS AND NOTES</t>
  </si>
  <si>
    <t>TRANSMISSION PLANT INCLUDED IN JOINT TARIFF RATES</t>
  </si>
  <si>
    <t>Reference</t>
  </si>
  <si>
    <t xml:space="preserve">Total transmission plant </t>
  </si>
  <si>
    <t>Column (3) lines 2 - 4</t>
  </si>
  <si>
    <t xml:space="preserve">Less transmission plant excluded from Common Use Facilities </t>
  </si>
  <si>
    <t>Company Records</t>
  </si>
  <si>
    <t xml:space="preserve">Less transmission plant included in Ancillary Services </t>
  </si>
  <si>
    <t>TP=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</si>
  <si>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</si>
  <si>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</si>
  <si>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</si>
  <si>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</si>
  <si>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DP=</t>
  </si>
  <si>
    <t>Total Transmission Accumulated Depreciation</t>
  </si>
  <si>
    <t>Column (3) lines 14 - 15</t>
  </si>
  <si>
    <t xml:space="preserve">Less transmission accumulated depreciation excluded from Common Use Facilities </t>
  </si>
  <si>
    <t>TPA=</t>
  </si>
  <si>
    <t>Total Distribution Accumulated Depreciation</t>
  </si>
  <si>
    <t>Less distribution accumulated depreciation excluded from Common Use Facilities (Company Records)</t>
  </si>
  <si>
    <t>DPA=</t>
  </si>
  <si>
    <t>WAGES &amp; SALARY ALLOCATOR   (W&amp;S)</t>
  </si>
  <si>
    <t>Form 1 Reference</t>
  </si>
  <si>
    <t>$</t>
  </si>
  <si>
    <t>Allocation</t>
  </si>
  <si>
    <t>354.21.b</t>
  </si>
  <si>
    <t xml:space="preserve">  Total Wages Expense</t>
  </si>
  <si>
    <t>354.28.b</t>
  </si>
  <si>
    <t>W&amp;S Allocator</t>
  </si>
  <si>
    <t xml:space="preserve">  Less:  A&amp;G Wages</t>
  </si>
  <si>
    <t>354.27.b</t>
  </si>
  <si>
    <t>($ / Allocation)</t>
  </si>
  <si>
    <t>WS=</t>
  </si>
  <si>
    <t>TRANSMISSION &amp; DISTRIBUTION ALLOCATOR (T&amp;D)</t>
  </si>
  <si>
    <t>Transmission Net Plant</t>
  </si>
  <si>
    <t>Distribution Net Plant</t>
  </si>
  <si>
    <t xml:space="preserve">T&amp;D = 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</si>
  <si>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</si>
  <si>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</si>
  <si>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</si>
  <si>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</si>
  <si>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</si>
  <si>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</si>
  <si>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</si>
  <si>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</si>
  <si>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</si>
  <si>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</si>
  <si>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</si>
  <si>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</si>
  <si>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</si>
  <si>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</si>
  <si>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</si>
  <si>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Cost</t>
  </si>
  <si>
    <t>Weighted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</si>
  <si>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</si>
  <si>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</si>
  <si>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</si>
  <si>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</si>
  <si>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(Note I)</t>
  </si>
  <si>
    <t xml:space="preserve">R = </t>
  </si>
  <si>
    <t>Note</t>
  </si>
  <si>
    <t>Letter</t>
  </si>
  <si>
    <t>A</t>
  </si>
  <si>
    <t xml:space="preserve">The balances in Accounts 281, 282, 283 and 190, as adjusted by any amounts in contra accounts identified as regulatory assets </t>
  </si>
  <si>
    <t xml:space="preserve">  or liabilities related to FASB 109.  Balance of Account 255 is reduced by prior flow through and excluded if the utility </t>
  </si>
  <si>
    <t xml:space="preserve">  chose to utilize amortization of tax credits against taxable income.  Account 281 is not allocated.</t>
  </si>
  <si>
    <t>B</t>
  </si>
  <si>
    <t>Identified in Form 1 as being only transmission related.</t>
  </si>
  <si>
    <t>C</t>
  </si>
  <si>
    <t>Cash Working Capital assigned to transmission is one-eighth of O&amp;M allocated to transmission at line 42, column 5.</t>
  </si>
  <si>
    <t>D</t>
  </si>
  <si>
    <t xml:space="preserve">The FERC's annual charges for the year assessed the Transmission Owner for service since annual charges assessed directly under this tariff. </t>
  </si>
  <si>
    <t>E</t>
  </si>
  <si>
    <t>Line 1 - EPRI Annual Membership Dues listed in Form 1 at 335.1.b, all Regulatory Commission Expenses itemized at 351.h, and non-safety</t>
  </si>
  <si>
    <t xml:space="preserve">   related advertising included in Account 930.1.  </t>
  </si>
  <si>
    <t>F</t>
  </si>
  <si>
    <t>Includes only FICA, unemployment, highway, property, gross receipts, and other assessments charged in the current year.</t>
  </si>
  <si>
    <t xml:space="preserve">  Taxes related to income are excluded.  Gross receipts taxes are not included in transmission revenue requirement in rates, </t>
  </si>
  <si>
    <t xml:space="preserve">   since they are recovered elsewhere.</t>
  </si>
  <si>
    <t>G</t>
  </si>
  <si>
    <t>The currently effective income tax rate,  where FIT is the Federal income tax rate; SIT is the State income tax rate, and p =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</si>
  <si>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</si>
  <si>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</si>
  <si>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</si>
  <si>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</si>
  <si>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 xml:space="preserve">  multiplied by (1/1-T) (page 7, line 26).</t>
  </si>
  <si>
    <t xml:space="preserve">         Inputs Required: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</si>
  <si>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</si>
  <si>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</si>
  <si>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</si>
  <si>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</si>
  <si>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</si>
  <si>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>H</t>
  </si>
  <si>
    <t>For the True-Up calculation only, Gross Plant, Accumulated Depreciation and Net Plant are based on the 13-monthly plant balances.</t>
  </si>
  <si>
    <t>I</t>
  </si>
  <si>
    <t>Depreciation rates, PBOP, ROE, and Capital Structure are fixed amounts that can be changed only through a Section 205 filing.</t>
  </si>
  <si>
    <t>J</t>
  </si>
  <si>
    <t>The amounts reported in this line include the applicable tax gross up.  Column 3 Company Total will not be populated as allocation to transmission occurs on Worksheet EDIT-DDIT-Tracking.</t>
  </si>
  <si>
    <t>BHP-11 Page 6</t>
  </si>
  <si>
    <t xml:space="preserve"> WORKPAPER 2
CAPITAL ADDITIONS
BLACK HILLS POWER, INC.</t>
  </si>
  <si>
    <t>Amount Placed</t>
  </si>
  <si>
    <t>Monthly Additions to the CUS System</t>
  </si>
  <si>
    <t>in Service</t>
  </si>
  <si>
    <t>Total 2026 CUS Transmission Assets Place in Service</t>
  </si>
  <si>
    <t>Transmission Plant Depreciation Rate (WP 5 line 11)</t>
  </si>
  <si>
    <t>(A)</t>
  </si>
  <si>
    <t>(Col A * Depr Rate/12)</t>
  </si>
  <si>
    <t>Asset Placed</t>
  </si>
  <si>
    <t>Depreciation</t>
  </si>
  <si>
    <t>Transmission Accumulated Depreciation for 2025 &amp; 2026</t>
  </si>
  <si>
    <t>Expense</t>
  </si>
  <si>
    <t xml:space="preserve">Jan-26 - See line 2 col 5 of Estimate </t>
  </si>
  <si>
    <t>See WP3 for additional information on 2027 Transmission Additions</t>
  </si>
  <si>
    <t>BHP-11 Page 7</t>
  </si>
  <si>
    <t>WORKPAPER 3
CAPITAL ADDITIONS
BLACK HILLS POWER, INC.</t>
  </si>
  <si>
    <t>2027 Weighted Average Plant in Service Additions for projects</t>
  </si>
  <si>
    <t>(B)</t>
  </si>
  <si>
    <t>(C)</t>
  </si>
  <si>
    <t>(D) = (B) * (C)/12</t>
  </si>
  <si>
    <t>Monthly Incremental Addition to the CUS System</t>
  </si>
  <si>
    <t>Weighting</t>
  </si>
  <si>
    <t>Weighted Amount in Service</t>
  </si>
  <si>
    <t>Annual Transmission Depreciation Expense (line 19 x line 21)</t>
  </si>
  <si>
    <t>BHP-11 Page 8</t>
  </si>
  <si>
    <t>WORKPAPER 5
DEPRECIATION RATES
BLACK HILLS POWER, INC</t>
  </si>
  <si>
    <t>Rates*</t>
  </si>
  <si>
    <t>Plant Type</t>
  </si>
  <si>
    <t>Transmission Plant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</si>
  <si>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</si>
  <si>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</si>
  <si>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</si>
  <si>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</si>
  <si>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</si>
  <si>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</si>
  <si>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</si>
  <si>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Total Transmission Plant</t>
  </si>
  <si>
    <t>General Plant</t>
  </si>
  <si>
    <t>Office Furniture and Equipment</t>
  </si>
  <si>
    <t>Transportation Equipment</t>
  </si>
  <si>
    <t>Stores Equipment</t>
  </si>
  <si>
    <t>Tools, Shop and Garage Equipment</t>
  </si>
  <si>
    <t>Laboratory Equipment</t>
  </si>
  <si>
    <t>Power Operated Equipment</t>
  </si>
  <si>
    <t>Communication Equipment</t>
  </si>
  <si>
    <t>Miscellaneous Equipment</t>
  </si>
  <si>
    <t>Total General Plant</t>
  </si>
  <si>
    <t>* The above rates were developed in June 2006. See Note I on tab: Estimate.</t>
  </si>
  <si>
    <t>Date: May 31, 2026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</si>
  <si>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</si>
  <si>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</si>
  <si>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</si>
  <si>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</si>
  <si>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</si>
  <si>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</si>
  <si>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</si>
  <si>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</si>
  <si>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</si>
  <si>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</si>
  <si>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</si>
  <si>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</si>
  <si>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</si>
  <si>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</si>
  <si>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13 month average</t>
  </si>
  <si>
    <t>GROSS PLANT IN SERVICE (101 &amp; 106)</t>
  </si>
  <si>
    <t>(Note H) **</t>
  </si>
  <si>
    <t>207.96.g - line 6</t>
  </si>
  <si>
    <t>201.13.e + 201.13.f</t>
  </si>
  <si>
    <t>207.94.g</t>
  </si>
  <si>
    <t>ACCUMULATED DEPRECIATION (108)</t>
  </si>
  <si>
    <t>See Workpaper 9 (column b)</t>
  </si>
  <si>
    <t xml:space="preserve">201.14.e + 201.14.f </t>
  </si>
  <si>
    <t>See Workpaper 9 (column c)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</si>
  <si>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</si>
  <si>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</si>
  <si>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12/31/24 &amp; 12/31/25 average balance</t>
  </si>
  <si>
    <t>ADJUSTMENTS TO RATE BASE       (Notes A &amp; H)</t>
  </si>
  <si>
    <t>Average Balance</t>
  </si>
  <si>
    <t>113.62.c</t>
  </si>
  <si>
    <t>WP 12</t>
  </si>
  <si>
    <t>113.64.c (footnote)</t>
  </si>
  <si>
    <t>111.82.c (footnote)</t>
  </si>
  <si>
    <t>113.57.c</t>
  </si>
  <si>
    <t>214.x.d  (Notes B &amp; H)</t>
  </si>
  <si>
    <t>WORKING CAPITAL  EXCLUDING CASH WORKING CAPITAL (Notes C &amp; H)</t>
  </si>
  <si>
    <t>From PP</t>
  </si>
  <si>
    <t xml:space="preserve">WP 6 tab on 1039 consolidated </t>
  </si>
  <si>
    <t>Other reserve calculation</t>
  </si>
  <si>
    <t>comes from UI file for Footnote</t>
  </si>
  <si>
    <t>HP Removal Less ARO</t>
  </si>
  <si>
    <t>Adjust Accum to FERC Accum</t>
  </si>
  <si>
    <t>remove ARO, footnote file</t>
  </si>
  <si>
    <t>Total RWIP to Adjust</t>
  </si>
  <si>
    <t>RWIP</t>
  </si>
  <si>
    <t>(positive number since it offsets</t>
  </si>
  <si>
    <t>reserve which is a normal credit</t>
  </si>
  <si>
    <t>balance)</t>
  </si>
  <si>
    <t>Accrued Retirements</t>
  </si>
  <si>
    <t xml:space="preserve">(negative on both plant &amp; </t>
  </si>
  <si>
    <t xml:space="preserve">reserve since its reducing </t>
  </si>
  <si>
    <t>the balances and the balances)</t>
  </si>
  <si>
    <t xml:space="preserve">should match except in rare </t>
  </si>
  <si>
    <t>instances where land is on the</t>
  </si>
  <si>
    <t>JE)</t>
  </si>
  <si>
    <t>BHP-11 Page 11</t>
  </si>
  <si>
    <r>
      <t>2026 Actual Load Data</t>
    </r>
    <r>
      <rPr>
        <b/>
        <vertAlign val="superscript"/>
        <sz val="12"/>
        <rFont val="Arial"/>
        <family val="2"/>
      </rPr>
      <t>1</t>
    </r>
  </si>
  <si>
    <t>BHP</t>
  </si>
  <si>
    <t>BASIN</t>
  </si>
  <si>
    <t>SD</t>
  </si>
  <si>
    <t xml:space="preserve">CITY OF </t>
  </si>
  <si>
    <t>FIRM</t>
  </si>
  <si>
    <t>CHEYENNE</t>
  </si>
  <si>
    <t>TOTAL</t>
  </si>
  <si>
    <t>WEST</t>
  </si>
  <si>
    <t>GILLETTE</t>
  </si>
  <si>
    <t>POINT TO POINT</t>
  </si>
  <si>
    <t>LIGHT CUS</t>
  </si>
  <si>
    <t>COMMON USE</t>
  </si>
  <si>
    <t>LOAD</t>
  </si>
  <si>
    <t>AC LOAD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</si>
  <si>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</si>
  <si>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</si>
  <si>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</si>
  <si>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</si>
  <si>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</si>
  <si>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</si>
  <si>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</si>
  <si>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</si>
  <si>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</si>
  <si>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</si>
  <si>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</si>
  <si>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</si>
  <si>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AVERAGE MW</t>
  </si>
  <si>
    <r>
      <t>2027 Projected Load Data</t>
    </r>
    <r>
      <rPr>
        <b/>
        <vertAlign val="superscript"/>
        <sz val="12"/>
        <rFont val="Arial"/>
        <family val="2"/>
      </rPr>
      <t>2</t>
    </r>
  </si>
  <si>
    <t>1 - Transmission actual load from PowerOptix through July 2026.  Starting August  2026, projected load from Power Optix.</t>
  </si>
  <si>
    <t>2 - Transmission projected load from Transmission Planning</t>
  </si>
  <si>
    <t>WORKPAPER 14</t>
  </si>
  <si>
    <t xml:space="preserve">Long Term Interest </t>
  </si>
  <si>
    <t>( c)</t>
  </si>
  <si>
    <t>Description</t>
  </si>
  <si>
    <t xml:space="preserve">Balance </t>
  </si>
  <si>
    <t>Interest on Long-Term Debt</t>
  </si>
  <si>
    <t>117.62.c</t>
  </si>
  <si>
    <t>Amort. of Debt Disc. and Expense</t>
  </si>
  <si>
    <t>117.63.c</t>
  </si>
  <si>
    <t>Amortization of Loss on Reaquired Debt</t>
  </si>
  <si>
    <t>117.64.c</t>
  </si>
  <si>
    <r>
      <t>Interest on Debt to Assoc. Companies</t>
    </r>
    <r>
      <rPr>
        <vertAlign val="superscript"/>
        <sz val="10"/>
        <rFont val="Arial"/>
        <family val="2"/>
      </rPr>
      <t>1</t>
    </r>
  </si>
  <si>
    <t>Note:</t>
  </si>
  <si>
    <t>1 - Account 430005 relates to the LT intercompany debt held in FERC 223.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</si>
</sst>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  <numFmt numFmtId="202" formatCode="_(* #,##0.0000000_);_(* \(#,##0.0000000\);_(* &quot;-&quot;??_);_(@_)"/>
  </numFmts>
  <fonts count="86"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CC00FF"/>
      <name val="Arial"/>
      <family val="2"/>
    </font>
    <font>
      <b/>
      <sz val="10"/>
      <color rgb="FFCC00FF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 MT"/>
    </font>
    <font>
      <vertAlign val="superscript"/>
      <sz val="10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sz val="12"/>
      <name val="Arial MT"/>
    </font>
    <font>
      <i/>
      <u/>
      <sz val="12"/>
      <name val="Arial"/>
      <family val="2"/>
    </font>
    <font>
      <sz val="14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8">
    <xf numFmtId="172" fontId="0" fillId="0" borderId="0" applyProtection="0"/>
    <xf numFmtId="0" fontId="5" fillId="0" borderId="0"/>
    <xf numFmtId="37" fontId="26" fillId="0" borderId="0" applyFont="0" applyFill="0" applyBorder="0" applyAlignment="0" applyProtection="0"/>
    <xf numFmtId="37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37" fontId="26" fillId="0" borderId="0" applyFont="0" applyFill="0" applyBorder="0" applyAlignment="0" applyProtection="0"/>
    <xf numFmtId="37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37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37" fontId="26" fillId="0" borderId="0" applyFont="0" applyFill="0" applyBorder="0" applyAlignment="0" applyProtection="0"/>
    <xf numFmtId="0" fontId="5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38" fontId="33" fillId="0" borderId="0" applyBorder="0" applyAlignment="0"/>
    <xf numFmtId="184" fontId="31" fillId="20" borderId="1">
      <alignment horizontal="center" vertical="center"/>
    </xf>
    <xf numFmtId="185" fontId="5" fillId="0" borderId="2">
      <alignment horizontal="left"/>
    </xf>
    <xf numFmtId="0" fontId="34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5" fillId="0" borderId="0" applyNumberFormat="0" applyFill="0" applyBorder="0" applyAlignment="0" applyProtection="0"/>
    <xf numFmtId="186" fontId="36" fillId="0" borderId="3" applyNumberFormat="0" applyFill="0" applyAlignment="0" applyProtection="0">
      <alignment horizontal="center"/>
    </xf>
    <xf numFmtId="187" fontId="36" fillId="0" borderId="4" applyFill="0" applyAlignment="0" applyProtection="0">
      <alignment horizontal="center"/>
    </xf>
    <xf numFmtId="38" fontId="5" fillId="0" borderId="0">
      <alignment horizontal="right"/>
    </xf>
    <xf numFmtId="37" fontId="6" fillId="0" borderId="0" applyFill="0">
      <alignment horizontal="right"/>
    </xf>
    <xf numFmtId="37" fontId="6" fillId="0" borderId="0">
      <alignment horizontal="right"/>
    </xf>
    <xf numFmtId="0" fontId="6" fillId="0" borderId="0" applyFill="0">
      <alignment horizontal="center"/>
    </xf>
    <xf numFmtId="37" fontId="6" fillId="0" borderId="5" applyFill="0">
      <alignment horizontal="right"/>
    </xf>
    <xf numFmtId="37" fontId="6" fillId="0" borderId="0">
      <alignment horizontal="right"/>
    </xf>
    <xf numFmtId="0" fontId="37" fillId="0" borderId="0" applyFill="0">
      <alignment vertical="top"/>
    </xf>
    <xf numFmtId="0" fontId="38" fillId="0" borderId="0" applyFill="0">
      <alignment horizontal="left" vertical="top"/>
    </xf>
    <xf numFmtId="37" fontId="6" fillId="0" borderId="6" applyFill="0">
      <alignment horizontal="right"/>
    </xf>
    <xf numFmtId="0" fontId="5" fillId="0" borderId="0" applyNumberFormat="0" applyFont="0" applyAlignment="0"/>
    <xf numFmtId="0" fontId="37" fillId="0" borderId="0" applyFill="0">
      <alignment wrapText="1"/>
    </xf>
    <xf numFmtId="0" fontId="38" fillId="0" borderId="0" applyFill="0">
      <alignment horizontal="left" vertical="top" wrapText="1"/>
    </xf>
    <xf numFmtId="37" fontId="6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0" fillId="0" borderId="0" applyFill="0">
      <alignment vertical="top" wrapText="1"/>
    </xf>
    <xf numFmtId="0" fontId="4" fillId="0" borderId="0" applyFill="0">
      <alignment horizontal="left" vertical="top" wrapText="1"/>
    </xf>
    <xf numFmtId="37" fontId="6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1" fillId="0" borderId="0" applyFill="0">
      <alignment vertical="center" wrapText="1"/>
    </xf>
    <xf numFmtId="0" fontId="2" fillId="0" borderId="0">
      <alignment horizontal="left" vertical="center" wrapText="1"/>
    </xf>
    <xf numFmtId="37" fontId="6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2" fillId="0" borderId="0" applyFill="0">
      <alignment horizontal="center" vertical="center" wrapText="1"/>
    </xf>
    <xf numFmtId="0" fontId="5" fillId="0" borderId="0" applyFill="0">
      <alignment horizontal="center" vertical="center" wrapText="1"/>
    </xf>
    <xf numFmtId="37" fontId="43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4" fillId="0" borderId="0" applyFill="0">
      <alignment horizontal="center" vertical="center" wrapText="1"/>
    </xf>
    <xf numFmtId="0" fontId="45" fillId="0" borderId="0" applyFill="0">
      <alignment horizontal="center" vertical="center" wrapText="1"/>
    </xf>
    <xf numFmtId="37" fontId="43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6" fillId="0" borderId="0">
      <alignment horizontal="center" wrapText="1"/>
    </xf>
    <xf numFmtId="0" fontId="47" fillId="0" borderId="0" applyFill="0">
      <alignment horizontal="center" wrapText="1"/>
    </xf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43" fontId="5" fillId="0" borderId="0" applyFont="0" applyFill="0" applyBorder="0" applyAlignment="0" applyProtection="0"/>
    <xf numFmtId="188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5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89" fontId="5" fillId="0" borderId="2">
      <alignment horizontal="center"/>
    </xf>
    <xf numFmtId="190" fontId="48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91" fontId="5" fillId="0" borderId="0">
      <protection locked="0"/>
    </xf>
    <xf numFmtId="0" fontId="51" fillId="0" borderId="0"/>
    <xf numFmtId="0" fontId="52" fillId="0" borderId="0"/>
    <xf numFmtId="0" fontId="53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38" fontId="6" fillId="23" borderId="0" applyNumberFormat="0" applyBorder="0" applyAlignment="0" applyProtection="0"/>
    <xf numFmtId="0" fontId="54" fillId="0" borderId="0" applyNumberFormat="0" applyFill="0" applyBorder="0" applyAlignment="0" applyProtection="0"/>
    <xf numFmtId="0" fontId="4" fillId="0" borderId="9" applyNumberFormat="0" applyAlignment="0" applyProtection="0">
      <alignment horizontal="left" vertical="center"/>
    </xf>
    <xf numFmtId="0" fontId="4" fillId="0" borderId="10">
      <alignment horizontal="left" vertical="center"/>
    </xf>
    <xf numFmtId="0" fontId="55" fillId="0" borderId="0">
      <alignment horizontal="center"/>
    </xf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2" fontId="5" fillId="0" borderId="0">
      <protection locked="0"/>
    </xf>
    <xf numFmtId="192" fontId="5" fillId="0" borderId="0">
      <protection locked="0"/>
    </xf>
    <xf numFmtId="0" fontId="56" fillId="0" borderId="14" applyNumberFormat="0" applyFill="0" applyAlignment="0" applyProtection="0"/>
    <xf numFmtId="0" fontId="22" fillId="7" borderId="7" applyNumberFormat="0" applyAlignment="0" applyProtection="0"/>
    <xf numFmtId="10" fontId="6" fillId="24" borderId="2" applyNumberFormat="0" applyBorder="0" applyAlignment="0" applyProtection="0"/>
    <xf numFmtId="0" fontId="22" fillId="7" borderId="7" applyNumberFormat="0" applyAlignment="0" applyProtection="0"/>
    <xf numFmtId="0" fontId="6" fillId="23" borderId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193" fontId="5" fillId="0" borderId="2">
      <alignment horizontal="center"/>
    </xf>
    <xf numFmtId="194" fontId="57" fillId="0" borderId="0"/>
    <xf numFmtId="17" fontId="58" fillId="0" borderId="0">
      <alignment horizontal="center"/>
    </xf>
    <xf numFmtId="195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43" fontId="59" fillId="0" borderId="0" applyNumberFormat="0" applyFill="0" applyBorder="0" applyAlignment="0" applyProtection="0"/>
    <xf numFmtId="0" fontId="36" fillId="0" borderId="0" applyNumberFormat="0" applyFill="0" applyAlignment="0" applyProtection="0"/>
    <xf numFmtId="37" fontId="60" fillId="0" borderId="0"/>
    <xf numFmtId="197" fontId="61" fillId="0" borderId="0"/>
    <xf numFmtId="172" fontId="1" fillId="0" borderId="0" applyProtection="0"/>
    <xf numFmtId="0" fontId="5" fillId="0" borderId="0"/>
    <xf numFmtId="0" fontId="74" fillId="0" borderId="0"/>
    <xf numFmtId="0" fontId="49" fillId="0" borderId="0"/>
    <xf numFmtId="0" fontId="5" fillId="0" borderId="2">
      <alignment horizontal="center" wrapText="1"/>
    </xf>
    <xf numFmtId="2" fontId="5" fillId="0" borderId="2">
      <alignment horizontal="center"/>
    </xf>
    <xf numFmtId="198" fontId="8" fillId="0" borderId="2" applyFont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26" borderId="16" applyNumberFormat="0" applyFont="0" applyAlignment="0" applyProtection="0"/>
    <xf numFmtId="0" fontId="5" fillId="26" borderId="16" applyNumberFormat="0" applyFont="0" applyAlignment="0" applyProtection="0"/>
    <xf numFmtId="1" fontId="5" fillId="0" borderId="2">
      <alignment horizontal="center"/>
    </xf>
    <xf numFmtId="0" fontId="25" fillId="21" borderId="17" applyNumberFormat="0" applyAlignment="0" applyProtection="0"/>
    <xf numFmtId="0" fontId="25" fillId="21" borderId="17" applyNumberFormat="0" applyAlignment="0" applyProtection="0"/>
    <xf numFmtId="9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0" borderId="0" applyNumberFormat="0" applyFont="0" applyFill="0" applyBorder="0" applyAlignment="0" applyProtection="0">
      <alignment horizontal="left"/>
    </xf>
    <xf numFmtId="15" fontId="26" fillId="0" borderId="0" applyFont="0" applyFill="0" applyBorder="0" applyAlignment="0" applyProtection="0"/>
    <xf numFmtId="4" fontId="26" fillId="0" borderId="0" applyFont="0" applyFill="0" applyBorder="0" applyAlignment="0" applyProtection="0"/>
    <xf numFmtId="0" fontId="27" fillId="0" borderId="3">
      <alignment horizontal="center"/>
    </xf>
    <xf numFmtId="3" fontId="26" fillId="0" borderId="0" applyFont="0" applyFill="0" applyBorder="0" applyAlignment="0" applyProtection="0"/>
    <xf numFmtId="0" fontId="26" fillId="27" borderId="0" applyNumberFormat="0" applyFont="0" applyBorder="0" applyAlignment="0" applyProtection="0"/>
    <xf numFmtId="37" fontId="6" fillId="23" borderId="0" applyFill="0">
      <alignment horizontal="right"/>
    </xf>
    <xf numFmtId="0" fontId="43" fillId="0" borderId="0">
      <alignment horizontal="left"/>
    </xf>
    <xf numFmtId="0" fontId="6" fillId="0" borderId="0" applyFill="0">
      <alignment horizontal="left"/>
    </xf>
    <xf numFmtId="37" fontId="6" fillId="0" borderId="4" applyFill="0">
      <alignment horizontal="right"/>
    </xf>
    <xf numFmtId="0" fontId="8" fillId="0" borderId="2" applyNumberFormat="0" applyFont="0" applyBorder="0">
      <alignment horizontal="right"/>
    </xf>
    <xf numFmtId="0" fontId="62" fillId="0" borderId="0" applyFill="0"/>
    <xf numFmtId="0" fontId="6" fillId="0" borderId="0" applyFill="0">
      <alignment horizontal="left"/>
    </xf>
    <xf numFmtId="199" fontId="6" fillId="0" borderId="4" applyFill="0">
      <alignment horizontal="right"/>
    </xf>
    <xf numFmtId="0" fontId="5" fillId="0" borderId="0" applyNumberFormat="0" applyFont="0" applyBorder="0" applyAlignment="0"/>
    <xf numFmtId="0" fontId="40" fillId="0" borderId="0" applyFill="0">
      <alignment horizontal="left" indent="1"/>
    </xf>
    <xf numFmtId="0" fontId="43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Fill="0" applyBorder="0" applyAlignment="0"/>
    <xf numFmtId="0" fontId="40" fillId="0" borderId="0" applyFill="0">
      <alignment horizontal="left" indent="2"/>
    </xf>
    <xf numFmtId="0" fontId="6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Border="0" applyAlignment="0"/>
    <xf numFmtId="0" fontId="63" fillId="0" borderId="0">
      <alignment horizontal="left" indent="3"/>
    </xf>
    <xf numFmtId="0" fontId="6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Border="0" applyAlignment="0"/>
    <xf numFmtId="0" fontId="42" fillId="0" borderId="0">
      <alignment horizontal="left" indent="4"/>
    </xf>
    <xf numFmtId="0" fontId="6" fillId="0" borderId="0" applyFill="0">
      <alignment horizontal="left"/>
    </xf>
    <xf numFmtId="37" fontId="43" fillId="0" borderId="0" applyFill="0">
      <alignment horizontal="right"/>
    </xf>
    <xf numFmtId="0" fontId="5" fillId="0" borderId="0" applyNumberFormat="0" applyFont="0" applyBorder="0" applyAlignment="0"/>
    <xf numFmtId="0" fontId="44" fillId="0" borderId="0">
      <alignment horizontal="left" indent="5"/>
    </xf>
    <xf numFmtId="0" fontId="43" fillId="0" borderId="0" applyFill="0">
      <alignment horizontal="left"/>
    </xf>
    <xf numFmtId="37" fontId="43" fillId="0" borderId="0" applyFill="0">
      <alignment horizontal="right"/>
    </xf>
    <xf numFmtId="0" fontId="5" fillId="0" borderId="0" applyNumberFormat="0" applyFont="0" applyFill="0" applyBorder="0" applyAlignment="0"/>
    <xf numFmtId="0" fontId="46" fillId="0" borderId="0" applyFill="0">
      <alignment horizontal="left" indent="6"/>
    </xf>
    <xf numFmtId="0" fontId="43" fillId="0" borderId="0" applyFill="0">
      <alignment horizontal="left"/>
    </xf>
    <xf numFmtId="38" fontId="7" fillId="28" borderId="4">
      <alignment horizontal="right"/>
    </xf>
    <xf numFmtId="38" fontId="5" fillId="29" borderId="0" applyNumberFormat="0" applyFont="0" applyBorder="0" applyAlignment="0" applyProtection="0"/>
    <xf numFmtId="0" fontId="64" fillId="0" borderId="0" applyNumberFormat="0" applyAlignment="0">
      <alignment horizontal="centerContinuous"/>
    </xf>
    <xf numFmtId="0" fontId="36" fillId="0" borderId="4" applyNumberFormat="0" applyFill="0" applyAlignment="0" applyProtection="0"/>
    <xf numFmtId="37" fontId="65" fillId="0" borderId="0" applyNumberFormat="0">
      <alignment horizontal="left"/>
    </xf>
    <xf numFmtId="200" fontId="5" fillId="0" borderId="2">
      <alignment horizontal="center" wrapText="1"/>
    </xf>
    <xf numFmtId="38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0" fontId="5" fillId="0" borderId="0" applyNumberFormat="0" applyFill="0" applyBorder="0" applyProtection="0">
      <alignment horizontal="right" wrapText="1"/>
    </xf>
    <xf numFmtId="181" fontId="5" fillId="0" borderId="0" applyFill="0" applyBorder="0" applyAlignment="0" applyProtection="0">
      <alignment wrapText="1"/>
    </xf>
    <xf numFmtId="37" fontId="66" fillId="0" borderId="0" applyNumberFormat="0">
      <alignment horizontal="left"/>
    </xf>
    <xf numFmtId="37" fontId="67" fillId="0" borderId="0" applyNumberFormat="0">
      <alignment horizontal="left"/>
    </xf>
    <xf numFmtId="37" fontId="68" fillId="0" borderId="0" applyNumberFormat="0">
      <alignment horizontal="left"/>
    </xf>
    <xf numFmtId="194" fontId="69" fillId="0" borderId="0"/>
    <xf numFmtId="40" fontId="70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37" fontId="6" fillId="28" borderId="0" applyNumberFormat="0" applyBorder="0" applyAlignment="0" applyProtection="0"/>
    <xf numFmtId="37" fontId="6" fillId="0" borderId="0"/>
    <xf numFmtId="3" fontId="71" fillId="0" borderId="14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/>
  </cellStyleXfs>
  <cellXfs count="276">
    <xf numFmtId="172" fontId="0" fillId="0" borderId="0" xfId="0"/>
    <xf numFmtId="173" fontId="5" fillId="0" borderId="0" xfId="105" applyNumberFormat="1" applyFont="1" applyFill="1"/>
    <xf numFmtId="173" fontId="2" fillId="0" borderId="0" xfId="105" applyNumberFormat="1" applyFont="1" applyFill="1" applyAlignment="1"/>
    <xf numFmtId="173" fontId="2" fillId="0" borderId="0" xfId="105" applyNumberFormat="1" applyFont="1" applyFill="1" applyBorder="1" applyAlignment="1"/>
    <xf numFmtId="173" fontId="2" fillId="0" borderId="6" xfId="105" applyNumberFormat="1" applyFont="1" applyFill="1" applyBorder="1" applyAlignment="1"/>
    <xf numFmtId="173" fontId="2" fillId="0" borderId="0" xfId="105" applyNumberFormat="1" applyFont="1" applyFill="1" applyAlignment="1">
      <alignment horizontal="center"/>
    </xf>
    <xf numFmtId="10" fontId="5" fillId="0" borderId="0" xfId="173" applyNumberFormat="1" applyFill="1"/>
    <xf numFmtId="173" fontId="0" fillId="0" borderId="0" xfId="105" applyNumberFormat="1" applyFont="1" applyFill="1" applyAlignment="1"/>
    <xf numFmtId="10" fontId="2" fillId="0" borderId="0" xfId="173" applyNumberFormat="1" applyFont="1" applyFill="1"/>
    <xf numFmtId="173" fontId="2" fillId="0" borderId="3" xfId="105" applyNumberFormat="1" applyFont="1" applyFill="1" applyBorder="1" applyAlignment="1"/>
    <xf numFmtId="0" fontId="2" fillId="0" borderId="0" xfId="105" applyNumberFormat="1" applyFont="1" applyFill="1" applyAlignment="1"/>
    <xf numFmtId="10" fontId="2" fillId="0" borderId="0" xfId="173" applyNumberFormat="1" applyFont="1" applyFill="1" applyAlignment="1"/>
    <xf numFmtId="9" fontId="2" fillId="0" borderId="0" xfId="173" applyFont="1" applyFill="1" applyAlignment="1"/>
    <xf numFmtId="10" fontId="2" fillId="0" borderId="0" xfId="173" applyNumberFormat="1" applyFont="1" applyFill="1" applyAlignment="1" applyProtection="1">
      <alignment horizontal="left"/>
      <protection locked="0"/>
    </xf>
    <xf numFmtId="9" fontId="2" fillId="0" borderId="6" xfId="173" applyFont="1" applyFill="1" applyBorder="1" applyAlignment="1"/>
    <xf numFmtId="10" fontId="2" fillId="0" borderId="3" xfId="173" applyNumberFormat="1" applyFont="1" applyFill="1" applyBorder="1" applyAlignment="1"/>
    <xf numFmtId="201" fontId="2" fillId="0" borderId="0" xfId="173" applyNumberFormat="1" applyFont="1" applyFill="1" applyAlignment="1">
      <alignment horizontal="right"/>
    </xf>
    <xf numFmtId="173" fontId="78" fillId="0" borderId="4" xfId="105" applyNumberFormat="1" applyFont="1" applyFill="1" applyBorder="1" applyAlignment="1">
      <alignment horizontal="center"/>
    </xf>
    <xf numFmtId="173" fontId="77" fillId="0" borderId="0" xfId="105" applyNumberFormat="1" applyFont="1" applyFill="1"/>
    <xf numFmtId="173" fontId="77" fillId="0" borderId="6" xfId="105" applyNumberFormat="1" applyFont="1" applyFill="1" applyBorder="1"/>
    <xf numFmtId="174" fontId="77" fillId="0" borderId="38" xfId="111" applyNumberFormat="1" applyFont="1" applyFill="1" applyBorder="1"/>
    <xf numFmtId="177" fontId="77" fillId="0" borderId="0" xfId="105" applyNumberFormat="1" applyFont="1" applyFill="1" applyAlignment="1">
      <alignment horizontal="center"/>
    </xf>
    <xf numFmtId="10" fontId="77" fillId="0" borderId="0" xfId="173" applyNumberFormat="1" applyFont="1" applyFill="1"/>
    <xf numFmtId="43" fontId="0" fillId="0" borderId="0" xfId="105" applyFont="1" applyFill="1"/>
    <xf numFmtId="43" fontId="0" fillId="0" borderId="6" xfId="105" applyFont="1" applyFill="1" applyBorder="1"/>
    <xf numFmtId="172" fontId="0" fillId="0" borderId="6" xfId="105" applyNumberFormat="1" applyFont="1" applyFill="1" applyBorder="1"/>
    <xf numFmtId="202" fontId="0" fillId="0" borderId="0" xfId="105" applyNumberFormat="1" applyFont="1" applyFill="1" applyBorder="1"/>
    <xf numFmtId="43" fontId="0" fillId="0" borderId="31" xfId="105" applyFont="1" applyFill="1" applyBorder="1" applyAlignment="1"/>
    <xf numFmtId="173" fontId="0" fillId="0" borderId="6" xfId="105" applyNumberFormat="1" applyFont="1" applyFill="1" applyBorder="1"/>
    <xf numFmtId="173" fontId="0" fillId="0" borderId="0" xfId="105" applyNumberFormat="1" applyFont="1" applyFill="1" applyBorder="1"/>
    <xf numFmtId="173" fontId="0" fillId="0" borderId="0" xfId="105" applyNumberFormat="1" applyFont="1" applyFill="1"/>
    <xf numFmtId="0" fontId="5" fillId="0" borderId="0" xfId="165" applyAlignment="1">
      <alignment horizontal="center"/>
    </xf>
    <xf numFmtId="0" fontId="5" fillId="0" borderId="0" xfId="165"/>
    <xf numFmtId="0" fontId="76" fillId="0" borderId="0" xfId="165" applyFont="1"/>
    <xf numFmtId="0" fontId="8" fillId="0" borderId="0" xfId="165" applyFont="1" applyAlignment="1">
      <alignment horizontal="center"/>
    </xf>
    <xf numFmtId="0" fontId="8" fillId="0" borderId="0" xfId="165" applyFont="1"/>
    <xf numFmtId="174" fontId="7" fillId="0" borderId="0" xfId="111" applyNumberFormat="1" applyFont="1" applyFill="1"/>
    <xf numFmtId="0" fontId="5" fillId="0" borderId="3" xfId="165" applyBorder="1" applyAlignment="1">
      <alignment horizontal="center"/>
    </xf>
    <xf numFmtId="0" fontId="5" fillId="0" borderId="3" xfId="165" applyBorder="1"/>
    <xf numFmtId="0" fontId="5" fillId="0" borderId="3" xfId="165" applyBorder="1" applyAlignment="1">
      <alignment horizontal="center" wrapText="1"/>
    </xf>
    <xf numFmtId="0" fontId="5" fillId="0" borderId="0" xfId="165" applyAlignment="1">
      <alignment horizontal="center" wrapText="1"/>
    </xf>
    <xf numFmtId="44" fontId="5" fillId="0" borderId="0" xfId="111" applyFill="1"/>
    <xf numFmtId="170" fontId="5" fillId="0" borderId="0" xfId="173" applyNumberFormat="1" applyFont="1" applyFill="1" applyAlignment="1">
      <alignment horizontal="right"/>
    </xf>
    <xf numFmtId="174" fontId="5" fillId="0" borderId="0" xfId="111" applyNumberFormat="1" applyFont="1" applyFill="1"/>
    <xf numFmtId="3" fontId="5" fillId="0" borderId="0" xfId="165" applyNumberFormat="1"/>
    <xf numFmtId="9" fontId="5" fillId="0" borderId="0" xfId="173" applyFill="1"/>
    <xf numFmtId="44" fontId="5" fillId="0" borderId="0" xfId="165" applyNumberFormat="1"/>
    <xf numFmtId="41" fontId="5" fillId="0" borderId="0" xfId="165" applyNumberFormat="1"/>
    <xf numFmtId="44" fontId="5" fillId="0" borderId="3" xfId="165" applyNumberFormat="1" applyBorder="1"/>
    <xf numFmtId="170" fontId="5" fillId="0" borderId="3" xfId="173" applyNumberFormat="1" applyFont="1" applyFill="1" applyBorder="1" applyAlignment="1">
      <alignment horizontal="right"/>
    </xf>
    <xf numFmtId="174" fontId="5" fillId="0" borderId="3" xfId="111" applyNumberFormat="1" applyFont="1" applyFill="1" applyBorder="1"/>
    <xf numFmtId="9" fontId="5" fillId="0" borderId="0" xfId="173" applyFont="1" applyFill="1" applyAlignment="1">
      <alignment horizontal="right"/>
    </xf>
    <xf numFmtId="174" fontId="5" fillId="0" borderId="0" xfId="165" applyNumberFormat="1"/>
    <xf numFmtId="0" fontId="5" fillId="0" borderId="28" xfId="165" applyBorder="1"/>
    <xf numFmtId="0" fontId="5" fillId="0" borderId="6" xfId="165" applyBorder="1"/>
    <xf numFmtId="0" fontId="5" fillId="0" borderId="29" xfId="165" applyBorder="1"/>
    <xf numFmtId="174" fontId="32" fillId="0" borderId="0" xfId="165" applyNumberFormat="1" applyFont="1"/>
    <xf numFmtId="43" fontId="5" fillId="0" borderId="0" xfId="165" applyNumberFormat="1"/>
    <xf numFmtId="175" fontId="9" fillId="0" borderId="0" xfId="165" applyNumberFormat="1" applyFont="1"/>
    <xf numFmtId="176" fontId="5" fillId="0" borderId="0" xfId="165" applyNumberFormat="1"/>
    <xf numFmtId="0" fontId="5" fillId="0" borderId="30" xfId="165" applyBorder="1"/>
    <xf numFmtId="0" fontId="5" fillId="0" borderId="31" xfId="165" applyBorder="1"/>
    <xf numFmtId="43" fontId="76" fillId="0" borderId="0" xfId="165" applyNumberFormat="1" applyFont="1"/>
    <xf numFmtId="42" fontId="5" fillId="0" borderId="0" xfId="165" applyNumberFormat="1"/>
    <xf numFmtId="173" fontId="5" fillId="0" borderId="0" xfId="165" applyNumberFormat="1"/>
    <xf numFmtId="42" fontId="5" fillId="0" borderId="3" xfId="165" applyNumberFormat="1" applyBorder="1"/>
    <xf numFmtId="174" fontId="5" fillId="0" borderId="3" xfId="165" applyNumberFormat="1" applyBorder="1"/>
    <xf numFmtId="173" fontId="5" fillId="0" borderId="3" xfId="165" applyNumberFormat="1" applyBorder="1"/>
    <xf numFmtId="43" fontId="5" fillId="0" borderId="3" xfId="165" applyNumberFormat="1" applyBorder="1"/>
    <xf numFmtId="0" fontId="5" fillId="0" borderId="32" xfId="165" applyBorder="1"/>
    <xf numFmtId="0" fontId="5" fillId="0" borderId="4" xfId="165" applyBorder="1"/>
    <xf numFmtId="0" fontId="5" fillId="0" borderId="33" xfId="165" applyBorder="1"/>
    <xf numFmtId="0" fontId="5" fillId="0" borderId="0" xfId="165" quotePrefix="1"/>
    <xf numFmtId="178" fontId="5" fillId="0" borderId="0" xfId="111" applyNumberFormat="1" applyFill="1"/>
    <xf numFmtId="179" fontId="5" fillId="0" borderId="0" xfId="111" applyNumberFormat="1" applyFill="1"/>
    <xf numFmtId="172" fontId="2" fillId="0" borderId="0" xfId="0" applyFont="1"/>
    <xf numFmtId="172" fontId="4" fillId="0" borderId="0" xfId="0" applyFont="1"/>
    <xf numFmtId="172" fontId="2" fillId="0" borderId="0" xfId="0" applyFont="1" applyAlignment="1">
      <alignment horizontal="right"/>
    </xf>
    <xf numFmtId="0" fontId="2" fillId="0" borderId="0" xfId="0" applyNumberFormat="1" applyFont="1"/>
    <xf numFmtId="0" fontId="4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0" fontId="2" fillId="0" borderId="0" xfId="0" applyNumberFormat="1" applyFont="1" applyAlignment="1" applyProtection="1">
      <alignment horizontal="center"/>
      <protection locked="0"/>
    </xf>
    <xf numFmtId="49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172" fontId="4" fillId="0" borderId="0" xfId="0" applyFont="1" applyAlignment="1">
      <alignment horizontal="center"/>
    </xf>
    <xf numFmtId="3" fontId="4" fillId="0" borderId="0" xfId="0" applyNumberFormat="1" applyFont="1"/>
    <xf numFmtId="0" fontId="4" fillId="0" borderId="0" xfId="0" applyNumberFormat="1" applyFont="1" applyAlignment="1" applyProtection="1">
      <alignment horizontal="left"/>
      <protection locked="0"/>
    </xf>
    <xf numFmtId="172" fontId="2" fillId="0" borderId="0" xfId="0" applyFont="1" applyAlignment="1">
      <alignment horizontal="left"/>
    </xf>
    <xf numFmtId="0" fontId="2" fillId="0" borderId="3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/>
    <xf numFmtId="165" fontId="2" fillId="0" borderId="0" xfId="0" applyNumberFormat="1" applyFont="1"/>
    <xf numFmtId="182" fontId="2" fillId="0" borderId="0" xfId="0" applyNumberFormat="1" applyFont="1"/>
    <xf numFmtId="3" fontId="2" fillId="0" borderId="3" xfId="0" applyNumberFormat="1" applyFont="1" applyBorder="1"/>
    <xf numFmtId="0" fontId="2" fillId="0" borderId="0" xfId="0" applyNumberFormat="1" applyFont="1" applyProtection="1">
      <protection locked="0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3" fontId="2" fillId="0" borderId="4" xfId="0" applyNumberFormat="1" applyFont="1" applyBorder="1"/>
    <xf numFmtId="172" fontId="2" fillId="0" borderId="3" xfId="0" applyFont="1" applyBorder="1"/>
    <xf numFmtId="3" fontId="2" fillId="0" borderId="37" xfId="0" applyNumberFormat="1" applyFont="1" applyBorder="1"/>
    <xf numFmtId="201" fontId="2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NumberFormat="1" applyFont="1" applyAlignment="1">
      <alignment horizontal="center"/>
    </xf>
    <xf numFmtId="171" fontId="2" fillId="0" borderId="0" xfId="0" applyNumberFormat="1" applyFont="1" applyAlignment="1">
      <alignment horizontal="left"/>
    </xf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0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4" fontId="2" fillId="0" borderId="0" xfId="0" applyNumberFormat="1" applyFont="1" applyAlignment="1" applyProtection="1">
      <alignment horizontal="left"/>
      <protection locked="0"/>
    </xf>
    <xf numFmtId="3" fontId="2" fillId="0" borderId="0" xfId="0" applyNumberFormat="1" applyFont="1" applyAlignment="1">
      <alignment horizontal="right"/>
    </xf>
    <xf numFmtId="172" fontId="2" fillId="0" borderId="0" xfId="0" quotePrefix="1" applyFont="1"/>
    <xf numFmtId="167" fontId="2" fillId="0" borderId="0" xfId="0" applyNumberFormat="1" applyFont="1"/>
    <xf numFmtId="3" fontId="2" fillId="0" borderId="38" xfId="0" applyNumberFormat="1" applyFont="1" applyBorder="1"/>
    <xf numFmtId="3" fontId="2" fillId="0" borderId="10" xfId="0" applyNumberFormat="1" applyFont="1" applyBorder="1"/>
    <xf numFmtId="0" fontId="2" fillId="0" borderId="3" xfId="0" applyNumberFormat="1" applyFont="1" applyBorder="1" applyProtection="1">
      <protection locked="0"/>
    </xf>
    <xf numFmtId="0" fontId="2" fillId="0" borderId="3" xfId="0" applyNumberFormat="1" applyFont="1" applyBorder="1"/>
    <xf numFmtId="3" fontId="2" fillId="0" borderId="0" xfId="0" applyNumberFormat="1" applyFont="1" applyAlignment="1">
      <alignment horizontal="center"/>
    </xf>
    <xf numFmtId="3" fontId="2" fillId="0" borderId="6" xfId="0" applyNumberFormat="1" applyFont="1" applyBorder="1"/>
    <xf numFmtId="182" fontId="2" fillId="0" borderId="0" xfId="0" applyNumberFormat="1" applyFont="1" applyAlignment="1">
      <alignment horizontal="right"/>
    </xf>
    <xf numFmtId="172" fontId="2" fillId="0" borderId="6" xfId="0" applyFont="1" applyBorder="1"/>
    <xf numFmtId="0" fontId="2" fillId="0" borderId="6" xfId="0" applyNumberFormat="1" applyFont="1" applyBorder="1"/>
    <xf numFmtId="0" fontId="2" fillId="0" borderId="6" xfId="0" applyNumberFormat="1" applyFont="1" applyBorder="1" applyProtection="1">
      <protection locked="0"/>
    </xf>
    <xf numFmtId="3" fontId="2" fillId="0" borderId="3" xfId="0" applyNumberFormat="1" applyFont="1" applyBorder="1" applyAlignment="1">
      <alignment horizontal="center"/>
    </xf>
    <xf numFmtId="4" fontId="2" fillId="0" borderId="0" xfId="0" applyNumberFormat="1" applyFont="1"/>
    <xf numFmtId="6" fontId="2" fillId="0" borderId="0" xfId="167" applyNumberFormat="1" applyFont="1"/>
    <xf numFmtId="3" fontId="2" fillId="0" borderId="4" xfId="0" applyNumberFormat="1" applyFont="1" applyBorder="1" applyAlignment="1">
      <alignment horizontal="center"/>
    </xf>
    <xf numFmtId="166" fontId="2" fillId="0" borderId="0" xfId="0" applyNumberFormat="1" applyFont="1" applyAlignment="1" applyProtection="1">
      <alignment horizontal="center"/>
      <protection locked="0"/>
    </xf>
    <xf numFmtId="0" fontId="31" fillId="0" borderId="0" xfId="0" applyNumberFormat="1" applyFont="1"/>
    <xf numFmtId="0" fontId="2" fillId="0" borderId="4" xfId="0" applyNumberFormat="1" applyFont="1" applyBorder="1"/>
    <xf numFmtId="172" fontId="31" fillId="0" borderId="0" xfId="0" applyFont="1"/>
    <xf numFmtId="0" fontId="2" fillId="0" borderId="0" xfId="0" quotePrefix="1" applyNumberFormat="1" applyFont="1"/>
    <xf numFmtId="49" fontId="2" fillId="0" borderId="3" xfId="0" applyNumberFormat="1" applyFont="1" applyBorder="1" applyAlignment="1">
      <alignment horizontal="center"/>
    </xf>
    <xf numFmtId="0" fontId="2" fillId="0" borderId="0" xfId="166" applyFont="1" applyAlignment="1">
      <alignment horizontal="left"/>
    </xf>
    <xf numFmtId="10" fontId="2" fillId="0" borderId="0" xfId="0" applyNumberFormat="1" applyFont="1"/>
    <xf numFmtId="168" fontId="2" fillId="0" borderId="0" xfId="0" applyNumberFormat="1" applyFont="1"/>
    <xf numFmtId="3" fontId="2" fillId="0" borderId="0" xfId="0" quotePrefix="1" applyNumberFormat="1" applyFont="1"/>
    <xf numFmtId="172" fontId="2" fillId="0" borderId="0" xfId="0" applyFont="1" applyProtection="1">
      <protection locked="0"/>
    </xf>
    <xf numFmtId="169" fontId="2" fillId="0" borderId="0" xfId="0" applyNumberFormat="1" applyFont="1" applyProtection="1">
      <protection locked="0"/>
    </xf>
    <xf numFmtId="172" fontId="2" fillId="0" borderId="0" xfId="0" applyFont="1" applyProtection="1"/>
    <xf numFmtId="10" fontId="2" fillId="0" borderId="0" xfId="0" applyNumberFormat="1" applyFont="1" applyProtection="1">
      <protection locked="0"/>
    </xf>
    <xf numFmtId="172" fontId="2" fillId="0" borderId="0" xfId="0" applyFont="1" applyAlignment="1">
      <alignment horizontal="center"/>
    </xf>
    <xf numFmtId="172" fontId="0" fillId="0" borderId="0" xfId="0" applyAlignment="1">
      <alignment horizontal="right"/>
    </xf>
    <xf numFmtId="201" fontId="0" fillId="0" borderId="0" xfId="0" applyNumberFormat="1" applyAlignment="1">
      <alignment horizontal="right"/>
    </xf>
    <xf numFmtId="0" fontId="83" fillId="0" borderId="0" xfId="0" applyNumberFormat="1" applyFont="1"/>
    <xf numFmtId="0" fontId="0" fillId="0" borderId="0" xfId="0" applyNumberFormat="1"/>
    <xf numFmtId="10" fontId="0" fillId="0" borderId="0" xfId="0" applyNumberFormat="1"/>
    <xf numFmtId="172" fontId="0" fillId="0" borderId="0" xfId="0" applyAlignment="1">
      <alignment horizontal="center"/>
    </xf>
    <xf numFmtId="0" fontId="77" fillId="0" borderId="0" xfId="166" applyFont="1"/>
    <xf numFmtId="44" fontId="77" fillId="0" borderId="0" xfId="166" applyNumberFormat="1" applyFont="1"/>
    <xf numFmtId="0" fontId="78" fillId="0" borderId="0" xfId="166" applyFont="1" applyAlignment="1">
      <alignment horizontal="center"/>
    </xf>
    <xf numFmtId="49" fontId="78" fillId="0" borderId="0" xfId="166" applyNumberFormat="1" applyFont="1" applyAlignment="1">
      <alignment horizontal="right"/>
    </xf>
    <xf numFmtId="0" fontId="77" fillId="0" borderId="0" xfId="166" applyFont="1" applyAlignment="1">
      <alignment horizontal="center"/>
    </xf>
    <xf numFmtId="0" fontId="77" fillId="0" borderId="4" xfId="166" applyFont="1" applyBorder="1" applyAlignment="1">
      <alignment horizontal="center"/>
    </xf>
    <xf numFmtId="173" fontId="78" fillId="0" borderId="0" xfId="105" applyNumberFormat="1" applyFont="1" applyFill="1" applyAlignment="1">
      <alignment horizontal="center"/>
    </xf>
    <xf numFmtId="0" fontId="78" fillId="0" borderId="0" xfId="166" applyFont="1"/>
    <xf numFmtId="180" fontId="77" fillId="0" borderId="0" xfId="166" applyNumberFormat="1" applyFont="1" applyAlignment="1">
      <alignment horizontal="left"/>
    </xf>
    <xf numFmtId="173" fontId="77" fillId="0" borderId="0" xfId="105" applyNumberFormat="1" applyFont="1" applyFill="1" applyAlignment="1">
      <alignment horizontal="center"/>
    </xf>
    <xf numFmtId="44" fontId="77" fillId="0" borderId="0" xfId="166" applyNumberFormat="1" applyFont="1" applyAlignment="1">
      <alignment horizontal="center"/>
    </xf>
    <xf numFmtId="17" fontId="77" fillId="0" borderId="0" xfId="166" applyNumberFormat="1" applyFont="1" applyAlignment="1">
      <alignment horizontal="right"/>
    </xf>
    <xf numFmtId="17" fontId="77" fillId="0" borderId="0" xfId="166" applyNumberFormat="1" applyFont="1"/>
    <xf numFmtId="173" fontId="77" fillId="0" borderId="0" xfId="166" applyNumberFormat="1" applyFont="1"/>
    <xf numFmtId="173" fontId="77" fillId="0" borderId="6" xfId="166" applyNumberFormat="1" applyFont="1" applyBorder="1"/>
    <xf numFmtId="44" fontId="77" fillId="0" borderId="0" xfId="166" applyNumberFormat="1" applyFont="1" applyAlignment="1">
      <alignment horizontal="right"/>
    </xf>
    <xf numFmtId="173" fontId="77" fillId="0" borderId="37" xfId="166" applyNumberFormat="1" applyFont="1" applyBorder="1"/>
    <xf numFmtId="173" fontId="1" fillId="0" borderId="0" xfId="0" applyNumberFormat="1" applyFont="1"/>
    <xf numFmtId="0" fontId="77" fillId="0" borderId="0" xfId="164" applyFont="1" applyAlignment="1">
      <alignment horizontal="center"/>
    </xf>
    <xf numFmtId="0" fontId="77" fillId="0" borderId="0" xfId="166" applyFont="1" applyAlignment="1">
      <alignment horizontal="center" wrapText="1"/>
    </xf>
    <xf numFmtId="0" fontId="77" fillId="0" borderId="6" xfId="166" applyFont="1" applyBorder="1"/>
    <xf numFmtId="0" fontId="5" fillId="0" borderId="0" xfId="166"/>
    <xf numFmtId="44" fontId="5" fillId="0" borderId="0" xfId="166" applyNumberFormat="1"/>
    <xf numFmtId="0" fontId="8" fillId="0" borderId="0" xfId="166" applyFont="1" applyAlignment="1">
      <alignment horizontal="center"/>
    </xf>
    <xf numFmtId="0" fontId="75" fillId="0" borderId="0" xfId="166" applyFont="1"/>
    <xf numFmtId="0" fontId="5" fillId="0" borderId="0" xfId="166" applyAlignment="1">
      <alignment horizontal="center"/>
    </xf>
    <xf numFmtId="44" fontId="5" fillId="0" borderId="0" xfId="166" applyNumberFormat="1" applyAlignment="1">
      <alignment horizontal="center"/>
    </xf>
    <xf numFmtId="0" fontId="5" fillId="0" borderId="4" xfId="166" applyBorder="1" applyAlignment="1">
      <alignment horizontal="center"/>
    </xf>
    <xf numFmtId="0" fontId="5" fillId="0" borderId="4" xfId="166" applyBorder="1"/>
    <xf numFmtId="44" fontId="5" fillId="0" borderId="4" xfId="166" applyNumberFormat="1" applyBorder="1" applyAlignment="1">
      <alignment horizontal="center"/>
    </xf>
    <xf numFmtId="0" fontId="8" fillId="0" borderId="0" xfId="166" applyFont="1"/>
    <xf numFmtId="10" fontId="5" fillId="0" borderId="0" xfId="166" applyNumberFormat="1"/>
    <xf numFmtId="0" fontId="5" fillId="0" borderId="0" xfId="166" applyAlignment="1">
      <alignment horizontal="right"/>
    </xf>
    <xf numFmtId="172" fontId="1" fillId="0" borderId="0" xfId="0" applyFont="1"/>
    <xf numFmtId="3" fontId="5" fillId="0" borderId="0" xfId="0" applyNumberFormat="1" applyFont="1" applyAlignment="1">
      <alignment horizontal="center"/>
    </xf>
    <xf numFmtId="43" fontId="2" fillId="0" borderId="0" xfId="0" applyNumberFormat="1" applyFont="1"/>
    <xf numFmtId="3" fontId="81" fillId="0" borderId="0" xfId="0" applyNumberFormat="1" applyFont="1"/>
    <xf numFmtId="3" fontId="82" fillId="0" borderId="0" xfId="0" applyNumberFormat="1" applyFont="1"/>
    <xf numFmtId="183" fontId="2" fillId="0" borderId="0" xfId="0" applyNumberFormat="1" applyFont="1" applyAlignment="1">
      <alignment horizontal="center"/>
    </xf>
    <xf numFmtId="3" fontId="84" fillId="0" borderId="0" xfId="0" applyNumberFormat="1" applyFont="1" applyAlignment="1">
      <alignment horizontal="center"/>
    </xf>
    <xf numFmtId="172" fontId="85" fillId="0" borderId="0" xfId="0" applyFont="1"/>
    <xf numFmtId="173" fontId="2" fillId="0" borderId="4" xfId="105" applyNumberFormat="1" applyFont="1" applyFill="1" applyBorder="1" applyAlignment="1"/>
    <xf numFmtId="172" fontId="0" fillId="0" borderId="28" xfId="0" applyBorder="1"/>
    <xf numFmtId="172" fontId="0" fillId="0" borderId="6" xfId="0" applyBorder="1"/>
    <xf numFmtId="172" fontId="0" fillId="0" borderId="29" xfId="0" applyBorder="1"/>
    <xf numFmtId="172" fontId="0" fillId="0" borderId="30" xfId="0" applyBorder="1"/>
    <xf numFmtId="172" fontId="0" fillId="0" borderId="31" xfId="0" applyBorder="1"/>
    <xf numFmtId="172" fontId="0" fillId="0" borderId="32" xfId="0" applyBorder="1"/>
    <xf numFmtId="172" fontId="0" fillId="0" borderId="4" xfId="0" applyBorder="1"/>
    <xf numFmtId="173" fontId="0" fillId="0" borderId="4" xfId="0" applyNumberFormat="1" applyBorder="1"/>
    <xf numFmtId="172" fontId="0" fillId="0" borderId="33" xfId="0" applyBorder="1"/>
    <xf numFmtId="43" fontId="0" fillId="0" borderId="0" xfId="105" applyFont="1" applyFill="1" applyBorder="1"/>
    <xf numFmtId="0" fontId="8" fillId="0" borderId="0" xfId="165" applyFont="1" applyAlignment="1">
      <alignment horizontal="right"/>
    </xf>
    <xf numFmtId="0" fontId="5" fillId="0" borderId="0" xfId="163"/>
    <xf numFmtId="172" fontId="5" fillId="0" borderId="0" xfId="0" applyFont="1" applyAlignment="1">
      <alignment horizontal="center"/>
    </xf>
    <xf numFmtId="0" fontId="8" fillId="0" borderId="0" xfId="163" applyFont="1"/>
    <xf numFmtId="172" fontId="5" fillId="0" borderId="4" xfId="0" applyFont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19" xfId="163" applyBorder="1" applyAlignment="1">
      <alignment horizontal="center"/>
    </xf>
    <xf numFmtId="0" fontId="5" fillId="0" borderId="20" xfId="163" applyBorder="1" applyAlignment="1">
      <alignment horizontal="center"/>
    </xf>
    <xf numFmtId="0" fontId="5" fillId="0" borderId="24" xfId="163" applyBorder="1" applyAlignment="1">
      <alignment horizontal="center"/>
    </xf>
    <xf numFmtId="0" fontId="5" fillId="0" borderId="21" xfId="163" applyBorder="1" applyAlignment="1">
      <alignment horizontal="center"/>
    </xf>
    <xf numFmtId="0" fontId="5" fillId="0" borderId="0" xfId="163" applyAlignment="1">
      <alignment horizontal="center"/>
    </xf>
    <xf numFmtId="0" fontId="5" fillId="0" borderId="25" xfId="163" applyBorder="1" applyAlignment="1">
      <alignment horizontal="center"/>
    </xf>
    <xf numFmtId="0" fontId="5" fillId="0" borderId="22" xfId="163" applyBorder="1" applyAlignment="1">
      <alignment horizontal="center"/>
    </xf>
    <xf numFmtId="0" fontId="5" fillId="0" borderId="3" xfId="163" applyBorder="1" applyAlignment="1">
      <alignment horizontal="center"/>
    </xf>
    <xf numFmtId="0" fontId="5" fillId="0" borderId="26" xfId="163" applyBorder="1" applyAlignment="1">
      <alignment horizontal="center"/>
    </xf>
    <xf numFmtId="0" fontId="5" fillId="0" borderId="25" xfId="163" quotePrefix="1" applyBorder="1" applyAlignment="1">
      <alignment horizontal="left"/>
    </xf>
    <xf numFmtId="0" fontId="5" fillId="0" borderId="20" xfId="163" applyBorder="1"/>
    <xf numFmtId="1" fontId="5" fillId="0" borderId="24" xfId="163" applyNumberFormat="1" applyBorder="1" applyAlignment="1">
      <alignment horizontal="center"/>
    </xf>
    <xf numFmtId="0" fontId="5" fillId="0" borderId="34" xfId="163" applyBorder="1" applyAlignment="1">
      <alignment horizontal="center"/>
    </xf>
    <xf numFmtId="1" fontId="5" fillId="0" borderId="25" xfId="163" applyNumberFormat="1" applyBorder="1" applyAlignment="1">
      <alignment horizontal="center"/>
    </xf>
    <xf numFmtId="1" fontId="5" fillId="0" borderId="0" xfId="163" applyNumberFormat="1"/>
    <xf numFmtId="1" fontId="5" fillId="0" borderId="21" xfId="163" applyNumberFormat="1" applyBorder="1" applyAlignment="1">
      <alignment horizontal="center"/>
    </xf>
    <xf numFmtId="0" fontId="5" fillId="0" borderId="35" xfId="163" applyBorder="1" applyAlignment="1">
      <alignment horizontal="center"/>
    </xf>
    <xf numFmtId="0" fontId="5" fillId="0" borderId="26" xfId="163" quotePrefix="1" applyBorder="1" applyAlignment="1">
      <alignment horizontal="left"/>
    </xf>
    <xf numFmtId="0" fontId="5" fillId="0" borderId="3" xfId="163" applyBorder="1"/>
    <xf numFmtId="1" fontId="5" fillId="0" borderId="26" xfId="163" applyNumberFormat="1" applyBorder="1" applyAlignment="1">
      <alignment horizontal="center"/>
    </xf>
    <xf numFmtId="0" fontId="5" fillId="0" borderId="36" xfId="163" applyBorder="1" applyAlignment="1">
      <alignment horizontal="center"/>
    </xf>
    <xf numFmtId="0" fontId="5" fillId="0" borderId="21" xfId="163" applyBorder="1"/>
    <xf numFmtId="0" fontId="5" fillId="0" borderId="25" xfId="163" applyBorder="1"/>
    <xf numFmtId="0" fontId="5" fillId="0" borderId="23" xfId="163" applyBorder="1"/>
    <xf numFmtId="0" fontId="5" fillId="0" borderId="9" xfId="163" applyBorder="1"/>
    <xf numFmtId="1" fontId="5" fillId="0" borderId="27" xfId="163" applyNumberFormat="1" applyBorder="1" applyAlignment="1">
      <alignment horizontal="center"/>
    </xf>
    <xf numFmtId="1" fontId="5" fillId="0" borderId="23" xfId="163" applyNumberFormat="1" applyBorder="1" applyAlignment="1">
      <alignment horizontal="center"/>
    </xf>
    <xf numFmtId="1" fontId="5" fillId="0" borderId="39" xfId="163" applyNumberFormat="1" applyBorder="1" applyAlignment="1">
      <alignment horizontal="center"/>
    </xf>
    <xf numFmtId="1" fontId="5" fillId="0" borderId="9" xfId="163" applyNumberFormat="1" applyBorder="1" applyAlignment="1">
      <alignment horizontal="center"/>
    </xf>
    <xf numFmtId="1" fontId="5" fillId="0" borderId="0" xfId="163" applyNumberFormat="1" applyAlignment="1">
      <alignment horizontal="center"/>
    </xf>
    <xf numFmtId="0" fontId="5" fillId="0" borderId="0" xfId="163" applyAlignment="1">
      <alignment horizontal="left"/>
    </xf>
    <xf numFmtId="10" fontId="5" fillId="0" borderId="0" xfId="163" applyNumberFormat="1"/>
    <xf numFmtId="43" fontId="5" fillId="0" borderId="0" xfId="105" applyFont="1" applyFill="1"/>
    <xf numFmtId="10" fontId="5" fillId="0" borderId="0" xfId="163" applyNumberFormat="1" applyAlignment="1">
      <alignment horizontal="center"/>
    </xf>
    <xf numFmtId="1" fontId="5" fillId="0" borderId="0" xfId="163" applyNumberFormat="1" applyAlignment="1">
      <alignment horizontal="left"/>
    </xf>
    <xf numFmtId="172" fontId="5" fillId="0" borderId="0" xfId="0" applyFont="1"/>
    <xf numFmtId="172" fontId="79" fillId="0" borderId="0" xfId="0" applyFont="1"/>
    <xf numFmtId="0" fontId="5" fillId="0" borderId="4" xfId="0" applyNumberFormat="1" applyFont="1" applyBorder="1" applyAlignment="1">
      <alignment horizontal="center" vertical="center"/>
    </xf>
    <xf numFmtId="183" fontId="5" fillId="0" borderId="0" xfId="158" applyNumberFormat="1" applyFont="1" applyAlignment="1">
      <alignment horizontal="left" vertical="center"/>
    </xf>
    <xf numFmtId="183" fontId="5" fillId="0" borderId="0" xfId="0" applyNumberFormat="1" applyFont="1" applyAlignment="1">
      <alignment horizontal="right"/>
    </xf>
    <xf numFmtId="183" fontId="5" fillId="0" borderId="0" xfId="0" applyNumberFormat="1" applyFont="1" applyAlignment="1">
      <alignment horizontal="center" vertical="center"/>
    </xf>
    <xf numFmtId="173" fontId="5" fillId="0" borderId="0" xfId="105" applyNumberFormat="1" applyFont="1" applyFill="1" applyAlignment="1">
      <alignment horizontal="center" vertical="center"/>
    </xf>
    <xf numFmtId="172" fontId="5" fillId="0" borderId="0" xfId="0" applyFont="1" applyAlignment="1">
      <alignment horizontal="center" vertical="center"/>
    </xf>
    <xf numFmtId="183" fontId="5" fillId="0" borderId="0" xfId="0" applyNumberFormat="1" applyFont="1" applyAlignment="1">
      <alignment horizontal="left" vertical="center"/>
    </xf>
    <xf numFmtId="172" fontId="79" fillId="0" borderId="0" xfId="0" applyFont="1" applyAlignment="1">
      <alignment horizontal="left"/>
    </xf>
    <xf numFmtId="172" fontId="79" fillId="0" borderId="3" xfId="0" applyFont="1" applyBorder="1"/>
    <xf numFmtId="183" fontId="8" fillId="0" borderId="0" xfId="0" applyNumberFormat="1" applyFont="1" applyAlignment="1">
      <alignment horizontal="left"/>
    </xf>
    <xf numFmtId="183" fontId="5" fillId="0" borderId="0" xfId="0" applyNumberFormat="1" applyFont="1" applyAlignment="1">
      <alignment horizontal="center"/>
    </xf>
    <xf numFmtId="173" fontId="79" fillId="0" borderId="20" xfId="105" applyNumberFormat="1" applyFont="1" applyFill="1" applyBorder="1"/>
    <xf numFmtId="183" fontId="5" fillId="0" borderId="0" xfId="0" applyNumberFormat="1" applyFont="1" applyAlignment="1">
      <alignment horizontal="left"/>
    </xf>
    <xf numFmtId="183" fontId="5" fillId="0" borderId="0" xfId="158" applyNumberFormat="1" applyFont="1" applyAlignment="1">
      <alignment horizontal="right"/>
    </xf>
    <xf numFmtId="0" fontId="4" fillId="0" borderId="40" xfId="165" applyFont="1" applyBorder="1" applyAlignment="1">
      <alignment horizontal="center"/>
    </xf>
    <xf numFmtId="0" fontId="4" fillId="0" borderId="10" xfId="165" applyFont="1" applyBorder="1" applyAlignment="1">
      <alignment horizontal="center"/>
    </xf>
    <xf numFmtId="0" fontId="4" fillId="0" borderId="41" xfId="165" applyFont="1" applyBorder="1" applyAlignment="1">
      <alignment horizontal="center"/>
    </xf>
    <xf numFmtId="0" fontId="8" fillId="0" borderId="0" xfId="165" applyFont="1" applyAlignment="1">
      <alignment horizontal="center"/>
    </xf>
    <xf numFmtId="0" fontId="5" fillId="0" borderId="0" xfId="165" applyAlignment="1">
      <alignment horizontal="left" wrapText="1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78" fillId="0" borderId="0" xfId="166" applyFont="1" applyAlignment="1">
      <alignment horizontal="center" wrapText="1"/>
    </xf>
    <xf numFmtId="0" fontId="78" fillId="0" borderId="0" xfId="166" applyFont="1" applyAlignment="1">
      <alignment horizontal="center"/>
    </xf>
    <xf numFmtId="0" fontId="77" fillId="0" borderId="0" xfId="166" applyFont="1" applyAlignment="1">
      <alignment horizontal="left"/>
    </xf>
    <xf numFmtId="0" fontId="8" fillId="0" borderId="0" xfId="166" applyFont="1" applyAlignment="1">
      <alignment horizontal="center"/>
    </xf>
    <xf numFmtId="0" fontId="8" fillId="0" borderId="0" xfId="166" applyFont="1" applyAlignment="1">
      <alignment horizontal="center" wrapText="1"/>
    </xf>
  </cellXfs>
  <cellStyles count="23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0 - Style1" xfId="110" xr:uid="{00000000-0005-0000-0000-00006D000000}"/>
    <cellStyle name="Currency" xfId="111" builtinId="4"/>
    <cellStyle name="Currency 2" xfId="112" xr:uid="{00000000-0005-0000-0000-00006F000000}"/>
    <cellStyle name="Date" xfId="113" xr:uid="{00000000-0005-0000-0000-000070000000}"/>
    <cellStyle name="Euro" xfId="114" xr:uid="{00000000-0005-0000-0000-000071000000}"/>
    <cellStyle name="Explanatory Text" xfId="115" builtinId="53" customBuiltin="1"/>
    <cellStyle name="Explanatory Text 2" xfId="116" xr:uid="{00000000-0005-0000-0000-000073000000}"/>
    <cellStyle name="Fixed" xfId="117" xr:uid="{00000000-0005-0000-0000-000074000000}"/>
    <cellStyle name="Fixed1 - Style1" xfId="118" xr:uid="{00000000-0005-0000-0000-000075000000}"/>
    <cellStyle name="Gilsans" xfId="119" xr:uid="{00000000-0005-0000-0000-000076000000}"/>
    <cellStyle name="Gilsansl" xfId="120" xr:uid="{00000000-0005-0000-0000-000077000000}"/>
    <cellStyle name="Good" xfId="121" builtinId="26" customBuiltin="1"/>
    <cellStyle name="Good 2" xfId="122" xr:uid="{00000000-0005-0000-0000-000079000000}"/>
    <cellStyle name="Grey" xfId="123" xr:uid="{00000000-0005-0000-0000-00007A000000}"/>
    <cellStyle name="HEADER" xfId="124" xr:uid="{00000000-0005-0000-0000-00007B000000}"/>
    <cellStyle name="Header1" xfId="125" xr:uid="{00000000-0005-0000-0000-00007C000000}"/>
    <cellStyle name="Header2" xfId="126" xr:uid="{00000000-0005-0000-0000-00007D000000}"/>
    <cellStyle name="Heading" xfId="127" xr:uid="{00000000-0005-0000-0000-00007E000000}"/>
    <cellStyle name="Heading 1" xfId="128" builtinId="16" customBuiltin="1"/>
    <cellStyle name="Heading 1 2" xfId="129" xr:uid="{00000000-0005-0000-0000-000080000000}"/>
    <cellStyle name="Heading 2" xfId="130" builtinId="17" customBuiltin="1"/>
    <cellStyle name="Heading 2 2" xfId="131" xr:uid="{00000000-0005-0000-0000-000082000000}"/>
    <cellStyle name="Heading 3" xfId="132" builtinId="18" customBuiltin="1"/>
    <cellStyle name="Heading 3 2" xfId="133" xr:uid="{00000000-0005-0000-0000-000084000000}"/>
    <cellStyle name="Heading 4" xfId="134" builtinId="19" customBuiltin="1"/>
    <cellStyle name="Heading 4 2" xfId="135" xr:uid="{00000000-0005-0000-0000-000086000000}"/>
    <cellStyle name="Heading1" xfId="136" xr:uid="{00000000-0005-0000-0000-000087000000}"/>
    <cellStyle name="Heading2" xfId="137" xr:uid="{00000000-0005-0000-0000-000088000000}"/>
    <cellStyle name="HIGHLIGHT" xfId="138" xr:uid="{00000000-0005-0000-0000-000089000000}"/>
    <cellStyle name="Input" xfId="139" builtinId="20" customBuiltin="1"/>
    <cellStyle name="Input [yellow]" xfId="140" xr:uid="{00000000-0005-0000-0000-00008B000000}"/>
    <cellStyle name="Input 2" xfId="141" xr:uid="{00000000-0005-0000-0000-00008C000000}"/>
    <cellStyle name="Lines" xfId="142" xr:uid="{00000000-0005-0000-0000-00008D000000}"/>
    <cellStyle name="Linked Cell" xfId="143" builtinId="24" customBuiltin="1"/>
    <cellStyle name="Linked Cell 2" xfId="144" xr:uid="{00000000-0005-0000-0000-00008F000000}"/>
    <cellStyle name="MEM SSN" xfId="145" xr:uid="{00000000-0005-0000-0000-000090000000}"/>
    <cellStyle name="Mine" xfId="146" xr:uid="{00000000-0005-0000-0000-000091000000}"/>
    <cellStyle name="mmm-yy" xfId="147" xr:uid="{00000000-0005-0000-0000-000092000000}"/>
    <cellStyle name="Monétaire [0]_pldt" xfId="148" xr:uid="{00000000-0005-0000-0000-000093000000}"/>
    <cellStyle name="Monétaire_pldt" xfId="149" xr:uid="{00000000-0005-0000-0000-000094000000}"/>
    <cellStyle name="Neutral" xfId="150" builtinId="28" customBuiltin="1"/>
    <cellStyle name="Neutral 2" xfId="151" xr:uid="{00000000-0005-0000-0000-000096000000}"/>
    <cellStyle name="New" xfId="152" xr:uid="{00000000-0005-0000-0000-000097000000}"/>
    <cellStyle name="No Border" xfId="153" xr:uid="{00000000-0005-0000-0000-000098000000}"/>
    <cellStyle name="no dec" xfId="154" xr:uid="{00000000-0005-0000-0000-000099000000}"/>
    <cellStyle name="Normal" xfId="0" builtinId="0"/>
    <cellStyle name="Normal - Style1" xfId="155" xr:uid="{00000000-0005-0000-0000-00009B000000}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3 2" xfId="159" xr:uid="{00000000-0005-0000-0000-00009F000000}"/>
    <cellStyle name="Normal 3 5" xfId="237" xr:uid="{2D561CBC-6DDE-4252-AB6B-451610AA55C7}"/>
    <cellStyle name="Normal CEN" xfId="160" xr:uid="{00000000-0005-0000-0000-0000A0000000}"/>
    <cellStyle name="Normal Centered" xfId="161" xr:uid="{00000000-0005-0000-0000-0000A1000000}"/>
    <cellStyle name="NORMAL CTR" xfId="162" xr:uid="{00000000-0005-0000-0000-0000A2000000}"/>
    <cellStyle name="Normal_2002 AREA LOADS FOR JNT TARIFF" xfId="163" xr:uid="{00000000-0005-0000-0000-0000A3000000}"/>
    <cellStyle name="Normal_BHP WP2" xfId="164" xr:uid="{00000000-0005-0000-0000-0000A4000000}"/>
    <cellStyle name="Normal_CU AC Rate Design" xfId="165" xr:uid="{00000000-0005-0000-0000-0000A5000000}"/>
    <cellStyle name="Normal_PRECorp2002HeintzResponse 8-21-03" xfId="166" xr:uid="{00000000-0005-0000-0000-0000A6000000}"/>
    <cellStyle name="Normal_TopSheet Type Ancillaries Worksheet-Updated 81903" xfId="167" xr:uid="{00000000-0005-0000-0000-0000A7000000}"/>
    <cellStyle name="Note" xfId="168" builtinId="10" customBuiltin="1"/>
    <cellStyle name="Note 2" xfId="169" xr:uid="{00000000-0005-0000-0000-0000A9000000}"/>
    <cellStyle name="nUMBER" xfId="170" xr:uid="{00000000-0005-0000-0000-0000AA000000}"/>
    <cellStyle name="Output" xfId="171" builtinId="21" customBuiltin="1"/>
    <cellStyle name="Output 2" xfId="172" xr:uid="{00000000-0005-0000-0000-0000AC000000}"/>
    <cellStyle name="Percent" xfId="173" builtinId="5"/>
    <cellStyle name="Percent [2]" xfId="174" xr:uid="{00000000-0005-0000-0000-0000AE000000}"/>
    <cellStyle name="Percent 2" xfId="175" xr:uid="{00000000-0005-0000-0000-0000AF000000}"/>
    <cellStyle name="PSChar" xfId="176" xr:uid="{00000000-0005-0000-0000-0000B0000000}"/>
    <cellStyle name="PSDate" xfId="177" xr:uid="{00000000-0005-0000-0000-0000B1000000}"/>
    <cellStyle name="PSDec" xfId="178" xr:uid="{00000000-0005-0000-0000-0000B2000000}"/>
    <cellStyle name="PSHeading" xfId="179" xr:uid="{00000000-0005-0000-0000-0000B3000000}"/>
    <cellStyle name="PSInt" xfId="180" xr:uid="{00000000-0005-0000-0000-0000B4000000}"/>
    <cellStyle name="PSSpacer" xfId="181" xr:uid="{00000000-0005-0000-0000-0000B5000000}"/>
    <cellStyle name="R00A" xfId="182" xr:uid="{00000000-0005-0000-0000-0000B6000000}"/>
    <cellStyle name="R00B" xfId="183" xr:uid="{00000000-0005-0000-0000-0000B7000000}"/>
    <cellStyle name="R00L" xfId="184" xr:uid="{00000000-0005-0000-0000-0000B8000000}"/>
    <cellStyle name="R01A" xfId="185" xr:uid="{00000000-0005-0000-0000-0000B9000000}"/>
    <cellStyle name="R01B" xfId="186" xr:uid="{00000000-0005-0000-0000-0000BA000000}"/>
    <cellStyle name="R01H" xfId="187" xr:uid="{00000000-0005-0000-0000-0000BB000000}"/>
    <cellStyle name="R01L" xfId="188" xr:uid="{00000000-0005-0000-0000-0000BC000000}"/>
    <cellStyle name="R02A" xfId="189" xr:uid="{00000000-0005-0000-0000-0000BD000000}"/>
    <cellStyle name="R02B" xfId="190" xr:uid="{00000000-0005-0000-0000-0000BE000000}"/>
    <cellStyle name="R02H" xfId="191" xr:uid="{00000000-0005-0000-0000-0000BF000000}"/>
    <cellStyle name="R02L" xfId="192" xr:uid="{00000000-0005-0000-0000-0000C0000000}"/>
    <cellStyle name="R03A" xfId="193" xr:uid="{00000000-0005-0000-0000-0000C1000000}"/>
    <cellStyle name="R03B" xfId="194" xr:uid="{00000000-0005-0000-0000-0000C2000000}"/>
    <cellStyle name="R03H" xfId="195" xr:uid="{00000000-0005-0000-0000-0000C3000000}"/>
    <cellStyle name="R03L" xfId="196" xr:uid="{00000000-0005-0000-0000-0000C4000000}"/>
    <cellStyle name="R04A" xfId="197" xr:uid="{00000000-0005-0000-0000-0000C5000000}"/>
    <cellStyle name="R04B" xfId="198" xr:uid="{00000000-0005-0000-0000-0000C6000000}"/>
    <cellStyle name="R04H" xfId="199" xr:uid="{00000000-0005-0000-0000-0000C7000000}"/>
    <cellStyle name="R04L" xfId="200" xr:uid="{00000000-0005-0000-0000-0000C8000000}"/>
    <cellStyle name="R05A" xfId="201" xr:uid="{00000000-0005-0000-0000-0000C9000000}"/>
    <cellStyle name="R05B" xfId="202" xr:uid="{00000000-0005-0000-0000-0000CA000000}"/>
    <cellStyle name="R05H" xfId="203" xr:uid="{00000000-0005-0000-0000-0000CB000000}"/>
    <cellStyle name="R05L" xfId="204" xr:uid="{00000000-0005-0000-0000-0000CC000000}"/>
    <cellStyle name="R06A" xfId="205" xr:uid="{00000000-0005-0000-0000-0000CD000000}"/>
    <cellStyle name="R06B" xfId="206" xr:uid="{00000000-0005-0000-0000-0000CE000000}"/>
    <cellStyle name="R06H" xfId="207" xr:uid="{00000000-0005-0000-0000-0000CF000000}"/>
    <cellStyle name="R06L" xfId="208" xr:uid="{00000000-0005-0000-0000-0000D0000000}"/>
    <cellStyle name="R07A" xfId="209" xr:uid="{00000000-0005-0000-0000-0000D1000000}"/>
    <cellStyle name="R07B" xfId="210" xr:uid="{00000000-0005-0000-0000-0000D2000000}"/>
    <cellStyle name="R07H" xfId="211" xr:uid="{00000000-0005-0000-0000-0000D3000000}"/>
    <cellStyle name="R07L" xfId="212" xr:uid="{00000000-0005-0000-0000-0000D4000000}"/>
    <cellStyle name="Resource Detail" xfId="213" xr:uid="{00000000-0005-0000-0000-0000D5000000}"/>
    <cellStyle name="Shade" xfId="214" xr:uid="{00000000-0005-0000-0000-0000D6000000}"/>
    <cellStyle name="single acct" xfId="215" xr:uid="{00000000-0005-0000-0000-0000D7000000}"/>
    <cellStyle name="Single Border" xfId="216" xr:uid="{00000000-0005-0000-0000-0000D8000000}"/>
    <cellStyle name="Small Page Heading" xfId="217" xr:uid="{00000000-0005-0000-0000-0000D9000000}"/>
    <cellStyle name="ssn" xfId="218" xr:uid="{00000000-0005-0000-0000-0000DA000000}"/>
    <cellStyle name="Style 1" xfId="219" xr:uid="{00000000-0005-0000-0000-0000DB000000}"/>
    <cellStyle name="Style 2" xfId="220" xr:uid="{00000000-0005-0000-0000-0000DC000000}"/>
    <cellStyle name="Style 27" xfId="221" xr:uid="{00000000-0005-0000-0000-0000DD000000}"/>
    <cellStyle name="Style 28" xfId="222" xr:uid="{00000000-0005-0000-0000-0000DE000000}"/>
    <cellStyle name="Table Sub Heading" xfId="223" xr:uid="{00000000-0005-0000-0000-0000DF000000}"/>
    <cellStyle name="Table Title" xfId="224" xr:uid="{00000000-0005-0000-0000-0000E0000000}"/>
    <cellStyle name="Table Units" xfId="225" xr:uid="{00000000-0005-0000-0000-0000E1000000}"/>
    <cellStyle name="Theirs" xfId="226" xr:uid="{00000000-0005-0000-0000-0000E2000000}"/>
    <cellStyle name="Times New Roman" xfId="227" xr:uid="{00000000-0005-0000-0000-0000E3000000}"/>
    <cellStyle name="Title" xfId="228" builtinId="15" customBuiltin="1"/>
    <cellStyle name="Title 2" xfId="229" xr:uid="{00000000-0005-0000-0000-0000E5000000}"/>
    <cellStyle name="Total" xfId="230" builtinId="25" customBuiltin="1"/>
    <cellStyle name="Total 2" xfId="231" xr:uid="{00000000-0005-0000-0000-0000E7000000}"/>
    <cellStyle name="Unprot" xfId="232" xr:uid="{00000000-0005-0000-0000-0000E8000000}"/>
    <cellStyle name="Unprot$" xfId="233" xr:uid="{00000000-0005-0000-0000-0000E9000000}"/>
    <cellStyle name="Unprotect" xfId="234" xr:uid="{00000000-0005-0000-0000-0000EA000000}"/>
    <cellStyle name="Warning Text" xfId="235" builtinId="11" customBuiltin="1"/>
    <cellStyle name="Warning Text 2" xfId="236" xr:uid="{00000000-0005-0000-0000-0000E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"/>
  <sheetViews>
    <sheetView zoomScale="85" zoomScaleNormal="85" workbookViewId="0">
      <selection activeCell="D23" sqref="D23"/>
    </sheetView>
  </sheetViews>
  <sheetFormatPr defaultColWidth="7.109375" defaultRowHeight="13.15"/>
  <cols>
    <col min="1" max="1" width="3.77734375" style="31" customWidth="1"/>
    <col min="2" max="2" width="9.77734375" style="32" customWidth="1"/>
    <col min="3" max="3" width="6.77734375" style="32" customWidth="1"/>
    <col min="4" max="4" width="11.5546875" style="32" customWidth="1"/>
    <col min="5" max="5" width="11.5546875" style="32" bestFit="1" customWidth="1"/>
    <col min="6" max="6" width="12.109375" style="32" customWidth="1"/>
    <col min="7" max="7" width="8.77734375" style="32" bestFit="1" customWidth="1"/>
    <col min="8" max="8" width="12.109375" style="32" bestFit="1" customWidth="1"/>
    <col min="9" max="9" width="7.109375" style="32" customWidth="1"/>
    <col min="10" max="10" width="8.77734375" style="32" bestFit="1" customWidth="1"/>
    <col min="11" max="11" width="7.109375" style="32" customWidth="1"/>
    <col min="12" max="12" width="11.44140625" style="32" customWidth="1"/>
    <col min="13" max="16384" width="7.109375" style="32"/>
  </cols>
  <sheetData>
    <row r="1" spans="1:14" ht="27" customHeight="1">
      <c r="G1" s="266" t="s">
        <v>0</v>
      </c>
      <c r="H1" s="266"/>
      <c r="N1" s="33"/>
    </row>
    <row r="3" spans="1:14" ht="15" customHeight="1">
      <c r="A3" s="265" t="s">
        <v>1</v>
      </c>
      <c r="B3" s="265"/>
      <c r="C3" s="265"/>
      <c r="D3" s="265"/>
      <c r="E3" s="265"/>
      <c r="F3" s="265"/>
      <c r="G3" s="265"/>
      <c r="H3" s="265"/>
    </row>
    <row r="4" spans="1:14" ht="15" customHeight="1">
      <c r="A4" s="265" t="s">
        <v>2</v>
      </c>
      <c r="B4" s="265"/>
      <c r="C4" s="265"/>
      <c r="D4" s="265"/>
      <c r="E4" s="265"/>
      <c r="F4" s="265"/>
      <c r="G4" s="265"/>
      <c r="H4" s="265"/>
    </row>
    <row r="6" spans="1:14">
      <c r="A6" s="35" t="s">
        <v>3</v>
      </c>
    </row>
    <row r="8" spans="1:14" ht="13.9">
      <c r="A8" s="31">
        <v>1</v>
      </c>
      <c r="B8" s="32" t="s">
        <v>4</v>
      </c>
      <c r="H8" s="36">
        <v>1922601.54</v>
      </c>
      <c r="I8" s="32" t="s">
        <v>5</v>
      </c>
      <c r="N8" s="33"/>
    </row>
    <row r="10" spans="1:14" ht="40.15" thickBot="1">
      <c r="D10" s="37" t="str">
        <f>+B20</f>
        <v>Entity</v>
      </c>
      <c r="E10" s="38"/>
      <c r="F10" s="39" t="s">
        <v>6</v>
      </c>
      <c r="G10" s="37" t="s">
        <v>7</v>
      </c>
      <c r="H10" s="39" t="s">
        <v>8</v>
      </c>
    </row>
    <row r="11" spans="1:14">
      <c r="D11" s="31"/>
      <c r="F11" s="40"/>
      <c r="G11" s="31"/>
      <c r="H11" s="40"/>
    </row>
    <row r="12" spans="1:14">
      <c r="A12" s="31">
        <v>2</v>
      </c>
      <c r="D12" s="32" t="s">
        <v>9</v>
      </c>
      <c r="F12" s="41">
        <f>+L22</f>
        <v>30.404037160910342</v>
      </c>
      <c r="G12" s="42">
        <f>+F12/F$15</f>
        <v>0.62848579996272136</v>
      </c>
      <c r="H12" s="43">
        <f>+H$8*G12</f>
        <v>1208327.7668764601</v>
      </c>
      <c r="J12" s="44"/>
      <c r="K12" s="45"/>
    </row>
    <row r="13" spans="1:14">
      <c r="A13" s="31">
        <v>3</v>
      </c>
      <c r="D13" s="32" t="s">
        <v>10</v>
      </c>
      <c r="F13" s="46">
        <f>+L23</f>
        <v>15.921388941268297</v>
      </c>
      <c r="G13" s="42">
        <f>+F13/F$15</f>
        <v>0.32911309811631034</v>
      </c>
      <c r="H13" s="43">
        <f>+H$8*G13</f>
        <v>632753.34927258943</v>
      </c>
      <c r="J13" s="47"/>
      <c r="K13" s="45"/>
    </row>
    <row r="14" spans="1:14" ht="13.9" thickBot="1">
      <c r="A14" s="31">
        <v>4</v>
      </c>
      <c r="D14" s="38" t="s">
        <v>11</v>
      </c>
      <c r="E14" s="38"/>
      <c r="F14" s="48">
        <f>+L24</f>
        <v>2.0512232393239969</v>
      </c>
      <c r="G14" s="49">
        <f>+F14/F$15</f>
        <v>4.2401101920968291E-2</v>
      </c>
      <c r="H14" s="50">
        <f>+H$8*G14</f>
        <v>81520.423850950596</v>
      </c>
      <c r="J14" s="47"/>
      <c r="K14" s="45"/>
    </row>
    <row r="15" spans="1:14">
      <c r="A15" s="31">
        <v>5</v>
      </c>
      <c r="D15" s="32" t="s">
        <v>12</v>
      </c>
      <c r="F15" s="46">
        <f>SUM(F12:F14)</f>
        <v>48.376649341502635</v>
      </c>
      <c r="G15" s="51">
        <f>+F15/F$15</f>
        <v>1</v>
      </c>
      <c r="H15" s="52">
        <f>SUM(H12:H14)</f>
        <v>1922601.54</v>
      </c>
      <c r="J15" s="44"/>
    </row>
    <row r="18" spans="1:18">
      <c r="A18" s="35" t="s">
        <v>13</v>
      </c>
      <c r="E18" s="35" t="s">
        <v>14</v>
      </c>
      <c r="N18" s="33"/>
    </row>
    <row r="20" spans="1:18" ht="53.45" thickBot="1">
      <c r="B20" s="38" t="s">
        <v>15</v>
      </c>
      <c r="C20" s="38"/>
      <c r="D20" s="39" t="s">
        <v>16</v>
      </c>
      <c r="E20" s="39" t="s">
        <v>17</v>
      </c>
      <c r="F20" s="39" t="s">
        <v>18</v>
      </c>
      <c r="G20" s="39" t="s">
        <v>19</v>
      </c>
      <c r="H20" s="39" t="s">
        <v>20</v>
      </c>
      <c r="N20" s="33"/>
    </row>
    <row r="21" spans="1:18">
      <c r="M21" s="53" t="s">
        <v>21</v>
      </c>
      <c r="N21" s="54"/>
      <c r="O21" s="54"/>
      <c r="P21" s="55"/>
    </row>
    <row r="22" spans="1:18">
      <c r="A22" s="31">
        <v>6</v>
      </c>
      <c r="B22" s="32" t="str">
        <f>+D12</f>
        <v>Black Hills</v>
      </c>
      <c r="D22" s="56">
        <f>Estimate!J123</f>
        <v>31474849.682832524</v>
      </c>
      <c r="E22" s="52">
        <f>-H12</f>
        <v>-1208327.7668764601</v>
      </c>
      <c r="F22" s="52">
        <f>+E22+D22</f>
        <v>30266521.915956065</v>
      </c>
      <c r="G22" s="1">
        <f>+'WP7 CU AC LOADS'!J44*1000</f>
        <v>995477.04932754824</v>
      </c>
      <c r="H22" s="57">
        <f>+F22/G22</f>
        <v>30.404037879528527</v>
      </c>
      <c r="J22" s="58" t="s">
        <v>22</v>
      </c>
      <c r="L22" s="59">
        <v>30.404037160910342</v>
      </c>
      <c r="M22" s="60" t="s">
        <v>23</v>
      </c>
      <c r="P22" s="61"/>
      <c r="R22" s="62"/>
    </row>
    <row r="23" spans="1:18">
      <c r="A23" s="31">
        <v>7</v>
      </c>
      <c r="B23" s="32" t="str">
        <f>+D13</f>
        <v>Basin Electric</v>
      </c>
      <c r="D23" s="63">
        <v>16482130</v>
      </c>
      <c r="E23" s="52">
        <f>-H13</f>
        <v>-632753.34927258943</v>
      </c>
      <c r="F23" s="52">
        <f>+E23+D23</f>
        <v>15849376.65072741</v>
      </c>
      <c r="G23" s="64">
        <f>+G22</f>
        <v>995477.04932754824</v>
      </c>
      <c r="H23" s="57">
        <f>+F23/G23</f>
        <v>15.921388304666365</v>
      </c>
      <c r="J23" s="58" t="s">
        <v>22</v>
      </c>
      <c r="L23" s="59">
        <v>15.921388941268297</v>
      </c>
      <c r="M23" s="60" t="s">
        <v>24</v>
      </c>
      <c r="P23" s="61"/>
      <c r="R23" s="62"/>
    </row>
    <row r="24" spans="1:18" ht="13.9" thickBot="1">
      <c r="A24" s="31">
        <v>8</v>
      </c>
      <c r="B24" s="38" t="str">
        <f>+D14</f>
        <v>PRECorp</v>
      </c>
      <c r="C24" s="38"/>
      <c r="D24" s="65">
        <v>2123466</v>
      </c>
      <c r="E24" s="66">
        <f>-H14</f>
        <v>-81520.423850950596</v>
      </c>
      <c r="F24" s="66">
        <f>+E24+D24</f>
        <v>2041945.5761490494</v>
      </c>
      <c r="G24" s="67">
        <f>+G23</f>
        <v>995477.04932754824</v>
      </c>
      <c r="H24" s="68">
        <f>+F24/G24</f>
        <v>2.0512231573077431</v>
      </c>
      <c r="J24" s="58" t="s">
        <v>22</v>
      </c>
      <c r="L24" s="59">
        <v>2.0512232393239969</v>
      </c>
      <c r="M24" s="69" t="s">
        <v>25</v>
      </c>
      <c r="N24" s="70"/>
      <c r="O24" s="70"/>
      <c r="P24" s="71"/>
      <c r="R24" s="62"/>
    </row>
    <row r="25" spans="1:18">
      <c r="A25" s="31">
        <v>9</v>
      </c>
      <c r="B25" s="32" t="s">
        <v>12</v>
      </c>
      <c r="D25" s="52">
        <f>SUM(D22:D24)</f>
        <v>50080445.682832524</v>
      </c>
      <c r="E25" s="52">
        <f>SUM(E22:E24)</f>
        <v>-1922601.54</v>
      </c>
      <c r="F25" s="52">
        <f>SUM(F22:F24)</f>
        <v>48157844.142832518</v>
      </c>
      <c r="H25" s="57">
        <f>SUM(H22:H24)</f>
        <v>48.376649341502642</v>
      </c>
    </row>
    <row r="26" spans="1:18">
      <c r="F26" s="52"/>
      <c r="G26" s="64"/>
      <c r="H26" s="57"/>
    </row>
    <row r="27" spans="1:18">
      <c r="A27" s="35" t="s">
        <v>26</v>
      </c>
    </row>
    <row r="28" spans="1:18">
      <c r="A28" s="31">
        <v>10</v>
      </c>
      <c r="D28" s="32" t="s">
        <v>27</v>
      </c>
      <c r="F28" s="41">
        <f>+H25</f>
        <v>48.376649341502642</v>
      </c>
      <c r="G28" s="72" t="s">
        <v>28</v>
      </c>
      <c r="H28" s="46">
        <f>ROUND(F28,2)*1000</f>
        <v>48380</v>
      </c>
      <c r="I28" s="32" t="s">
        <v>29</v>
      </c>
    </row>
    <row r="29" spans="1:18">
      <c r="A29" s="31">
        <f t="shared" ref="A29:A34" si="0">+A28+1</f>
        <v>11</v>
      </c>
      <c r="D29" s="32" t="s">
        <v>30</v>
      </c>
      <c r="F29" s="41">
        <f>ROUND(F28/12,2)</f>
        <v>4.03</v>
      </c>
      <c r="G29" s="72" t="s">
        <v>31</v>
      </c>
      <c r="H29" s="46">
        <f t="shared" ref="H29:H34" si="1">F29*1000</f>
        <v>4030.0000000000005</v>
      </c>
      <c r="I29" s="32" t="s">
        <v>29</v>
      </c>
    </row>
    <row r="30" spans="1:18">
      <c r="A30" s="31">
        <f t="shared" si="0"/>
        <v>12</v>
      </c>
      <c r="D30" s="32" t="s">
        <v>32</v>
      </c>
      <c r="F30" s="41">
        <f>ROUND(F28/52,2)</f>
        <v>0.93</v>
      </c>
      <c r="G30" s="72" t="s">
        <v>33</v>
      </c>
      <c r="H30" s="46">
        <f t="shared" si="1"/>
        <v>930</v>
      </c>
      <c r="I30" s="32" t="s">
        <v>29</v>
      </c>
    </row>
    <row r="31" spans="1:18">
      <c r="A31" s="31">
        <f t="shared" si="0"/>
        <v>13</v>
      </c>
      <c r="D31" s="32" t="s">
        <v>34</v>
      </c>
      <c r="E31" s="32" t="s">
        <v>35</v>
      </c>
      <c r="F31" s="73">
        <f>+F30/6</f>
        <v>0.155</v>
      </c>
      <c r="G31" s="72" t="s">
        <v>36</v>
      </c>
      <c r="H31" s="46">
        <f t="shared" si="1"/>
        <v>155</v>
      </c>
      <c r="I31" s="32" t="s">
        <v>29</v>
      </c>
    </row>
    <row r="32" spans="1:18">
      <c r="A32" s="31">
        <f t="shared" si="0"/>
        <v>14</v>
      </c>
      <c r="D32" s="32" t="s">
        <v>37</v>
      </c>
      <c r="E32" s="32" t="s">
        <v>38</v>
      </c>
      <c r="F32" s="73">
        <f>+F30/7</f>
        <v>0.13285714285714287</v>
      </c>
      <c r="G32" s="72" t="s">
        <v>36</v>
      </c>
      <c r="H32" s="46">
        <f t="shared" si="1"/>
        <v>132.85714285714286</v>
      </c>
      <c r="I32" s="32" t="s">
        <v>29</v>
      </c>
    </row>
    <row r="33" spans="1:9">
      <c r="A33" s="31">
        <f t="shared" si="0"/>
        <v>15</v>
      </c>
      <c r="D33" s="32" t="s">
        <v>39</v>
      </c>
      <c r="E33" s="32" t="s">
        <v>40</v>
      </c>
      <c r="F33" s="74">
        <f>+F31/16</f>
        <v>9.6874999999999999E-3</v>
      </c>
      <c r="G33" s="72" t="s">
        <v>41</v>
      </c>
      <c r="H33" s="46">
        <f t="shared" si="1"/>
        <v>9.6875</v>
      </c>
      <c r="I33" s="32" t="s">
        <v>29</v>
      </c>
    </row>
    <row r="34" spans="1:9">
      <c r="A34" s="31">
        <f t="shared" si="0"/>
        <v>16</v>
      </c>
      <c r="D34" s="32" t="s">
        <v>42</v>
      </c>
      <c r="E34" s="32" t="s">
        <v>43</v>
      </c>
      <c r="F34" s="74">
        <f>+F32/24</f>
        <v>5.5357142857142862E-3</v>
      </c>
      <c r="G34" s="72" t="s">
        <v>41</v>
      </c>
      <c r="H34" s="46">
        <f t="shared" si="1"/>
        <v>5.5357142857142865</v>
      </c>
      <c r="I34" s="32" t="s">
        <v>29</v>
      </c>
    </row>
    <row r="40" spans="1:9">
      <c r="A40" s="35" t="s">
        <v>44</v>
      </c>
    </row>
    <row r="42" spans="1:9">
      <c r="B42" s="32" t="str">
        <f>+D20</f>
        <v>Component Annual Revenue Requirements</v>
      </c>
      <c r="E42" s="52">
        <f>+D25</f>
        <v>50080445.682832524</v>
      </c>
    </row>
    <row r="43" spans="1:9">
      <c r="B43" s="32" t="s">
        <v>45</v>
      </c>
      <c r="E43" s="52">
        <f>+E25</f>
        <v>-1922601.54</v>
      </c>
    </row>
    <row r="44" spans="1:9">
      <c r="B44" s="32" t="str">
        <f>+F20</f>
        <v>Net Revenue Requirements</v>
      </c>
      <c r="E44" s="52">
        <f>+F25</f>
        <v>48157844.142832518</v>
      </c>
    </row>
    <row r="45" spans="1:9">
      <c r="B45" s="32" t="str">
        <f>+G20</f>
        <v>Projected 2027 Load</v>
      </c>
      <c r="E45" s="64">
        <f>+G22</f>
        <v>995477.04932754824</v>
      </c>
    </row>
    <row r="46" spans="1:9">
      <c r="B46" s="32" t="str">
        <f>+H20</f>
        <v>Annual Rate</v>
      </c>
      <c r="E46" s="41">
        <f>+E44/E45</f>
        <v>48.376649341502628</v>
      </c>
    </row>
  </sheetData>
  <mergeCells count="3">
    <mergeCell ref="A3:H3"/>
    <mergeCell ref="A4:H4"/>
    <mergeCell ref="G1:H1"/>
  </mergeCells>
  <phoneticPr fontId="11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7"/>
  <sheetViews>
    <sheetView showGridLines="0" zoomScale="70" zoomScaleNormal="70" workbookViewId="0">
      <pane xSplit="3" ySplit="11" topLeftCell="D68" activePane="bottomRight" state="frozen"/>
      <selection pane="bottomRight" activeCell="E107" sqref="E107"/>
      <selection pane="bottomLeft" activeCell="Q11" sqref="Q11"/>
      <selection pane="topRight" activeCell="Q11" sqref="Q11"/>
    </sheetView>
  </sheetViews>
  <sheetFormatPr defaultColWidth="8.77734375" defaultRowHeight="15"/>
  <cols>
    <col min="1" max="1" width="6" customWidth="1"/>
    <col min="2" max="2" width="1.44140625" customWidth="1"/>
    <col min="3" max="3" width="48.5546875" customWidth="1"/>
    <col min="4" max="4" width="34.5546875" customWidth="1"/>
    <col min="5" max="5" width="23.109375" customWidth="1"/>
    <col min="6" max="6" width="7.77734375" customWidth="1"/>
    <col min="7" max="7" width="6.21875" customWidth="1"/>
    <col min="8" max="8" width="14" customWidth="1"/>
    <col min="9" max="9" width="7.5546875" customWidth="1"/>
    <col min="10" max="10" width="17.77734375" bestFit="1" customWidth="1"/>
    <col min="11" max="11" width="1.109375" customWidth="1"/>
    <col min="12" max="12" width="14.44140625" bestFit="1" customWidth="1"/>
    <col min="13" max="13" width="14" style="150" bestFit="1" customWidth="1"/>
    <col min="14" max="14" width="15.77734375" customWidth="1"/>
    <col min="15" max="15" width="13.44140625" bestFit="1" customWidth="1"/>
  </cols>
  <sheetData>
    <row r="1" spans="1:13" ht="15.6">
      <c r="I1" s="147" t="s">
        <v>46</v>
      </c>
      <c r="J1" s="148">
        <v>46295</v>
      </c>
      <c r="M1" s="149"/>
    </row>
    <row r="2" spans="1:13" ht="15.6">
      <c r="A2" s="75"/>
      <c r="B2" s="75"/>
      <c r="C2" s="75"/>
      <c r="D2" s="76"/>
      <c r="E2" s="75"/>
      <c r="F2" s="75"/>
      <c r="G2" s="75"/>
      <c r="I2" s="77" t="s">
        <v>47</v>
      </c>
      <c r="J2" s="78">
        <v>2027</v>
      </c>
      <c r="M2" s="149"/>
    </row>
    <row r="3" spans="1:13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3" ht="15" customHeight="1">
      <c r="A4" s="268" t="s">
        <v>48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</row>
    <row r="5" spans="1:13" ht="15.6">
      <c r="A5" s="269" t="s">
        <v>49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</row>
    <row r="6" spans="1:13">
      <c r="A6" s="75"/>
      <c r="B6" s="75"/>
      <c r="C6" s="78"/>
      <c r="D6" s="78"/>
      <c r="F6" s="78"/>
      <c r="G6" s="78"/>
      <c r="H6" s="78"/>
      <c r="I6" s="78"/>
      <c r="J6" s="78"/>
      <c r="K6" s="78"/>
    </row>
    <row r="7" spans="1:13" ht="15" customHeight="1">
      <c r="A7" s="267" t="s">
        <v>50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</row>
    <row r="8" spans="1:13">
      <c r="A8" s="81"/>
      <c r="B8" s="75"/>
      <c r="C8" s="78"/>
      <c r="D8" s="78"/>
      <c r="E8" s="82"/>
      <c r="F8" s="78"/>
      <c r="G8" s="78"/>
      <c r="H8" s="78"/>
      <c r="I8" s="78"/>
      <c r="J8" s="78"/>
      <c r="K8" s="78"/>
    </row>
    <row r="9" spans="1:13">
      <c r="A9" s="75"/>
      <c r="B9" s="75"/>
      <c r="C9" s="83" t="s">
        <v>51</v>
      </c>
      <c r="D9" s="83" t="s">
        <v>52</v>
      </c>
      <c r="E9" s="83" t="s">
        <v>53</v>
      </c>
      <c r="F9" s="84" t="s">
        <v>54</v>
      </c>
      <c r="G9" s="84"/>
      <c r="H9" s="85" t="s">
        <v>55</v>
      </c>
      <c r="I9" s="84"/>
      <c r="J9" s="86" t="s">
        <v>56</v>
      </c>
      <c r="K9" s="84"/>
    </row>
    <row r="10" spans="1:13" ht="15.6">
      <c r="A10" s="75"/>
      <c r="B10" s="75"/>
      <c r="C10" s="78"/>
      <c r="D10" s="80" t="s">
        <v>57</v>
      </c>
      <c r="E10" s="84"/>
      <c r="F10" s="84"/>
      <c r="G10" s="87" t="s">
        <v>58</v>
      </c>
      <c r="H10" s="81"/>
      <c r="I10" s="84"/>
      <c r="J10" s="79" t="s">
        <v>59</v>
      </c>
      <c r="K10" s="84"/>
    </row>
    <row r="11" spans="1:13" ht="15.6">
      <c r="A11" s="81" t="s">
        <v>60</v>
      </c>
      <c r="B11" s="75"/>
      <c r="C11" s="78"/>
      <c r="D11" s="88" t="s">
        <v>61</v>
      </c>
      <c r="E11" s="79" t="s">
        <v>62</v>
      </c>
      <c r="F11" s="89"/>
      <c r="G11" s="90" t="s">
        <v>63</v>
      </c>
      <c r="H11" s="91"/>
      <c r="I11" s="89"/>
      <c r="J11" s="81" t="s">
        <v>64</v>
      </c>
      <c r="K11" s="84"/>
    </row>
    <row r="12" spans="1:13" ht="16.149999999999999" thickBot="1">
      <c r="A12" s="92" t="s">
        <v>65</v>
      </c>
      <c r="B12" s="75"/>
      <c r="C12" s="93" t="s">
        <v>66</v>
      </c>
      <c r="D12" s="84"/>
      <c r="E12" s="84"/>
      <c r="F12" s="84"/>
      <c r="G12" s="84"/>
      <c r="H12" s="84"/>
      <c r="I12" s="84"/>
      <c r="J12" s="84"/>
      <c r="K12" s="84"/>
    </row>
    <row r="13" spans="1:13">
      <c r="A13" s="81"/>
      <c r="B13" s="75"/>
      <c r="C13" s="78"/>
      <c r="D13" s="84"/>
      <c r="E13" s="84"/>
      <c r="F13" s="84"/>
      <c r="G13" s="84"/>
      <c r="H13" s="84"/>
      <c r="I13" s="84"/>
      <c r="J13" s="84"/>
      <c r="K13" s="84"/>
    </row>
    <row r="14" spans="1:13">
      <c r="A14" s="81"/>
      <c r="B14" s="75"/>
      <c r="C14" s="78" t="s">
        <v>67</v>
      </c>
      <c r="D14" s="84" t="s">
        <v>68</v>
      </c>
      <c r="E14" s="84"/>
      <c r="F14" s="84"/>
      <c r="G14" s="84"/>
      <c r="H14" s="84"/>
      <c r="I14" s="84"/>
      <c r="J14" s="84"/>
      <c r="K14" s="84"/>
    </row>
    <row r="15" spans="1:13">
      <c r="A15" s="81">
        <v>1</v>
      </c>
      <c r="B15" s="75"/>
      <c r="C15" s="78" t="s">
        <v>69</v>
      </c>
      <c r="D15" s="84" t="s">
        <v>70</v>
      </c>
      <c r="E15" s="84">
        <f>+'WP6 Rate Base'!Q15</f>
        <v>753790094.56000018</v>
      </c>
      <c r="F15" s="84"/>
      <c r="G15" s="84" t="s">
        <v>71</v>
      </c>
      <c r="H15" s="94" t="s">
        <v>54</v>
      </c>
      <c r="I15" s="84"/>
      <c r="J15" s="84" t="s">
        <v>54</v>
      </c>
      <c r="K15" s="84"/>
    </row>
    <row r="16" spans="1:13">
      <c r="A16" s="81">
        <v>2</v>
      </c>
      <c r="B16" s="75"/>
      <c r="C16" s="78" t="s">
        <v>72</v>
      </c>
      <c r="D16" s="84" t="s">
        <v>73</v>
      </c>
      <c r="E16" s="84">
        <f>+'WP6 Rate Base'!Q16</f>
        <v>299983988.14999998</v>
      </c>
      <c r="F16" s="84"/>
      <c r="G16" s="84" t="s">
        <v>74</v>
      </c>
      <c r="H16" s="94">
        <f>+J145</f>
        <v>0.87443099999999996</v>
      </c>
      <c r="I16" s="84"/>
      <c r="J16" s="84">
        <f>+H16*E16</f>
        <v>262315298.74199262</v>
      </c>
      <c r="K16" s="84"/>
    </row>
    <row r="17" spans="1:16">
      <c r="A17" s="81">
        <v>3</v>
      </c>
      <c r="B17" s="75"/>
      <c r="C17" s="78" t="s">
        <v>75</v>
      </c>
      <c r="D17" s="84" t="s">
        <v>76</v>
      </c>
      <c r="E17" s="84">
        <f>'BHP WP2 Capital Additions'!F20</f>
        <v>600077.59999999986</v>
      </c>
      <c r="F17" s="84"/>
      <c r="G17" s="84" t="s">
        <v>74</v>
      </c>
      <c r="H17" s="94">
        <f>H16</f>
        <v>0.87443099999999996</v>
      </c>
      <c r="I17" s="84"/>
      <c r="J17" s="84">
        <f>+H17*E17</f>
        <v>524726.45584559988</v>
      </c>
      <c r="K17" s="84"/>
    </row>
    <row r="18" spans="1:16">
      <c r="A18" s="81">
        <v>4</v>
      </c>
      <c r="B18" s="75"/>
      <c r="C18" s="78" t="s">
        <v>75</v>
      </c>
      <c r="D18" s="84" t="s">
        <v>77</v>
      </c>
      <c r="E18" s="84">
        <f>'BHP WP3 Capital Additions'!F23</f>
        <v>0</v>
      </c>
      <c r="F18" s="84"/>
      <c r="G18" s="84" t="s">
        <v>74</v>
      </c>
      <c r="H18" s="94">
        <f>H17</f>
        <v>0.87443099999999996</v>
      </c>
      <c r="I18" s="84"/>
      <c r="J18" s="84">
        <f>+H18*E18</f>
        <v>0</v>
      </c>
      <c r="K18" s="84"/>
    </row>
    <row r="19" spans="1:16">
      <c r="A19" s="81">
        <v>5</v>
      </c>
      <c r="B19" s="75"/>
      <c r="C19" s="78" t="s">
        <v>78</v>
      </c>
      <c r="D19" s="84" t="s">
        <v>79</v>
      </c>
      <c r="E19" s="84">
        <f>+'WP6 Rate Base'!Q17</f>
        <v>600361634.32250714</v>
      </c>
      <c r="F19" s="84"/>
      <c r="G19" s="84" t="s">
        <v>71</v>
      </c>
      <c r="H19" s="95"/>
      <c r="I19" s="84"/>
      <c r="J19" s="84"/>
      <c r="K19" s="84"/>
    </row>
    <row r="20" spans="1:16">
      <c r="A20" s="81">
        <v>6</v>
      </c>
      <c r="B20" s="75"/>
      <c r="C20" s="78" t="s">
        <v>80</v>
      </c>
      <c r="D20" s="84" t="s">
        <v>81</v>
      </c>
      <c r="E20" s="84">
        <f>+'WP6 Rate Base'!Q18</f>
        <v>67951828.110000029</v>
      </c>
      <c r="F20" s="84"/>
      <c r="G20" s="84" t="s">
        <v>82</v>
      </c>
      <c r="H20" s="94">
        <f>J177</f>
        <v>0.13043410886570844</v>
      </c>
      <c r="I20" s="84"/>
      <c r="J20" s="84">
        <f>+H20*E20</f>
        <v>8863236.1453236509</v>
      </c>
      <c r="K20" s="84"/>
    </row>
    <row r="21" spans="1:16">
      <c r="A21" s="81">
        <v>7</v>
      </c>
      <c r="B21" s="75"/>
      <c r="C21" s="78" t="s">
        <v>83</v>
      </c>
      <c r="D21" s="84" t="s">
        <v>84</v>
      </c>
      <c r="E21" s="84">
        <f>+'WP6 Rate Base'!Q19</f>
        <v>37872147</v>
      </c>
      <c r="F21" s="84"/>
      <c r="G21" s="84" t="s">
        <v>82</v>
      </c>
      <c r="H21" s="94">
        <f>+H20</f>
        <v>0.13043410886570844</v>
      </c>
      <c r="I21" s="84"/>
      <c r="J21" s="84">
        <f>+H21*E21</f>
        <v>4939819.744776113</v>
      </c>
      <c r="K21" s="84"/>
    </row>
    <row r="22" spans="1:16">
      <c r="A22" s="81">
        <v>8</v>
      </c>
      <c r="B22" s="75"/>
      <c r="C22" s="78" t="s">
        <v>85</v>
      </c>
      <c r="D22" s="84" t="s">
        <v>86</v>
      </c>
      <c r="E22" s="84">
        <f>+'WP6 Rate Base'!Q20</f>
        <v>10799267.960000001</v>
      </c>
      <c r="F22" s="84"/>
      <c r="G22" s="84" t="s">
        <v>87</v>
      </c>
      <c r="H22" s="94">
        <f>+J182</f>
        <v>0.32003083748347733</v>
      </c>
      <c r="I22" s="84"/>
      <c r="J22" s="84">
        <f>+H22*E22</f>
        <v>3456098.7694472838</v>
      </c>
      <c r="K22" s="84"/>
    </row>
    <row r="23" spans="1:16" ht="15.6" thickBot="1">
      <c r="A23" s="81">
        <v>9</v>
      </c>
      <c r="B23" s="75"/>
      <c r="C23" s="78" t="s">
        <v>88</v>
      </c>
      <c r="D23" s="84" t="s">
        <v>89</v>
      </c>
      <c r="E23" s="96">
        <f>+'WP6 Rate Base'!Q21</f>
        <v>0</v>
      </c>
      <c r="F23" s="84"/>
      <c r="G23" s="84" t="s">
        <v>90</v>
      </c>
      <c r="H23" s="94">
        <v>0</v>
      </c>
      <c r="I23" s="84"/>
      <c r="J23" s="96">
        <f>+H23*E23</f>
        <v>0</v>
      </c>
      <c r="K23" s="84"/>
    </row>
    <row r="24" spans="1:16">
      <c r="A24" s="81">
        <v>10</v>
      </c>
      <c r="B24" s="75"/>
      <c r="C24" s="97" t="s">
        <v>91</v>
      </c>
      <c r="D24" s="84" t="str">
        <f>"(sum lines "&amp;A15&amp;" - "&amp;A23&amp;")"</f>
        <v>(sum lines 1 - 9)</v>
      </c>
      <c r="E24" s="84">
        <f>SUM(E15:E23)</f>
        <v>1771359037.7025075</v>
      </c>
      <c r="F24" s="84"/>
      <c r="G24" s="84" t="s">
        <v>92</v>
      </c>
      <c r="H24" s="98">
        <f>IF(E24&gt;0,+J24/E24,0)</f>
        <v>0.1581267116917642</v>
      </c>
      <c r="I24" s="84"/>
      <c r="J24" s="84">
        <f>SUM(J15:J23)</f>
        <v>280099179.85738528</v>
      </c>
      <c r="K24" s="84"/>
    </row>
    <row r="25" spans="1:16">
      <c r="A25" s="81">
        <v>11</v>
      </c>
      <c r="B25" s="75"/>
      <c r="C25" s="78"/>
      <c r="D25" s="84"/>
      <c r="E25" s="84"/>
      <c r="F25" s="84"/>
      <c r="G25" s="84"/>
      <c r="H25" s="98"/>
      <c r="I25" s="84"/>
      <c r="J25" s="84"/>
      <c r="K25" s="84"/>
    </row>
    <row r="26" spans="1:16">
      <c r="A26" s="81">
        <v>12</v>
      </c>
      <c r="B26" s="75"/>
      <c r="C26" s="78" t="s">
        <v>93</v>
      </c>
      <c r="D26" s="84"/>
      <c r="E26" s="84"/>
      <c r="F26" s="84"/>
      <c r="G26" s="84"/>
      <c r="H26" s="84"/>
      <c r="I26" s="84"/>
      <c r="J26" s="84"/>
      <c r="K26" s="84"/>
    </row>
    <row r="27" spans="1:16">
      <c r="A27" s="81">
        <v>13</v>
      </c>
      <c r="B27" s="75"/>
      <c r="C27" s="78" t="str">
        <f>+C15</f>
        <v xml:space="preserve">  Production</v>
      </c>
      <c r="D27" s="84" t="s">
        <v>94</v>
      </c>
      <c r="E27" s="84">
        <f>+'WP6 Rate Base'!Q25</f>
        <v>272492754.75</v>
      </c>
      <c r="F27" s="84"/>
      <c r="G27" s="84" t="str">
        <f>+G15</f>
        <v>NA</v>
      </c>
      <c r="H27" s="94" t="str">
        <f>+H15</f>
        <v xml:space="preserve"> </v>
      </c>
      <c r="I27" s="84"/>
      <c r="J27" s="84" t="s">
        <v>54</v>
      </c>
      <c r="K27" s="84"/>
      <c r="P27" s="151"/>
    </row>
    <row r="28" spans="1:16">
      <c r="A28" s="81">
        <v>14</v>
      </c>
      <c r="B28" s="75"/>
      <c r="C28" s="78" t="s">
        <v>72</v>
      </c>
      <c r="D28" s="84" t="s">
        <v>95</v>
      </c>
      <c r="E28" s="84">
        <f>+'WP6 Rate Base'!Q26</f>
        <v>55373421.426073708</v>
      </c>
      <c r="F28" s="84"/>
      <c r="G28" s="84" t="s">
        <v>96</v>
      </c>
      <c r="H28" s="94">
        <f>+J163</f>
        <v>0.82269199999999998</v>
      </c>
      <c r="I28" s="84"/>
      <c r="J28" s="84">
        <f>+H28*E28</f>
        <v>45555270.81985943</v>
      </c>
      <c r="K28" s="84"/>
    </row>
    <row r="29" spans="1:16">
      <c r="A29" s="81">
        <v>15</v>
      </c>
      <c r="B29" s="75"/>
      <c r="C29" s="78" t="s">
        <v>97</v>
      </c>
      <c r="D29" s="84" t="str">
        <f>"See Workpaper 2 (line 48)"</f>
        <v>See Workpaper 2 (line 48)</v>
      </c>
      <c r="E29" s="84">
        <f>'BHP WP2 Capital Additions'!F57</f>
        <v>10455463.751451336</v>
      </c>
      <c r="F29" s="84"/>
      <c r="G29" s="84" t="s">
        <v>96</v>
      </c>
      <c r="H29" s="94">
        <f>H28</f>
        <v>0.82269199999999998</v>
      </c>
      <c r="I29" s="84"/>
      <c r="J29" s="84">
        <f>+H29*E29</f>
        <v>8601626.3846090026</v>
      </c>
      <c r="K29" s="84"/>
    </row>
    <row r="30" spans="1:16">
      <c r="A30" s="81">
        <v>16</v>
      </c>
      <c r="B30" s="75"/>
      <c r="C30" s="78" t="s">
        <v>78</v>
      </c>
      <c r="D30" s="84" t="s">
        <v>98</v>
      </c>
      <c r="E30" s="84">
        <f>+'WP6 Rate Base'!Q27</f>
        <v>193687354.79250705</v>
      </c>
      <c r="F30" s="84"/>
      <c r="G30" s="84" t="s">
        <v>71</v>
      </c>
      <c r="H30" s="94"/>
      <c r="I30" s="84"/>
      <c r="J30" s="84"/>
      <c r="K30" s="84"/>
    </row>
    <row r="31" spans="1:16">
      <c r="A31" s="81">
        <v>17</v>
      </c>
      <c r="B31" s="75"/>
      <c r="C31" s="78" t="str">
        <f>+C20</f>
        <v xml:space="preserve">  General &amp; Intangible</v>
      </c>
      <c r="D31" s="84" t="s">
        <v>99</v>
      </c>
      <c r="E31" s="84">
        <f>+'WP6 Rate Base'!Q28</f>
        <v>50625942.162961863</v>
      </c>
      <c r="F31" s="84"/>
      <c r="G31" s="84" t="str">
        <f>+G20</f>
        <v>W/S</v>
      </c>
      <c r="H31" s="94">
        <f>+H20</f>
        <v>0.13043410886570844</v>
      </c>
      <c r="I31" s="84"/>
      <c r="J31" s="84">
        <f>+H31*E31</f>
        <v>6603349.6515128268</v>
      </c>
      <c r="K31" s="84"/>
    </row>
    <row r="32" spans="1:16">
      <c r="A32" s="81">
        <v>18</v>
      </c>
      <c r="B32" s="75"/>
      <c r="C32" s="78" t="s">
        <v>83</v>
      </c>
      <c r="D32" s="84" t="s">
        <v>100</v>
      </c>
      <c r="E32" s="84">
        <f>+'WP6 Rate Base'!Q29</f>
        <v>13776575</v>
      </c>
      <c r="F32" s="84"/>
      <c r="G32" s="84" t="str">
        <f>+G21</f>
        <v>W/S</v>
      </c>
      <c r="H32" s="94">
        <f>+H31</f>
        <v>0.13043410886570844</v>
      </c>
      <c r="I32" s="84"/>
      <c r="J32" s="84">
        <f>+H32*E32</f>
        <v>1796935.2833465973</v>
      </c>
      <c r="K32" s="84"/>
    </row>
    <row r="33" spans="1:11">
      <c r="A33" s="81">
        <v>19</v>
      </c>
      <c r="B33" s="75"/>
      <c r="C33" s="78" t="str">
        <f>+C22</f>
        <v xml:space="preserve">  Communication System</v>
      </c>
      <c r="D33" s="84" t="s">
        <v>101</v>
      </c>
      <c r="E33" s="84">
        <f>+'WP6 Rate Base'!Q30</f>
        <v>2959500.1090445425</v>
      </c>
      <c r="F33" s="84"/>
      <c r="G33" s="84" t="str">
        <f>+G22</f>
        <v>T&amp;D</v>
      </c>
      <c r="H33" s="94">
        <f>+H22</f>
        <v>0.32003083748347733</v>
      </c>
      <c r="I33" s="84"/>
      <c r="J33" s="84">
        <f>+H33*E33</f>
        <v>947131.29842996737</v>
      </c>
      <c r="K33" s="84"/>
    </row>
    <row r="34" spans="1:11" ht="15.6" thickBot="1">
      <c r="A34" s="81">
        <v>20</v>
      </c>
      <c r="B34" s="75"/>
      <c r="C34" s="78" t="str">
        <f>+C23</f>
        <v xml:space="preserve">  Common</v>
      </c>
      <c r="D34" s="84" t="s">
        <v>89</v>
      </c>
      <c r="E34" s="96">
        <f>+'WP6 Rate Base'!Q31</f>
        <v>0</v>
      </c>
      <c r="F34" s="84"/>
      <c r="G34" s="84" t="str">
        <f>+G23</f>
        <v>CE</v>
      </c>
      <c r="H34" s="94">
        <f>+H23</f>
        <v>0</v>
      </c>
      <c r="I34" s="84"/>
      <c r="J34" s="96">
        <f>+H34*E34</f>
        <v>0</v>
      </c>
      <c r="K34" s="84"/>
    </row>
    <row r="35" spans="1:11">
      <c r="A35" s="81">
        <v>21</v>
      </c>
      <c r="B35" s="75"/>
      <c r="C35" s="78" t="s">
        <v>102</v>
      </c>
      <c r="D35" s="84" t="str">
        <f>"(sum lines "&amp;A27&amp;" - "&amp;A34&amp;")"</f>
        <v>(sum lines 13 - 20)</v>
      </c>
      <c r="E35" s="84">
        <f>SUM(E27:E34)</f>
        <v>599371011.99203849</v>
      </c>
      <c r="F35" s="84"/>
      <c r="G35" s="84"/>
      <c r="H35" s="84"/>
      <c r="I35" s="84"/>
      <c r="J35" s="84">
        <f>SUM(J27:J34)</f>
        <v>63504313.43775782</v>
      </c>
      <c r="K35" s="84"/>
    </row>
    <row r="36" spans="1:11">
      <c r="A36" s="81">
        <v>22</v>
      </c>
      <c r="B36" s="75"/>
      <c r="C36" s="75"/>
      <c r="D36" s="84" t="s">
        <v>54</v>
      </c>
      <c r="E36" s="75"/>
      <c r="F36" s="84"/>
      <c r="G36" s="84"/>
      <c r="H36" s="98"/>
      <c r="I36" s="84"/>
      <c r="J36" s="75"/>
      <c r="K36" s="84"/>
    </row>
    <row r="37" spans="1:11">
      <c r="A37" s="81">
        <v>23</v>
      </c>
      <c r="B37" s="75"/>
      <c r="C37" s="78" t="s">
        <v>103</v>
      </c>
      <c r="D37" s="84"/>
      <c r="E37" s="84"/>
      <c r="F37" s="84"/>
      <c r="G37" s="84"/>
      <c r="H37" s="84"/>
      <c r="I37" s="84"/>
      <c r="J37" s="84"/>
      <c r="K37" s="84"/>
    </row>
    <row r="38" spans="1:11">
      <c r="A38" s="81">
        <v>24</v>
      </c>
      <c r="B38" s="75"/>
      <c r="C38" s="78" t="str">
        <f>+C27</f>
        <v xml:space="preserve">  Production</v>
      </c>
      <c r="D38" s="84" t="str">
        <f>"(line "&amp;A15&amp;" - line "&amp;A27&amp;")"</f>
        <v>(line 1 - line 13)</v>
      </c>
      <c r="E38" s="84">
        <f>E15-E27</f>
        <v>481297339.81000018</v>
      </c>
      <c r="F38" s="84"/>
      <c r="G38" s="84" t="s">
        <v>104</v>
      </c>
      <c r="H38" s="98"/>
      <c r="I38" s="84"/>
      <c r="J38" s="84" t="s">
        <v>54</v>
      </c>
      <c r="K38" s="84"/>
    </row>
    <row r="39" spans="1:11">
      <c r="A39" s="81">
        <v>25</v>
      </c>
      <c r="B39" s="75"/>
      <c r="C39" s="78" t="s">
        <v>72</v>
      </c>
      <c r="D39" s="84" t="str">
        <f>"(line "&amp;A16&amp;" - line "&amp;A28&amp;")"</f>
        <v>(line 2 - line 14)</v>
      </c>
      <c r="E39" s="84">
        <f>E16-E28</f>
        <v>244610566.72392628</v>
      </c>
      <c r="F39" s="84"/>
      <c r="G39" s="84" t="s">
        <v>104</v>
      </c>
      <c r="H39" s="94"/>
      <c r="I39" s="84"/>
      <c r="J39" s="84">
        <f>J16-J28</f>
        <v>216760027.92213321</v>
      </c>
      <c r="K39" s="84"/>
    </row>
    <row r="40" spans="1:11">
      <c r="A40" s="81">
        <v>26</v>
      </c>
      <c r="B40" s="75"/>
      <c r="C40" s="78" t="str">
        <f>+C17</f>
        <v xml:space="preserve">  New Construction CUS Assets</v>
      </c>
      <c r="D40" s="84" t="str">
        <f>"(line "&amp;A17&amp;" - line "&amp;A29&amp;")"</f>
        <v>(line 3 - line 15)</v>
      </c>
      <c r="E40" s="84">
        <f>E17-E29</f>
        <v>-9855386.1514513362</v>
      </c>
      <c r="F40" s="84"/>
      <c r="G40" s="84" t="s">
        <v>104</v>
      </c>
      <c r="H40" s="94"/>
      <c r="I40" s="84"/>
      <c r="J40" s="2">
        <f>J17-J29</f>
        <v>-8076899.9287634026</v>
      </c>
      <c r="K40" s="84"/>
    </row>
    <row r="41" spans="1:11">
      <c r="A41" s="81">
        <v>27</v>
      </c>
      <c r="B41" s="75"/>
      <c r="C41" s="78" t="s">
        <v>75</v>
      </c>
      <c r="D41" s="84" t="s">
        <v>105</v>
      </c>
      <c r="E41" s="84">
        <f>E18</f>
        <v>0</v>
      </c>
      <c r="F41" s="84"/>
      <c r="G41" s="84" t="s">
        <v>104</v>
      </c>
      <c r="H41" s="94"/>
      <c r="I41" s="84"/>
      <c r="J41" s="2">
        <f>J18</f>
        <v>0</v>
      </c>
      <c r="K41" s="84"/>
    </row>
    <row r="42" spans="1:11">
      <c r="A42" s="81">
        <v>28</v>
      </c>
      <c r="B42" s="75"/>
      <c r="C42" s="78" t="s">
        <v>106</v>
      </c>
      <c r="D42" s="84" t="str">
        <f>"(line "&amp;A19&amp;" - line "&amp;A30&amp;")"</f>
        <v>(line 5 - line 16)</v>
      </c>
      <c r="E42" s="84">
        <f>E19-E30</f>
        <v>406674279.53000009</v>
      </c>
      <c r="F42" s="84"/>
      <c r="G42" s="84" t="s">
        <v>104</v>
      </c>
      <c r="H42" s="98"/>
      <c r="I42" s="84"/>
      <c r="J42" s="2">
        <f>J19-J30</f>
        <v>0</v>
      </c>
      <c r="K42" s="84"/>
    </row>
    <row r="43" spans="1:11">
      <c r="A43" s="81">
        <v>29</v>
      </c>
      <c r="B43" s="75"/>
      <c r="C43" s="78" t="str">
        <f>+C31</f>
        <v xml:space="preserve">  General &amp; Intangible</v>
      </c>
      <c r="D43" s="84" t="str">
        <f>"(line "&amp;A20&amp;" - line "&amp;A31&amp;")"</f>
        <v>(line 6 - line 17)</v>
      </c>
      <c r="E43" s="84">
        <f t="shared" ref="E43:E47" si="0">E20-E31</f>
        <v>17325885.947038166</v>
      </c>
      <c r="F43" s="84"/>
      <c r="G43" s="84" t="s">
        <v>104</v>
      </c>
      <c r="H43" s="98"/>
      <c r="I43" s="84"/>
      <c r="J43" s="84">
        <f>J20-J31</f>
        <v>2259886.4938108241</v>
      </c>
      <c r="K43" s="84"/>
    </row>
    <row r="44" spans="1:11">
      <c r="A44" s="81">
        <v>30</v>
      </c>
      <c r="B44" s="75"/>
      <c r="C44" s="78" t="s">
        <v>83</v>
      </c>
      <c r="D44" s="84" t="str">
        <f>"(line "&amp;A21&amp;" - line "&amp;A32&amp;")"</f>
        <v>(line 7 - line 18)</v>
      </c>
      <c r="E44" s="84">
        <f t="shared" si="0"/>
        <v>24095572</v>
      </c>
      <c r="F44" s="84"/>
      <c r="G44" s="84" t="s">
        <v>104</v>
      </c>
      <c r="H44" s="98"/>
      <c r="I44" s="84"/>
      <c r="J44" s="84">
        <f>J21-J32</f>
        <v>3142884.4614295159</v>
      </c>
      <c r="K44" s="84"/>
    </row>
    <row r="45" spans="1:11">
      <c r="A45" s="81">
        <v>31</v>
      </c>
      <c r="B45" s="75"/>
      <c r="C45" s="78" t="str">
        <f>+C33</f>
        <v xml:space="preserve">  Communication System</v>
      </c>
      <c r="D45" s="84" t="str">
        <f>"(line "&amp;A22&amp;" - line "&amp;A33&amp;")"</f>
        <v>(line 8 - line 19)</v>
      </c>
      <c r="E45" s="84">
        <f t="shared" si="0"/>
        <v>7839767.8509554584</v>
      </c>
      <c r="F45" s="84"/>
      <c r="G45" s="84" t="s">
        <v>104</v>
      </c>
      <c r="H45" s="98"/>
      <c r="I45" s="84"/>
      <c r="J45" s="84">
        <f>J22-J33</f>
        <v>2508967.4710173164</v>
      </c>
      <c r="K45" s="84"/>
    </row>
    <row r="46" spans="1:11" ht="15.6" thickBot="1">
      <c r="A46" s="81">
        <v>32</v>
      </c>
      <c r="B46" s="75"/>
      <c r="C46" s="78" t="str">
        <f>+C34</f>
        <v xml:space="preserve">  Common</v>
      </c>
      <c r="D46" s="84" t="str">
        <f>"(line "&amp;A23&amp;" - line "&amp;A34&amp;")"</f>
        <v>(line 9 - line 20)</v>
      </c>
      <c r="E46" s="96">
        <f t="shared" si="0"/>
        <v>0</v>
      </c>
      <c r="F46" s="84"/>
      <c r="G46" s="84" t="s">
        <v>104</v>
      </c>
      <c r="H46" s="98"/>
      <c r="I46" s="84"/>
      <c r="J46" s="96">
        <f>J23-J34</f>
        <v>0</v>
      </c>
      <c r="K46" s="84"/>
    </row>
    <row r="47" spans="1:11">
      <c r="A47" s="81">
        <v>33</v>
      </c>
      <c r="B47" s="75"/>
      <c r="C47" s="78" t="s">
        <v>107</v>
      </c>
      <c r="D47" s="84" t="str">
        <f>"(sum lines "&amp;A38&amp;" - "&amp;A46&amp;")"</f>
        <v>(sum lines 24 - 32)</v>
      </c>
      <c r="E47" s="84">
        <f t="shared" si="0"/>
        <v>1171988025.710469</v>
      </c>
      <c r="F47" s="84"/>
      <c r="G47" s="84" t="s">
        <v>108</v>
      </c>
      <c r="H47" s="98">
        <f>IF(E47&gt;0,+J47/E47,0)</f>
        <v>0.18480979469762573</v>
      </c>
      <c r="I47" s="84"/>
      <c r="J47" s="84">
        <f>SUM(J38:J46)</f>
        <v>216594866.41962749</v>
      </c>
      <c r="K47" s="84"/>
    </row>
    <row r="48" spans="1:11">
      <c r="A48" s="81">
        <v>34</v>
      </c>
      <c r="B48" s="75"/>
      <c r="C48" s="75"/>
      <c r="D48" s="84"/>
      <c r="E48" s="2"/>
      <c r="F48" s="84"/>
      <c r="G48" s="75"/>
      <c r="H48" s="75"/>
      <c r="I48" s="84"/>
      <c r="J48" s="75"/>
      <c r="K48" s="84"/>
    </row>
    <row r="49" spans="1:13">
      <c r="A49" s="81">
        <v>35</v>
      </c>
      <c r="B49" s="75"/>
      <c r="C49" s="97" t="s">
        <v>109</v>
      </c>
      <c r="D49" s="84" t="s">
        <v>110</v>
      </c>
      <c r="E49" s="84"/>
      <c r="F49" s="84"/>
      <c r="G49" s="84"/>
      <c r="H49" s="84"/>
      <c r="I49" s="84"/>
      <c r="J49" s="84"/>
      <c r="K49" s="84"/>
    </row>
    <row r="50" spans="1:13">
      <c r="A50" s="81">
        <v>36</v>
      </c>
      <c r="B50" s="75"/>
      <c r="C50" s="78" t="s">
        <v>111</v>
      </c>
      <c r="D50" s="84" t="s">
        <v>112</v>
      </c>
      <c r="E50" s="2">
        <f>+'WP6 Rate Base'!F50</f>
        <v>0</v>
      </c>
      <c r="F50" s="84"/>
      <c r="G50" s="84" t="str">
        <f>+G27</f>
        <v>NA</v>
      </c>
      <c r="H50" s="99" t="s">
        <v>113</v>
      </c>
      <c r="I50" s="84"/>
      <c r="J50" s="2">
        <v>0</v>
      </c>
      <c r="K50" s="84"/>
    </row>
    <row r="51" spans="1:13">
      <c r="A51" s="81">
        <v>37</v>
      </c>
      <c r="B51" s="75"/>
      <c r="C51" s="78" t="s">
        <v>114</v>
      </c>
      <c r="D51" s="84" t="s">
        <v>115</v>
      </c>
      <c r="E51" s="2">
        <f>+'WP6 Rate Base'!F51</f>
        <v>-162648044</v>
      </c>
      <c r="F51" s="84"/>
      <c r="G51" s="84" t="s">
        <v>116</v>
      </c>
      <c r="H51" s="94">
        <f>+H47</f>
        <v>0.18480979469762573</v>
      </c>
      <c r="I51" s="84"/>
      <c r="J51" s="2">
        <v>-32916596.514660373</v>
      </c>
      <c r="K51" s="84"/>
      <c r="M51"/>
    </row>
    <row r="52" spans="1:13">
      <c r="A52" s="81">
        <v>38</v>
      </c>
      <c r="B52" s="75"/>
      <c r="C52" s="78" t="s">
        <v>117</v>
      </c>
      <c r="D52" s="84" t="s">
        <v>118</v>
      </c>
      <c r="E52" s="2">
        <f>+'WP6 Rate Base'!F52</f>
        <v>-23530979</v>
      </c>
      <c r="F52" s="84"/>
      <c r="G52" s="84" t="str">
        <f>+G51</f>
        <v>NP</v>
      </c>
      <c r="H52" s="94">
        <f>H47</f>
        <v>0.18480979469762573</v>
      </c>
      <c r="I52" s="84"/>
      <c r="J52" s="2">
        <f>E52*H52</f>
        <v>-4348755.3980241427</v>
      </c>
      <c r="K52" s="84"/>
      <c r="M52"/>
    </row>
    <row r="53" spans="1:13">
      <c r="A53" s="81">
        <v>39</v>
      </c>
      <c r="B53" s="75"/>
      <c r="C53" s="78" t="s">
        <v>119</v>
      </c>
      <c r="D53" s="84" t="s">
        <v>120</v>
      </c>
      <c r="E53" s="2">
        <f>+'WP6 Rate Base'!F53</f>
        <v>45107178</v>
      </c>
      <c r="F53" s="84"/>
      <c r="G53" s="84" t="str">
        <f>+G52</f>
        <v>NP</v>
      </c>
      <c r="H53" s="94">
        <f>+H52</f>
        <v>0.18480979469762573</v>
      </c>
      <c r="I53" s="84"/>
      <c r="J53" s="2">
        <f>E53*H53</f>
        <v>8336248.3055692604</v>
      </c>
      <c r="K53" s="84"/>
    </row>
    <row r="54" spans="1:13">
      <c r="A54" s="81" t="s">
        <v>121</v>
      </c>
      <c r="B54" s="75"/>
      <c r="C54" s="78" t="s">
        <v>122</v>
      </c>
      <c r="D54" s="84" t="s">
        <v>123</v>
      </c>
      <c r="E54" s="2"/>
      <c r="F54" s="84"/>
      <c r="G54" s="84"/>
      <c r="H54" s="94"/>
      <c r="I54" s="84"/>
      <c r="J54" s="2">
        <v>-12152384.838623999</v>
      </c>
      <c r="K54" s="84"/>
    </row>
    <row r="55" spans="1:13">
      <c r="A55" s="81">
        <v>40</v>
      </c>
      <c r="B55" s="75"/>
      <c r="C55" s="75" t="s">
        <v>124</v>
      </c>
      <c r="D55" s="75" t="s">
        <v>125</v>
      </c>
      <c r="E55" s="2">
        <f>+'WP6 Rate Base'!F54</f>
        <v>0</v>
      </c>
      <c r="F55" s="84"/>
      <c r="G55" s="84" t="str">
        <f>+G53</f>
        <v>NP</v>
      </c>
      <c r="H55" s="94">
        <f>+H52</f>
        <v>0.18480979469762573</v>
      </c>
      <c r="I55" s="84"/>
      <c r="J55" s="3">
        <f>E55*H55</f>
        <v>0</v>
      </c>
      <c r="K55" s="84"/>
    </row>
    <row r="56" spans="1:13" ht="15.6" thickBot="1">
      <c r="A56" s="81">
        <v>41</v>
      </c>
      <c r="B56" s="75"/>
      <c r="C56" s="78" t="s">
        <v>126</v>
      </c>
      <c r="D56" s="75" t="s">
        <v>127</v>
      </c>
      <c r="E56" s="9">
        <f>+'WP6 Rate Base'!F55</f>
        <v>108230.25</v>
      </c>
      <c r="F56" s="84"/>
      <c r="G56" s="84" t="str">
        <f>+G55</f>
        <v>NP</v>
      </c>
      <c r="H56" s="94">
        <f>+H55</f>
        <v>0.18480979469762573</v>
      </c>
      <c r="I56" s="84"/>
      <c r="J56" s="9">
        <f>+H56*E56</f>
        <v>20002.010282572708</v>
      </c>
      <c r="K56" s="84"/>
    </row>
    <row r="57" spans="1:13">
      <c r="A57" s="81">
        <v>42</v>
      </c>
      <c r="B57" s="75"/>
      <c r="C57" s="78" t="s">
        <v>128</v>
      </c>
      <c r="D57" s="84" t="str">
        <f>"(sum lines "&amp;A50&amp;" - "&amp;A56&amp;")"</f>
        <v>(sum lines 36 - 41)</v>
      </c>
      <c r="E57" s="2"/>
      <c r="F57" s="84"/>
      <c r="G57" s="84"/>
      <c r="H57" s="84"/>
      <c r="I57" s="84"/>
      <c r="J57" s="2">
        <f>SUM(J50:J56)</f>
        <v>-41061486.435456678</v>
      </c>
      <c r="K57" s="84"/>
    </row>
    <row r="58" spans="1:13">
      <c r="A58" s="81">
        <v>43</v>
      </c>
      <c r="B58" s="75"/>
      <c r="C58" s="75"/>
      <c r="D58" s="84"/>
      <c r="E58" s="75"/>
      <c r="F58" s="84"/>
      <c r="G58" s="84"/>
      <c r="H58" s="98"/>
      <c r="I58" s="84"/>
      <c r="J58" s="75"/>
      <c r="K58" s="84"/>
    </row>
    <row r="59" spans="1:13">
      <c r="A59" s="81">
        <v>44</v>
      </c>
      <c r="B59" s="75"/>
      <c r="C59" s="97" t="s">
        <v>129</v>
      </c>
      <c r="D59" s="84" t="s">
        <v>130</v>
      </c>
      <c r="E59" s="2">
        <f>'WP6 Rate Base'!F58</f>
        <v>6238342</v>
      </c>
      <c r="F59" s="84"/>
      <c r="G59" s="84" t="s">
        <v>131</v>
      </c>
      <c r="H59" s="94">
        <v>0</v>
      </c>
      <c r="I59" s="84"/>
      <c r="J59" s="84">
        <f>+H59*E59</f>
        <v>0</v>
      </c>
      <c r="K59" s="84"/>
    </row>
    <row r="60" spans="1:13">
      <c r="A60" s="81">
        <v>45</v>
      </c>
      <c r="B60" s="75"/>
      <c r="C60" s="78"/>
      <c r="D60" s="84"/>
      <c r="E60" s="84"/>
      <c r="F60" s="84"/>
      <c r="G60" s="84"/>
      <c r="H60" s="84"/>
      <c r="I60" s="84"/>
      <c r="J60" s="84"/>
      <c r="K60" s="84"/>
    </row>
    <row r="61" spans="1:13">
      <c r="A61" s="81">
        <v>46</v>
      </c>
      <c r="B61" s="75"/>
      <c r="C61" s="78" t="s">
        <v>132</v>
      </c>
      <c r="D61" s="84" t="s">
        <v>54</v>
      </c>
      <c r="E61" s="84"/>
      <c r="F61" s="84"/>
      <c r="G61" s="84"/>
      <c r="H61" s="84"/>
      <c r="I61" s="84"/>
      <c r="J61" s="84"/>
      <c r="K61" s="84"/>
    </row>
    <row r="62" spans="1:13">
      <c r="A62" s="81">
        <v>47</v>
      </c>
      <c r="B62" s="75"/>
      <c r="C62" s="78" t="s">
        <v>133</v>
      </c>
      <c r="D62" s="75" t="str">
        <f>"(1/8 * line "&amp;A91&amp;")"</f>
        <v>(1/8 * line 63)</v>
      </c>
      <c r="E62" s="84">
        <f>+E91/8</f>
        <v>4255880.83</v>
      </c>
      <c r="F62" s="84"/>
      <c r="G62" s="84" t="s">
        <v>104</v>
      </c>
      <c r="H62" s="98"/>
      <c r="I62" s="84"/>
      <c r="J62" s="84">
        <f>+J91/8</f>
        <v>694254.32758882467</v>
      </c>
      <c r="K62" s="78"/>
    </row>
    <row r="63" spans="1:13">
      <c r="A63" s="81">
        <v>48</v>
      </c>
      <c r="B63" s="75"/>
      <c r="C63" s="78" t="s">
        <v>134</v>
      </c>
      <c r="D63" s="84" t="s">
        <v>135</v>
      </c>
      <c r="E63" s="84">
        <f>+'WP6 Rate Base'!F62</f>
        <v>8628093</v>
      </c>
      <c r="F63" s="84"/>
      <c r="G63" s="84" t="s">
        <v>87</v>
      </c>
      <c r="H63" s="94">
        <f>+J182</f>
        <v>0.32003083748347733</v>
      </c>
      <c r="I63" s="84"/>
      <c r="J63" s="84">
        <f>+H63*E63</f>
        <v>2761255.8286753283</v>
      </c>
      <c r="K63" s="84" t="s">
        <v>54</v>
      </c>
    </row>
    <row r="64" spans="1:13">
      <c r="A64" s="81">
        <v>49</v>
      </c>
      <c r="B64" s="75"/>
      <c r="C64" s="78" t="s">
        <v>134</v>
      </c>
      <c r="D64" s="84" t="s">
        <v>136</v>
      </c>
      <c r="E64" s="84">
        <f>+'WP6 Rate Base'!F63</f>
        <v>149337</v>
      </c>
      <c r="F64" s="84"/>
      <c r="G64" s="84" t="s">
        <v>74</v>
      </c>
      <c r="H64" s="94">
        <f>+J145</f>
        <v>0.87443099999999996</v>
      </c>
      <c r="I64" s="84"/>
      <c r="J64" s="84">
        <f>+H64*E64</f>
        <v>130584.90224699999</v>
      </c>
      <c r="K64" s="84"/>
    </row>
    <row r="65" spans="1:11" ht="15.6" thickBot="1">
      <c r="A65" s="81">
        <v>50</v>
      </c>
      <c r="B65" s="75"/>
      <c r="C65" s="78" t="s">
        <v>137</v>
      </c>
      <c r="D65" s="84" t="s">
        <v>138</v>
      </c>
      <c r="E65" s="100">
        <f>+'WP6 Rate Base'!F64</f>
        <v>4630741</v>
      </c>
      <c r="F65" s="84"/>
      <c r="G65" s="84" t="s">
        <v>139</v>
      </c>
      <c r="H65" s="94">
        <f>+H24</f>
        <v>0.1581267116917642</v>
      </c>
      <c r="I65" s="84"/>
      <c r="J65" s="96">
        <f>+H65*E65</f>
        <v>732243.84702623182</v>
      </c>
      <c r="K65" s="84"/>
    </row>
    <row r="66" spans="1:11">
      <c r="A66" s="81">
        <v>51</v>
      </c>
      <c r="B66" s="75"/>
      <c r="C66" s="78" t="s">
        <v>140</v>
      </c>
      <c r="D66" s="84" t="str">
        <f>"(sum lines "&amp;A62&amp;" - "&amp;A65&amp;")"</f>
        <v>(sum lines 47 - 50)</v>
      </c>
      <c r="E66" s="84">
        <f>SUM(E62:E65)</f>
        <v>17664051.829999998</v>
      </c>
      <c r="F66" s="78"/>
      <c r="G66" s="78"/>
      <c r="H66" s="78"/>
      <c r="I66" s="78"/>
      <c r="J66" s="84">
        <f>SUM(J62:J65)</f>
        <v>4318338.9055373846</v>
      </c>
      <c r="K66" s="78"/>
    </row>
    <row r="67" spans="1:11" ht="15.6" thickBot="1">
      <c r="A67" s="81">
        <v>52</v>
      </c>
      <c r="B67" s="75"/>
      <c r="C67" s="75"/>
      <c r="D67" s="84"/>
      <c r="E67" s="75"/>
      <c r="F67" s="84"/>
      <c r="G67" s="84"/>
      <c r="H67" s="84"/>
      <c r="I67" s="84"/>
      <c r="J67" s="101"/>
      <c r="K67" s="84"/>
    </row>
    <row r="68" spans="1:11" ht="15.6" thickBot="1">
      <c r="A68" s="81">
        <v>53</v>
      </c>
      <c r="B68" s="75"/>
      <c r="C68" s="78" t="s">
        <v>141</v>
      </c>
      <c r="D68" s="84" t="str">
        <f>"(sum lines "&amp;A47&amp;", "&amp;A57&amp;", "&amp;A59&amp;", &amp; "&amp;A66&amp;")"</f>
        <v>(sum lines 33, 42, 44, &amp; 51)</v>
      </c>
      <c r="E68" s="84"/>
      <c r="F68" s="84"/>
      <c r="G68" s="84"/>
      <c r="H68" s="98"/>
      <c r="I68" s="84"/>
      <c r="J68" s="102">
        <f>+J66+J59+J57+J47</f>
        <v>179851718.88970819</v>
      </c>
      <c r="K68" s="84"/>
    </row>
    <row r="69" spans="1:11" ht="15.6" thickTop="1">
      <c r="A69" s="81"/>
      <c r="B69" s="75"/>
      <c r="C69" s="78"/>
      <c r="D69" s="84"/>
      <c r="E69" s="84"/>
      <c r="F69" s="84"/>
      <c r="G69" s="84"/>
      <c r="H69" s="98"/>
      <c r="I69" s="77" t="s">
        <v>46</v>
      </c>
      <c r="J69" s="103">
        <f>J1</f>
        <v>46295</v>
      </c>
      <c r="K69" s="84"/>
    </row>
    <row r="70" spans="1:11">
      <c r="A70" s="81"/>
      <c r="B70" s="75"/>
      <c r="C70" s="78"/>
      <c r="D70" s="84"/>
      <c r="E70" s="84"/>
      <c r="F70" s="84"/>
      <c r="G70" s="84"/>
      <c r="I70" s="77" t="str">
        <f>$I$2</f>
        <v>Service Year</v>
      </c>
      <c r="J70" s="78">
        <f>$J$2</f>
        <v>2027</v>
      </c>
    </row>
    <row r="71" spans="1:11">
      <c r="A71" s="81"/>
      <c r="B71" s="75"/>
      <c r="C71" s="78"/>
      <c r="D71" s="84"/>
      <c r="E71" s="84"/>
      <c r="F71" s="84"/>
      <c r="G71" s="84"/>
      <c r="H71" s="84"/>
      <c r="I71" s="84"/>
      <c r="J71" s="84"/>
      <c r="K71" s="84"/>
    </row>
    <row r="72" spans="1:11" ht="15.6">
      <c r="A72" s="268" t="s">
        <v>48</v>
      </c>
      <c r="B72" s="268"/>
      <c r="C72" s="268"/>
      <c r="D72" s="268"/>
      <c r="E72" s="268"/>
      <c r="F72" s="268"/>
      <c r="G72" s="268"/>
      <c r="H72" s="268"/>
      <c r="I72" s="268"/>
      <c r="J72" s="268"/>
      <c r="K72" s="268"/>
    </row>
    <row r="73" spans="1:11" ht="15.6">
      <c r="A73" s="269" t="s">
        <v>49</v>
      </c>
      <c r="B73" s="269"/>
      <c r="C73" s="269"/>
      <c r="D73" s="269"/>
      <c r="E73" s="269"/>
      <c r="F73" s="269"/>
      <c r="G73" s="269"/>
      <c r="H73" s="269"/>
      <c r="I73" s="269"/>
      <c r="J73" s="269"/>
      <c r="K73" s="269"/>
    </row>
    <row r="74" spans="1:11">
      <c r="A74" s="75"/>
      <c r="B74" s="75"/>
      <c r="C74" s="78"/>
      <c r="D74" s="78"/>
      <c r="F74" s="78"/>
      <c r="G74" s="78"/>
      <c r="H74" s="78"/>
      <c r="I74" s="78"/>
      <c r="J74" s="78"/>
      <c r="K74" s="78"/>
    </row>
    <row r="75" spans="1:11" ht="15.6">
      <c r="A75" s="267" t="s">
        <v>50</v>
      </c>
      <c r="B75" s="267"/>
      <c r="C75" s="267"/>
      <c r="D75" s="267"/>
      <c r="E75" s="267"/>
      <c r="F75" s="267"/>
      <c r="G75" s="267"/>
      <c r="H75" s="267"/>
      <c r="I75" s="267"/>
      <c r="J75" s="267"/>
      <c r="K75" s="267"/>
    </row>
    <row r="76" spans="1:11">
      <c r="A76" s="81"/>
      <c r="B76" s="75"/>
      <c r="C76" s="83" t="s">
        <v>51</v>
      </c>
      <c r="D76" s="83" t="s">
        <v>52</v>
      </c>
      <c r="E76" s="83" t="s">
        <v>53</v>
      </c>
      <c r="F76" s="84" t="s">
        <v>54</v>
      </c>
      <c r="G76" s="84"/>
      <c r="H76" s="85" t="s">
        <v>55</v>
      </c>
      <c r="I76" s="84"/>
      <c r="J76" s="86" t="s">
        <v>56</v>
      </c>
      <c r="K76" s="84"/>
    </row>
    <row r="77" spans="1:11">
      <c r="A77" s="81"/>
      <c r="B77" s="75"/>
      <c r="C77" s="83"/>
      <c r="D77" s="97"/>
      <c r="E77" s="97"/>
      <c r="F77" s="97"/>
      <c r="G77" s="97"/>
      <c r="H77" s="97"/>
      <c r="I77" s="97"/>
      <c r="J77" s="97"/>
      <c r="K77" s="97"/>
    </row>
    <row r="78" spans="1:11" ht="15.6">
      <c r="A78" s="81" t="s">
        <v>60</v>
      </c>
      <c r="B78" s="75"/>
      <c r="C78" s="78"/>
      <c r="D78" s="80" t="s">
        <v>57</v>
      </c>
      <c r="E78" s="84"/>
      <c r="F78" s="84"/>
      <c r="G78" s="89" t="str">
        <f>+G10</f>
        <v xml:space="preserve">      Allocator</v>
      </c>
      <c r="H78" s="81"/>
      <c r="I78" s="84"/>
      <c r="J78" s="79" t="s">
        <v>59</v>
      </c>
      <c r="K78" s="84"/>
    </row>
    <row r="79" spans="1:11" ht="16.149999999999999" thickBot="1">
      <c r="A79" s="92" t="s">
        <v>65</v>
      </c>
      <c r="B79" s="75"/>
      <c r="C79" s="78"/>
      <c r="D79" s="88" t="s">
        <v>61</v>
      </c>
      <c r="E79" s="79" t="s">
        <v>62</v>
      </c>
      <c r="F79" s="89"/>
      <c r="G79" s="90" t="str">
        <f>+G11</f>
        <v xml:space="preserve">        (page 4)</v>
      </c>
      <c r="H79" s="75"/>
      <c r="I79" s="89"/>
      <c r="J79" s="81" t="s">
        <v>64</v>
      </c>
      <c r="K79" s="84"/>
    </row>
    <row r="80" spans="1:11" ht="15.6">
      <c r="A80" s="75"/>
      <c r="B80" s="75"/>
      <c r="C80" s="78"/>
      <c r="D80" s="84"/>
      <c r="E80" s="104"/>
      <c r="F80" s="105"/>
      <c r="G80" s="106"/>
      <c r="H80" s="75"/>
      <c r="I80" s="105"/>
      <c r="J80" s="104"/>
      <c r="K80" s="84"/>
    </row>
    <row r="81" spans="1:13">
      <c r="A81" s="81"/>
      <c r="B81" s="75"/>
      <c r="C81" s="78" t="s">
        <v>142</v>
      </c>
      <c r="D81" s="84"/>
      <c r="E81" s="84"/>
      <c r="F81" s="84"/>
      <c r="G81" s="84"/>
      <c r="H81" s="84"/>
      <c r="I81" s="84"/>
      <c r="J81" s="84"/>
      <c r="K81" s="84"/>
    </row>
    <row r="82" spans="1:13" ht="15.6">
      <c r="A82" s="81">
        <f>+A68+1</f>
        <v>54</v>
      </c>
      <c r="B82" s="75"/>
      <c r="C82" s="78" t="s">
        <v>143</v>
      </c>
      <c r="D82" s="84" t="s">
        <v>144</v>
      </c>
      <c r="E82" s="2">
        <v>32060458</v>
      </c>
      <c r="F82" s="84"/>
      <c r="G82" s="84" t="s">
        <v>74</v>
      </c>
      <c r="H82" s="94">
        <f>+J145</f>
        <v>0.87443099999999996</v>
      </c>
      <c r="I82" s="84"/>
      <c r="J82" s="84">
        <f>+H82*E82</f>
        <v>28034658.349397998</v>
      </c>
      <c r="K82" s="78"/>
      <c r="M82" s="149"/>
    </row>
    <row r="83" spans="1:13" ht="15.6">
      <c r="A83" s="81">
        <f>+A82+1</f>
        <v>55</v>
      </c>
      <c r="B83" s="75"/>
      <c r="C83" s="78" t="s">
        <v>145</v>
      </c>
      <c r="D83" s="84" t="s">
        <v>146</v>
      </c>
      <c r="E83" s="2">
        <v>29833191</v>
      </c>
      <c r="F83" s="84"/>
      <c r="G83" s="84" t="str">
        <f>+G82</f>
        <v>TP</v>
      </c>
      <c r="H83" s="94">
        <f>+H82</f>
        <v>0.87443099999999996</v>
      </c>
      <c r="I83" s="84"/>
      <c r="J83" s="84">
        <f t="shared" ref="J83:J90" si="1">+H83*E83</f>
        <v>26087067.039320998</v>
      </c>
      <c r="K83" s="78"/>
      <c r="M83" s="149"/>
    </row>
    <row r="84" spans="1:13" ht="15.6">
      <c r="A84" s="81">
        <f>+A83+1</f>
        <v>56</v>
      </c>
      <c r="B84" s="75"/>
      <c r="C84" s="78" t="s">
        <v>147</v>
      </c>
      <c r="D84" s="84" t="s">
        <v>148</v>
      </c>
      <c r="E84" s="2">
        <v>33541921</v>
      </c>
      <c r="F84" s="84"/>
      <c r="G84" s="84" t="s">
        <v>82</v>
      </c>
      <c r="H84" s="94">
        <f>+H31</f>
        <v>0.13043410886570844</v>
      </c>
      <c r="I84" s="84"/>
      <c r="J84" s="84">
        <f t="shared" si="1"/>
        <v>4375010.5752789918</v>
      </c>
      <c r="K84" s="84"/>
      <c r="M84" s="149"/>
    </row>
    <row r="85" spans="1:13" ht="15.6">
      <c r="A85" s="81">
        <f>+A84+1</f>
        <v>57</v>
      </c>
      <c r="B85" s="75"/>
      <c r="C85" s="78" t="s">
        <v>149</v>
      </c>
      <c r="D85" s="84" t="s">
        <v>150</v>
      </c>
      <c r="E85" s="2">
        <v>625532</v>
      </c>
      <c r="F85" s="84"/>
      <c r="G85" s="84" t="s">
        <v>82</v>
      </c>
      <c r="H85" s="94">
        <v>1</v>
      </c>
      <c r="I85" s="84"/>
      <c r="J85" s="84">
        <f t="shared" si="1"/>
        <v>625532</v>
      </c>
      <c r="K85" s="84"/>
      <c r="M85" s="149"/>
    </row>
    <row r="86" spans="1:13" ht="15.6">
      <c r="A86" s="81">
        <f>+A85+1</f>
        <v>58</v>
      </c>
      <c r="B86" s="75"/>
      <c r="C86" s="78" t="s">
        <v>151</v>
      </c>
      <c r="D86" s="84" t="s">
        <v>152</v>
      </c>
      <c r="E86" s="2">
        <v>227200</v>
      </c>
      <c r="F86" s="84"/>
      <c r="G86" s="84" t="str">
        <f>G84</f>
        <v>W/S</v>
      </c>
      <c r="H86" s="94">
        <f>H84</f>
        <v>0.13043410886570844</v>
      </c>
      <c r="I86" s="84"/>
      <c r="J86" s="84">
        <f t="shared" si="1"/>
        <v>29634.629534288957</v>
      </c>
      <c r="K86" s="84"/>
      <c r="M86" s="149"/>
    </row>
    <row r="87" spans="1:13" ht="15.6">
      <c r="A87" s="81">
        <f t="shared" ref="A87:A123" si="2">+A86+1</f>
        <v>59</v>
      </c>
      <c r="B87" s="75"/>
      <c r="C87" s="78" t="s">
        <v>153</v>
      </c>
      <c r="D87" s="84" t="s">
        <v>154</v>
      </c>
      <c r="E87" s="2">
        <v>311301.3600000001</v>
      </c>
      <c r="F87" s="84"/>
      <c r="G87" s="84" t="str">
        <f>+G86</f>
        <v>W/S</v>
      </c>
      <c r="H87" s="94">
        <f>+H86</f>
        <v>0.13043410886570844</v>
      </c>
      <c r="I87" s="84"/>
      <c r="J87" s="84">
        <f t="shared" si="1"/>
        <v>40604.315480283112</v>
      </c>
      <c r="K87" s="84"/>
      <c r="M87" s="149"/>
    </row>
    <row r="88" spans="1:13" ht="15.6">
      <c r="A88" s="81">
        <f t="shared" si="2"/>
        <v>60</v>
      </c>
      <c r="B88" s="75"/>
      <c r="C88" s="78" t="s">
        <v>155</v>
      </c>
      <c r="D88" s="84"/>
      <c r="E88" s="2">
        <v>1012508</v>
      </c>
      <c r="F88" s="84"/>
      <c r="G88" s="84" t="str">
        <f>G84</f>
        <v>W/S</v>
      </c>
      <c r="H88" s="94">
        <f>H84</f>
        <v>0.13043410886570844</v>
      </c>
      <c r="I88" s="84"/>
      <c r="J88" s="84">
        <f t="shared" si="1"/>
        <v>132065.57869940074</v>
      </c>
      <c r="K88" s="84"/>
      <c r="M88" s="149"/>
    </row>
    <row r="89" spans="1:13">
      <c r="A89" s="81">
        <f t="shared" si="2"/>
        <v>61</v>
      </c>
      <c r="B89" s="75"/>
      <c r="C89" s="78" t="s">
        <v>156</v>
      </c>
      <c r="D89" s="84" t="s">
        <v>157</v>
      </c>
      <c r="E89" s="84"/>
      <c r="F89" s="84"/>
      <c r="G89" s="107" t="str">
        <f>+G82</f>
        <v>TP</v>
      </c>
      <c r="H89" s="94">
        <f>+H82</f>
        <v>0.87443099999999996</v>
      </c>
      <c r="I89" s="84"/>
      <c r="J89" s="84">
        <f>+H89*E89</f>
        <v>0</v>
      </c>
      <c r="K89" s="84"/>
    </row>
    <row r="90" spans="1:13" ht="16.149999999999999" thickBot="1">
      <c r="A90" s="81">
        <f t="shared" si="2"/>
        <v>62</v>
      </c>
      <c r="B90" s="75"/>
      <c r="C90" s="78" t="s">
        <v>88</v>
      </c>
      <c r="D90" s="84" t="str">
        <f>+D34</f>
        <v>356.1</v>
      </c>
      <c r="E90" s="96">
        <v>0</v>
      </c>
      <c r="F90" s="84"/>
      <c r="G90" s="84" t="s">
        <v>90</v>
      </c>
      <c r="H90" s="94">
        <f>+H34</f>
        <v>0</v>
      </c>
      <c r="I90" s="84"/>
      <c r="J90" s="96">
        <f t="shared" si="1"/>
        <v>0</v>
      </c>
      <c r="K90" s="84"/>
      <c r="L90" s="7"/>
      <c r="M90" s="149"/>
    </row>
    <row r="91" spans="1:13">
      <c r="A91" s="81">
        <f t="shared" si="2"/>
        <v>63</v>
      </c>
      <c r="B91" s="75"/>
      <c r="C91" s="78" t="str">
        <f>"TOTAL O&amp;M   (sum lines "&amp;A82&amp;", "&amp;A84&amp;", "&amp;A86&amp;", "&amp;A89&amp;", "&amp;A90&amp;" less lines "&amp;A83&amp;", "&amp;A85&amp;", "&amp;A87&amp;" , "&amp;A88&amp;")"</f>
        <v>TOTAL O&amp;M   (sum lines 54, 56, 58, 61, 62 less lines 55, 57, 59 , 60)</v>
      </c>
      <c r="D91" s="84"/>
      <c r="E91" s="84">
        <f>+E82-E83+E84-E85-E88+E90+E89+E86-E87</f>
        <v>34047046.640000001</v>
      </c>
      <c r="F91" s="84"/>
      <c r="G91" s="84"/>
      <c r="H91" s="84"/>
      <c r="I91" s="84"/>
      <c r="J91" s="84">
        <f>+J82-J83+J84-J85-J88+J90+J89+J86-J87</f>
        <v>5554034.6207105974</v>
      </c>
      <c r="K91" s="84"/>
    </row>
    <row r="92" spans="1:13">
      <c r="A92" s="81">
        <f t="shared" si="2"/>
        <v>64</v>
      </c>
      <c r="B92" s="75"/>
      <c r="C92" s="75"/>
      <c r="D92" s="84"/>
      <c r="E92" s="75"/>
      <c r="F92" s="84"/>
      <c r="G92" s="84"/>
      <c r="H92" s="84"/>
      <c r="I92" s="84"/>
      <c r="J92" s="75"/>
      <c r="K92" s="84"/>
    </row>
    <row r="93" spans="1:13">
      <c r="A93" s="81">
        <f t="shared" si="2"/>
        <v>65</v>
      </c>
      <c r="B93" s="75"/>
      <c r="C93" s="78" t="s">
        <v>158</v>
      </c>
      <c r="D93" s="84"/>
      <c r="E93" s="84"/>
      <c r="F93" s="84"/>
      <c r="G93" s="84"/>
      <c r="H93" s="84"/>
      <c r="I93" s="84"/>
      <c r="J93" s="84"/>
      <c r="K93" s="84"/>
    </row>
    <row r="94" spans="1:13">
      <c r="A94" s="81">
        <f t="shared" si="2"/>
        <v>66</v>
      </c>
      <c r="B94" s="75"/>
      <c r="C94" s="78" t="str">
        <f>+C16</f>
        <v xml:space="preserve">  Transmission</v>
      </c>
      <c r="D94" s="84" t="s">
        <v>159</v>
      </c>
      <c r="E94" s="2">
        <f>+E16*'BHP WP5 Depreciation Rates'!H21</f>
        <v>6959628.5250799991</v>
      </c>
      <c r="F94" s="84"/>
      <c r="G94" s="84" t="s">
        <v>74</v>
      </c>
      <c r="H94" s="94">
        <f>+J145</f>
        <v>0.87443099999999996</v>
      </c>
      <c r="I94" s="84"/>
      <c r="J94" s="84">
        <f>+H94*E94</f>
        <v>6085714.930814228</v>
      </c>
      <c r="K94" s="84"/>
    </row>
    <row r="95" spans="1:13">
      <c r="A95" s="81">
        <f t="shared" si="2"/>
        <v>67</v>
      </c>
      <c r="B95" s="75"/>
      <c r="C95" s="78" t="str">
        <f>+C17</f>
        <v xml:space="preserve">  New Construction CUS Assets</v>
      </c>
      <c r="D95" s="78" t="s">
        <v>160</v>
      </c>
      <c r="E95" s="2">
        <f>'BHP WP2 Capital Additions'!F22</f>
        <v>13921.800319999997</v>
      </c>
      <c r="F95" s="84"/>
      <c r="G95" s="84" t="s">
        <v>74</v>
      </c>
      <c r="H95" s="94">
        <f>H94</f>
        <v>0.87443099999999996</v>
      </c>
      <c r="I95" s="84"/>
      <c r="J95" s="84">
        <f>+H95*E95</f>
        <v>12173.653775617917</v>
      </c>
      <c r="K95" s="84"/>
    </row>
    <row r="96" spans="1:13">
      <c r="A96" s="81">
        <f t="shared" si="2"/>
        <v>68</v>
      </c>
      <c r="B96" s="75"/>
      <c r="C96" s="78" t="str">
        <f>+C18</f>
        <v xml:space="preserve">  New Construction CUS Assets</v>
      </c>
      <c r="D96" s="78" t="s">
        <v>161</v>
      </c>
      <c r="E96" s="2">
        <f>'BHP WP3 Capital Additions'!F27</f>
        <v>0</v>
      </c>
      <c r="F96" s="84"/>
      <c r="G96" s="84" t="s">
        <v>74</v>
      </c>
      <c r="H96" s="94">
        <f>H95</f>
        <v>0.87443099999999996</v>
      </c>
      <c r="I96" s="84"/>
      <c r="J96" s="84">
        <f>+H96*E96</f>
        <v>0</v>
      </c>
      <c r="K96" s="84"/>
    </row>
    <row r="97" spans="1:13">
      <c r="A97" s="81">
        <f t="shared" si="2"/>
        <v>69</v>
      </c>
      <c r="B97" s="75"/>
      <c r="C97" s="78" t="s">
        <v>162</v>
      </c>
      <c r="D97" s="84" t="s">
        <v>163</v>
      </c>
      <c r="E97" s="2">
        <f>(E20+E22)*'BHP WP5 Depreciation Rates'!H35</f>
        <v>5142446.5733710015</v>
      </c>
      <c r="F97" s="84"/>
      <c r="G97" s="84" t="s">
        <v>82</v>
      </c>
      <c r="H97" s="94">
        <f>H84</f>
        <v>0.13043410886570844</v>
      </c>
      <c r="I97" s="84"/>
      <c r="J97" s="84">
        <f>+H97*E97</f>
        <v>670750.43618716253</v>
      </c>
      <c r="K97" s="84"/>
    </row>
    <row r="98" spans="1:13" ht="15.6" thickBot="1">
      <c r="A98" s="81">
        <f t="shared" si="2"/>
        <v>70</v>
      </c>
      <c r="B98" s="75"/>
      <c r="C98" s="78" t="str">
        <f>+C90</f>
        <v xml:space="preserve">  Common</v>
      </c>
      <c r="D98" s="84" t="s">
        <v>164</v>
      </c>
      <c r="E98" s="9">
        <v>0</v>
      </c>
      <c r="F98" s="84"/>
      <c r="G98" s="84" t="s">
        <v>90</v>
      </c>
      <c r="H98" s="94">
        <f>+H90</f>
        <v>0</v>
      </c>
      <c r="I98" s="84"/>
      <c r="J98" s="96">
        <f>+H98*E98</f>
        <v>0</v>
      </c>
      <c r="K98" s="84"/>
    </row>
    <row r="99" spans="1:13">
      <c r="A99" s="81">
        <f t="shared" si="2"/>
        <v>71</v>
      </c>
      <c r="B99" s="75"/>
      <c r="C99" s="78" t="str">
        <f>"TOTAL DEPRECIATION (Sum lines "&amp;A94&amp;" - "&amp;A98&amp;")"</f>
        <v>TOTAL DEPRECIATION (Sum lines 66 - 70)</v>
      </c>
      <c r="D99" s="84"/>
      <c r="E99" s="3">
        <f>SUM(E94:E98)</f>
        <v>12115996.898771001</v>
      </c>
      <c r="F99" s="84"/>
      <c r="G99" s="84"/>
      <c r="H99" s="84"/>
      <c r="I99" s="84"/>
      <c r="J99" s="84">
        <f>SUM(J94:J98)</f>
        <v>6768639.0207770076</v>
      </c>
      <c r="K99" s="84"/>
    </row>
    <row r="100" spans="1:13">
      <c r="A100" s="81">
        <f t="shared" si="2"/>
        <v>72</v>
      </c>
      <c r="B100" s="75"/>
      <c r="C100" s="78"/>
      <c r="D100" s="84"/>
      <c r="E100" s="2"/>
      <c r="F100" s="84"/>
      <c r="G100" s="84"/>
      <c r="H100" s="84"/>
      <c r="I100" s="84"/>
      <c r="J100" s="84"/>
      <c r="K100" s="84"/>
    </row>
    <row r="101" spans="1:13">
      <c r="A101" s="81">
        <f t="shared" si="2"/>
        <v>73</v>
      </c>
      <c r="B101" s="75"/>
      <c r="C101" s="78" t="s">
        <v>165</v>
      </c>
      <c r="D101" s="75"/>
      <c r="E101" s="84"/>
      <c r="F101" s="84"/>
      <c r="G101" s="84"/>
      <c r="H101" s="84"/>
      <c r="I101" s="84"/>
      <c r="J101" s="84"/>
      <c r="K101" s="84"/>
    </row>
    <row r="102" spans="1:13">
      <c r="A102" s="81">
        <f t="shared" si="2"/>
        <v>74</v>
      </c>
      <c r="B102" s="75"/>
      <c r="C102" s="78" t="s">
        <v>166</v>
      </c>
      <c r="D102" s="75"/>
      <c r="E102" s="10"/>
      <c r="F102" s="84"/>
      <c r="G102" s="84"/>
      <c r="H102" s="75"/>
      <c r="I102" s="84"/>
      <c r="J102" s="75"/>
      <c r="K102" s="84"/>
    </row>
    <row r="103" spans="1:13" ht="15.6">
      <c r="A103" s="81">
        <f t="shared" si="2"/>
        <v>75</v>
      </c>
      <c r="B103" s="75"/>
      <c r="C103" s="78" t="s">
        <v>167</v>
      </c>
      <c r="D103" s="84" t="s">
        <v>168</v>
      </c>
      <c r="E103" s="84">
        <v>2011645</v>
      </c>
      <c r="F103" s="84"/>
      <c r="G103" s="84" t="s">
        <v>82</v>
      </c>
      <c r="H103" s="108">
        <f>+J177</f>
        <v>0.13043410886570844</v>
      </c>
      <c r="I103" s="84"/>
      <c r="J103" s="84">
        <f>+H103*E103</f>
        <v>262387.12292915804</v>
      </c>
      <c r="K103" s="84"/>
      <c r="M103" s="149"/>
    </row>
    <row r="104" spans="1:13">
      <c r="A104" s="81">
        <f t="shared" si="2"/>
        <v>76</v>
      </c>
      <c r="B104" s="75"/>
      <c r="C104" s="78" t="s">
        <v>169</v>
      </c>
      <c r="D104" s="84" t="s">
        <v>170</v>
      </c>
      <c r="E104" s="84">
        <v>0</v>
      </c>
      <c r="F104" s="84"/>
      <c r="G104" s="84" t="str">
        <f>+G103</f>
        <v>W/S</v>
      </c>
      <c r="H104" s="108">
        <f>+H103</f>
        <v>0.13043410886570844</v>
      </c>
      <c r="I104" s="84"/>
      <c r="J104" s="84">
        <f>+H104*E104</f>
        <v>0</v>
      </c>
      <c r="K104" s="84"/>
    </row>
    <row r="105" spans="1:13">
      <c r="A105" s="81">
        <f t="shared" si="2"/>
        <v>77</v>
      </c>
      <c r="B105" s="75"/>
      <c r="C105" s="78" t="s">
        <v>171</v>
      </c>
      <c r="D105" s="84" t="s">
        <v>54</v>
      </c>
      <c r="E105" s="84"/>
      <c r="F105" s="84"/>
      <c r="G105" s="84"/>
      <c r="H105" s="75"/>
      <c r="I105" s="84"/>
      <c r="J105" s="75"/>
      <c r="K105" s="84"/>
    </row>
    <row r="106" spans="1:13">
      <c r="A106" s="81">
        <f t="shared" si="2"/>
        <v>78</v>
      </c>
      <c r="B106" s="75"/>
      <c r="C106" s="78" t="s">
        <v>172</v>
      </c>
      <c r="D106" s="84" t="s">
        <v>173</v>
      </c>
      <c r="E106" s="2">
        <v>7446394.1999999983</v>
      </c>
      <c r="F106" s="84"/>
      <c r="G106" s="84" t="s">
        <v>139</v>
      </c>
      <c r="H106" s="108">
        <f>+H24</f>
        <v>0.1581267116917642</v>
      </c>
      <c r="I106" s="84"/>
      <c r="J106" s="84">
        <f>+H106*E106</f>
        <v>1177473.828806625</v>
      </c>
      <c r="K106" s="84"/>
    </row>
    <row r="107" spans="1:13">
      <c r="A107" s="81">
        <f t="shared" si="2"/>
        <v>79</v>
      </c>
      <c r="B107" s="75"/>
      <c r="C107" s="78" t="s">
        <v>174</v>
      </c>
      <c r="D107" s="84" t="s">
        <v>170</v>
      </c>
      <c r="E107" s="84">
        <v>214609</v>
      </c>
      <c r="F107" s="84"/>
      <c r="G107" s="84" t="str">
        <f>+G50</f>
        <v>NA</v>
      </c>
      <c r="H107" s="109" t="s">
        <v>113</v>
      </c>
      <c r="I107" s="84"/>
      <c r="J107" s="84">
        <v>0</v>
      </c>
      <c r="K107" s="84"/>
    </row>
    <row r="108" spans="1:13" ht="15.6" thickBot="1">
      <c r="A108" s="81">
        <f t="shared" si="2"/>
        <v>80</v>
      </c>
      <c r="B108" s="75"/>
      <c r="C108" s="78" t="s">
        <v>175</v>
      </c>
      <c r="D108" s="84" t="str">
        <f>+D107</f>
        <v>263.i</v>
      </c>
      <c r="E108" s="96">
        <v>0</v>
      </c>
      <c r="F108" s="84"/>
      <c r="G108" s="84" t="str">
        <f>+G106</f>
        <v>GP</v>
      </c>
      <c r="H108" s="108">
        <f>+H106</f>
        <v>0.1581267116917642</v>
      </c>
      <c r="I108" s="84"/>
      <c r="J108" s="96">
        <f>+H108*E108</f>
        <v>0</v>
      </c>
      <c r="K108" s="84"/>
    </row>
    <row r="109" spans="1:13">
      <c r="A109" s="81">
        <f t="shared" si="2"/>
        <v>81</v>
      </c>
      <c r="B109" s="75"/>
      <c r="C109" s="78" t="str">
        <f>"TOTAL OTHER TAXES  (sum lines "&amp;A103&amp;" - "&amp;A108&amp;")"</f>
        <v>TOTAL OTHER TAXES  (sum lines 75 - 80)</v>
      </c>
      <c r="D109" s="84"/>
      <c r="E109" s="84">
        <f>SUM(E103:E108)</f>
        <v>9672648.1999999993</v>
      </c>
      <c r="F109" s="84"/>
      <c r="G109" s="84"/>
      <c r="H109" s="108"/>
      <c r="I109" s="84"/>
      <c r="J109" s="84">
        <f>SUM(J103:J108)</f>
        <v>1439860.9517357829</v>
      </c>
      <c r="K109" s="84"/>
    </row>
    <row r="110" spans="1:13">
      <c r="A110" s="81">
        <f t="shared" si="2"/>
        <v>82</v>
      </c>
      <c r="B110" s="75"/>
      <c r="C110" s="78"/>
      <c r="D110" s="84"/>
      <c r="E110" s="84"/>
      <c r="F110" s="84"/>
      <c r="G110" s="84"/>
      <c r="H110" s="108"/>
      <c r="I110" s="84"/>
      <c r="J110" s="84"/>
      <c r="K110" s="84"/>
    </row>
    <row r="111" spans="1:13">
      <c r="A111" s="81">
        <f t="shared" si="2"/>
        <v>83</v>
      </c>
      <c r="B111" s="75"/>
      <c r="C111" s="78"/>
      <c r="D111" s="84"/>
      <c r="E111" s="84"/>
      <c r="F111" s="84"/>
      <c r="G111" s="84"/>
      <c r="H111" s="108"/>
      <c r="I111" s="84"/>
      <c r="J111" s="84"/>
      <c r="K111" s="84"/>
    </row>
    <row r="112" spans="1:13">
      <c r="A112" s="81">
        <f t="shared" si="2"/>
        <v>84</v>
      </c>
      <c r="B112" s="75"/>
      <c r="C112" s="78" t="s">
        <v>176</v>
      </c>
      <c r="D112" s="84" t="s">
        <v>177</v>
      </c>
      <c r="E112" s="84"/>
      <c r="F112" s="84"/>
      <c r="G112" s="75"/>
      <c r="H112" s="110"/>
      <c r="I112" s="84"/>
      <c r="J112" s="75"/>
      <c r="K112" s="84"/>
    </row>
    <row r="113" spans="1:11">
      <c r="A113" s="81">
        <f t="shared" si="2"/>
        <v>85</v>
      </c>
      <c r="B113" s="75"/>
      <c r="C113" s="111" t="s">
        <v>178</v>
      </c>
      <c r="D113" s="84"/>
      <c r="E113" s="112">
        <f>IF(E231&gt;0,1-(((1-E232)*(1-E231))/(1-E232*E231*E233)),0)</f>
        <v>0.20999999999999996</v>
      </c>
      <c r="F113" s="84"/>
      <c r="G113" s="75"/>
      <c r="H113" s="110"/>
      <c r="I113" s="84"/>
      <c r="J113" s="75"/>
      <c r="K113" s="84"/>
    </row>
    <row r="114" spans="1:11">
      <c r="A114" s="81">
        <f t="shared" si="2"/>
        <v>86</v>
      </c>
      <c r="B114" s="75"/>
      <c r="C114" s="75" t="s">
        <v>179</v>
      </c>
      <c r="D114" s="84"/>
      <c r="E114" s="112">
        <f>IF(J200&gt;0,(E113/(1-E113))*(1-J197/J200),0)</f>
        <v>0.19485128198573529</v>
      </c>
      <c r="F114" s="84"/>
      <c r="G114" s="75"/>
      <c r="H114" s="110"/>
      <c r="I114" s="84"/>
      <c r="J114" s="75"/>
      <c r="K114" s="84"/>
    </row>
    <row r="115" spans="1:11">
      <c r="A115" s="81">
        <f t="shared" si="2"/>
        <v>87</v>
      </c>
      <c r="B115" s="75"/>
      <c r="C115" s="78" t="str">
        <f>"       where WCLTD=(line "&amp;A197&amp;") and R= (line "&amp;A200&amp;")"</f>
        <v xml:space="preserve">       where WCLTD=(line 156) and R= (line 159)</v>
      </c>
      <c r="D115" s="84"/>
      <c r="E115" s="84"/>
      <c r="F115" s="84"/>
      <c r="G115" s="75"/>
      <c r="H115" s="110"/>
      <c r="I115" s="84"/>
      <c r="J115" s="75"/>
      <c r="K115" s="84"/>
    </row>
    <row r="116" spans="1:11">
      <c r="A116" s="81">
        <f t="shared" si="2"/>
        <v>88</v>
      </c>
      <c r="B116" s="75"/>
      <c r="C116" s="78" t="s">
        <v>180</v>
      </c>
      <c r="D116" s="84"/>
      <c r="E116" s="84"/>
      <c r="F116" s="84"/>
      <c r="G116" s="75"/>
      <c r="H116" s="110"/>
      <c r="I116" s="84"/>
      <c r="J116" s="75"/>
      <c r="K116" s="84"/>
    </row>
    <row r="117" spans="1:11">
      <c r="A117" s="81">
        <f t="shared" si="2"/>
        <v>89</v>
      </c>
      <c r="B117" s="75"/>
      <c r="C117" s="111" t="s">
        <v>181</v>
      </c>
      <c r="D117" s="84" t="s">
        <v>182</v>
      </c>
      <c r="E117" s="113"/>
      <c r="F117" s="84"/>
      <c r="G117" s="75"/>
      <c r="H117" s="110"/>
      <c r="I117" s="84"/>
      <c r="J117" s="100">
        <v>335141</v>
      </c>
      <c r="K117" s="84"/>
    </row>
    <row r="118" spans="1:11">
      <c r="A118" s="81">
        <f t="shared" si="2"/>
        <v>90</v>
      </c>
      <c r="B118" s="75"/>
      <c r="C118" s="114" t="s">
        <v>183</v>
      </c>
      <c r="D118" s="75" t="str">
        <f>"(line "&amp;A114&amp;" * line "&amp;A121&amp;")"</f>
        <v>(line 86 * line 93)</v>
      </c>
      <c r="E118" s="115"/>
      <c r="F118" s="84"/>
      <c r="G118" s="84" t="s">
        <v>54</v>
      </c>
      <c r="H118" s="108" t="s">
        <v>54</v>
      </c>
      <c r="I118" s="84"/>
      <c r="J118" s="84">
        <f>E114*J121-J117</f>
        <v>2607961.6343273297</v>
      </c>
      <c r="K118" s="84"/>
    </row>
    <row r="119" spans="1:11">
      <c r="A119" s="81">
        <f t="shared" si="2"/>
        <v>91</v>
      </c>
      <c r="B119" s="75"/>
      <c r="C119" s="116"/>
      <c r="D119" s="117"/>
      <c r="E119" s="84"/>
      <c r="F119" s="84"/>
      <c r="G119" s="84"/>
      <c r="H119" s="108"/>
      <c r="I119" s="84"/>
      <c r="J119" s="84"/>
      <c r="K119" s="84"/>
    </row>
    <row r="120" spans="1:11">
      <c r="A120" s="81">
        <f t="shared" si="2"/>
        <v>92</v>
      </c>
      <c r="B120" s="75"/>
      <c r="C120" s="78" t="s">
        <v>184</v>
      </c>
      <c r="D120" s="98"/>
      <c r="E120" s="84"/>
      <c r="F120" s="84"/>
      <c r="K120" s="84"/>
    </row>
    <row r="121" spans="1:11" ht="17.25" customHeight="1">
      <c r="A121" s="81">
        <f t="shared" si="2"/>
        <v>93</v>
      </c>
      <c r="B121" s="75"/>
      <c r="C121" s="114" t="str">
        <f>"  [ Rate Base (line "&amp;A68&amp;") * R (line "&amp;A200&amp;")]"</f>
        <v xml:space="preserve">  [ Rate Base (line 53) * R (line 159)]</v>
      </c>
      <c r="D121" s="75"/>
      <c r="E121" s="84"/>
      <c r="F121" s="84"/>
      <c r="G121" s="84" t="s">
        <v>104</v>
      </c>
      <c r="H121" s="110"/>
      <c r="I121" s="84"/>
      <c r="J121" s="84">
        <f>+$J200*J68</f>
        <v>15104353.455281803</v>
      </c>
      <c r="K121" s="84"/>
    </row>
    <row r="122" spans="1:11">
      <c r="A122" s="81">
        <f t="shared" si="2"/>
        <v>94</v>
      </c>
      <c r="B122" s="75"/>
      <c r="C122" s="78"/>
      <c r="D122" s="75"/>
      <c r="E122" s="84"/>
      <c r="F122" s="84"/>
      <c r="G122" s="84"/>
      <c r="H122" s="110"/>
      <c r="I122" s="84"/>
      <c r="J122" s="84"/>
      <c r="K122" s="84"/>
    </row>
    <row r="123" spans="1:11" ht="15.6" thickBot="1">
      <c r="A123" s="81">
        <f t="shared" si="2"/>
        <v>95</v>
      </c>
      <c r="B123" s="75"/>
      <c r="C123" s="78" t="str">
        <f>"ESTIMATED REVENUE REQUIREMENT  (sum lines "&amp;A91&amp;", "&amp;A99&amp;", "&amp;A109&amp;", "&amp;A118&amp;", "&amp;A121&amp;")"</f>
        <v>ESTIMATED REVENUE REQUIREMENT  (sum lines 63, 71, 81, 90, 93)</v>
      </c>
      <c r="D123" s="84"/>
      <c r="E123" s="118">
        <f>E118+E109+E99+E91</f>
        <v>55835691.738770999</v>
      </c>
      <c r="F123" s="84"/>
      <c r="G123" s="84"/>
      <c r="H123" s="84"/>
      <c r="I123" s="84"/>
      <c r="J123" s="119">
        <f>J118+J109+J99+J91+J121</f>
        <v>31474849.682832524</v>
      </c>
      <c r="K123" s="78"/>
    </row>
    <row r="124" spans="1:11" ht="15.6" thickTop="1">
      <c r="A124" s="81"/>
      <c r="B124" s="75"/>
      <c r="C124" s="75"/>
      <c r="D124" s="75"/>
      <c r="E124" s="75"/>
      <c r="F124" s="75"/>
      <c r="G124" s="75"/>
      <c r="H124" s="75"/>
      <c r="I124" s="75"/>
      <c r="J124" s="75"/>
      <c r="K124" s="84"/>
    </row>
    <row r="125" spans="1:11">
      <c r="A125" s="81"/>
      <c r="B125" s="75"/>
      <c r="C125" s="75"/>
      <c r="D125" s="75"/>
      <c r="E125" s="75"/>
      <c r="F125" s="75"/>
      <c r="G125" s="75"/>
      <c r="H125" s="75"/>
      <c r="I125" s="77" t="s">
        <v>46</v>
      </c>
      <c r="J125" s="103">
        <f>J1</f>
        <v>46295</v>
      </c>
      <c r="K125" s="84"/>
    </row>
    <row r="126" spans="1:11">
      <c r="A126" s="81"/>
      <c r="B126" s="75"/>
      <c r="C126" s="75"/>
      <c r="D126" s="75"/>
      <c r="E126" s="75"/>
      <c r="F126" s="75"/>
      <c r="G126" s="75"/>
      <c r="I126" s="77" t="str">
        <f>$I$2</f>
        <v>Service Year</v>
      </c>
      <c r="J126" s="78">
        <f>$J$2</f>
        <v>2027</v>
      </c>
    </row>
    <row r="127" spans="1:11" ht="15.6">
      <c r="A127" s="268" t="s">
        <v>48</v>
      </c>
      <c r="B127" s="268"/>
      <c r="C127" s="268"/>
      <c r="D127" s="268"/>
      <c r="E127" s="268"/>
      <c r="F127" s="268"/>
      <c r="G127" s="268"/>
      <c r="H127" s="268"/>
      <c r="I127" s="268"/>
      <c r="J127" s="268"/>
      <c r="K127" s="268"/>
    </row>
    <row r="128" spans="1:11" ht="15.6">
      <c r="A128" s="269" t="s">
        <v>49</v>
      </c>
      <c r="B128" s="269"/>
      <c r="C128" s="269"/>
      <c r="D128" s="269"/>
      <c r="E128" s="269"/>
      <c r="F128" s="269"/>
      <c r="G128" s="269"/>
      <c r="H128" s="269"/>
      <c r="I128" s="269"/>
      <c r="J128" s="269"/>
      <c r="K128" s="269"/>
    </row>
    <row r="129" spans="1:13">
      <c r="A129" s="75"/>
      <c r="B129" s="75"/>
      <c r="C129" s="78"/>
      <c r="D129" s="78"/>
      <c r="F129" s="78"/>
      <c r="G129" s="78"/>
      <c r="H129" s="78"/>
      <c r="I129" s="78"/>
      <c r="J129" s="78"/>
      <c r="K129" s="78"/>
    </row>
    <row r="130" spans="1:13" ht="15.6">
      <c r="A130" s="267" t="s">
        <v>50</v>
      </c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</row>
    <row r="131" spans="1:13">
      <c r="A131" s="81"/>
      <c r="B131" s="75"/>
      <c r="C131" s="75"/>
      <c r="D131" s="78"/>
      <c r="E131" s="78"/>
      <c r="F131" s="78"/>
      <c r="G131" s="78"/>
      <c r="H131" s="78"/>
      <c r="I131" s="78"/>
      <c r="J131" s="78"/>
      <c r="K131" s="78"/>
    </row>
    <row r="132" spans="1:13" ht="15.6">
      <c r="A132" s="270" t="s">
        <v>185</v>
      </c>
      <c r="B132" s="270"/>
      <c r="C132" s="270"/>
      <c r="D132" s="270"/>
      <c r="E132" s="270"/>
      <c r="F132" s="270"/>
      <c r="G132" s="270"/>
      <c r="H132" s="270"/>
      <c r="I132" s="270"/>
      <c r="J132" s="270"/>
      <c r="K132" s="270"/>
    </row>
    <row r="133" spans="1:13" ht="15.6">
      <c r="A133" s="81"/>
      <c r="B133" s="75"/>
      <c r="C133" s="93"/>
      <c r="D133" s="78"/>
      <c r="E133" s="78"/>
      <c r="F133" s="78"/>
      <c r="G133" s="78"/>
      <c r="H133" s="78"/>
      <c r="I133" s="78"/>
      <c r="J133" s="78"/>
      <c r="K133" s="84"/>
    </row>
    <row r="134" spans="1:13" ht="15.6">
      <c r="A134" s="81" t="s">
        <v>60</v>
      </c>
      <c r="B134" s="75"/>
      <c r="C134" s="93"/>
      <c r="D134" s="78"/>
      <c r="E134" s="78"/>
      <c r="F134" s="78"/>
      <c r="G134" s="78"/>
      <c r="H134" s="78"/>
      <c r="I134" s="78"/>
      <c r="J134" s="78"/>
      <c r="K134" s="84"/>
    </row>
    <row r="135" spans="1:13" ht="15.6" thickBot="1">
      <c r="A135" s="92" t="s">
        <v>65</v>
      </c>
      <c r="B135" s="75"/>
      <c r="C135" s="97" t="s">
        <v>186</v>
      </c>
      <c r="D135" s="78"/>
      <c r="E135" s="78"/>
      <c r="F135" s="78"/>
      <c r="G135" s="78"/>
      <c r="H135" s="78"/>
      <c r="I135" s="75"/>
      <c r="J135" s="75"/>
      <c r="K135" s="84"/>
    </row>
    <row r="136" spans="1:13" ht="15.6" thickBot="1">
      <c r="A136" s="81"/>
      <c r="B136" s="75"/>
      <c r="C136" s="97"/>
      <c r="D136" s="78"/>
      <c r="E136" s="96" t="s">
        <v>187</v>
      </c>
      <c r="F136" s="78"/>
      <c r="G136" s="78"/>
      <c r="H136" s="78"/>
      <c r="I136" s="78"/>
      <c r="J136" s="78"/>
      <c r="K136" s="84"/>
    </row>
    <row r="137" spans="1:13" ht="16.5" customHeight="1">
      <c r="A137" s="81">
        <f>+A123+1</f>
        <v>96</v>
      </c>
      <c r="B137" s="75"/>
      <c r="C137" s="97" t="s">
        <v>188</v>
      </c>
      <c r="D137" s="78"/>
      <c r="E137" s="84" t="s">
        <v>189</v>
      </c>
      <c r="F137" s="84"/>
      <c r="G137" s="84"/>
      <c r="H137" s="84"/>
      <c r="I137" s="84"/>
      <c r="J137" s="84">
        <f>E16+E17+E18</f>
        <v>300584065.75</v>
      </c>
      <c r="K137" s="84"/>
    </row>
    <row r="138" spans="1:13" ht="15.6">
      <c r="A138" s="81">
        <f>+A137+1</f>
        <v>97</v>
      </c>
      <c r="B138" s="75"/>
      <c r="C138" s="97" t="s">
        <v>190</v>
      </c>
      <c r="D138" s="75"/>
      <c r="E138" s="75" t="s">
        <v>191</v>
      </c>
      <c r="F138" s="75"/>
      <c r="G138" s="75"/>
      <c r="H138" s="75"/>
      <c r="I138" s="75"/>
      <c r="J138" s="84">
        <v>39819767.206045985</v>
      </c>
      <c r="K138" s="84"/>
      <c r="M138" s="149"/>
    </row>
    <row r="139" spans="1:13" ht="15.6" thickBot="1">
      <c r="A139" s="81">
        <f t="shared" ref="A139:A200" si="3">+A138+1</f>
        <v>98</v>
      </c>
      <c r="B139" s="75"/>
      <c r="C139" s="120" t="s">
        <v>192</v>
      </c>
      <c r="D139" s="121"/>
      <c r="E139" s="96" t="s">
        <v>191</v>
      </c>
      <c r="F139" s="84"/>
      <c r="G139" s="84"/>
      <c r="H139" s="122"/>
      <c r="I139" s="84"/>
      <c r="J139" s="96">
        <v>0</v>
      </c>
      <c r="K139" s="84"/>
    </row>
    <row r="140" spans="1:13">
      <c r="A140" s="81">
        <f t="shared" si="3"/>
        <v>99</v>
      </c>
      <c r="B140" s="75"/>
      <c r="C140" s="97" t="str">
        <f>"Transmission plant included in Common Use Facilities  (line "&amp;A137&amp;" less lines "&amp;A138&amp;" and "&amp;A139&amp;")"</f>
        <v>Transmission plant included in Common Use Facilities  (line 96 less lines 97 and 98)</v>
      </c>
      <c r="D140" s="78"/>
      <c r="E140" s="84"/>
      <c r="F140" s="84"/>
      <c r="G140" s="84"/>
      <c r="H140" s="122"/>
      <c r="I140" s="84"/>
      <c r="J140" s="84">
        <f>J137-J138-J139</f>
        <v>260764298.54395401</v>
      </c>
      <c r="K140" s="84"/>
    </row>
    <row r="141" spans="1:13">
      <c r="A141" s="81">
        <f t="shared" si="3"/>
        <v>100</v>
      </c>
      <c r="B141" s="75"/>
      <c r="C141" s="97" t="str">
        <f>"Plus Common Use AC Facilities (line "&amp;A151&amp;")"</f>
        <v>Plus Common Use AC Facilities (line 110)</v>
      </c>
      <c r="D141" s="78"/>
      <c r="E141" s="84"/>
      <c r="F141" s="84"/>
      <c r="G141" s="84"/>
      <c r="H141" s="122"/>
      <c r="I141" s="84"/>
      <c r="J141" s="84">
        <f>+J151</f>
        <v>16531036.109999999</v>
      </c>
      <c r="K141" s="84"/>
    </row>
    <row r="142" spans="1:13">
      <c r="A142" s="81">
        <f t="shared" si="3"/>
        <v>101</v>
      </c>
      <c r="B142" s="75"/>
      <c r="C142" s="97" t="str">
        <f>"Total Gross Plant for the CUS System (line "&amp;A140&amp;" plus line "&amp;A141&amp;")"</f>
        <v>Total Gross Plant for the CUS System (line 99 plus line 100)</v>
      </c>
      <c r="D142" s="78"/>
      <c r="E142" s="84"/>
      <c r="F142" s="84"/>
      <c r="G142" s="84"/>
      <c r="H142" s="122"/>
      <c r="I142" s="84"/>
      <c r="J142" s="123">
        <f>SUM(J140:J141)</f>
        <v>277295334.65395403</v>
      </c>
      <c r="K142" s="84"/>
    </row>
    <row r="143" spans="1:13">
      <c r="A143" s="81">
        <f t="shared" si="3"/>
        <v>102</v>
      </c>
      <c r="B143" s="75"/>
      <c r="C143" s="97" t="str">
        <f>"Total CUS Plant (line "&amp;A137&amp;" plus line "&amp;A151&amp;")"</f>
        <v>Total CUS Plant (line 96 plus line 110)</v>
      </c>
      <c r="D143" s="78"/>
      <c r="E143" s="84"/>
      <c r="F143" s="84"/>
      <c r="G143" s="84"/>
      <c r="H143" s="122"/>
      <c r="I143" s="84"/>
      <c r="J143" s="84">
        <f>+J137+J151</f>
        <v>317115101.86000001</v>
      </c>
      <c r="K143" s="84"/>
    </row>
    <row r="144" spans="1:13">
      <c r="A144" s="81">
        <f t="shared" si="3"/>
        <v>103</v>
      </c>
      <c r="B144" s="75"/>
      <c r="C144" s="75"/>
      <c r="D144" s="78"/>
      <c r="E144" s="84"/>
      <c r="F144" s="84"/>
      <c r="G144" s="84"/>
      <c r="H144" s="122"/>
      <c r="I144" s="84"/>
      <c r="J144" s="75"/>
      <c r="K144" s="84"/>
    </row>
    <row r="145" spans="1:13">
      <c r="A145" s="81">
        <f t="shared" si="3"/>
        <v>104</v>
      </c>
      <c r="B145" s="75"/>
      <c r="C145" s="97" t="str">
        <f>"Percentage of transmission plant included in Common Use Facilities (line "&amp;A142&amp;" divided by line "&amp;A143&amp;")"</f>
        <v>Percentage of transmission plant included in Common Use Facilities (line 101 divided by line 102)</v>
      </c>
      <c r="D145" s="82"/>
      <c r="E145" s="82"/>
      <c r="F145" s="82"/>
      <c r="G145" s="82"/>
      <c r="H145" s="86"/>
      <c r="I145" s="84" t="s">
        <v>193</v>
      </c>
      <c r="J145" s="124">
        <f>ROUND(IF(J143&gt;0,J142/J143,0),6)</f>
        <v>0.87443099999999996</v>
      </c>
      <c r="K145" s="84"/>
    </row>
    <row r="146" spans="1:13">
      <c r="A146" s="81">
        <f t="shared" si="3"/>
        <v>105</v>
      </c>
      <c r="B146" s="75"/>
      <c r="C146" s="75"/>
      <c r="D146" s="75"/>
      <c r="E146" s="75"/>
      <c r="F146" s="75"/>
      <c r="G146" s="75"/>
      <c r="H146" s="75"/>
      <c r="I146" s="75"/>
      <c r="J146" s="75"/>
      <c r="K146" s="84"/>
    </row>
    <row r="147" spans="1:13" ht="15.6" thickBot="1">
      <c r="A147" s="81">
        <f t="shared" si="3"/>
        <v>106</v>
      </c>
      <c r="B147" s="75"/>
      <c r="C147" s="97" t="s">
        <v>194</v>
      </c>
      <c r="D147" s="78"/>
      <c r="E147" s="96" t="s">
        <v>187</v>
      </c>
      <c r="F147" s="78"/>
      <c r="G147" s="78"/>
      <c r="H147" s="78"/>
      <c r="I147" s="78"/>
      <c r="J147" s="78"/>
      <c r="K147" s="75"/>
    </row>
    <row r="148" spans="1:13">
      <c r="A148" s="81">
        <f t="shared" si="3"/>
        <v>107</v>
      </c>
      <c r="B148" s="75"/>
      <c r="C148" s="97" t="s">
        <v>195</v>
      </c>
      <c r="D148" s="78"/>
      <c r="E148" s="84" t="str">
        <f>"Column (3) line "&amp;A19&amp;""</f>
        <v>Column (3) line 5</v>
      </c>
      <c r="F148" s="84"/>
      <c r="G148" s="84"/>
      <c r="H148" s="84"/>
      <c r="I148" s="84"/>
      <c r="J148" s="84">
        <f>+E19</f>
        <v>600361634.32250714</v>
      </c>
      <c r="K148" s="75"/>
    </row>
    <row r="149" spans="1:13">
      <c r="A149" s="81">
        <f t="shared" si="3"/>
        <v>108</v>
      </c>
      <c r="B149" s="75"/>
      <c r="C149" s="97" t="s">
        <v>196</v>
      </c>
      <c r="D149" s="75"/>
      <c r="E149" s="75" t="s">
        <v>191</v>
      </c>
      <c r="F149" s="75"/>
      <c r="G149" s="75"/>
      <c r="H149" s="75"/>
      <c r="I149" s="75"/>
      <c r="J149" s="84">
        <v>583830598.21250713</v>
      </c>
      <c r="K149" s="75"/>
    </row>
    <row r="150" spans="1:13" ht="15.6" thickBot="1">
      <c r="A150" s="81">
        <f t="shared" si="3"/>
        <v>109</v>
      </c>
      <c r="B150" s="75"/>
      <c r="C150" s="120" t="s">
        <v>197</v>
      </c>
      <c r="D150" s="121"/>
      <c r="E150" s="96" t="s">
        <v>191</v>
      </c>
      <c r="F150" s="84"/>
      <c r="G150" s="84"/>
      <c r="H150" s="122"/>
      <c r="I150" s="84"/>
      <c r="J150" s="96">
        <v>0</v>
      </c>
      <c r="K150" s="75"/>
    </row>
    <row r="151" spans="1:13" ht="15.6">
      <c r="A151" s="81">
        <f t="shared" si="3"/>
        <v>110</v>
      </c>
      <c r="B151" s="75"/>
      <c r="C151" s="97" t="str">
        <f>"Common Use AC Facilities (line "&amp;A148&amp;" less lines "&amp;A149&amp;" &amp; "&amp;A150&amp;")"</f>
        <v>Common Use AC Facilities (line 107 less lines 108 &amp; 109)</v>
      </c>
      <c r="D151" s="78"/>
      <c r="E151" s="84"/>
      <c r="F151" s="84"/>
      <c r="G151" s="84"/>
      <c r="H151" s="122"/>
      <c r="I151" s="84"/>
      <c r="J151" s="84">
        <v>16531036.109999999</v>
      </c>
      <c r="K151" s="75"/>
      <c r="M151" s="149"/>
    </row>
    <row r="152" spans="1:13">
      <c r="A152" s="81">
        <f t="shared" si="3"/>
        <v>111</v>
      </c>
      <c r="B152" s="75"/>
      <c r="C152" s="75"/>
      <c r="D152" s="78"/>
      <c r="E152" s="84"/>
      <c r="F152" s="84"/>
      <c r="G152" s="84"/>
      <c r="H152" s="122"/>
      <c r="I152" s="84"/>
      <c r="J152" s="75"/>
      <c r="K152" s="75"/>
    </row>
    <row r="153" spans="1:13">
      <c r="A153" s="81">
        <f t="shared" si="3"/>
        <v>112</v>
      </c>
      <c r="B153" s="75"/>
      <c r="C153" s="97" t="str">
        <f>"Percentage of distribution plant included in Common Use Facilities (line "&amp;A148&amp;" divided by line "&amp;A151&amp;")"</f>
        <v>Percentage of distribution plant included in Common Use Facilities (line 107 divided by line 110)</v>
      </c>
      <c r="D153" s="82"/>
      <c r="E153" s="82"/>
      <c r="F153" s="82"/>
      <c r="G153" s="82"/>
      <c r="H153" s="86"/>
      <c r="I153" s="84" t="s">
        <v>198</v>
      </c>
      <c r="J153" s="124">
        <f>ROUND(IF(J148&gt;0,J151/J148,0),6)</f>
        <v>2.7535E-2</v>
      </c>
      <c r="K153" s="75"/>
    </row>
    <row r="154" spans="1:13">
      <c r="A154" s="81">
        <f t="shared" si="3"/>
        <v>113</v>
      </c>
      <c r="B154" s="75"/>
      <c r="C154" s="75"/>
      <c r="D154" s="78"/>
      <c r="E154" s="84"/>
      <c r="F154" s="84"/>
      <c r="G154" s="84"/>
      <c r="H154" s="122"/>
      <c r="I154" s="84"/>
      <c r="J154" s="75"/>
      <c r="K154" s="75"/>
    </row>
    <row r="155" spans="1:13" ht="15.6" thickBot="1">
      <c r="A155" s="81">
        <f t="shared" si="3"/>
        <v>114</v>
      </c>
      <c r="B155" s="75"/>
      <c r="C155" s="97" t="s">
        <v>93</v>
      </c>
      <c r="D155" s="78"/>
      <c r="E155" s="96" t="s">
        <v>187</v>
      </c>
      <c r="F155" s="84"/>
      <c r="G155" s="84"/>
      <c r="H155" s="122"/>
      <c r="I155" s="84"/>
      <c r="J155" s="84"/>
      <c r="K155" s="75"/>
    </row>
    <row r="156" spans="1:13">
      <c r="A156" s="81">
        <f t="shared" si="3"/>
        <v>115</v>
      </c>
      <c r="B156" s="75"/>
      <c r="C156" s="75" t="s">
        <v>199</v>
      </c>
      <c r="D156" s="78"/>
      <c r="E156" s="84" t="s">
        <v>200</v>
      </c>
      <c r="F156" s="84"/>
      <c r="G156" s="84"/>
      <c r="H156" s="122"/>
      <c r="I156" s="84"/>
      <c r="J156" s="84">
        <f>SUM(E28:E29)</f>
        <v>65828885.177525043</v>
      </c>
      <c r="K156" s="75"/>
    </row>
    <row r="157" spans="1:13" ht="15.6">
      <c r="A157" s="81">
        <f t="shared" si="3"/>
        <v>116</v>
      </c>
      <c r="B157" s="75"/>
      <c r="C157" s="97" t="s">
        <v>201</v>
      </c>
      <c r="D157" s="78"/>
      <c r="E157" s="84" t="s">
        <v>191</v>
      </c>
      <c r="F157" s="84"/>
      <c r="G157" s="84"/>
      <c r="H157" s="122"/>
      <c r="I157" s="84"/>
      <c r="J157" s="84">
        <v>12605543.859535716</v>
      </c>
      <c r="K157" s="75"/>
      <c r="M157" s="149"/>
    </row>
    <row r="158" spans="1:13">
      <c r="A158" s="81">
        <f t="shared" si="3"/>
        <v>117</v>
      </c>
      <c r="B158" s="75"/>
      <c r="C158" s="125" t="str">
        <f>"Total Transmission Accumulated Depreciation included in Common Use Facilities (line "&amp;A156&amp;" - line "&amp;A157&amp;")"</f>
        <v>Total Transmission Accumulated Depreciation included in Common Use Facilities (line 115 - line 116)</v>
      </c>
      <c r="D158" s="126"/>
      <c r="E158" s="123"/>
      <c r="F158" s="84"/>
      <c r="G158" s="84"/>
      <c r="H158" s="122"/>
      <c r="I158" s="84"/>
      <c r="J158" s="123">
        <f>J156-J157</f>
        <v>53223341.317989327</v>
      </c>
      <c r="K158" s="75"/>
    </row>
    <row r="159" spans="1:13">
      <c r="A159" s="81">
        <f t="shared" si="3"/>
        <v>118</v>
      </c>
      <c r="B159" s="75"/>
      <c r="C159" s="97" t="str">
        <f>"Plus Common Use AC Facilities Accumulated Depreciation (line "&amp;A168&amp;")"</f>
        <v>Plus Common Use AC Facilities Accumulated Depreciation (line 127)</v>
      </c>
      <c r="D159" s="78"/>
      <c r="E159" s="84"/>
      <c r="F159" s="84"/>
      <c r="G159" s="84"/>
      <c r="H159" s="122"/>
      <c r="I159" s="84"/>
      <c r="J159" s="84">
        <f>+J168</f>
        <v>5265066.6950000012</v>
      </c>
      <c r="K159" s="75"/>
    </row>
    <row r="160" spans="1:13">
      <c r="A160" s="81">
        <f t="shared" si="3"/>
        <v>119</v>
      </c>
      <c r="B160" s="75"/>
      <c r="C160" s="97" t="str">
        <f>"Total Accumulated Depreciation for the CUS System (line "&amp;A158&amp;" plus line "&amp;A159&amp;")"</f>
        <v>Total Accumulated Depreciation for the CUS System (line 117 plus line 118)</v>
      </c>
      <c r="D160" s="78"/>
      <c r="E160" s="84"/>
      <c r="F160" s="84"/>
      <c r="G160" s="84"/>
      <c r="H160" s="122"/>
      <c r="I160" s="84"/>
      <c r="J160" s="123">
        <f>SUM(J158:J159)</f>
        <v>58488408.012989327</v>
      </c>
      <c r="K160" s="75"/>
    </row>
    <row r="161" spans="1:13">
      <c r="A161" s="81">
        <f t="shared" si="3"/>
        <v>120</v>
      </c>
      <c r="B161" s="75"/>
      <c r="C161" s="97" t="str">
        <f>"Total CUS Accumulated Depreciation (line "&amp;A156&amp;" plus line "&amp;A159&amp;")"</f>
        <v>Total CUS Accumulated Depreciation (line 115 plus line 118)</v>
      </c>
      <c r="D161" s="78"/>
      <c r="E161" s="84"/>
      <c r="F161" s="84"/>
      <c r="G161" s="84"/>
      <c r="H161" s="122"/>
      <c r="I161" s="84"/>
      <c r="J161" s="84">
        <f>+J156+J159</f>
        <v>71093951.872525051</v>
      </c>
      <c r="K161" s="75"/>
    </row>
    <row r="162" spans="1:13">
      <c r="A162" s="81">
        <f t="shared" si="3"/>
        <v>121</v>
      </c>
      <c r="B162" s="75"/>
      <c r="C162" s="75"/>
      <c r="D162" s="78"/>
      <c r="E162" s="84"/>
      <c r="F162" s="84"/>
      <c r="G162" s="84"/>
      <c r="H162" s="122"/>
      <c r="I162" s="84"/>
      <c r="J162" s="84"/>
      <c r="K162" s="75"/>
    </row>
    <row r="163" spans="1:13">
      <c r="A163" s="81">
        <f t="shared" si="3"/>
        <v>122</v>
      </c>
      <c r="B163" s="75"/>
      <c r="C163" s="97" t="str">
        <f>"Percentage of transmission plant accumulated depreciation included in Common Use Facilities (line "&amp;A160&amp;" divided by line "&amp;A161&amp;")"</f>
        <v>Percentage of transmission plant accumulated depreciation included in Common Use Facilities (line 119 divided by line 120)</v>
      </c>
      <c r="D163" s="78"/>
      <c r="E163" s="84"/>
      <c r="F163" s="84"/>
      <c r="G163" s="84"/>
      <c r="H163" s="122"/>
      <c r="I163" s="84" t="s">
        <v>202</v>
      </c>
      <c r="J163" s="124">
        <f>ROUND(IF(J161&gt;0,J160/J161,0),6)</f>
        <v>0.82269199999999998</v>
      </c>
      <c r="K163" s="75"/>
    </row>
    <row r="164" spans="1:13">
      <c r="A164" s="81">
        <f t="shared" si="3"/>
        <v>123</v>
      </c>
      <c r="B164" s="75"/>
      <c r="C164" s="75"/>
      <c r="D164" s="78"/>
      <c r="E164" s="84"/>
      <c r="F164" s="84"/>
      <c r="G164" s="84"/>
      <c r="H164" s="122"/>
      <c r="I164" s="84"/>
      <c r="J164" s="84"/>
      <c r="K164" s="75"/>
    </row>
    <row r="165" spans="1:13" ht="15.6" thickBot="1">
      <c r="A165" s="81">
        <f t="shared" si="3"/>
        <v>124</v>
      </c>
      <c r="B165" s="75"/>
      <c r="C165" s="75"/>
      <c r="D165" s="78"/>
      <c r="E165" s="96" t="s">
        <v>187</v>
      </c>
      <c r="F165" s="84"/>
      <c r="G165" s="84"/>
      <c r="H165" s="122"/>
      <c r="I165" s="84"/>
      <c r="J165" s="84"/>
      <c r="K165" s="75"/>
    </row>
    <row r="166" spans="1:13">
      <c r="A166" s="81">
        <f t="shared" si="3"/>
        <v>125</v>
      </c>
      <c r="B166" s="75"/>
      <c r="C166" s="75" t="s">
        <v>203</v>
      </c>
      <c r="D166" s="78"/>
      <c r="E166" s="84" t="s">
        <v>98</v>
      </c>
      <c r="F166" s="84"/>
      <c r="G166" s="84"/>
      <c r="H166" s="122"/>
      <c r="I166" s="84"/>
      <c r="J166" s="84">
        <f>+E30</f>
        <v>193687354.79250705</v>
      </c>
      <c r="K166" s="75"/>
    </row>
    <row r="167" spans="1:13">
      <c r="A167" s="81">
        <f t="shared" si="3"/>
        <v>126</v>
      </c>
      <c r="B167" s="75"/>
      <c r="C167" s="75" t="s">
        <v>204</v>
      </c>
      <c r="D167" s="78"/>
      <c r="E167" s="84"/>
      <c r="F167" s="84"/>
      <c r="G167" s="84"/>
      <c r="H167" s="122"/>
      <c r="I167" s="84"/>
      <c r="J167" s="84">
        <v>188422288.09750706</v>
      </c>
      <c r="K167" s="75"/>
    </row>
    <row r="168" spans="1:13" ht="15.6">
      <c r="A168" s="81">
        <f t="shared" si="3"/>
        <v>127</v>
      </c>
      <c r="B168" s="75"/>
      <c r="C168" s="127" t="str">
        <f>"Common Use AC Facilities (line "&amp;A166&amp;" less line "&amp;A167&amp;")"</f>
        <v>Common Use AC Facilities (line 125 less line 126)</v>
      </c>
      <c r="D168" s="126"/>
      <c r="E168" s="123"/>
      <c r="F168" s="84"/>
      <c r="G168" s="84"/>
      <c r="H168" s="122"/>
      <c r="I168" s="84"/>
      <c r="J168" s="123">
        <v>5265066.6950000012</v>
      </c>
      <c r="K168" s="75"/>
      <c r="M168" s="149"/>
    </row>
    <row r="169" spans="1:13">
      <c r="A169" s="81">
        <f t="shared" si="3"/>
        <v>128</v>
      </c>
      <c r="B169" s="75"/>
      <c r="C169" s="75"/>
      <c r="D169" s="78"/>
      <c r="E169" s="84"/>
      <c r="F169" s="84"/>
      <c r="G169" s="84"/>
      <c r="H169" s="122"/>
      <c r="I169" s="84"/>
      <c r="J169" s="84"/>
      <c r="K169" s="75"/>
    </row>
    <row r="170" spans="1:13">
      <c r="A170" s="81">
        <f t="shared" si="3"/>
        <v>129</v>
      </c>
      <c r="B170" s="75"/>
      <c r="C170" s="97" t="str">
        <f>"Percentage of distribution plant accumulated depreciation included in Common Use Facilities (line "&amp;A168&amp;" divided by line "&amp;A166&amp;")"</f>
        <v>Percentage of distribution plant accumulated depreciation included in Common Use Facilities (line 127 divided by line 125)</v>
      </c>
      <c r="D170" s="78"/>
      <c r="E170" s="84"/>
      <c r="F170" s="84"/>
      <c r="G170" s="84"/>
      <c r="H170" s="122"/>
      <c r="I170" s="84" t="s">
        <v>205</v>
      </c>
      <c r="J170" s="124">
        <f>ROUND(IF(J166&gt;0,J168/J166,0),6)</f>
        <v>2.7182999999999999E-2</v>
      </c>
      <c r="K170" s="75"/>
    </row>
    <row r="171" spans="1:13">
      <c r="A171" s="81">
        <f t="shared" si="3"/>
        <v>130</v>
      </c>
      <c r="B171" s="75"/>
      <c r="C171" s="75"/>
      <c r="D171" s="78"/>
      <c r="E171" s="84"/>
      <c r="F171" s="84"/>
      <c r="G171" s="84"/>
      <c r="H171" s="122"/>
      <c r="I171" s="84"/>
      <c r="J171" s="84"/>
      <c r="K171" s="75"/>
    </row>
    <row r="172" spans="1:13">
      <c r="A172" s="81">
        <f t="shared" si="3"/>
        <v>131</v>
      </c>
      <c r="B172" s="75"/>
      <c r="C172" s="78" t="s">
        <v>206</v>
      </c>
      <c r="D172" s="84"/>
      <c r="E172" s="84"/>
      <c r="F172" s="84"/>
      <c r="G172" s="84"/>
      <c r="H172" s="84"/>
      <c r="I172" s="84"/>
      <c r="J172" s="84"/>
      <c r="K172" s="84"/>
    </row>
    <row r="173" spans="1:13" ht="15.6" thickBot="1">
      <c r="A173" s="81">
        <f t="shared" si="3"/>
        <v>132</v>
      </c>
      <c r="B173" s="75"/>
      <c r="C173" s="78"/>
      <c r="D173" s="96" t="s">
        <v>207</v>
      </c>
      <c r="E173" s="128" t="s">
        <v>208</v>
      </c>
      <c r="F173" s="128" t="s">
        <v>74</v>
      </c>
      <c r="G173" s="84"/>
      <c r="H173" s="128" t="s">
        <v>209</v>
      </c>
      <c r="I173" s="84"/>
      <c r="J173" s="122"/>
      <c r="K173" s="84"/>
    </row>
    <row r="174" spans="1:13" ht="15.6">
      <c r="A174" s="81">
        <f t="shared" si="3"/>
        <v>133</v>
      </c>
      <c r="B174" s="75"/>
      <c r="C174" s="78" t="s">
        <v>72</v>
      </c>
      <c r="D174" s="84" t="s">
        <v>210</v>
      </c>
      <c r="E174" s="84">
        <v>2161808</v>
      </c>
      <c r="F174" s="129">
        <f>+J145</f>
        <v>0.87443099999999996</v>
      </c>
      <c r="G174" s="75"/>
      <c r="H174" s="84">
        <f>E174*F174</f>
        <v>1890351.9312479999</v>
      </c>
      <c r="I174" s="84"/>
      <c r="J174" s="130"/>
      <c r="K174" s="84"/>
      <c r="M174" s="149"/>
    </row>
    <row r="175" spans="1:13" ht="15.6">
      <c r="A175" s="81">
        <f t="shared" si="3"/>
        <v>134</v>
      </c>
      <c r="B175" s="75"/>
      <c r="C175" s="78" t="s">
        <v>211</v>
      </c>
      <c r="D175" s="84" t="s">
        <v>212</v>
      </c>
      <c r="E175" s="84">
        <v>30217676</v>
      </c>
      <c r="F175" s="129">
        <v>0</v>
      </c>
      <c r="G175" s="129"/>
      <c r="H175" s="84">
        <f>E175*F175</f>
        <v>0</v>
      </c>
      <c r="I175" s="84"/>
      <c r="J175" s="122" t="s">
        <v>213</v>
      </c>
      <c r="K175" s="84"/>
      <c r="M175" s="149"/>
    </row>
    <row r="176" spans="1:13" ht="16.149999999999999" thickBot="1">
      <c r="A176" s="81">
        <f t="shared" si="3"/>
        <v>135</v>
      </c>
      <c r="B176" s="75"/>
      <c r="C176" s="78" t="s">
        <v>214</v>
      </c>
      <c r="D176" s="84" t="s">
        <v>215</v>
      </c>
      <c r="E176" s="96">
        <v>-15724903</v>
      </c>
      <c r="F176" s="129">
        <v>0</v>
      </c>
      <c r="G176" s="129"/>
      <c r="H176" s="96">
        <f>E176*F176</f>
        <v>0</v>
      </c>
      <c r="I176" s="84"/>
      <c r="J176" s="92" t="s">
        <v>216</v>
      </c>
      <c r="K176" s="84"/>
      <c r="M176" s="149"/>
    </row>
    <row r="177" spans="1:13">
      <c r="A177" s="81">
        <f t="shared" si="3"/>
        <v>136</v>
      </c>
      <c r="B177" s="75"/>
      <c r="C177" s="78" t="str">
        <f>"  Adjusted Total  (sum lines "&amp;A175&amp;"-"&amp;A176&amp;")"</f>
        <v xml:space="preserve">  Adjusted Total  (sum lines 134-135)</v>
      </c>
      <c r="D177" s="84"/>
      <c r="E177" s="84">
        <f>SUM(E175:E176)</f>
        <v>14492773</v>
      </c>
      <c r="F177" s="84"/>
      <c r="G177" s="75"/>
      <c r="H177" s="84">
        <f>SUM(H174:H176)</f>
        <v>1890351.9312479999</v>
      </c>
      <c r="I177" s="84" t="s">
        <v>217</v>
      </c>
      <c r="J177" s="94">
        <f>IF(E177&gt;0,+H177/E177,0)</f>
        <v>0.13043410886570844</v>
      </c>
      <c r="K177" s="122"/>
    </row>
    <row r="178" spans="1:13">
      <c r="A178" s="81">
        <f t="shared" si="3"/>
        <v>137</v>
      </c>
      <c r="B178" s="75"/>
      <c r="C178" s="78"/>
      <c r="D178" s="84"/>
      <c r="E178" s="84"/>
      <c r="F178" s="84"/>
      <c r="G178" s="84"/>
      <c r="H178" s="84"/>
      <c r="I178" s="84"/>
      <c r="J178" s="84"/>
      <c r="K178" s="84"/>
    </row>
    <row r="179" spans="1:13" ht="15.6" thickBot="1">
      <c r="A179" s="81">
        <f t="shared" si="3"/>
        <v>138</v>
      </c>
      <c r="B179" s="75"/>
      <c r="C179" s="78" t="s">
        <v>218</v>
      </c>
      <c r="D179" s="84"/>
      <c r="E179" s="128" t="s">
        <v>208</v>
      </c>
      <c r="F179" s="128" t="s">
        <v>7</v>
      </c>
      <c r="G179" s="100" t="s">
        <v>74</v>
      </c>
      <c r="H179" s="131" t="s">
        <v>87</v>
      </c>
      <c r="I179" s="110"/>
      <c r="J179" s="98"/>
      <c r="K179" s="75"/>
    </row>
    <row r="180" spans="1:13">
      <c r="A180" s="81">
        <f t="shared" si="3"/>
        <v>139</v>
      </c>
      <c r="B180" s="75"/>
      <c r="C180" s="78" t="s">
        <v>219</v>
      </c>
      <c r="D180" s="84" t="str">
        <f>"lines "&amp;A39&amp;", "&amp;A40&amp;" &amp; "&amp;A41&amp;""</f>
        <v>lines 25, 26 &amp; 27</v>
      </c>
      <c r="E180" s="84">
        <f>E39+E40+E41</f>
        <v>234755180.57247493</v>
      </c>
      <c r="F180" s="11">
        <f>IF(E182&gt;0,+E180/E182,0)</f>
        <v>0.36598752501166743</v>
      </c>
      <c r="G180" s="12">
        <f>+J145</f>
        <v>0.87443099999999996</v>
      </c>
      <c r="H180" s="13">
        <f>IF(F180&gt;0,+G180*F180,0)</f>
        <v>0.32003083748347733</v>
      </c>
      <c r="I180" s="132"/>
      <c r="J180" s="81"/>
      <c r="K180" s="84"/>
    </row>
    <row r="181" spans="1:13">
      <c r="A181" s="81">
        <f t="shared" si="3"/>
        <v>140</v>
      </c>
      <c r="B181" s="75"/>
      <c r="C181" s="78" t="s">
        <v>220</v>
      </c>
      <c r="D181" s="84" t="str">
        <f>"line "&amp;A42&amp;""</f>
        <v>line 28</v>
      </c>
      <c r="E181" s="84">
        <f>E42</f>
        <v>406674279.53000009</v>
      </c>
      <c r="F181" s="11">
        <f>IF(E182&gt;0,+E181/E182,0)</f>
        <v>0.63401247498833246</v>
      </c>
      <c r="G181" s="75"/>
      <c r="H181" s="108"/>
      <c r="I181" s="122"/>
      <c r="J181" s="108"/>
      <c r="K181" s="110"/>
    </row>
    <row r="182" spans="1:13">
      <c r="A182" s="81">
        <f t="shared" si="3"/>
        <v>141</v>
      </c>
      <c r="B182" s="75"/>
      <c r="C182" s="78" t="str">
        <f>"  Total  (sum lines "&amp;A180&amp;" - "&amp;A181&amp;")"</f>
        <v xml:space="preserve">  Total  (sum lines 139 - 140)</v>
      </c>
      <c r="D182" s="84"/>
      <c r="E182" s="123">
        <f>SUM(E180:E181)</f>
        <v>641429460.10247505</v>
      </c>
      <c r="F182" s="14">
        <f>SUM(F180:F181)</f>
        <v>0.99999999999999989</v>
      </c>
      <c r="G182" s="84"/>
      <c r="H182" s="84"/>
      <c r="I182" s="84" t="s">
        <v>221</v>
      </c>
      <c r="J182" s="8">
        <f>+H180</f>
        <v>0.32003083748347733</v>
      </c>
      <c r="K182" s="84"/>
    </row>
    <row r="183" spans="1:13">
      <c r="A183" s="81">
        <f t="shared" si="3"/>
        <v>142</v>
      </c>
      <c r="B183" s="75"/>
      <c r="C183" s="78"/>
      <c r="D183" s="84"/>
      <c r="E183" s="75"/>
      <c r="F183" s="84"/>
      <c r="G183" s="84"/>
      <c r="H183" s="84"/>
      <c r="I183" s="84"/>
      <c r="J183" s="8"/>
      <c r="K183" s="84"/>
    </row>
    <row r="184" spans="1:13" s="135" customFormat="1" ht="15.6" thickBot="1">
      <c r="A184" s="81">
        <f t="shared" si="3"/>
        <v>143</v>
      </c>
      <c r="B184" s="133"/>
      <c r="C184" s="134" t="s">
        <v>222</v>
      </c>
      <c r="D184" s="100" t="s">
        <v>207</v>
      </c>
      <c r="E184" s="84"/>
      <c r="F184" s="84"/>
      <c r="G184" s="84"/>
      <c r="H184" s="84"/>
      <c r="I184" s="84"/>
      <c r="J184" s="128" t="s">
        <v>208</v>
      </c>
      <c r="K184" s="84"/>
      <c r="L184"/>
      <c r="M184" s="133"/>
    </row>
    <row r="185" spans="1:13">
      <c r="A185" s="81">
        <f t="shared" si="3"/>
        <v>144</v>
      </c>
      <c r="B185" s="133"/>
      <c r="C185" s="78" t="s">
        <v>223</v>
      </c>
      <c r="D185" s="84" t="s">
        <v>224</v>
      </c>
      <c r="E185" s="84"/>
      <c r="F185" s="84"/>
      <c r="G185" s="84"/>
      <c r="H185" s="84"/>
      <c r="I185" s="84"/>
      <c r="J185" s="3">
        <f>'WP14 Long Term Interest'!F20</f>
        <v>30681613</v>
      </c>
      <c r="K185" s="84"/>
    </row>
    <row r="186" spans="1:13">
      <c r="A186" s="81">
        <f t="shared" si="3"/>
        <v>145</v>
      </c>
      <c r="B186" s="135"/>
      <c r="C186" s="78"/>
      <c r="D186" s="84"/>
      <c r="E186" s="84"/>
      <c r="F186" s="84"/>
      <c r="G186" s="84"/>
      <c r="H186" s="84"/>
      <c r="I186" s="84"/>
      <c r="J186" s="84"/>
      <c r="K186" s="84"/>
    </row>
    <row r="187" spans="1:13">
      <c r="A187" s="81">
        <f t="shared" si="3"/>
        <v>146</v>
      </c>
      <c r="B187" s="133"/>
      <c r="C187" s="78" t="s">
        <v>225</v>
      </c>
      <c r="D187" s="84" t="s">
        <v>226</v>
      </c>
      <c r="E187" s="84"/>
      <c r="F187" s="84"/>
      <c r="G187" s="84"/>
      <c r="H187" s="84"/>
      <c r="I187" s="84"/>
      <c r="J187" s="2">
        <v>0</v>
      </c>
      <c r="K187" s="84"/>
    </row>
    <row r="188" spans="1:13">
      <c r="A188" s="81">
        <f t="shared" si="3"/>
        <v>147</v>
      </c>
      <c r="B188" s="133"/>
      <c r="C188" s="78"/>
      <c r="D188" s="84"/>
      <c r="E188" s="84"/>
      <c r="F188" s="84"/>
      <c r="G188" s="84"/>
      <c r="H188" s="84"/>
      <c r="I188" s="84"/>
      <c r="J188" s="84"/>
      <c r="K188" s="84"/>
    </row>
    <row r="189" spans="1:13">
      <c r="A189" s="81">
        <f t="shared" si="3"/>
        <v>148</v>
      </c>
      <c r="B189" s="133"/>
      <c r="C189" s="134" t="s">
        <v>227</v>
      </c>
      <c r="D189" s="100" t="s">
        <v>207</v>
      </c>
      <c r="E189" s="84"/>
      <c r="F189" s="84"/>
      <c r="G189" s="84"/>
      <c r="H189" s="84"/>
      <c r="I189" s="84"/>
      <c r="J189" s="84"/>
      <c r="K189" s="84"/>
    </row>
    <row r="190" spans="1:13">
      <c r="A190" s="81">
        <f t="shared" si="3"/>
        <v>149</v>
      </c>
      <c r="B190" s="133"/>
      <c r="C190" s="78" t="s">
        <v>228</v>
      </c>
      <c r="D190" s="84" t="s">
        <v>229</v>
      </c>
      <c r="E190" s="78"/>
      <c r="F190" s="84"/>
      <c r="G190" s="84"/>
      <c r="H190" s="84"/>
      <c r="I190" s="84"/>
      <c r="J190" s="2">
        <v>663960029</v>
      </c>
      <c r="K190" s="84"/>
    </row>
    <row r="191" spans="1:13">
      <c r="A191" s="81">
        <f t="shared" si="3"/>
        <v>150</v>
      </c>
      <c r="B191" s="133"/>
      <c r="C191" s="78" t="s">
        <v>230</v>
      </c>
      <c r="D191" s="84" t="s">
        <v>231</v>
      </c>
      <c r="E191" s="84"/>
      <c r="F191" s="84"/>
      <c r="G191" s="84"/>
      <c r="H191" s="84"/>
      <c r="I191" s="84"/>
      <c r="J191" s="2">
        <v>0</v>
      </c>
      <c r="K191" s="84"/>
    </row>
    <row r="192" spans="1:13">
      <c r="A192" s="81">
        <f t="shared" si="3"/>
        <v>151</v>
      </c>
      <c r="B192" s="133"/>
      <c r="C192" s="78" t="s">
        <v>232</v>
      </c>
      <c r="D192" s="84" t="s">
        <v>233</v>
      </c>
      <c r="E192" s="84"/>
      <c r="F192" s="84"/>
      <c r="G192" s="84"/>
      <c r="H192" s="84"/>
      <c r="I192" s="84"/>
      <c r="J192" s="3">
        <v>0</v>
      </c>
      <c r="K192" s="84"/>
    </row>
    <row r="193" spans="1:13" ht="15.6" thickBot="1">
      <c r="A193" s="81">
        <f t="shared" si="3"/>
        <v>152</v>
      </c>
      <c r="B193" s="133"/>
      <c r="C193" s="78" t="s">
        <v>234</v>
      </c>
      <c r="D193" s="84" t="s">
        <v>235</v>
      </c>
      <c r="E193" s="84"/>
      <c r="F193" s="84"/>
      <c r="G193" s="84"/>
      <c r="H193" s="84"/>
      <c r="I193" s="84"/>
      <c r="J193" s="9">
        <v>658522</v>
      </c>
      <c r="K193" s="84"/>
    </row>
    <row r="194" spans="1:13">
      <c r="A194" s="81">
        <f t="shared" si="3"/>
        <v>153</v>
      </c>
      <c r="B194" s="133"/>
      <c r="C194" s="136" t="s">
        <v>236</v>
      </c>
      <c r="D194" s="84"/>
      <c r="E194" s="78" t="str">
        <f>"(sum lines "&amp;A190&amp;"-"&amp;A193&amp;")"</f>
        <v>(sum lines 149-152)</v>
      </c>
      <c r="F194" s="78"/>
      <c r="G194" s="78"/>
      <c r="H194" s="78"/>
      <c r="I194" s="78"/>
      <c r="J194" s="2">
        <f>SUM(J190:J193)</f>
        <v>664618551</v>
      </c>
      <c r="K194" s="84"/>
    </row>
    <row r="195" spans="1:13">
      <c r="A195" s="81">
        <f t="shared" si="3"/>
        <v>154</v>
      </c>
      <c r="B195" s="75"/>
      <c r="C195" s="78"/>
      <c r="D195" s="84"/>
      <c r="E195" s="84"/>
      <c r="F195" s="84"/>
      <c r="G195" s="84"/>
      <c r="H195" s="122"/>
      <c r="I195" s="84"/>
      <c r="J195" s="84"/>
      <c r="K195" s="84"/>
    </row>
    <row r="196" spans="1:13" ht="15.6" thickBot="1">
      <c r="A196" s="81">
        <f t="shared" si="3"/>
        <v>155</v>
      </c>
      <c r="B196" s="75"/>
      <c r="C196" s="78"/>
      <c r="D196" s="96" t="s">
        <v>207</v>
      </c>
      <c r="E196" s="137" t="s">
        <v>208</v>
      </c>
      <c r="F196" s="92" t="s">
        <v>7</v>
      </c>
      <c r="G196" s="84"/>
      <c r="H196" s="92" t="s">
        <v>237</v>
      </c>
      <c r="I196" s="84"/>
      <c r="J196" s="92" t="s">
        <v>238</v>
      </c>
      <c r="K196" s="84"/>
    </row>
    <row r="197" spans="1:13" ht="15.6">
      <c r="A197" s="81">
        <f t="shared" si="3"/>
        <v>156</v>
      </c>
      <c r="B197" s="75"/>
      <c r="C197" s="97" t="s">
        <v>239</v>
      </c>
      <c r="D197" s="138" t="s">
        <v>240</v>
      </c>
      <c r="E197" s="84">
        <v>588392730</v>
      </c>
      <c r="F197" s="139">
        <v>0.43</v>
      </c>
      <c r="G197" s="140"/>
      <c r="H197" s="11">
        <f>IF(E197&gt;0,+J185/E197,0)</f>
        <v>5.2144786017325535E-2</v>
      </c>
      <c r="I197" s="75"/>
      <c r="J197" s="11">
        <f>H197*F197</f>
        <v>2.242225798744998E-2</v>
      </c>
      <c r="K197" s="141"/>
      <c r="M197" s="149"/>
    </row>
    <row r="198" spans="1:13">
      <c r="A198" s="81">
        <f t="shared" si="3"/>
        <v>157</v>
      </c>
      <c r="B198" s="75"/>
      <c r="C198" s="97" t="s">
        <v>241</v>
      </c>
      <c r="D198" s="91" t="s">
        <v>231</v>
      </c>
      <c r="E198" s="2">
        <v>0</v>
      </c>
      <c r="F198" s="139">
        <f>IF($E$200&gt;0,E198/$E$200,0)</f>
        <v>0</v>
      </c>
      <c r="G198" s="140"/>
      <c r="H198" s="11">
        <f>IF(E198&gt;0,J187/E198,0)</f>
        <v>0</v>
      </c>
      <c r="I198" s="75"/>
      <c r="J198" s="11">
        <f>H198*F198</f>
        <v>0</v>
      </c>
      <c r="K198" s="84"/>
    </row>
    <row r="199" spans="1:13" ht="15.6" thickBot="1">
      <c r="A199" s="81">
        <f t="shared" si="3"/>
        <v>158</v>
      </c>
      <c r="B199" s="75"/>
      <c r="C199" s="136" t="s">
        <v>242</v>
      </c>
      <c r="D199" s="91" t="str">
        <f>"(see above line "&amp;A194&amp;")"</f>
        <v>(see above line 153)</v>
      </c>
      <c r="E199" s="96">
        <f>+J194</f>
        <v>664618551</v>
      </c>
      <c r="F199" s="139">
        <v>0.56999999999999995</v>
      </c>
      <c r="G199" s="75" t="s">
        <v>243</v>
      </c>
      <c r="H199" s="11">
        <v>0.108</v>
      </c>
      <c r="I199" s="75" t="s">
        <v>243</v>
      </c>
      <c r="J199" s="15">
        <f>H199*F199</f>
        <v>6.1559999999999997E-2</v>
      </c>
      <c r="K199" s="84"/>
    </row>
    <row r="200" spans="1:13">
      <c r="A200" s="81">
        <f t="shared" si="3"/>
        <v>159</v>
      </c>
      <c r="B200" s="75"/>
      <c r="C200" s="78" t="str">
        <f>"Total  (sum lines "&amp;A197&amp;"-"&amp;A199&amp;")"</f>
        <v>Total  (sum lines 156-158)</v>
      </c>
      <c r="D200" s="75"/>
      <c r="E200" s="84">
        <f>E199+E198+E197</f>
        <v>1253011281</v>
      </c>
      <c r="F200" s="84" t="s">
        <v>54</v>
      </c>
      <c r="G200" s="84"/>
      <c r="H200" s="84"/>
      <c r="I200" s="84" t="s">
        <v>244</v>
      </c>
      <c r="J200" s="11">
        <f>SUM(J197:J199)</f>
        <v>8.3982257987449974E-2</v>
      </c>
      <c r="K200" s="141"/>
    </row>
    <row r="201" spans="1:13">
      <c r="A201" s="81"/>
      <c r="B201" s="75"/>
      <c r="C201" s="78"/>
      <c r="D201" s="75"/>
      <c r="E201" s="84"/>
      <c r="F201" s="84"/>
      <c r="G201" s="84"/>
      <c r="H201" s="84"/>
      <c r="I201" s="115" t="s">
        <v>46</v>
      </c>
      <c r="J201" s="16">
        <f>J1</f>
        <v>46295</v>
      </c>
      <c r="K201" s="141"/>
    </row>
    <row r="202" spans="1:13">
      <c r="A202" s="75"/>
      <c r="B202" s="75"/>
      <c r="C202" s="75"/>
      <c r="D202" s="75"/>
      <c r="E202" s="75"/>
      <c r="F202" s="84"/>
      <c r="G202" s="84"/>
      <c r="I202" s="77" t="str">
        <f>$I$2</f>
        <v>Service Year</v>
      </c>
      <c r="J202" s="78">
        <f>$J$2</f>
        <v>2027</v>
      </c>
    </row>
    <row r="203" spans="1:13">
      <c r="A203" s="81"/>
      <c r="B203" s="75"/>
      <c r="C203" s="78"/>
      <c r="D203" s="78"/>
      <c r="E203" s="84"/>
      <c r="F203" s="84"/>
      <c r="G203" s="84"/>
      <c r="H203" s="84"/>
      <c r="I203" s="78"/>
      <c r="J203" s="84"/>
      <c r="K203" s="78"/>
    </row>
    <row r="204" spans="1:13" ht="15.6">
      <c r="A204" s="268" t="s">
        <v>48</v>
      </c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</row>
    <row r="205" spans="1:13" ht="15.6">
      <c r="A205" s="269" t="s">
        <v>49</v>
      </c>
      <c r="B205" s="269"/>
      <c r="C205" s="269"/>
      <c r="D205" s="269"/>
      <c r="E205" s="269"/>
      <c r="F205" s="269"/>
      <c r="G205" s="269"/>
      <c r="H205" s="269"/>
      <c r="I205" s="269"/>
      <c r="J205" s="269"/>
      <c r="K205" s="269"/>
    </row>
    <row r="206" spans="1:13">
      <c r="A206" s="75"/>
      <c r="B206" s="75"/>
      <c r="C206" s="78"/>
      <c r="D206" s="78"/>
      <c r="F206" s="78"/>
      <c r="G206" s="78"/>
      <c r="H206" s="78"/>
      <c r="I206" s="78"/>
      <c r="J206" s="78"/>
      <c r="K206" s="78"/>
    </row>
    <row r="207" spans="1:13" ht="15.6">
      <c r="A207" s="267" t="s">
        <v>50</v>
      </c>
      <c r="B207" s="267"/>
      <c r="C207" s="267"/>
      <c r="D207" s="267"/>
      <c r="E207" s="267"/>
      <c r="F207" s="267"/>
      <c r="G207" s="267"/>
      <c r="H207" s="267"/>
      <c r="I207" s="267"/>
      <c r="J207" s="267"/>
      <c r="K207" s="267"/>
    </row>
    <row r="208" spans="1:13">
      <c r="A208" s="81"/>
      <c r="B208" s="97"/>
      <c r="C208" s="142"/>
      <c r="D208" s="81"/>
      <c r="E208" s="84"/>
      <c r="F208" s="84"/>
      <c r="G208" s="84"/>
      <c r="H208" s="84"/>
      <c r="I208" s="97"/>
      <c r="J208" s="143"/>
      <c r="K208" s="144"/>
    </row>
    <row r="209" spans="1:11">
      <c r="A209" s="81"/>
      <c r="B209" s="97"/>
      <c r="C209" s="97"/>
      <c r="D209" s="81"/>
      <c r="E209" s="84"/>
      <c r="F209" s="84"/>
      <c r="G209" s="84"/>
      <c r="H209" s="84"/>
      <c r="I209" s="97"/>
      <c r="J209" s="84"/>
      <c r="K209" s="97"/>
    </row>
    <row r="210" spans="1:11">
      <c r="A210" s="81" t="s">
        <v>245</v>
      </c>
      <c r="B210" s="97"/>
      <c r="C210" s="97"/>
      <c r="D210" s="97"/>
      <c r="E210" s="84"/>
      <c r="F210" s="84"/>
      <c r="G210" s="84"/>
      <c r="H210" s="84"/>
      <c r="I210" s="97"/>
      <c r="J210" s="84"/>
      <c r="K210" s="97"/>
    </row>
    <row r="211" spans="1:11" ht="15.6" thickBot="1">
      <c r="A211" s="92" t="s">
        <v>246</v>
      </c>
      <c r="B211" s="97"/>
      <c r="C211" s="97"/>
      <c r="D211" s="97"/>
      <c r="E211" s="84"/>
      <c r="F211" s="84"/>
      <c r="G211" s="84"/>
      <c r="H211" s="84"/>
      <c r="I211" s="97"/>
      <c r="J211" s="84"/>
      <c r="K211" s="97"/>
    </row>
    <row r="212" spans="1:11">
      <c r="A212" s="81"/>
      <c r="B212" s="97"/>
      <c r="C212" s="97"/>
      <c r="D212" s="97"/>
      <c r="E212" s="84"/>
      <c r="F212" s="84"/>
      <c r="G212" s="84"/>
      <c r="H212" s="84"/>
      <c r="I212" s="97"/>
      <c r="J212" s="84"/>
      <c r="K212" s="97"/>
    </row>
    <row r="213" spans="1:11">
      <c r="A213" s="75"/>
      <c r="B213" s="75"/>
      <c r="C213" s="75"/>
      <c r="D213" s="75"/>
      <c r="E213" s="75"/>
      <c r="F213" s="75"/>
      <c r="G213" s="75"/>
      <c r="H213" s="75"/>
      <c r="I213" s="75"/>
      <c r="J213" s="97"/>
      <c r="K213" s="97"/>
    </row>
    <row r="214" spans="1:11">
      <c r="A214" s="81" t="s">
        <v>247</v>
      </c>
      <c r="B214" s="97"/>
      <c r="C214" s="97" t="s">
        <v>248</v>
      </c>
      <c r="D214" s="97"/>
      <c r="E214" s="97"/>
      <c r="F214" s="97"/>
      <c r="G214" s="97"/>
      <c r="H214" s="97"/>
      <c r="I214" s="97"/>
      <c r="J214" s="97"/>
      <c r="K214" s="97"/>
    </row>
    <row r="215" spans="1:11">
      <c r="A215" s="81"/>
      <c r="B215" s="97"/>
      <c r="C215" s="97" t="s">
        <v>249</v>
      </c>
      <c r="D215" s="97"/>
      <c r="E215" s="97"/>
      <c r="F215" s="97"/>
      <c r="G215" s="97"/>
      <c r="H215" s="97"/>
      <c r="I215" s="97"/>
      <c r="J215" s="97"/>
      <c r="K215" s="97"/>
    </row>
    <row r="216" spans="1:11">
      <c r="A216" s="81"/>
      <c r="B216" s="97"/>
      <c r="C216" s="97" t="s">
        <v>250</v>
      </c>
      <c r="D216" s="97"/>
      <c r="E216" s="97"/>
      <c r="F216" s="97"/>
      <c r="G216" s="97"/>
      <c r="H216" s="97"/>
      <c r="I216" s="97"/>
      <c r="J216" s="97"/>
      <c r="K216" s="97"/>
    </row>
    <row r="217" spans="1:11">
      <c r="A217" s="81" t="s">
        <v>251</v>
      </c>
      <c r="B217" s="97"/>
      <c r="C217" s="97" t="s">
        <v>252</v>
      </c>
      <c r="D217" s="97"/>
      <c r="E217" s="97"/>
      <c r="F217" s="97"/>
      <c r="G217" s="97"/>
      <c r="H217" s="97"/>
      <c r="I217" s="97"/>
      <c r="J217" s="97"/>
      <c r="K217" s="97"/>
    </row>
    <row r="218" spans="1:11">
      <c r="A218" s="81" t="s">
        <v>253</v>
      </c>
      <c r="B218" s="97"/>
      <c r="C218" s="97" t="s">
        <v>254</v>
      </c>
      <c r="D218" s="97"/>
      <c r="E218" s="97"/>
      <c r="F218" s="97"/>
      <c r="G218" s="97"/>
      <c r="H218" s="97"/>
      <c r="I218" s="97"/>
      <c r="J218" s="97"/>
      <c r="K218" s="97"/>
    </row>
    <row r="219" spans="1:11">
      <c r="A219" s="81" t="s">
        <v>255</v>
      </c>
      <c r="B219" s="97"/>
      <c r="C219" s="97" t="s">
        <v>256</v>
      </c>
      <c r="D219" s="97"/>
      <c r="E219" s="97"/>
      <c r="F219" s="97"/>
      <c r="G219" s="97"/>
      <c r="H219" s="97"/>
      <c r="I219" s="97"/>
      <c r="J219" s="97"/>
      <c r="K219" s="97"/>
    </row>
    <row r="220" spans="1:11">
      <c r="A220" s="81" t="s">
        <v>257</v>
      </c>
      <c r="B220" s="97"/>
      <c r="C220" s="97" t="s">
        <v>258</v>
      </c>
      <c r="D220" s="97"/>
      <c r="E220" s="97"/>
      <c r="F220" s="97"/>
      <c r="G220" s="97"/>
      <c r="H220" s="97"/>
      <c r="I220" s="97"/>
      <c r="J220" s="97"/>
      <c r="K220" s="97"/>
    </row>
    <row r="221" spans="1:11">
      <c r="A221" s="81"/>
      <c r="B221" s="97"/>
      <c r="C221" s="75" t="s">
        <v>259</v>
      </c>
      <c r="D221" s="97"/>
      <c r="E221" s="97"/>
      <c r="F221" s="97"/>
      <c r="G221" s="97"/>
      <c r="H221" s="97"/>
      <c r="I221" s="97"/>
      <c r="J221" s="97"/>
      <c r="K221" s="97"/>
    </row>
    <row r="222" spans="1:11">
      <c r="A222" s="81" t="s">
        <v>260</v>
      </c>
      <c r="B222" s="97"/>
      <c r="C222" s="97" t="s">
        <v>261</v>
      </c>
      <c r="D222" s="97"/>
      <c r="E222" s="97"/>
      <c r="F222" s="97"/>
      <c r="G222" s="97"/>
      <c r="H222" s="97"/>
      <c r="I222" s="97"/>
      <c r="J222" s="97"/>
      <c r="K222" s="97"/>
    </row>
    <row r="223" spans="1:11">
      <c r="A223" s="81"/>
      <c r="B223" s="97"/>
      <c r="C223" s="97" t="s">
        <v>262</v>
      </c>
      <c r="D223" s="97"/>
      <c r="E223" s="97"/>
      <c r="F223" s="97"/>
      <c r="G223" s="97"/>
      <c r="H223" s="97"/>
      <c r="I223" s="97"/>
      <c r="J223" s="97"/>
      <c r="K223" s="97"/>
    </row>
    <row r="224" spans="1:11">
      <c r="A224" s="81"/>
      <c r="B224" s="97"/>
      <c r="C224" s="97" t="s">
        <v>263</v>
      </c>
      <c r="D224" s="97"/>
      <c r="E224" s="97"/>
      <c r="F224" s="97"/>
      <c r="G224" s="97"/>
      <c r="H224" s="97"/>
      <c r="I224" s="97"/>
      <c r="J224" s="97"/>
      <c r="K224" s="97"/>
    </row>
    <row r="225" spans="1:11">
      <c r="A225" s="81" t="s">
        <v>264</v>
      </c>
      <c r="B225" s="97"/>
      <c r="C225" s="97" t="s">
        <v>265</v>
      </c>
      <c r="D225" s="97"/>
      <c r="E225" s="97"/>
      <c r="F225" s="97"/>
      <c r="G225" s="97"/>
      <c r="H225" s="97"/>
      <c r="I225" s="97"/>
      <c r="J225" s="97"/>
      <c r="K225" s="97"/>
    </row>
    <row r="226" spans="1:11">
      <c r="A226" s="81"/>
      <c r="B226" s="97"/>
      <c r="C226" s="97" t="s">
        <v>266</v>
      </c>
      <c r="D226" s="97"/>
      <c r="E226" s="97"/>
      <c r="F226" s="97"/>
      <c r="G226" s="97"/>
      <c r="H226" s="97"/>
      <c r="I226" s="97"/>
      <c r="J226" s="97"/>
      <c r="K226" s="97"/>
    </row>
    <row r="227" spans="1:11">
      <c r="A227" s="81"/>
      <c r="B227" s="97"/>
      <c r="C227" s="97" t="s">
        <v>267</v>
      </c>
      <c r="D227" s="97"/>
      <c r="E227" s="97"/>
      <c r="F227" s="97"/>
      <c r="G227" s="97"/>
      <c r="H227" s="97"/>
      <c r="I227" s="97"/>
      <c r="J227" s="97"/>
      <c r="K227" s="97"/>
    </row>
    <row r="228" spans="1:11">
      <c r="A228" s="81"/>
      <c r="B228" s="97"/>
      <c r="C228" s="97" t="s">
        <v>268</v>
      </c>
      <c r="D228" s="97"/>
      <c r="E228" s="97"/>
      <c r="F228" s="97"/>
      <c r="G228" s="97"/>
      <c r="H228" s="97"/>
      <c r="I228" s="97"/>
      <c r="J228" s="97"/>
      <c r="K228" s="97"/>
    </row>
    <row r="229" spans="1:11">
      <c r="A229" s="81"/>
      <c r="B229" s="97"/>
      <c r="C229" s="97" t="s">
        <v>269</v>
      </c>
      <c r="D229" s="97"/>
      <c r="E229" s="97"/>
      <c r="F229" s="97"/>
      <c r="G229" s="97"/>
      <c r="H229" s="97"/>
      <c r="I229" s="97"/>
      <c r="J229" s="97"/>
      <c r="K229" s="97"/>
    </row>
    <row r="230" spans="1:11">
      <c r="A230" s="81"/>
      <c r="B230" s="97"/>
      <c r="C230" s="97" t="s">
        <v>270</v>
      </c>
      <c r="D230" s="97"/>
      <c r="E230" s="97"/>
      <c r="F230" s="97"/>
      <c r="G230" s="97"/>
      <c r="H230" s="97"/>
      <c r="I230" s="97"/>
      <c r="J230" s="97"/>
      <c r="K230" s="97"/>
    </row>
    <row r="231" spans="1:11">
      <c r="A231" s="81" t="s">
        <v>54</v>
      </c>
      <c r="B231" s="97"/>
      <c r="C231" s="97" t="s">
        <v>271</v>
      </c>
      <c r="D231" s="97" t="s">
        <v>272</v>
      </c>
      <c r="E231" s="145">
        <v>0.21</v>
      </c>
      <c r="F231" s="97"/>
      <c r="G231" s="97"/>
      <c r="H231" s="97"/>
      <c r="I231" s="97"/>
      <c r="J231" s="97"/>
      <c r="K231" s="97"/>
    </row>
    <row r="232" spans="1:11">
      <c r="A232" s="81"/>
      <c r="B232" s="97"/>
      <c r="C232" s="97"/>
      <c r="D232" s="97" t="s">
        <v>273</v>
      </c>
      <c r="E232" s="145">
        <v>0</v>
      </c>
      <c r="F232" s="97" t="s">
        <v>274</v>
      </c>
      <c r="G232" s="97"/>
      <c r="H232" s="97"/>
      <c r="I232" s="97"/>
      <c r="J232" s="97"/>
      <c r="K232" s="97"/>
    </row>
    <row r="233" spans="1:11">
      <c r="A233" s="81"/>
      <c r="B233" s="97"/>
      <c r="C233" s="97"/>
      <c r="D233" s="97" t="s">
        <v>275</v>
      </c>
      <c r="E233" s="145">
        <v>0</v>
      </c>
      <c r="F233" s="97" t="s">
        <v>276</v>
      </c>
      <c r="G233" s="97"/>
      <c r="H233" s="97"/>
      <c r="I233" s="97"/>
      <c r="J233" s="97"/>
      <c r="K233" s="97"/>
    </row>
    <row r="234" spans="1:11">
      <c r="A234" s="146" t="s">
        <v>277</v>
      </c>
      <c r="B234" s="75"/>
      <c r="C234" s="75" t="s">
        <v>278</v>
      </c>
      <c r="D234" s="75"/>
      <c r="E234" s="75"/>
      <c r="F234" s="75"/>
      <c r="G234" s="75"/>
      <c r="H234" s="75"/>
      <c r="I234" s="75"/>
      <c r="J234" s="75"/>
      <c r="K234" s="75"/>
    </row>
    <row r="235" spans="1:11" ht="15" customHeight="1">
      <c r="A235" s="152" t="s">
        <v>279</v>
      </c>
      <c r="C235" s="97" t="s">
        <v>280</v>
      </c>
    </row>
    <row r="236" spans="1:11">
      <c r="C236" t="s">
        <v>278</v>
      </c>
    </row>
    <row r="237" spans="1:11">
      <c r="A237" s="152" t="s">
        <v>281</v>
      </c>
      <c r="C237" s="97" t="s">
        <v>282</v>
      </c>
    </row>
  </sheetData>
  <mergeCells count="13">
    <mergeCell ref="A4:K4"/>
    <mergeCell ref="A5:K5"/>
    <mergeCell ref="A7:K7"/>
    <mergeCell ref="A72:K72"/>
    <mergeCell ref="A73:K73"/>
    <mergeCell ref="A75:K75"/>
    <mergeCell ref="A204:K204"/>
    <mergeCell ref="A205:K205"/>
    <mergeCell ref="A207:K207"/>
    <mergeCell ref="A132:K132"/>
    <mergeCell ref="A127:K127"/>
    <mergeCell ref="A128:K128"/>
    <mergeCell ref="A130:K130"/>
  </mergeCells>
  <phoneticPr fontId="11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8" max="12" man="1"/>
    <brk id="124" max="10" man="1"/>
    <brk id="200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115"/>
  <sheetViews>
    <sheetView zoomScale="80" zoomScaleNormal="80" workbookViewId="0">
      <selection sqref="A1:XFD1048576"/>
    </sheetView>
  </sheetViews>
  <sheetFormatPr defaultColWidth="7.109375" defaultRowHeight="15.6"/>
  <cols>
    <col min="1" max="1" width="3.44140625" style="153" customWidth="1"/>
    <col min="2" max="2" width="4.109375" style="153" customWidth="1"/>
    <col min="3" max="3" width="4.5546875" style="153" customWidth="1"/>
    <col min="4" max="4" width="49.21875" style="154" customWidth="1"/>
    <col min="5" max="5" width="12.44140625" style="154" bestFit="1" customWidth="1"/>
    <col min="6" max="6" width="17.44140625" style="153" bestFit="1" customWidth="1"/>
    <col min="7" max="7" width="9.44140625" style="153" customWidth="1"/>
    <col min="8" max="8" width="11.21875" style="153" customWidth="1"/>
    <col min="9" max="9" width="7.109375" style="153"/>
    <col min="10" max="10" width="10.21875" style="153" bestFit="1" customWidth="1"/>
    <col min="11" max="16384" width="7.109375" style="153"/>
  </cols>
  <sheetData>
    <row r="1" spans="2:19">
      <c r="F1" s="273" t="s">
        <v>283</v>
      </c>
      <c r="G1" s="273"/>
    </row>
    <row r="2" spans="2:19" ht="46.5" customHeight="1">
      <c r="B2" s="271" t="s">
        <v>284</v>
      </c>
      <c r="C2" s="272"/>
      <c r="D2" s="272"/>
      <c r="E2" s="272"/>
      <c r="F2" s="272"/>
      <c r="G2" s="272"/>
    </row>
    <row r="3" spans="2:19">
      <c r="F3" s="156"/>
    </row>
    <row r="4" spans="2:19">
      <c r="B4" s="157" t="s">
        <v>60</v>
      </c>
    </row>
    <row r="5" spans="2:19">
      <c r="B5" s="158" t="s">
        <v>65</v>
      </c>
      <c r="F5" s="159" t="s">
        <v>285</v>
      </c>
    </row>
    <row r="6" spans="2:19">
      <c r="B6" s="157">
        <v>1</v>
      </c>
      <c r="C6" s="160" t="s">
        <v>286</v>
      </c>
      <c r="D6" s="153"/>
      <c r="E6" s="153"/>
      <c r="F6" s="17" t="s">
        <v>287</v>
      </c>
    </row>
    <row r="7" spans="2:19">
      <c r="B7" s="157">
        <f t="shared" ref="B7:B38" si="0">+B6+1</f>
        <v>2</v>
      </c>
      <c r="D7" s="161">
        <v>45992</v>
      </c>
      <c r="E7" s="153"/>
      <c r="F7" s="18">
        <v>65371.49</v>
      </c>
      <c r="J7" s="170"/>
      <c r="L7" s="170"/>
      <c r="M7" s="170"/>
      <c r="N7" s="170"/>
      <c r="O7" s="170"/>
      <c r="P7" s="170"/>
      <c r="Q7" s="170"/>
      <c r="R7" s="170"/>
      <c r="S7" s="170"/>
    </row>
    <row r="8" spans="2:19">
      <c r="B8" s="157">
        <f t="shared" si="0"/>
        <v>3</v>
      </c>
      <c r="D8" s="161">
        <v>46023</v>
      </c>
      <c r="E8" s="153"/>
      <c r="F8" s="18">
        <v>6950.22</v>
      </c>
      <c r="J8" s="170"/>
    </row>
    <row r="9" spans="2:19">
      <c r="B9" s="157">
        <f t="shared" si="0"/>
        <v>4</v>
      </c>
      <c r="D9" s="161">
        <v>46054</v>
      </c>
      <c r="E9" s="153"/>
      <c r="F9" s="18">
        <v>86920.23000000001</v>
      </c>
      <c r="I9" s="160"/>
      <c r="J9" s="170"/>
    </row>
    <row r="10" spans="2:19">
      <c r="B10" s="157">
        <f t="shared" si="0"/>
        <v>5</v>
      </c>
      <c r="D10" s="161">
        <v>46082</v>
      </c>
      <c r="E10" s="153"/>
      <c r="F10" s="18">
        <v>333329.72999999981</v>
      </c>
      <c r="I10" s="160"/>
      <c r="J10" s="170"/>
    </row>
    <row r="11" spans="2:19">
      <c r="B11" s="157">
        <f t="shared" si="0"/>
        <v>6</v>
      </c>
      <c r="D11" s="161">
        <v>46113</v>
      </c>
      <c r="E11" s="153"/>
      <c r="F11" s="18">
        <v>-26555.55999999999</v>
      </c>
      <c r="I11" s="160"/>
      <c r="J11" s="170"/>
    </row>
    <row r="12" spans="2:19">
      <c r="B12" s="157">
        <f t="shared" si="0"/>
        <v>7</v>
      </c>
      <c r="D12" s="161">
        <v>46143</v>
      </c>
      <c r="E12" s="153"/>
      <c r="F12" s="18">
        <v>1468.9199999999996</v>
      </c>
      <c r="I12" s="160"/>
      <c r="J12" s="170"/>
    </row>
    <row r="13" spans="2:19">
      <c r="B13" s="157">
        <f t="shared" si="0"/>
        <v>8</v>
      </c>
      <c r="C13" s="160"/>
      <c r="D13" s="161">
        <v>46174</v>
      </c>
      <c r="E13" s="153"/>
      <c r="F13" s="18">
        <v>137339.56</v>
      </c>
      <c r="I13" s="160"/>
      <c r="J13" s="170"/>
    </row>
    <row r="14" spans="2:19">
      <c r="B14" s="157">
        <f t="shared" si="0"/>
        <v>9</v>
      </c>
      <c r="D14" s="161">
        <v>46204</v>
      </c>
      <c r="E14" s="153"/>
      <c r="F14" s="18">
        <v>-4746.99</v>
      </c>
      <c r="I14" s="160"/>
      <c r="J14" s="170"/>
    </row>
    <row r="15" spans="2:19">
      <c r="B15" s="157">
        <f t="shared" si="0"/>
        <v>10</v>
      </c>
      <c r="D15" s="161">
        <v>46235</v>
      </c>
      <c r="E15" s="153"/>
      <c r="F15" s="18">
        <v>0</v>
      </c>
      <c r="I15" s="160"/>
      <c r="J15" s="18"/>
    </row>
    <row r="16" spans="2:19">
      <c r="B16" s="157">
        <f t="shared" si="0"/>
        <v>11</v>
      </c>
      <c r="D16" s="161">
        <v>46266</v>
      </c>
      <c r="E16" s="153"/>
      <c r="F16" s="18">
        <v>0</v>
      </c>
      <c r="I16" s="160"/>
      <c r="J16" s="18"/>
    </row>
    <row r="17" spans="2:10">
      <c r="B17" s="157">
        <f t="shared" si="0"/>
        <v>12</v>
      </c>
      <c r="D17" s="161">
        <v>46296</v>
      </c>
      <c r="E17" s="153"/>
      <c r="F17" s="18">
        <v>0</v>
      </c>
      <c r="I17" s="160"/>
      <c r="J17" s="18"/>
    </row>
    <row r="18" spans="2:10">
      <c r="B18" s="157">
        <f t="shared" si="0"/>
        <v>13</v>
      </c>
      <c r="D18" s="161">
        <v>46327</v>
      </c>
      <c r="E18" s="153"/>
      <c r="F18" s="18">
        <v>0</v>
      </c>
      <c r="I18" s="160"/>
    </row>
    <row r="19" spans="2:10">
      <c r="B19" s="157">
        <f t="shared" si="0"/>
        <v>14</v>
      </c>
      <c r="D19" s="161">
        <v>46357</v>
      </c>
      <c r="E19" s="153"/>
      <c r="F19" s="18">
        <v>0</v>
      </c>
      <c r="I19" s="160"/>
    </row>
    <row r="20" spans="2:10">
      <c r="B20" s="157">
        <f t="shared" si="0"/>
        <v>15</v>
      </c>
      <c r="C20" s="160" t="s">
        <v>288</v>
      </c>
      <c r="D20" s="153"/>
      <c r="E20" s="153"/>
      <c r="F20" s="19">
        <f>SUM(F7:F19)</f>
        <v>600077.59999999986</v>
      </c>
      <c r="I20" s="160"/>
    </row>
    <row r="21" spans="2:10">
      <c r="B21" s="157">
        <f t="shared" si="0"/>
        <v>16</v>
      </c>
      <c r="D21" s="153" t="s">
        <v>289</v>
      </c>
      <c r="E21" s="153"/>
      <c r="F21" s="22">
        <f>'BHP WP5 Depreciation Rates'!H21</f>
        <v>2.3199999999999998E-2</v>
      </c>
      <c r="I21" s="160"/>
    </row>
    <row r="22" spans="2:10" ht="16.149999999999999" thickBot="1">
      <c r="B22" s="157">
        <f t="shared" si="0"/>
        <v>17</v>
      </c>
      <c r="C22" s="160" t="str">
        <f>"Annual Transmisison Depreciation Expense (line "&amp;B20&amp;" x line "&amp;B21&amp;")"</f>
        <v>Annual Transmisison Depreciation Expense (line 15 x line 16)</v>
      </c>
      <c r="D22" s="153"/>
      <c r="E22" s="153"/>
      <c r="F22" s="20">
        <f>+F20*F21</f>
        <v>13921.800319999997</v>
      </c>
      <c r="I22" s="160"/>
    </row>
    <row r="23" spans="2:10" ht="16.149999999999999" thickTop="1">
      <c r="B23" s="157">
        <f t="shared" si="0"/>
        <v>18</v>
      </c>
      <c r="D23" s="18"/>
      <c r="E23" s="18"/>
    </row>
    <row r="24" spans="2:10">
      <c r="B24" s="157">
        <f t="shared" si="0"/>
        <v>19</v>
      </c>
      <c r="D24" s="18"/>
      <c r="E24" s="162" t="s">
        <v>290</v>
      </c>
      <c r="F24" s="153" t="s">
        <v>291</v>
      </c>
    </row>
    <row r="25" spans="2:10">
      <c r="B25" s="157">
        <f t="shared" si="0"/>
        <v>20</v>
      </c>
      <c r="C25" s="160"/>
      <c r="E25" s="163" t="s">
        <v>292</v>
      </c>
      <c r="F25" s="157" t="s">
        <v>293</v>
      </c>
    </row>
    <row r="26" spans="2:10">
      <c r="B26" s="157">
        <f t="shared" si="0"/>
        <v>21</v>
      </c>
      <c r="C26" s="160" t="s">
        <v>294</v>
      </c>
      <c r="E26" s="163" t="s">
        <v>287</v>
      </c>
      <c r="F26" s="157" t="s">
        <v>295</v>
      </c>
      <c r="I26" s="160"/>
    </row>
    <row r="27" spans="2:10">
      <c r="B27" s="157">
        <f t="shared" si="0"/>
        <v>22</v>
      </c>
      <c r="F27" s="18"/>
    </row>
    <row r="28" spans="2:10">
      <c r="B28" s="157">
        <f t="shared" si="0"/>
        <v>23</v>
      </c>
      <c r="D28" s="164" t="s">
        <v>296</v>
      </c>
      <c r="E28" s="18">
        <f>Estimate!E16+F8</f>
        <v>299990938.37</v>
      </c>
      <c r="F28" s="18">
        <f>(+E28*$F$21)/12</f>
        <v>579982.48084866663</v>
      </c>
      <c r="I28" s="160"/>
    </row>
    <row r="29" spans="2:10">
      <c r="B29" s="157">
        <f t="shared" si="0"/>
        <v>24</v>
      </c>
      <c r="D29" s="165">
        <v>46054</v>
      </c>
      <c r="E29" s="18">
        <f>+E28+F9</f>
        <v>300077858.60000002</v>
      </c>
      <c r="F29" s="18">
        <f>(+E29*$F$21)/12</f>
        <v>580150.52662666666</v>
      </c>
      <c r="I29" s="160"/>
    </row>
    <row r="30" spans="2:10">
      <c r="B30" s="157">
        <f t="shared" si="0"/>
        <v>25</v>
      </c>
      <c r="D30" s="165">
        <v>46082</v>
      </c>
      <c r="E30" s="18">
        <f>+E29+F10</f>
        <v>300411188.33000004</v>
      </c>
      <c r="F30" s="18">
        <f t="shared" ref="F30:F38" si="1">(+E30*$F$21)/12</f>
        <v>580794.96410466672</v>
      </c>
      <c r="I30" s="160"/>
    </row>
    <row r="31" spans="2:10">
      <c r="B31" s="157">
        <f t="shared" si="0"/>
        <v>26</v>
      </c>
      <c r="D31" s="165">
        <v>46113</v>
      </c>
      <c r="E31" s="18">
        <f>+E30+F11</f>
        <v>300384632.77000004</v>
      </c>
      <c r="F31" s="18">
        <f t="shared" si="1"/>
        <v>580743.62335533334</v>
      </c>
      <c r="I31" s="160"/>
    </row>
    <row r="32" spans="2:10">
      <c r="B32" s="157">
        <f t="shared" si="0"/>
        <v>27</v>
      </c>
      <c r="D32" s="165">
        <v>46143</v>
      </c>
      <c r="E32" s="18">
        <f>+E31+F12</f>
        <v>300386101.69000006</v>
      </c>
      <c r="F32" s="18">
        <f t="shared" si="1"/>
        <v>580746.46326733346</v>
      </c>
      <c r="I32" s="160"/>
    </row>
    <row r="33" spans="2:9">
      <c r="B33" s="157">
        <f t="shared" si="0"/>
        <v>28</v>
      </c>
      <c r="D33" s="165">
        <v>46174</v>
      </c>
      <c r="E33" s="18">
        <f>+E32+F13</f>
        <v>300523441.25000006</v>
      </c>
      <c r="F33" s="18">
        <f t="shared" si="1"/>
        <v>581011.98641666677</v>
      </c>
      <c r="I33" s="160"/>
    </row>
    <row r="34" spans="2:9">
      <c r="B34" s="157">
        <f t="shared" si="0"/>
        <v>29</v>
      </c>
      <c r="D34" s="165">
        <v>46204</v>
      </c>
      <c r="E34" s="18">
        <f t="shared" ref="E34:E37" si="2">+E33+F14</f>
        <v>300518694.26000005</v>
      </c>
      <c r="F34" s="18">
        <f>(+E34*$F$21)/12</f>
        <v>581002.80890266679</v>
      </c>
      <c r="I34" s="160"/>
    </row>
    <row r="35" spans="2:9">
      <c r="B35" s="157">
        <f t="shared" si="0"/>
        <v>30</v>
      </c>
      <c r="D35" s="165">
        <v>46235</v>
      </c>
      <c r="E35" s="18">
        <f t="shared" si="2"/>
        <v>300518694.26000005</v>
      </c>
      <c r="F35" s="18">
        <f t="shared" si="1"/>
        <v>581002.80890266679</v>
      </c>
      <c r="I35" s="160"/>
    </row>
    <row r="36" spans="2:9">
      <c r="B36" s="157">
        <f t="shared" si="0"/>
        <v>31</v>
      </c>
      <c r="D36" s="165">
        <v>46266</v>
      </c>
      <c r="E36" s="18">
        <f t="shared" si="2"/>
        <v>300518694.26000005</v>
      </c>
      <c r="F36" s="18">
        <f t="shared" si="1"/>
        <v>581002.80890266679</v>
      </c>
      <c r="I36" s="160"/>
    </row>
    <row r="37" spans="2:9">
      <c r="B37" s="157">
        <f t="shared" si="0"/>
        <v>32</v>
      </c>
      <c r="D37" s="165">
        <v>46296</v>
      </c>
      <c r="E37" s="18">
        <f t="shared" si="2"/>
        <v>300518694.26000005</v>
      </c>
      <c r="F37" s="18">
        <f t="shared" si="1"/>
        <v>581002.80890266679</v>
      </c>
      <c r="I37" s="160"/>
    </row>
    <row r="38" spans="2:9">
      <c r="B38" s="157">
        <f t="shared" si="0"/>
        <v>33</v>
      </c>
      <c r="D38" s="165">
        <v>46327</v>
      </c>
      <c r="E38" s="18">
        <f>+E37+F18</f>
        <v>300518694.26000005</v>
      </c>
      <c r="F38" s="18">
        <f t="shared" si="1"/>
        <v>581002.80890266679</v>
      </c>
      <c r="I38" s="160"/>
    </row>
    <row r="39" spans="2:9">
      <c r="B39" s="157">
        <f t="shared" ref="B39:B57" si="3">+B38+1</f>
        <v>34</v>
      </c>
      <c r="D39" s="165">
        <v>46357</v>
      </c>
      <c r="E39" s="18">
        <f>+E38+F19</f>
        <v>300518694.26000005</v>
      </c>
      <c r="F39" s="18">
        <f>(+E39*$F$21)/12</f>
        <v>581002.80890266679</v>
      </c>
      <c r="I39" s="160"/>
    </row>
    <row r="40" spans="2:9">
      <c r="B40" s="157">
        <f t="shared" si="3"/>
        <v>35</v>
      </c>
      <c r="D40" s="165"/>
      <c r="E40" s="18"/>
      <c r="F40" s="19">
        <f>SUM(F28:F39)</f>
        <v>6969446.8980353344</v>
      </c>
    </row>
    <row r="41" spans="2:9">
      <c r="B41" s="157">
        <f t="shared" si="3"/>
        <v>36</v>
      </c>
      <c r="C41" s="153" t="s">
        <v>297</v>
      </c>
      <c r="D41" s="165"/>
      <c r="E41" s="18"/>
      <c r="F41" s="18"/>
    </row>
    <row r="42" spans="2:9">
      <c r="B42" s="157">
        <f t="shared" si="3"/>
        <v>37</v>
      </c>
      <c r="D42" s="165">
        <v>46388</v>
      </c>
      <c r="E42" s="18">
        <f>+E39+'BHP WP3 Capital Additions'!D10</f>
        <v>300518694.26000005</v>
      </c>
      <c r="F42" s="18">
        <f t="shared" ref="F42:F53" si="4">(+E42*$F$21)/12</f>
        <v>581002.80890266679</v>
      </c>
      <c r="G42" s="166"/>
      <c r="I42" s="160"/>
    </row>
    <row r="43" spans="2:9">
      <c r="B43" s="157">
        <f t="shared" si="3"/>
        <v>38</v>
      </c>
      <c r="D43" s="165">
        <v>46419</v>
      </c>
      <c r="E43" s="18">
        <f>+E42+'BHP WP3 Capital Additions'!D11</f>
        <v>300518694.26000005</v>
      </c>
      <c r="F43" s="18">
        <f t="shared" si="4"/>
        <v>581002.80890266679</v>
      </c>
      <c r="G43" s="166"/>
      <c r="I43" s="160"/>
    </row>
    <row r="44" spans="2:9">
      <c r="B44" s="157">
        <f t="shared" si="3"/>
        <v>39</v>
      </c>
      <c r="D44" s="165">
        <v>46447</v>
      </c>
      <c r="E44" s="18">
        <f>+E43+'BHP WP3 Capital Additions'!D12</f>
        <v>300518694.26000005</v>
      </c>
      <c r="F44" s="18">
        <f t="shared" si="4"/>
        <v>581002.80890266679</v>
      </c>
      <c r="G44" s="166"/>
      <c r="I44" s="160"/>
    </row>
    <row r="45" spans="2:9">
      <c r="B45" s="157">
        <f t="shared" si="3"/>
        <v>40</v>
      </c>
      <c r="D45" s="165">
        <v>46478</v>
      </c>
      <c r="E45" s="18">
        <f>+E44+'BHP WP3 Capital Additions'!D13</f>
        <v>300518694.26000005</v>
      </c>
      <c r="F45" s="18">
        <f t="shared" si="4"/>
        <v>581002.80890266679</v>
      </c>
      <c r="G45" s="166"/>
      <c r="I45" s="160"/>
    </row>
    <row r="46" spans="2:9">
      <c r="B46" s="157">
        <f t="shared" si="3"/>
        <v>41</v>
      </c>
      <c r="D46" s="165">
        <v>46508</v>
      </c>
      <c r="E46" s="18">
        <f>+E45+'BHP WP3 Capital Additions'!D14</f>
        <v>300518694.26000005</v>
      </c>
      <c r="F46" s="18">
        <f t="shared" si="4"/>
        <v>581002.80890266679</v>
      </c>
      <c r="G46" s="166"/>
      <c r="I46" s="160"/>
    </row>
    <row r="47" spans="2:9">
      <c r="B47" s="157">
        <f t="shared" si="3"/>
        <v>42</v>
      </c>
      <c r="D47" s="165">
        <v>46539</v>
      </c>
      <c r="E47" s="18">
        <f>+E46+'BHP WP3 Capital Additions'!D15</f>
        <v>300518694.26000005</v>
      </c>
      <c r="F47" s="18">
        <f t="shared" si="4"/>
        <v>581002.80890266679</v>
      </c>
      <c r="G47" s="166"/>
      <c r="I47" s="160"/>
    </row>
    <row r="48" spans="2:9">
      <c r="B48" s="157">
        <f t="shared" si="3"/>
        <v>43</v>
      </c>
      <c r="D48" s="165">
        <v>46569</v>
      </c>
      <c r="E48" s="18">
        <f>+E47+'BHP WP3 Capital Additions'!D16</f>
        <v>300518694.26000005</v>
      </c>
      <c r="F48" s="18">
        <f t="shared" si="4"/>
        <v>581002.80890266679</v>
      </c>
      <c r="G48" s="166"/>
      <c r="I48" s="160"/>
    </row>
    <row r="49" spans="2:9">
      <c r="B49" s="157">
        <f t="shared" si="3"/>
        <v>44</v>
      </c>
      <c r="D49" s="165">
        <v>46600</v>
      </c>
      <c r="E49" s="18">
        <f>+E48+'BHP WP3 Capital Additions'!D17</f>
        <v>300518694.26000005</v>
      </c>
      <c r="F49" s="18">
        <f t="shared" si="4"/>
        <v>581002.80890266679</v>
      </c>
      <c r="G49" s="166"/>
      <c r="I49" s="160"/>
    </row>
    <row r="50" spans="2:9">
      <c r="B50" s="157">
        <f t="shared" si="3"/>
        <v>45</v>
      </c>
      <c r="D50" s="165">
        <v>46631</v>
      </c>
      <c r="E50" s="18">
        <f>+E49+'BHP WP3 Capital Additions'!D18</f>
        <v>300518694.26000005</v>
      </c>
      <c r="F50" s="18">
        <f t="shared" si="4"/>
        <v>581002.80890266679</v>
      </c>
      <c r="G50" s="166"/>
      <c r="I50" s="160"/>
    </row>
    <row r="51" spans="2:9">
      <c r="B51" s="157">
        <f t="shared" si="3"/>
        <v>46</v>
      </c>
      <c r="D51" s="165">
        <v>46661</v>
      </c>
      <c r="E51" s="18">
        <f>+E50+'BHP WP3 Capital Additions'!D19</f>
        <v>300518694.26000005</v>
      </c>
      <c r="F51" s="18">
        <f t="shared" si="4"/>
        <v>581002.80890266679</v>
      </c>
      <c r="G51" s="166"/>
      <c r="I51" s="160"/>
    </row>
    <row r="52" spans="2:9">
      <c r="B52" s="157">
        <f t="shared" si="3"/>
        <v>47</v>
      </c>
      <c r="D52" s="165">
        <v>46692</v>
      </c>
      <c r="E52" s="18">
        <f>+E51+'BHP WP3 Capital Additions'!D20</f>
        <v>300518694.26000005</v>
      </c>
      <c r="F52" s="18">
        <f t="shared" si="4"/>
        <v>581002.80890266679</v>
      </c>
      <c r="G52" s="166"/>
      <c r="I52" s="160"/>
    </row>
    <row r="53" spans="2:9">
      <c r="B53" s="157">
        <f t="shared" si="3"/>
        <v>48</v>
      </c>
      <c r="D53" s="165">
        <v>46722</v>
      </c>
      <c r="E53" s="18">
        <f>+E52+'BHP WP3 Capital Additions'!D21</f>
        <v>300518694.26000005</v>
      </c>
      <c r="F53" s="18">
        <f t="shared" si="4"/>
        <v>581002.80890266679</v>
      </c>
      <c r="G53" s="166"/>
      <c r="I53" s="160"/>
    </row>
    <row r="54" spans="2:9">
      <c r="B54" s="157">
        <f t="shared" si="3"/>
        <v>49</v>
      </c>
      <c r="D54" s="164" t="str">
        <f>"Subtotal of 2027 Increase for Accumulated Depreciation (lines "&amp;B42&amp;"-"&amp;B53&amp;")"</f>
        <v>Subtotal of 2027 Increase for Accumulated Depreciation (lines 37-48)</v>
      </c>
      <c r="F54" s="167">
        <f>SUM(F42:F53)</f>
        <v>6972033.7068320019</v>
      </c>
      <c r="I54" s="160"/>
    </row>
    <row r="55" spans="2:9">
      <c r="B55" s="157">
        <f t="shared" si="3"/>
        <v>50</v>
      </c>
      <c r="D55" s="168" t="str">
        <f>"Average 2027 Impact for rate base consideration (line "&amp;B54&amp;" ÷ 2)"</f>
        <v>Average 2027 Impact for rate base consideration (line 49 ÷ 2)</v>
      </c>
      <c r="F55" s="18">
        <f>+F54/2</f>
        <v>3486016.853416001</v>
      </c>
      <c r="I55" s="160"/>
    </row>
    <row r="56" spans="2:9">
      <c r="B56" s="157">
        <f t="shared" si="3"/>
        <v>51</v>
      </c>
    </row>
    <row r="57" spans="2:9" ht="16.149999999999999" thickBot="1">
      <c r="B57" s="157">
        <f t="shared" si="3"/>
        <v>52</v>
      </c>
      <c r="D57" s="168" t="str">
        <f>"Total Accumulated Depreciation for 2026 &amp; 2027 (lines "&amp;B40&amp;" + "&amp;B55&amp;")"</f>
        <v>Total Accumulated Depreciation for 2026 &amp; 2027 (lines 35 + 50)</v>
      </c>
      <c r="F57" s="169">
        <f>+F40+F55</f>
        <v>10455463.751451336</v>
      </c>
      <c r="I57" s="160"/>
    </row>
    <row r="58" spans="2:9" ht="16.149999999999999" thickTop="1">
      <c r="B58" s="157"/>
    </row>
    <row r="59" spans="2:9">
      <c r="B59" s="157"/>
    </row>
    <row r="60" spans="2:9">
      <c r="B60" s="157"/>
    </row>
    <row r="61" spans="2:9">
      <c r="B61" s="157"/>
    </row>
    <row r="62" spans="2:9">
      <c r="B62" s="157"/>
    </row>
    <row r="114" spans="7:8">
      <c r="G114" s="153" t="s">
        <v>74</v>
      </c>
      <c r="H114" s="153">
        <f>+J183</f>
        <v>0</v>
      </c>
    </row>
    <row r="115" spans="7:8">
      <c r="H115" s="153">
        <f>+H114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10"/>
  <sheetViews>
    <sheetView zoomScale="80" zoomScaleNormal="80" workbookViewId="0">
      <selection sqref="A1:XFD1048576"/>
    </sheetView>
  </sheetViews>
  <sheetFormatPr defaultColWidth="7.109375" defaultRowHeight="15.6"/>
  <cols>
    <col min="1" max="1" width="3.5546875" style="153" customWidth="1"/>
    <col min="2" max="2" width="1.77734375" style="153" customWidth="1"/>
    <col min="3" max="3" width="43.5546875" style="154" customWidth="1"/>
    <col min="4" max="4" width="10.77734375" style="153" customWidth="1"/>
    <col min="5" max="5" width="9.44140625" style="153" customWidth="1"/>
    <col min="6" max="6" width="14.109375" style="153" bestFit="1" customWidth="1"/>
    <col min="7" max="8" width="7.109375" style="153"/>
    <col min="9" max="9" width="10.77734375" style="153" bestFit="1" customWidth="1"/>
    <col min="10" max="16384" width="7.109375" style="153"/>
  </cols>
  <sheetData>
    <row r="1" spans="1:9">
      <c r="F1" s="153" t="s">
        <v>298</v>
      </c>
    </row>
    <row r="2" spans="1:9" ht="48.75" customHeight="1">
      <c r="A2" s="271" t="s">
        <v>299</v>
      </c>
      <c r="B2" s="272"/>
      <c r="C2" s="272"/>
      <c r="D2" s="272"/>
      <c r="E2" s="272"/>
      <c r="F2" s="272"/>
    </row>
    <row r="3" spans="1:9">
      <c r="A3" s="157" t="s">
        <v>60</v>
      </c>
      <c r="B3" s="157"/>
      <c r="C3" s="157"/>
    </row>
    <row r="4" spans="1:9">
      <c r="A4" s="158" t="s">
        <v>65</v>
      </c>
      <c r="B4" s="157"/>
      <c r="C4" s="157"/>
    </row>
    <row r="5" spans="1:9">
      <c r="A5" s="157">
        <v>1</v>
      </c>
      <c r="B5" s="272" t="s">
        <v>300</v>
      </c>
      <c r="C5" s="272"/>
      <c r="D5" s="272"/>
      <c r="E5" s="272"/>
      <c r="F5" s="272"/>
      <c r="I5" s="160"/>
    </row>
    <row r="6" spans="1:9">
      <c r="A6" s="157">
        <v>2</v>
      </c>
      <c r="B6" s="155"/>
      <c r="C6" s="155"/>
      <c r="D6" s="155"/>
      <c r="E6" s="155"/>
    </row>
    <row r="7" spans="1:9">
      <c r="A7" s="157">
        <v>3</v>
      </c>
      <c r="C7" s="171" t="s">
        <v>290</v>
      </c>
      <c r="D7" s="171" t="s">
        <v>301</v>
      </c>
      <c r="E7" s="171" t="s">
        <v>302</v>
      </c>
      <c r="F7" s="171" t="s">
        <v>303</v>
      </c>
    </row>
    <row r="8" spans="1:9" ht="31.15">
      <c r="A8" s="157">
        <v>4</v>
      </c>
      <c r="B8" s="160" t="s">
        <v>304</v>
      </c>
      <c r="E8" s="154" t="s">
        <v>305</v>
      </c>
      <c r="F8" s="172" t="s">
        <v>306</v>
      </c>
    </row>
    <row r="9" spans="1:9">
      <c r="A9" s="157">
        <v>5</v>
      </c>
      <c r="C9" s="161">
        <v>46357</v>
      </c>
      <c r="D9" s="18">
        <v>0</v>
      </c>
      <c r="E9" s="21">
        <v>12</v>
      </c>
      <c r="F9" s="18">
        <f t="shared" ref="F9:F21" si="0">(+D9*E9)/12</f>
        <v>0</v>
      </c>
      <c r="I9" s="160"/>
    </row>
    <row r="10" spans="1:9">
      <c r="A10" s="157">
        <v>6</v>
      </c>
      <c r="C10" s="161">
        <v>46388</v>
      </c>
      <c r="D10" s="18">
        <v>0</v>
      </c>
      <c r="E10" s="21">
        <v>11.5</v>
      </c>
      <c r="F10" s="18">
        <f t="shared" si="0"/>
        <v>0</v>
      </c>
      <c r="I10" s="160"/>
    </row>
    <row r="11" spans="1:9">
      <c r="A11" s="157">
        <v>7</v>
      </c>
      <c r="C11" s="161">
        <v>46419</v>
      </c>
      <c r="D11" s="18">
        <v>0</v>
      </c>
      <c r="E11" s="21">
        <v>10.5</v>
      </c>
      <c r="F11" s="18">
        <f t="shared" si="0"/>
        <v>0</v>
      </c>
      <c r="I11" s="160"/>
    </row>
    <row r="12" spans="1:9">
      <c r="A12" s="157">
        <v>8</v>
      </c>
      <c r="C12" s="161">
        <v>46447</v>
      </c>
      <c r="D12" s="18">
        <v>0</v>
      </c>
      <c r="E12" s="21">
        <v>9.5</v>
      </c>
      <c r="F12" s="18">
        <f t="shared" si="0"/>
        <v>0</v>
      </c>
      <c r="I12" s="160"/>
    </row>
    <row r="13" spans="1:9">
      <c r="A13" s="157">
        <v>9</v>
      </c>
      <c r="C13" s="161">
        <v>46478</v>
      </c>
      <c r="D13" s="18">
        <v>0</v>
      </c>
      <c r="E13" s="21">
        <v>8.5</v>
      </c>
      <c r="F13" s="18">
        <f t="shared" si="0"/>
        <v>0</v>
      </c>
      <c r="I13" s="160"/>
    </row>
    <row r="14" spans="1:9">
      <c r="A14" s="157">
        <v>10</v>
      </c>
      <c r="C14" s="161">
        <v>46508</v>
      </c>
      <c r="D14" s="18">
        <v>0</v>
      </c>
      <c r="E14" s="21">
        <v>7.5</v>
      </c>
      <c r="F14" s="18">
        <f t="shared" si="0"/>
        <v>0</v>
      </c>
      <c r="I14" s="160"/>
    </row>
    <row r="15" spans="1:9">
      <c r="A15" s="157">
        <v>11</v>
      </c>
      <c r="C15" s="161">
        <v>46539</v>
      </c>
      <c r="D15" s="18">
        <v>0</v>
      </c>
      <c r="E15" s="21">
        <v>6.5</v>
      </c>
      <c r="F15" s="18">
        <f t="shared" si="0"/>
        <v>0</v>
      </c>
      <c r="I15" s="160"/>
    </row>
    <row r="16" spans="1:9">
      <c r="A16" s="157">
        <v>12</v>
      </c>
      <c r="C16" s="161">
        <v>46569</v>
      </c>
      <c r="D16" s="18">
        <v>0</v>
      </c>
      <c r="E16" s="21">
        <v>5.5</v>
      </c>
      <c r="F16" s="18">
        <f t="shared" si="0"/>
        <v>0</v>
      </c>
      <c r="I16" s="160"/>
    </row>
    <row r="17" spans="1:9">
      <c r="A17" s="157">
        <v>13</v>
      </c>
      <c r="C17" s="161">
        <v>46600</v>
      </c>
      <c r="D17" s="18">
        <v>0</v>
      </c>
      <c r="E17" s="21">
        <v>4.5</v>
      </c>
      <c r="F17" s="18">
        <f t="shared" si="0"/>
        <v>0</v>
      </c>
      <c r="I17" s="160"/>
    </row>
    <row r="18" spans="1:9">
      <c r="A18" s="157">
        <v>14</v>
      </c>
      <c r="C18" s="161">
        <v>46631</v>
      </c>
      <c r="D18" s="18">
        <v>0</v>
      </c>
      <c r="E18" s="21">
        <v>3.5</v>
      </c>
      <c r="F18" s="18">
        <f t="shared" si="0"/>
        <v>0</v>
      </c>
      <c r="I18" s="160"/>
    </row>
    <row r="19" spans="1:9">
      <c r="A19" s="157">
        <v>15</v>
      </c>
      <c r="C19" s="161">
        <v>46661</v>
      </c>
      <c r="D19" s="18">
        <v>0</v>
      </c>
      <c r="E19" s="21">
        <v>2.5</v>
      </c>
      <c r="F19" s="18">
        <f t="shared" si="0"/>
        <v>0</v>
      </c>
      <c r="I19" s="160"/>
    </row>
    <row r="20" spans="1:9">
      <c r="A20" s="157">
        <v>16</v>
      </c>
      <c r="C20" s="161">
        <v>46692</v>
      </c>
      <c r="D20" s="18">
        <v>0</v>
      </c>
      <c r="E20" s="21">
        <v>1.5</v>
      </c>
      <c r="F20" s="18">
        <f t="shared" si="0"/>
        <v>0</v>
      </c>
      <c r="I20" s="160"/>
    </row>
    <row r="21" spans="1:9">
      <c r="A21" s="157">
        <v>17</v>
      </c>
      <c r="C21" s="161">
        <v>46722</v>
      </c>
      <c r="D21" s="18">
        <v>0</v>
      </c>
      <c r="E21" s="21">
        <v>0.5</v>
      </c>
      <c r="F21" s="18">
        <f t="shared" si="0"/>
        <v>0</v>
      </c>
      <c r="I21" s="160"/>
    </row>
    <row r="22" spans="1:9">
      <c r="A22" s="157">
        <v>18</v>
      </c>
      <c r="D22" s="173"/>
      <c r="F22" s="173"/>
    </row>
    <row r="23" spans="1:9">
      <c r="A23" s="157">
        <v>19</v>
      </c>
      <c r="B23" s="160"/>
      <c r="D23" s="166">
        <f>SUM(D9:D22)</f>
        <v>0</v>
      </c>
      <c r="F23" s="166">
        <f>SUM(F9:F22)</f>
        <v>0</v>
      </c>
    </row>
    <row r="24" spans="1:9">
      <c r="A24" s="157">
        <v>20</v>
      </c>
    </row>
    <row r="25" spans="1:9">
      <c r="A25" s="157">
        <v>21</v>
      </c>
      <c r="C25" s="153" t="s">
        <v>289</v>
      </c>
      <c r="F25" s="22">
        <f>'BHP WP2 Capital Additions'!F21</f>
        <v>2.3199999999999998E-2</v>
      </c>
      <c r="I25" s="160"/>
    </row>
    <row r="26" spans="1:9">
      <c r="A26" s="157">
        <v>22</v>
      </c>
      <c r="C26" s="153"/>
      <c r="F26" s="18"/>
    </row>
    <row r="27" spans="1:9" ht="16.149999999999999" thickBot="1">
      <c r="A27" s="157">
        <v>23</v>
      </c>
      <c r="C27" s="153" t="s">
        <v>307</v>
      </c>
      <c r="F27" s="20">
        <f>+F23*F25</f>
        <v>0</v>
      </c>
      <c r="I27" s="160"/>
    </row>
    <row r="28" spans="1:9" ht="16.149999999999999" thickTop="1">
      <c r="A28" s="157">
        <v>24</v>
      </c>
    </row>
    <row r="29" spans="1:9">
      <c r="A29" s="157">
        <v>25</v>
      </c>
    </row>
    <row r="30" spans="1:9" ht="12.75" customHeight="1">
      <c r="A30" s="157">
        <v>26</v>
      </c>
      <c r="D30" s="154"/>
      <c r="E30" s="154"/>
    </row>
    <row r="31" spans="1:9">
      <c r="A31" s="157">
        <v>27</v>
      </c>
    </row>
    <row r="32" spans="1:9">
      <c r="A32" s="157"/>
    </row>
    <row r="33" spans="1:4">
      <c r="A33" s="157"/>
    </row>
    <row r="34" spans="1:4">
      <c r="A34" s="157"/>
      <c r="D34" s="166"/>
    </row>
    <row r="35" spans="1:4">
      <c r="A35" s="157"/>
    </row>
    <row r="36" spans="1:4">
      <c r="A36" s="157"/>
    </row>
    <row r="37" spans="1:4">
      <c r="A37" s="157"/>
    </row>
    <row r="38" spans="1:4">
      <c r="A38" s="157"/>
    </row>
    <row r="109" spans="6:7">
      <c r="F109" s="153" t="s">
        <v>74</v>
      </c>
      <c r="G109" s="153">
        <f>+I178</f>
        <v>0</v>
      </c>
    </row>
    <row r="110" spans="6:7">
      <c r="G110" s="153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37"/>
  <sheetViews>
    <sheetView zoomScaleNormal="100" workbookViewId="0">
      <selection activeCell="K17" sqref="K17"/>
    </sheetView>
  </sheetViews>
  <sheetFormatPr defaultColWidth="7.109375" defaultRowHeight="13.15"/>
  <cols>
    <col min="1" max="1" width="10.109375" style="174" customWidth="1"/>
    <col min="2" max="2" width="3.5546875" style="174" customWidth="1"/>
    <col min="3" max="4" width="1.77734375" style="174" customWidth="1"/>
    <col min="5" max="5" width="4" style="174" customWidth="1"/>
    <col min="6" max="6" width="24.109375" style="174" customWidth="1"/>
    <col min="7" max="7" width="1.77734375" style="174" customWidth="1"/>
    <col min="8" max="8" width="8.109375" style="175" customWidth="1"/>
    <col min="9" max="9" width="8.109375" style="174" customWidth="1"/>
    <col min="10" max="16384" width="7.109375" style="174"/>
  </cols>
  <sheetData>
    <row r="2" spans="1:10">
      <c r="I2" s="174" t="s">
        <v>308</v>
      </c>
    </row>
    <row r="3" spans="1:10" ht="40.5" customHeight="1">
      <c r="B3" s="275" t="s">
        <v>309</v>
      </c>
      <c r="C3" s="274"/>
      <c r="D3" s="274"/>
      <c r="E3" s="274"/>
      <c r="F3" s="274"/>
      <c r="G3" s="274"/>
      <c r="H3" s="274"/>
    </row>
    <row r="4" spans="1:10">
      <c r="J4" s="177"/>
    </row>
    <row r="7" spans="1:10">
      <c r="F7" s="246"/>
    </row>
    <row r="8" spans="1:10">
      <c r="A8" s="274"/>
      <c r="B8" s="274"/>
      <c r="C8" s="274"/>
      <c r="D8" s="274"/>
      <c r="E8" s="274"/>
      <c r="F8" s="274"/>
      <c r="G8" s="274"/>
      <c r="H8" s="274"/>
    </row>
    <row r="9" spans="1:10">
      <c r="B9" s="178" t="s">
        <v>60</v>
      </c>
      <c r="H9" s="179" t="s">
        <v>310</v>
      </c>
    </row>
    <row r="10" spans="1:10">
      <c r="B10" s="180" t="s">
        <v>65</v>
      </c>
      <c r="D10" s="181" t="s">
        <v>311</v>
      </c>
      <c r="E10" s="181"/>
      <c r="F10" s="181"/>
      <c r="H10" s="182" t="s">
        <v>243</v>
      </c>
    </row>
    <row r="11" spans="1:10">
      <c r="B11" s="178">
        <v>1</v>
      </c>
    </row>
    <row r="12" spans="1:10">
      <c r="B12" s="178">
        <v>2</v>
      </c>
      <c r="D12" s="183" t="s">
        <v>312</v>
      </c>
      <c r="E12" s="183"/>
    </row>
    <row r="13" spans="1:10">
      <c r="B13" s="178">
        <v>3</v>
      </c>
    </row>
    <row r="14" spans="1:10">
      <c r="B14" s="178">
        <v>4</v>
      </c>
      <c r="E14" s="174">
        <v>350</v>
      </c>
      <c r="F14" s="174" t="s">
        <v>313</v>
      </c>
      <c r="H14" s="6">
        <v>0</v>
      </c>
    </row>
    <row r="15" spans="1:10">
      <c r="B15" s="178">
        <v>5</v>
      </c>
      <c r="E15" s="174">
        <v>352</v>
      </c>
      <c r="F15" s="174" t="s">
        <v>314</v>
      </c>
      <c r="H15" s="6">
        <v>2.3900000000000001E-2</v>
      </c>
    </row>
    <row r="16" spans="1:10">
      <c r="B16" s="178">
        <v>6</v>
      </c>
      <c r="E16" s="174">
        <v>353</v>
      </c>
      <c r="F16" s="174" t="s">
        <v>315</v>
      </c>
      <c r="H16" s="6">
        <v>2.6599999999999999E-2</v>
      </c>
    </row>
    <row r="17" spans="2:8">
      <c r="B17" s="178">
        <v>7</v>
      </c>
      <c r="E17" s="174">
        <v>354</v>
      </c>
      <c r="F17" s="174" t="s">
        <v>316</v>
      </c>
      <c r="H17" s="6">
        <v>2.0400000000000001E-2</v>
      </c>
    </row>
    <row r="18" spans="2:8">
      <c r="B18" s="178">
        <v>8</v>
      </c>
      <c r="E18" s="174">
        <v>355</v>
      </c>
      <c r="F18" s="174" t="s">
        <v>317</v>
      </c>
      <c r="H18" s="6">
        <v>2.2200000000000001E-2</v>
      </c>
    </row>
    <row r="19" spans="2:8">
      <c r="B19" s="178">
        <v>9</v>
      </c>
      <c r="E19" s="174">
        <v>356</v>
      </c>
      <c r="F19" s="174" t="s">
        <v>318</v>
      </c>
      <c r="H19" s="6">
        <v>2.0400000000000001E-2</v>
      </c>
    </row>
    <row r="20" spans="2:8">
      <c r="B20" s="178">
        <v>10</v>
      </c>
      <c r="E20" s="174">
        <v>359</v>
      </c>
      <c r="F20" s="174" t="s">
        <v>319</v>
      </c>
      <c r="H20" s="6">
        <v>1.95E-2</v>
      </c>
    </row>
    <row r="21" spans="2:8">
      <c r="B21" s="178">
        <v>11</v>
      </c>
      <c r="F21" s="174" t="s">
        <v>320</v>
      </c>
      <c r="H21" s="6">
        <v>2.3199999999999998E-2</v>
      </c>
    </row>
    <row r="22" spans="2:8">
      <c r="B22" s="178">
        <v>12</v>
      </c>
      <c r="H22" s="6"/>
    </row>
    <row r="23" spans="2:8">
      <c r="B23" s="178">
        <v>13</v>
      </c>
      <c r="D23" s="183" t="s">
        <v>321</v>
      </c>
      <c r="H23" s="6"/>
    </row>
    <row r="24" spans="2:8">
      <c r="B24" s="178">
        <v>14</v>
      </c>
      <c r="H24" s="6"/>
    </row>
    <row r="25" spans="2:8">
      <c r="B25" s="178">
        <v>15</v>
      </c>
      <c r="E25" s="174">
        <v>389</v>
      </c>
      <c r="F25" s="184" t="s">
        <v>313</v>
      </c>
      <c r="H25" s="6">
        <v>0</v>
      </c>
    </row>
    <row r="26" spans="2:8">
      <c r="B26" s="178">
        <v>16</v>
      </c>
      <c r="E26" s="174">
        <v>390</v>
      </c>
      <c r="F26" s="174" t="s">
        <v>314</v>
      </c>
      <c r="H26" s="6">
        <v>4.7300000000000002E-2</v>
      </c>
    </row>
    <row r="27" spans="2:8">
      <c r="B27" s="178">
        <v>17</v>
      </c>
      <c r="E27" s="174">
        <v>391</v>
      </c>
      <c r="F27" s="174" t="s">
        <v>322</v>
      </c>
      <c r="H27" s="6">
        <v>0.1056</v>
      </c>
    </row>
    <row r="28" spans="2:8">
      <c r="B28" s="178">
        <v>18</v>
      </c>
      <c r="E28" s="174">
        <v>392</v>
      </c>
      <c r="F28" s="174" t="s">
        <v>323</v>
      </c>
      <c r="H28" s="6">
        <v>9.06E-2</v>
      </c>
    </row>
    <row r="29" spans="2:8">
      <c r="B29" s="178">
        <v>19</v>
      </c>
      <c r="E29" s="174">
        <v>393</v>
      </c>
      <c r="F29" s="174" t="s">
        <v>324</v>
      </c>
      <c r="H29" s="6">
        <v>4.2299999999999997E-2</v>
      </c>
    </row>
    <row r="30" spans="2:8">
      <c r="B30" s="178">
        <v>20</v>
      </c>
      <c r="E30" s="174">
        <v>394</v>
      </c>
      <c r="F30" s="174" t="s">
        <v>325</v>
      </c>
      <c r="H30" s="6">
        <v>4.2299999999999997E-2</v>
      </c>
    </row>
    <row r="31" spans="2:8">
      <c r="B31" s="178">
        <v>21</v>
      </c>
      <c r="E31" s="174">
        <v>395</v>
      </c>
      <c r="F31" s="174" t="s">
        <v>326</v>
      </c>
      <c r="H31" s="6">
        <v>3.0599999999999999E-2</v>
      </c>
    </row>
    <row r="32" spans="2:8">
      <c r="B32" s="178">
        <v>22</v>
      </c>
      <c r="E32" s="174">
        <v>396</v>
      </c>
      <c r="F32" s="174" t="s">
        <v>327</v>
      </c>
      <c r="H32" s="6">
        <v>4.2299999999999997E-2</v>
      </c>
    </row>
    <row r="33" spans="2:8">
      <c r="B33" s="178">
        <v>23</v>
      </c>
      <c r="E33" s="174">
        <v>397</v>
      </c>
      <c r="F33" s="174" t="s">
        <v>328</v>
      </c>
      <c r="H33" s="6">
        <v>4.3900000000000002E-2</v>
      </c>
    </row>
    <row r="34" spans="2:8">
      <c r="B34" s="178">
        <v>24</v>
      </c>
      <c r="E34" s="174">
        <v>398</v>
      </c>
      <c r="F34" s="174" t="s">
        <v>329</v>
      </c>
      <c r="H34" s="6">
        <v>5.8099999999999999E-2</v>
      </c>
    </row>
    <row r="35" spans="2:8">
      <c r="B35" s="178">
        <v>25</v>
      </c>
      <c r="F35" s="174" t="s">
        <v>330</v>
      </c>
      <c r="H35" s="6">
        <v>6.5299999999999997E-2</v>
      </c>
    </row>
    <row r="36" spans="2:8">
      <c r="B36" s="178">
        <v>26</v>
      </c>
    </row>
    <row r="37" spans="2:8">
      <c r="B37" s="178">
        <v>27</v>
      </c>
      <c r="D37" s="174" t="s">
        <v>331</v>
      </c>
      <c r="E37" s="185"/>
    </row>
  </sheetData>
  <mergeCells count="2">
    <mergeCell ref="A8:H8"/>
    <mergeCell ref="B3:H3"/>
  </mergeCells>
  <phoneticPr fontId="11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AE172"/>
  <sheetViews>
    <sheetView topLeftCell="A11" zoomScale="70" zoomScaleNormal="70" zoomScaleSheetLayoutView="85" workbookViewId="0">
      <selection activeCell="D55" sqref="D55"/>
    </sheetView>
  </sheetViews>
  <sheetFormatPr defaultColWidth="8.77734375" defaultRowHeight="15"/>
  <cols>
    <col min="1" max="1" width="6" customWidth="1"/>
    <col min="2" max="2" width="1.44140625" customWidth="1"/>
    <col min="3" max="3" width="36" customWidth="1"/>
    <col min="4" max="4" width="27.44140625" customWidth="1"/>
    <col min="5" max="5" width="16.109375" customWidth="1"/>
    <col min="6" max="11" width="15.88671875" customWidth="1"/>
    <col min="12" max="12" width="17.6640625" customWidth="1"/>
    <col min="13" max="13" width="16.109375" customWidth="1"/>
    <col min="14" max="15" width="15.88671875" customWidth="1"/>
    <col min="16" max="16" width="19.6640625" customWidth="1"/>
    <col min="17" max="17" width="14.88671875" bestFit="1" customWidth="1"/>
    <col min="18" max="18" width="17.88671875" customWidth="1"/>
    <col min="19" max="19" width="15.44140625" customWidth="1"/>
    <col min="20" max="20" width="14.88671875" bestFit="1" customWidth="1"/>
    <col min="21" max="21" width="14.109375" bestFit="1" customWidth="1"/>
    <col min="22" max="22" width="13.33203125" bestFit="1" customWidth="1"/>
  </cols>
  <sheetData>
    <row r="2" spans="1:20" ht="15.6">
      <c r="A2" s="75"/>
      <c r="B2" s="75"/>
      <c r="C2" s="75"/>
      <c r="D2" s="76"/>
      <c r="E2" s="75"/>
      <c r="F2" s="75"/>
      <c r="G2" s="75"/>
      <c r="H2" s="75"/>
      <c r="I2" s="77" t="s">
        <v>332</v>
      </c>
      <c r="J2" s="75"/>
      <c r="K2" s="75"/>
      <c r="L2" s="75"/>
      <c r="O2" s="78"/>
      <c r="R2" s="147" t="str">
        <f>I2</f>
        <v>Date: May 31, 2026</v>
      </c>
    </row>
    <row r="3" spans="1:20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8"/>
    </row>
    <row r="4" spans="1:20" ht="15.6">
      <c r="A4" s="268" t="s">
        <v>48</v>
      </c>
      <c r="B4" s="268"/>
      <c r="C4" s="268"/>
      <c r="D4" s="268"/>
      <c r="E4" s="268"/>
      <c r="F4" s="268"/>
      <c r="G4" s="268"/>
      <c r="H4" s="268"/>
      <c r="I4" s="268"/>
      <c r="J4" s="268" t="s">
        <v>48</v>
      </c>
      <c r="K4" s="268"/>
      <c r="L4" s="268"/>
      <c r="M4" s="268"/>
      <c r="N4" s="268"/>
      <c r="O4" s="268"/>
      <c r="P4" s="268"/>
      <c r="Q4" s="268"/>
      <c r="R4" s="268"/>
    </row>
    <row r="5" spans="1:20" ht="15.6">
      <c r="A5" s="269" t="s">
        <v>49</v>
      </c>
      <c r="B5" s="269"/>
      <c r="C5" s="269"/>
      <c r="D5" s="269"/>
      <c r="E5" s="269"/>
      <c r="F5" s="269"/>
      <c r="G5" s="269"/>
      <c r="H5" s="269"/>
      <c r="I5" s="269"/>
      <c r="J5" s="269" t="s">
        <v>49</v>
      </c>
      <c r="K5" s="269"/>
      <c r="L5" s="269"/>
      <c r="M5" s="269"/>
      <c r="N5" s="269"/>
      <c r="O5" s="269"/>
      <c r="P5" s="269"/>
      <c r="Q5" s="269"/>
      <c r="R5" s="269"/>
    </row>
    <row r="6" spans="1:20">
      <c r="A6" s="75"/>
      <c r="B6" s="75"/>
      <c r="C6" s="78"/>
      <c r="D6" s="78"/>
      <c r="F6" s="78"/>
      <c r="G6" s="78"/>
      <c r="H6" s="78"/>
      <c r="I6" s="78"/>
      <c r="J6" s="75"/>
      <c r="K6" s="75"/>
      <c r="L6" s="78"/>
      <c r="M6" s="78"/>
      <c r="O6" s="78"/>
      <c r="P6" s="78"/>
      <c r="Q6" s="78"/>
      <c r="R6" s="78"/>
    </row>
    <row r="7" spans="1:20" ht="15.6">
      <c r="A7" s="267" t="s">
        <v>50</v>
      </c>
      <c r="B7" s="267"/>
      <c r="C7" s="267"/>
      <c r="D7" s="267"/>
      <c r="E7" s="267"/>
      <c r="F7" s="267"/>
      <c r="G7" s="267"/>
      <c r="H7" s="267"/>
      <c r="I7" s="267"/>
      <c r="J7" s="267" t="s">
        <v>50</v>
      </c>
      <c r="K7" s="267"/>
      <c r="L7" s="267"/>
      <c r="M7" s="267"/>
      <c r="N7" s="267"/>
      <c r="O7" s="267"/>
      <c r="P7" s="267"/>
      <c r="Q7" s="267"/>
      <c r="R7" s="267"/>
    </row>
    <row r="8" spans="1:20">
      <c r="A8" s="81"/>
      <c r="B8" s="75"/>
      <c r="C8" s="78"/>
      <c r="D8" s="78"/>
      <c r="E8" s="82"/>
      <c r="F8" s="78"/>
      <c r="G8" s="78"/>
      <c r="H8" s="78"/>
      <c r="I8" s="187"/>
      <c r="J8" s="188"/>
      <c r="K8" s="78"/>
      <c r="L8" s="78"/>
      <c r="M8" s="78"/>
      <c r="N8" s="78"/>
      <c r="O8" s="78"/>
      <c r="P8" s="78"/>
      <c r="Q8" s="78"/>
      <c r="R8" s="78"/>
    </row>
    <row r="9" spans="1:20">
      <c r="A9" s="75"/>
      <c r="B9" s="75"/>
      <c r="C9" s="83"/>
      <c r="D9" s="83"/>
      <c r="E9" s="83"/>
      <c r="F9" s="84"/>
      <c r="G9" s="84"/>
      <c r="H9" s="84"/>
      <c r="I9" s="84"/>
      <c r="J9" s="84"/>
      <c r="K9" s="84"/>
      <c r="L9" s="83"/>
    </row>
    <row r="10" spans="1:20" ht="15.75" customHeight="1">
      <c r="A10" s="75"/>
      <c r="B10" s="75"/>
      <c r="C10" s="78"/>
      <c r="D10" s="80" t="s">
        <v>57</v>
      </c>
      <c r="E10" s="84"/>
      <c r="F10" s="84"/>
      <c r="G10" s="84"/>
      <c r="H10" s="84"/>
      <c r="I10" s="84"/>
      <c r="J10" s="84"/>
      <c r="K10" s="84"/>
      <c r="L10" s="83"/>
    </row>
    <row r="11" spans="1:20" ht="15.6">
      <c r="A11" s="81" t="s">
        <v>60</v>
      </c>
      <c r="B11" s="75"/>
      <c r="C11" s="78"/>
      <c r="D11" s="88" t="s">
        <v>61</v>
      </c>
      <c r="E11" s="79" t="s">
        <v>62</v>
      </c>
      <c r="F11" s="89"/>
      <c r="G11" s="89"/>
      <c r="H11" s="89"/>
      <c r="I11" s="89"/>
      <c r="J11" s="89"/>
      <c r="K11" s="89"/>
      <c r="L11" s="83"/>
    </row>
    <row r="12" spans="1:20" ht="16.149999999999999" thickBot="1">
      <c r="A12" s="92" t="s">
        <v>65</v>
      </c>
      <c r="B12" s="75"/>
      <c r="C12" s="93" t="s">
        <v>66</v>
      </c>
      <c r="D12" s="84"/>
      <c r="E12" s="122" t="s">
        <v>333</v>
      </c>
      <c r="F12" s="122" t="s">
        <v>334</v>
      </c>
      <c r="G12" s="122" t="s">
        <v>335</v>
      </c>
      <c r="H12" s="122" t="s">
        <v>336</v>
      </c>
      <c r="I12" s="122" t="s">
        <v>337</v>
      </c>
      <c r="J12" s="122" t="s">
        <v>338</v>
      </c>
      <c r="K12" s="122" t="s">
        <v>339</v>
      </c>
      <c r="L12" s="122" t="s">
        <v>340</v>
      </c>
      <c r="M12" s="122" t="s">
        <v>341</v>
      </c>
      <c r="N12" s="122" t="s">
        <v>342</v>
      </c>
      <c r="O12" s="122" t="s">
        <v>343</v>
      </c>
      <c r="P12" s="122" t="s">
        <v>344</v>
      </c>
      <c r="Q12" s="122" t="s">
        <v>345</v>
      </c>
      <c r="R12" s="122" t="s">
        <v>346</v>
      </c>
    </row>
    <row r="13" spans="1:20" ht="15" customHeight="1">
      <c r="A13" s="81"/>
      <c r="B13" s="75"/>
      <c r="C13" s="78"/>
      <c r="D13" s="84"/>
      <c r="E13" s="191">
        <v>45627</v>
      </c>
      <c r="F13" s="191">
        <v>45658</v>
      </c>
      <c r="G13" s="191">
        <v>45689</v>
      </c>
      <c r="H13" s="191">
        <v>45717</v>
      </c>
      <c r="I13" s="191">
        <v>45748</v>
      </c>
      <c r="J13" s="191">
        <v>45778</v>
      </c>
      <c r="K13" s="191">
        <v>45809</v>
      </c>
      <c r="L13" s="191">
        <v>45839</v>
      </c>
      <c r="M13" s="191">
        <v>45870</v>
      </c>
      <c r="N13" s="191">
        <v>45901</v>
      </c>
      <c r="O13" s="191">
        <v>45931</v>
      </c>
      <c r="P13" s="191">
        <v>45962</v>
      </c>
      <c r="Q13" s="191">
        <v>45992</v>
      </c>
      <c r="R13" s="2" t="s">
        <v>347</v>
      </c>
    </row>
    <row r="14" spans="1:20">
      <c r="A14" s="81"/>
      <c r="B14" s="75"/>
      <c r="C14" s="78" t="s">
        <v>348</v>
      </c>
      <c r="D14" s="84" t="s">
        <v>349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0">
      <c r="A15" s="81">
        <v>1</v>
      </c>
      <c r="B15" s="75"/>
      <c r="C15" s="78" t="s">
        <v>69</v>
      </c>
      <c r="D15" s="84" t="s">
        <v>70</v>
      </c>
      <c r="E15" s="2">
        <f t="shared" ref="E15:Q20" si="0">E69-E90+E111+E133+E154</f>
        <v>725160801.43999994</v>
      </c>
      <c r="F15" s="2">
        <f>F69-F90+F111+F133+F154</f>
        <v>727752103.29999995</v>
      </c>
      <c r="G15" s="2">
        <f t="shared" si="0"/>
        <v>727725190.23000002</v>
      </c>
      <c r="H15" s="2">
        <f t="shared" si="0"/>
        <v>727968943.67999995</v>
      </c>
      <c r="I15" s="2">
        <f t="shared" si="0"/>
        <v>728670112.41999996</v>
      </c>
      <c r="J15" s="2">
        <f t="shared" si="0"/>
        <v>728854424.38</v>
      </c>
      <c r="K15" s="2">
        <f t="shared" si="0"/>
        <v>727176725.31999993</v>
      </c>
      <c r="L15" s="2">
        <f t="shared" si="0"/>
        <v>732286797.42999983</v>
      </c>
      <c r="M15" s="2">
        <f t="shared" si="0"/>
        <v>733225779.63999987</v>
      </c>
      <c r="N15" s="2">
        <f t="shared" si="0"/>
        <v>728959744.68999994</v>
      </c>
      <c r="O15" s="2">
        <f t="shared" si="0"/>
        <v>740065137.54000008</v>
      </c>
      <c r="P15" s="2">
        <f t="shared" si="0"/>
        <v>754151371.69000018</v>
      </c>
      <c r="Q15" s="2">
        <f>Q69-Q90+Q111+Q133+Q154</f>
        <v>753790094.56000018</v>
      </c>
      <c r="R15" s="2">
        <f t="shared" ref="R15:R21" si="1">AVERAGE(E15:Q15)</f>
        <v>733522094.33230758</v>
      </c>
      <c r="S15" s="2"/>
      <c r="T15" s="2"/>
    </row>
    <row r="16" spans="1:20">
      <c r="A16" s="81">
        <f t="shared" ref="A16:A65" si="2">+A15+1</f>
        <v>2</v>
      </c>
      <c r="B16" s="75"/>
      <c r="C16" s="78" t="s">
        <v>72</v>
      </c>
      <c r="D16" s="84" t="s">
        <v>73</v>
      </c>
      <c r="E16" s="2">
        <f t="shared" si="0"/>
        <v>299412904.5</v>
      </c>
      <c r="F16" s="2">
        <f t="shared" si="0"/>
        <v>299433840.99000001</v>
      </c>
      <c r="G16" s="2">
        <f t="shared" si="0"/>
        <v>299407792.99000001</v>
      </c>
      <c r="H16" s="2">
        <f t="shared" si="0"/>
        <v>299294392.33999997</v>
      </c>
      <c r="I16" s="2">
        <f t="shared" si="0"/>
        <v>299645719.64999998</v>
      </c>
      <c r="J16" s="2">
        <f t="shared" si="0"/>
        <v>299663933.28999996</v>
      </c>
      <c r="K16" s="2">
        <f t="shared" si="0"/>
        <v>299595912.50999993</v>
      </c>
      <c r="L16" s="2">
        <f t="shared" si="0"/>
        <v>299426364.60000002</v>
      </c>
      <c r="M16" s="2">
        <f t="shared" si="0"/>
        <v>299310215.77999997</v>
      </c>
      <c r="N16" s="2">
        <f t="shared" si="0"/>
        <v>299301464.60999995</v>
      </c>
      <c r="O16" s="2">
        <f t="shared" si="0"/>
        <v>301129710.40999997</v>
      </c>
      <c r="P16" s="2">
        <f t="shared" si="0"/>
        <v>301357829.89999998</v>
      </c>
      <c r="Q16" s="2">
        <f t="shared" si="0"/>
        <v>299983988.14999998</v>
      </c>
      <c r="R16" s="2">
        <f t="shared" si="1"/>
        <v>299766466.90153843</v>
      </c>
      <c r="T16" s="2"/>
    </row>
    <row r="17" spans="1:20">
      <c r="A17" s="81">
        <f t="shared" si="2"/>
        <v>3</v>
      </c>
      <c r="B17" s="75"/>
      <c r="C17" s="78" t="s">
        <v>78</v>
      </c>
      <c r="D17" s="84" t="s">
        <v>79</v>
      </c>
      <c r="E17" s="2">
        <f t="shared" si="0"/>
        <v>565178193.94309199</v>
      </c>
      <c r="F17" s="2">
        <f t="shared" si="0"/>
        <v>571433704.68000007</v>
      </c>
      <c r="G17" s="2">
        <f t="shared" si="0"/>
        <v>571646899.63999999</v>
      </c>
      <c r="H17" s="2">
        <f t="shared" si="0"/>
        <v>572717760.09111226</v>
      </c>
      <c r="I17" s="2">
        <f t="shared" si="0"/>
        <v>578679027.30000007</v>
      </c>
      <c r="J17" s="2">
        <f t="shared" si="0"/>
        <v>580058255.71000016</v>
      </c>
      <c r="K17" s="2">
        <f t="shared" si="0"/>
        <v>577898859.49366879</v>
      </c>
      <c r="L17" s="2">
        <f t="shared" si="0"/>
        <v>590929763.82999992</v>
      </c>
      <c r="M17" s="2">
        <f t="shared" si="0"/>
        <v>593344418.74000001</v>
      </c>
      <c r="N17" s="2">
        <f t="shared" si="0"/>
        <v>590882432.11774707</v>
      </c>
      <c r="O17" s="2">
        <f t="shared" si="0"/>
        <v>600095577.24000001</v>
      </c>
      <c r="P17" s="2">
        <f t="shared" si="0"/>
        <v>602438517.49000013</v>
      </c>
      <c r="Q17" s="2">
        <f t="shared" si="0"/>
        <v>600361634.32250714</v>
      </c>
      <c r="R17" s="2">
        <f t="shared" si="1"/>
        <v>584281926.50754821</v>
      </c>
      <c r="T17" s="2"/>
    </row>
    <row r="18" spans="1:20">
      <c r="A18" s="81">
        <f t="shared" si="2"/>
        <v>4</v>
      </c>
      <c r="B18" s="75"/>
      <c r="C18" s="78" t="s">
        <v>80</v>
      </c>
      <c r="D18" s="84" t="s">
        <v>350</v>
      </c>
      <c r="E18" s="2">
        <f t="shared" si="0"/>
        <v>73208646.719999999</v>
      </c>
      <c r="F18" s="2">
        <f t="shared" si="0"/>
        <v>69118027.329999983</v>
      </c>
      <c r="G18" s="2">
        <f t="shared" si="0"/>
        <v>68398542.350000039</v>
      </c>
      <c r="H18" s="2">
        <f>H72-H93+H114+H136+H157</f>
        <v>67948806.400000006</v>
      </c>
      <c r="I18" s="2">
        <f t="shared" si="0"/>
        <v>68007255.85999997</v>
      </c>
      <c r="J18" s="2">
        <f t="shared" si="0"/>
        <v>67538599.590000033</v>
      </c>
      <c r="K18" s="2">
        <f t="shared" si="0"/>
        <v>67735739.769999996</v>
      </c>
      <c r="L18" s="2">
        <f t="shared" si="0"/>
        <v>69644955.919999972</v>
      </c>
      <c r="M18" s="2">
        <f t="shared" si="0"/>
        <v>70155648.920000017</v>
      </c>
      <c r="N18" s="2">
        <f t="shared" si="0"/>
        <v>69205921.480000019</v>
      </c>
      <c r="O18" s="2">
        <f>O72-O93+O114+O136+O157</f>
        <v>68040118.00000003</v>
      </c>
      <c r="P18" s="2">
        <f t="shared" si="0"/>
        <v>67987878.670000002</v>
      </c>
      <c r="Q18" s="2">
        <f>Q72-Q93+Q114+Q136+Q157</f>
        <v>67951828.110000029</v>
      </c>
      <c r="R18" s="2">
        <f t="shared" si="1"/>
        <v>68841689.932307705</v>
      </c>
      <c r="T18" s="2"/>
    </row>
    <row r="19" spans="1:20">
      <c r="A19" s="81">
        <f t="shared" si="2"/>
        <v>5</v>
      </c>
      <c r="B19" s="75"/>
      <c r="C19" s="78" t="s">
        <v>83</v>
      </c>
      <c r="D19" s="84" t="s">
        <v>351</v>
      </c>
      <c r="E19" s="2">
        <f t="shared" si="0"/>
        <v>37323668</v>
      </c>
      <c r="F19" s="2">
        <f t="shared" si="0"/>
        <v>35804667</v>
      </c>
      <c r="G19" s="2">
        <f t="shared" si="0"/>
        <v>35725329</v>
      </c>
      <c r="H19" s="2">
        <f t="shared" si="0"/>
        <v>36115707</v>
      </c>
      <c r="I19" s="2">
        <f t="shared" si="0"/>
        <v>36094731</v>
      </c>
      <c r="J19" s="2">
        <f t="shared" si="0"/>
        <v>35955531</v>
      </c>
      <c r="K19" s="2">
        <f t="shared" si="0"/>
        <v>36469634</v>
      </c>
      <c r="L19" s="2">
        <f t="shared" si="0"/>
        <v>35909663</v>
      </c>
      <c r="M19" s="2">
        <f t="shared" si="0"/>
        <v>35915279</v>
      </c>
      <c r="N19" s="2">
        <f t="shared" si="0"/>
        <v>36002307</v>
      </c>
      <c r="O19" s="2">
        <f t="shared" si="0"/>
        <v>35830525</v>
      </c>
      <c r="P19" s="2">
        <f t="shared" si="0"/>
        <v>35877375</v>
      </c>
      <c r="Q19" s="2">
        <f t="shared" si="0"/>
        <v>37872147</v>
      </c>
      <c r="R19" s="2">
        <f>AVERAGE(E19:Q19)</f>
        <v>36222812.538461536</v>
      </c>
      <c r="T19" s="2"/>
    </row>
    <row r="20" spans="1:20">
      <c r="A20" s="81">
        <f t="shared" si="2"/>
        <v>6</v>
      </c>
      <c r="B20" s="75"/>
      <c r="C20" s="78" t="s">
        <v>85</v>
      </c>
      <c r="D20" s="84" t="s">
        <v>352</v>
      </c>
      <c r="E20" s="2">
        <f t="shared" si="0"/>
        <v>6753338.9000000004</v>
      </c>
      <c r="F20" s="2">
        <f t="shared" si="0"/>
        <v>8480806.540000001</v>
      </c>
      <c r="G20" s="2">
        <f t="shared" si="0"/>
        <v>8480806.540000001</v>
      </c>
      <c r="H20" s="2">
        <f t="shared" si="0"/>
        <v>8477501.4800000004</v>
      </c>
      <c r="I20" s="2">
        <f t="shared" si="0"/>
        <v>8427300.9700000007</v>
      </c>
      <c r="J20" s="2">
        <f t="shared" si="0"/>
        <v>8998535.7300000004</v>
      </c>
      <c r="K20" s="2">
        <f t="shared" si="0"/>
        <v>8913865.7999999989</v>
      </c>
      <c r="L20" s="2">
        <f t="shared" si="0"/>
        <v>8913865.7999999989</v>
      </c>
      <c r="M20" s="2">
        <f t="shared" si="0"/>
        <v>8924932.4800000004</v>
      </c>
      <c r="N20" s="2">
        <f t="shared" si="0"/>
        <v>8936037.9800000004</v>
      </c>
      <c r="O20" s="2">
        <f t="shared" si="0"/>
        <v>10213409.279999997</v>
      </c>
      <c r="P20" s="2">
        <f t="shared" si="0"/>
        <v>10322349.02</v>
      </c>
      <c r="Q20" s="2">
        <f t="shared" si="0"/>
        <v>10799267.960000001</v>
      </c>
      <c r="R20" s="2">
        <f t="shared" si="1"/>
        <v>8972462.9600000009</v>
      </c>
      <c r="T20" s="2"/>
    </row>
    <row r="21" spans="1:20">
      <c r="A21" s="81">
        <f t="shared" si="2"/>
        <v>7</v>
      </c>
      <c r="B21" s="75"/>
      <c r="C21" s="78" t="s">
        <v>88</v>
      </c>
      <c r="D21" s="84" t="s">
        <v>89</v>
      </c>
      <c r="E21" s="2">
        <v>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>
        <v>0</v>
      </c>
      <c r="R21" s="2">
        <f t="shared" si="1"/>
        <v>0</v>
      </c>
    </row>
    <row r="22" spans="1:20">
      <c r="A22" s="81">
        <f t="shared" si="2"/>
        <v>8</v>
      </c>
      <c r="B22" s="75"/>
      <c r="C22" s="97" t="s">
        <v>91</v>
      </c>
      <c r="D22" s="84" t="str">
        <f>"(sum lines "&amp;A15&amp;" - "&amp;A21&amp;")"</f>
        <v>(sum lines 1 - 7)</v>
      </c>
      <c r="E22" s="4">
        <f>SUM(E15:E21)</f>
        <v>1707037553.5030921</v>
      </c>
      <c r="F22" s="4">
        <f t="shared" ref="F22:R22" si="3">SUM(F15:F21)</f>
        <v>1712023149.8399999</v>
      </c>
      <c r="G22" s="4">
        <f t="shared" si="3"/>
        <v>1711384560.7500002</v>
      </c>
      <c r="H22" s="4">
        <f t="shared" si="3"/>
        <v>1712523110.9911122</v>
      </c>
      <c r="I22" s="4">
        <f t="shared" si="3"/>
        <v>1719524147.1999998</v>
      </c>
      <c r="J22" s="4">
        <f t="shared" si="3"/>
        <v>1721069279.7000003</v>
      </c>
      <c r="K22" s="4">
        <f t="shared" si="3"/>
        <v>1717790736.8936687</v>
      </c>
      <c r="L22" s="4">
        <f t="shared" si="3"/>
        <v>1737111410.5799997</v>
      </c>
      <c r="M22" s="4">
        <f t="shared" si="3"/>
        <v>1740876274.5599999</v>
      </c>
      <c r="N22" s="4">
        <f t="shared" si="3"/>
        <v>1733287907.8777471</v>
      </c>
      <c r="O22" s="4">
        <f t="shared" si="3"/>
        <v>1755374477.47</v>
      </c>
      <c r="P22" s="4">
        <f t="shared" si="3"/>
        <v>1772135321.7700005</v>
      </c>
      <c r="Q22" s="4">
        <f t="shared" si="3"/>
        <v>1770758960.1025076</v>
      </c>
      <c r="R22" s="4">
        <f t="shared" si="3"/>
        <v>1731607453.1721632</v>
      </c>
    </row>
    <row r="23" spans="1:20">
      <c r="A23" s="81">
        <f t="shared" si="2"/>
        <v>9</v>
      </c>
      <c r="B23" s="75"/>
      <c r="C23" s="78"/>
      <c r="D23" s="8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>
      <c r="A24" s="81">
        <f t="shared" si="2"/>
        <v>10</v>
      </c>
      <c r="B24" s="75"/>
      <c r="C24" s="78" t="s">
        <v>353</v>
      </c>
      <c r="D24" s="84" t="s">
        <v>349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>
      <c r="A25" s="81">
        <f t="shared" si="2"/>
        <v>11</v>
      </c>
      <c r="B25" s="75"/>
      <c r="C25" s="78" t="str">
        <f>+C15</f>
        <v xml:space="preserve">  Production</v>
      </c>
      <c r="D25" s="84" t="s">
        <v>94</v>
      </c>
      <c r="E25" s="2">
        <f t="shared" ref="E25:Q26" si="4">+E79-E100+E121-E143+E164</f>
        <v>265967088.20000002</v>
      </c>
      <c r="F25" s="2">
        <f t="shared" si="4"/>
        <v>266871945.26000002</v>
      </c>
      <c r="G25" s="2">
        <f t="shared" si="4"/>
        <v>268649917.00000006</v>
      </c>
      <c r="H25" s="2">
        <f t="shared" si="4"/>
        <v>269934853.46999997</v>
      </c>
      <c r="I25" s="2">
        <f t="shared" si="4"/>
        <v>271714680.77999997</v>
      </c>
      <c r="J25" s="2">
        <f t="shared" si="4"/>
        <v>273489477.87</v>
      </c>
      <c r="K25" s="2">
        <f t="shared" si="4"/>
        <v>270439823.44000006</v>
      </c>
      <c r="L25" s="2">
        <f t="shared" si="4"/>
        <v>276618929.76999998</v>
      </c>
      <c r="M25" s="2">
        <f t="shared" si="4"/>
        <v>278291408.31999999</v>
      </c>
      <c r="N25" s="2">
        <f t="shared" si="4"/>
        <v>274518455.21999991</v>
      </c>
      <c r="O25" s="2">
        <f t="shared" si="4"/>
        <v>277700440.10000002</v>
      </c>
      <c r="P25" s="2">
        <f t="shared" si="4"/>
        <v>279485584.79000002</v>
      </c>
      <c r="Q25" s="2">
        <f t="shared" si="4"/>
        <v>272492754.75</v>
      </c>
      <c r="R25" s="2">
        <f t="shared" ref="R25:R31" si="5">AVERAGE(E25:Q25)</f>
        <v>272782719.92076921</v>
      </c>
      <c r="S25" s="2"/>
      <c r="T25" s="2"/>
    </row>
    <row r="26" spans="1:20">
      <c r="A26" s="81">
        <f t="shared" si="2"/>
        <v>12</v>
      </c>
      <c r="B26" s="75"/>
      <c r="C26" s="78" t="s">
        <v>72</v>
      </c>
      <c r="D26" s="84" t="s">
        <v>95</v>
      </c>
      <c r="E26" s="2">
        <f>+E80-E101+E122-E144+E165</f>
        <v>50680571.986214556</v>
      </c>
      <c r="F26" s="2">
        <f t="shared" si="4"/>
        <v>51226479.40703997</v>
      </c>
      <c r="G26" s="2">
        <f t="shared" si="4"/>
        <v>51727392.614644893</v>
      </c>
      <c r="H26" s="2">
        <f t="shared" si="4"/>
        <v>52143974.775017306</v>
      </c>
      <c r="I26" s="2">
        <f t="shared" si="4"/>
        <v>52737735.107416801</v>
      </c>
      <c r="J26" s="2">
        <f t="shared" si="4"/>
        <v>53271421.55106739</v>
      </c>
      <c r="K26" s="2">
        <f t="shared" si="4"/>
        <v>53740461.933559813</v>
      </c>
      <c r="L26" s="2">
        <f t="shared" si="4"/>
        <v>54109926.475410216</v>
      </c>
      <c r="M26" s="2">
        <f t="shared" si="4"/>
        <v>54649117.388961382</v>
      </c>
      <c r="N26" s="2">
        <f t="shared" si="4"/>
        <v>55179402.009465218</v>
      </c>
      <c r="O26" s="2">
        <f t="shared" si="4"/>
        <v>55727733.955912471</v>
      </c>
      <c r="P26" s="2">
        <f t="shared" si="4"/>
        <v>56270039.489494964</v>
      </c>
      <c r="Q26" s="2">
        <f>+Q80-Q101+Q122-Q144+Q165</f>
        <v>55373421.426073708</v>
      </c>
      <c r="R26" s="2">
        <f t="shared" si="5"/>
        <v>53602898.31694451</v>
      </c>
      <c r="T26" s="2"/>
    </row>
    <row r="27" spans="1:20">
      <c r="A27" s="81">
        <f t="shared" si="2"/>
        <v>13</v>
      </c>
      <c r="B27" s="75"/>
      <c r="C27" s="78" t="s">
        <v>78</v>
      </c>
      <c r="D27" s="84" t="s">
        <v>98</v>
      </c>
      <c r="E27" s="2">
        <f t="shared" ref="E27:Q30" si="6">+E81-E102+E123-E145+E166</f>
        <v>181963879.92309201</v>
      </c>
      <c r="F27" s="2">
        <f t="shared" si="6"/>
        <v>186804756.19999996</v>
      </c>
      <c r="G27" s="2">
        <f t="shared" si="6"/>
        <v>187478724.23999995</v>
      </c>
      <c r="H27" s="2">
        <f t="shared" si="6"/>
        <v>184436199.51111209</v>
      </c>
      <c r="I27" s="2">
        <f t="shared" si="6"/>
        <v>189396656.19999999</v>
      </c>
      <c r="J27" s="2">
        <f t="shared" si="6"/>
        <v>190308115.31000003</v>
      </c>
      <c r="K27" s="2">
        <f t="shared" si="6"/>
        <v>187465957.36366868</v>
      </c>
      <c r="L27" s="2">
        <f t="shared" si="6"/>
        <v>192639478.67000002</v>
      </c>
      <c r="M27" s="2">
        <f t="shared" si="6"/>
        <v>193805785.89000002</v>
      </c>
      <c r="N27" s="2">
        <f t="shared" si="6"/>
        <v>190370876.16774699</v>
      </c>
      <c r="O27" s="2">
        <f t="shared" si="6"/>
        <v>195643094.68000004</v>
      </c>
      <c r="P27" s="2">
        <f t="shared" si="6"/>
        <v>196790136.56999999</v>
      </c>
      <c r="Q27" s="2">
        <f t="shared" si="6"/>
        <v>193687354.79250705</v>
      </c>
      <c r="R27" s="2">
        <f>AVERAGE(E27:Q27)</f>
        <v>190060847.34754822</v>
      </c>
      <c r="T27" s="2"/>
    </row>
    <row r="28" spans="1:20">
      <c r="A28" s="81">
        <f t="shared" si="2"/>
        <v>14</v>
      </c>
      <c r="B28" s="75"/>
      <c r="C28" s="78" t="str">
        <f>+C18</f>
        <v xml:space="preserve">  General &amp; Intangible</v>
      </c>
      <c r="D28" s="84" t="s">
        <v>354</v>
      </c>
      <c r="E28" s="2">
        <f t="shared" si="6"/>
        <v>47798123.027324013</v>
      </c>
      <c r="F28" s="2">
        <f t="shared" si="6"/>
        <v>48303881.060425155</v>
      </c>
      <c r="G28" s="2">
        <f t="shared" si="6"/>
        <v>48120961.54482846</v>
      </c>
      <c r="H28" s="2">
        <f t="shared" si="6"/>
        <v>48214976.508842103</v>
      </c>
      <c r="I28" s="2">
        <f t="shared" si="6"/>
        <v>48727043.909622431</v>
      </c>
      <c r="J28" s="2">
        <f t="shared" si="6"/>
        <v>49133804.930862397</v>
      </c>
      <c r="K28" s="2">
        <f t="shared" si="6"/>
        <v>48680158.45327121</v>
      </c>
      <c r="L28" s="2">
        <f t="shared" si="6"/>
        <v>49117608.771413602</v>
      </c>
      <c r="M28" s="2">
        <f t="shared" si="6"/>
        <v>49252901.596455328</v>
      </c>
      <c r="N28" s="2">
        <f t="shared" si="6"/>
        <v>49693191.055954009</v>
      </c>
      <c r="O28" s="2">
        <f t="shared" si="6"/>
        <v>50241533.191967063</v>
      </c>
      <c r="P28" s="2">
        <f t="shared" si="6"/>
        <v>50178084.57167501</v>
      </c>
      <c r="Q28" s="2">
        <f t="shared" si="6"/>
        <v>50625942.162961863</v>
      </c>
      <c r="R28" s="2">
        <f>AVERAGE(E28:Q28)</f>
        <v>49083708.521969438</v>
      </c>
      <c r="T28" s="2"/>
    </row>
    <row r="29" spans="1:20">
      <c r="A29" s="81">
        <f t="shared" si="2"/>
        <v>15</v>
      </c>
      <c r="B29" s="75"/>
      <c r="C29" s="78" t="s">
        <v>83</v>
      </c>
      <c r="D29" s="84" t="s">
        <v>355</v>
      </c>
      <c r="E29" s="2">
        <f t="shared" si="6"/>
        <v>12034656</v>
      </c>
      <c r="F29" s="2">
        <f t="shared" si="6"/>
        <v>11567665</v>
      </c>
      <c r="G29" s="2">
        <f t="shared" si="6"/>
        <v>11711065</v>
      </c>
      <c r="H29" s="2">
        <f t="shared" si="6"/>
        <v>12109921</v>
      </c>
      <c r="I29" s="2">
        <f t="shared" si="6"/>
        <v>12495890</v>
      </c>
      <c r="J29" s="2">
        <f t="shared" si="6"/>
        <v>12582955</v>
      </c>
      <c r="K29" s="2">
        <f t="shared" si="6"/>
        <v>12932118</v>
      </c>
      <c r="L29" s="2">
        <f t="shared" si="6"/>
        <v>13108972</v>
      </c>
      <c r="M29" s="2">
        <f t="shared" si="6"/>
        <v>13479617</v>
      </c>
      <c r="N29" s="2">
        <f t="shared" si="6"/>
        <v>13882079</v>
      </c>
      <c r="O29" s="2">
        <f t="shared" si="6"/>
        <v>13537772</v>
      </c>
      <c r="P29" s="2">
        <f t="shared" si="6"/>
        <v>13914046</v>
      </c>
      <c r="Q29" s="2">
        <f t="shared" si="6"/>
        <v>13776575</v>
      </c>
      <c r="R29" s="2">
        <f>AVERAGE(E29:Q29)</f>
        <v>12856410.076923076</v>
      </c>
      <c r="T29" s="2"/>
    </row>
    <row r="30" spans="1:20">
      <c r="A30" s="81">
        <f t="shared" si="2"/>
        <v>16</v>
      </c>
      <c r="B30" s="75"/>
      <c r="C30" s="78" t="str">
        <f>+C20</f>
        <v xml:space="preserve">  Communication System</v>
      </c>
      <c r="D30" s="84" t="s">
        <v>356</v>
      </c>
      <c r="E30" s="2">
        <f t="shared" si="6"/>
        <v>2468456.0578693342</v>
      </c>
      <c r="F30" s="2">
        <f t="shared" si="6"/>
        <v>2929850.5199558754</v>
      </c>
      <c r="G30" s="2">
        <f t="shared" si="6"/>
        <v>2974495.3996237093</v>
      </c>
      <c r="H30" s="2">
        <f t="shared" si="6"/>
        <v>3019107.095495292</v>
      </c>
      <c r="I30" s="2">
        <f t="shared" si="6"/>
        <v>3013077.5925386259</v>
      </c>
      <c r="J30" s="2">
        <f t="shared" si="6"/>
        <v>3062275.4654699597</v>
      </c>
      <c r="K30" s="2">
        <f t="shared" si="6"/>
        <v>3092697.7006880427</v>
      </c>
      <c r="L30" s="2">
        <f t="shared" si="6"/>
        <v>3141198.1259061256</v>
      </c>
      <c r="M30" s="2">
        <f t="shared" si="6"/>
        <v>3189795.9379082099</v>
      </c>
      <c r="N30" s="2">
        <f t="shared" si="6"/>
        <v>3239551.9675785429</v>
      </c>
      <c r="O30" s="2">
        <f t="shared" si="6"/>
        <v>3291534.0881232093</v>
      </c>
      <c r="P30" s="2">
        <f t="shared" si="6"/>
        <v>3353995.240086793</v>
      </c>
      <c r="Q30" s="2">
        <f t="shared" si="6"/>
        <v>2959500.1090445425</v>
      </c>
      <c r="R30" s="2">
        <f t="shared" si="5"/>
        <v>3056579.6384837124</v>
      </c>
      <c r="S30" s="2"/>
      <c r="T30" s="2"/>
    </row>
    <row r="31" spans="1:20">
      <c r="A31" s="81">
        <f t="shared" si="2"/>
        <v>17</v>
      </c>
      <c r="B31" s="75"/>
      <c r="C31" s="78" t="str">
        <f>+C21</f>
        <v xml:space="preserve">  Common</v>
      </c>
      <c r="D31" s="84" t="s">
        <v>89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0</v>
      </c>
      <c r="R31" s="2">
        <f t="shared" si="5"/>
        <v>0</v>
      </c>
    </row>
    <row r="32" spans="1:20">
      <c r="A32" s="81">
        <f t="shared" si="2"/>
        <v>18</v>
      </c>
      <c r="B32" s="75"/>
      <c r="C32" s="78" t="s">
        <v>102</v>
      </c>
      <c r="D32" s="84" t="str">
        <f>"(sum lines "&amp;A25&amp;" - "&amp;A31&amp;")"</f>
        <v>(sum lines 11 - 17)</v>
      </c>
      <c r="E32" s="4">
        <f>SUM(E25:E31)</f>
        <v>560912775.19449985</v>
      </c>
      <c r="F32" s="4">
        <f>SUM(F25:F31)</f>
        <v>567704577.44742095</v>
      </c>
      <c r="G32" s="4">
        <f t="shared" ref="G32:R32" si="7">SUM(G25:G31)</f>
        <v>570662555.79909706</v>
      </c>
      <c r="H32" s="4">
        <f t="shared" si="7"/>
        <v>569859032.36046684</v>
      </c>
      <c r="I32" s="4">
        <f t="shared" si="7"/>
        <v>578085083.58957779</v>
      </c>
      <c r="J32" s="4">
        <f t="shared" si="7"/>
        <v>581848050.1273998</v>
      </c>
      <c r="K32" s="4">
        <f t="shared" si="7"/>
        <v>576351216.89118779</v>
      </c>
      <c r="L32" s="4">
        <f t="shared" si="7"/>
        <v>588736113.81272995</v>
      </c>
      <c r="M32" s="4">
        <f t="shared" si="7"/>
        <v>592668626.13332486</v>
      </c>
      <c r="N32" s="4">
        <f t="shared" si="7"/>
        <v>586883555.42074466</v>
      </c>
      <c r="O32" s="4">
        <f>SUM(O25:O31)</f>
        <v>596142108.01600277</v>
      </c>
      <c r="P32" s="4">
        <f>SUM(P25:P31)</f>
        <v>599991886.66125679</v>
      </c>
      <c r="Q32" s="4">
        <f>SUM(Q25:Q31)</f>
        <v>588915548.24058723</v>
      </c>
      <c r="R32" s="4">
        <f t="shared" si="7"/>
        <v>581443163.82263827</v>
      </c>
      <c r="S32" s="84"/>
    </row>
    <row r="33" spans="1:19">
      <c r="A33" s="81">
        <f t="shared" si="2"/>
        <v>19</v>
      </c>
      <c r="B33" s="75"/>
      <c r="C33" s="75"/>
      <c r="D33" s="84" t="s">
        <v>54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84"/>
    </row>
    <row r="34" spans="1:19">
      <c r="A34" s="81">
        <f t="shared" si="2"/>
        <v>20</v>
      </c>
      <c r="B34" s="75"/>
      <c r="C34" s="78" t="s">
        <v>103</v>
      </c>
      <c r="D34" s="84" t="s">
        <v>349</v>
      </c>
      <c r="E34" s="2"/>
      <c r="F34" s="2"/>
      <c r="G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84"/>
    </row>
    <row r="35" spans="1:19">
      <c r="A35" s="81">
        <f t="shared" si="2"/>
        <v>21</v>
      </c>
      <c r="B35" s="75"/>
      <c r="C35" s="78" t="str">
        <f>+C25</f>
        <v xml:space="preserve">  Production</v>
      </c>
      <c r="D35" s="84" t="str">
        <f t="shared" ref="D35:D41" si="8">"(line "&amp;A15&amp;" - line "&amp;A25&amp;")"</f>
        <v>(line 1 - line 11)</v>
      </c>
      <c r="E35" s="2">
        <f t="shared" ref="E35:Q41" si="9">+E15-E25</f>
        <v>459193713.23999989</v>
      </c>
      <c r="F35" s="2">
        <f t="shared" si="9"/>
        <v>460880158.03999996</v>
      </c>
      <c r="G35" s="2">
        <f t="shared" si="9"/>
        <v>459075273.22999996</v>
      </c>
      <c r="H35" s="2">
        <f t="shared" si="9"/>
        <v>458034090.20999998</v>
      </c>
      <c r="I35" s="2">
        <f t="shared" si="9"/>
        <v>456955431.63999999</v>
      </c>
      <c r="J35" s="2">
        <f t="shared" si="9"/>
        <v>455364946.50999999</v>
      </c>
      <c r="K35" s="2">
        <f t="shared" si="9"/>
        <v>456736901.87999988</v>
      </c>
      <c r="L35" s="2">
        <f t="shared" si="9"/>
        <v>455667867.65999985</v>
      </c>
      <c r="M35" s="2">
        <f t="shared" si="9"/>
        <v>454934371.31999987</v>
      </c>
      <c r="N35" s="2">
        <f t="shared" si="9"/>
        <v>454441289.47000003</v>
      </c>
      <c r="O35" s="2">
        <f t="shared" si="9"/>
        <v>462364697.44000006</v>
      </c>
      <c r="P35" s="2">
        <f t="shared" si="9"/>
        <v>474665786.90000015</v>
      </c>
      <c r="Q35" s="2">
        <f t="shared" si="9"/>
        <v>481297339.81000018</v>
      </c>
      <c r="R35" s="2">
        <f>R15-R25</f>
        <v>460739374.41153836</v>
      </c>
      <c r="S35" s="84"/>
    </row>
    <row r="36" spans="1:19">
      <c r="A36" s="81">
        <f t="shared" si="2"/>
        <v>22</v>
      </c>
      <c r="B36" s="75"/>
      <c r="C36" s="78" t="s">
        <v>72</v>
      </c>
      <c r="D36" s="84" t="str">
        <f t="shared" si="8"/>
        <v>(line 2 - line 12)</v>
      </c>
      <c r="E36" s="2">
        <f t="shared" si="9"/>
        <v>248732332.51378545</v>
      </c>
      <c r="F36" s="2">
        <f t="shared" si="9"/>
        <v>248207361.58296004</v>
      </c>
      <c r="G36" s="2">
        <f t="shared" si="9"/>
        <v>247680400.37535512</v>
      </c>
      <c r="H36" s="2">
        <f t="shared" si="9"/>
        <v>247150417.56498265</v>
      </c>
      <c r="I36" s="2">
        <f t="shared" si="9"/>
        <v>246907984.54258317</v>
      </c>
      <c r="J36" s="2">
        <f t="shared" si="9"/>
        <v>246392511.73893258</v>
      </c>
      <c r="K36" s="2">
        <f t="shared" si="9"/>
        <v>245855450.57644013</v>
      </c>
      <c r="L36" s="2">
        <f t="shared" si="9"/>
        <v>245316438.1245898</v>
      </c>
      <c r="M36" s="2">
        <f t="shared" si="9"/>
        <v>244661098.3910386</v>
      </c>
      <c r="N36" s="2">
        <f t="shared" si="9"/>
        <v>244122062.60053474</v>
      </c>
      <c r="O36" s="2">
        <f t="shared" si="9"/>
        <v>245401976.4540875</v>
      </c>
      <c r="P36" s="2">
        <f t="shared" si="9"/>
        <v>245087790.410505</v>
      </c>
      <c r="Q36" s="2">
        <f t="shared" si="9"/>
        <v>244610566.72392628</v>
      </c>
      <c r="R36" s="2">
        <f t="shared" ref="R36:R41" si="10">R16-R26</f>
        <v>246163568.58459392</v>
      </c>
      <c r="S36" s="84"/>
    </row>
    <row r="37" spans="1:19">
      <c r="A37" s="81">
        <f t="shared" si="2"/>
        <v>23</v>
      </c>
      <c r="B37" s="75"/>
      <c r="C37" s="78" t="s">
        <v>106</v>
      </c>
      <c r="D37" s="84" t="str">
        <f t="shared" si="8"/>
        <v>(line 3 - line 13)</v>
      </c>
      <c r="E37" s="2">
        <f t="shared" si="9"/>
        <v>383214314.01999998</v>
      </c>
      <c r="F37" s="2">
        <f t="shared" si="9"/>
        <v>384628948.48000014</v>
      </c>
      <c r="G37" s="2">
        <f t="shared" si="9"/>
        <v>384168175.40000004</v>
      </c>
      <c r="H37" s="2">
        <f t="shared" si="9"/>
        <v>388281560.58000016</v>
      </c>
      <c r="I37" s="2">
        <f t="shared" si="9"/>
        <v>389282371.10000008</v>
      </c>
      <c r="J37" s="2">
        <f t="shared" si="9"/>
        <v>389750140.4000001</v>
      </c>
      <c r="K37" s="2">
        <f t="shared" si="9"/>
        <v>390432902.13000011</v>
      </c>
      <c r="L37" s="2">
        <f t="shared" si="9"/>
        <v>398290285.15999991</v>
      </c>
      <c r="M37" s="2">
        <f t="shared" si="9"/>
        <v>399538632.85000002</v>
      </c>
      <c r="N37" s="2">
        <f t="shared" si="9"/>
        <v>400511555.95000005</v>
      </c>
      <c r="O37" s="2">
        <f t="shared" si="9"/>
        <v>404452482.55999994</v>
      </c>
      <c r="P37" s="2">
        <f t="shared" si="9"/>
        <v>405648380.92000014</v>
      </c>
      <c r="Q37" s="2">
        <f t="shared" si="9"/>
        <v>406674279.53000009</v>
      </c>
      <c r="R37" s="2">
        <f t="shared" si="10"/>
        <v>394221079.15999997</v>
      </c>
      <c r="S37" s="84"/>
    </row>
    <row r="38" spans="1:19">
      <c r="A38" s="81">
        <f t="shared" si="2"/>
        <v>24</v>
      </c>
      <c r="B38" s="75"/>
      <c r="C38" s="78" t="str">
        <f>+C28</f>
        <v xml:space="preserve">  General &amp; Intangible</v>
      </c>
      <c r="D38" s="84" t="str">
        <f t="shared" si="8"/>
        <v>(line 4 - line 14)</v>
      </c>
      <c r="E38" s="2">
        <f t="shared" si="9"/>
        <v>25410523.692675985</v>
      </c>
      <c r="F38" s="2">
        <f t="shared" si="9"/>
        <v>20814146.269574828</v>
      </c>
      <c r="G38" s="2">
        <f t="shared" si="9"/>
        <v>20277580.805171579</v>
      </c>
      <c r="H38" s="2">
        <f t="shared" si="9"/>
        <v>19733829.891157903</v>
      </c>
      <c r="I38" s="2">
        <f t="shared" si="9"/>
        <v>19280211.950377539</v>
      </c>
      <c r="J38" s="2">
        <f t="shared" si="9"/>
        <v>18404794.659137636</v>
      </c>
      <c r="K38" s="2">
        <f t="shared" si="9"/>
        <v>19055581.316728786</v>
      </c>
      <c r="L38" s="2">
        <f t="shared" si="9"/>
        <v>20527347.14858637</v>
      </c>
      <c r="M38" s="2">
        <f t="shared" si="9"/>
        <v>20902747.323544689</v>
      </c>
      <c r="N38" s="2">
        <f t="shared" si="9"/>
        <v>19512730.42404601</v>
      </c>
      <c r="O38" s="2">
        <f t="shared" si="9"/>
        <v>17798584.808032967</v>
      </c>
      <c r="P38" s="2">
        <f t="shared" si="9"/>
        <v>17809794.098324992</v>
      </c>
      <c r="Q38" s="2">
        <f t="shared" si="9"/>
        <v>17325885.947038166</v>
      </c>
      <c r="R38" s="2">
        <f t="shared" si="10"/>
        <v>19757981.410338268</v>
      </c>
      <c r="S38" s="84"/>
    </row>
    <row r="39" spans="1:19">
      <c r="A39" s="81">
        <f t="shared" si="2"/>
        <v>25</v>
      </c>
      <c r="B39" s="75"/>
      <c r="C39" s="78" t="s">
        <v>83</v>
      </c>
      <c r="D39" s="84" t="str">
        <f t="shared" si="8"/>
        <v>(line 5 - line 15)</v>
      </c>
      <c r="E39" s="2">
        <f t="shared" si="9"/>
        <v>25289012</v>
      </c>
      <c r="F39" s="2">
        <f t="shared" si="9"/>
        <v>24237002</v>
      </c>
      <c r="G39" s="2">
        <f t="shared" si="9"/>
        <v>24014264</v>
      </c>
      <c r="H39" s="2">
        <f t="shared" si="9"/>
        <v>24005786</v>
      </c>
      <c r="I39" s="2">
        <f t="shared" si="9"/>
        <v>23598841</v>
      </c>
      <c r="J39" s="2">
        <f t="shared" si="9"/>
        <v>23372576</v>
      </c>
      <c r="K39" s="2">
        <f t="shared" si="9"/>
        <v>23537516</v>
      </c>
      <c r="L39" s="2">
        <f t="shared" si="9"/>
        <v>22800691</v>
      </c>
      <c r="M39" s="2">
        <f t="shared" si="9"/>
        <v>22435662</v>
      </c>
      <c r="N39" s="2">
        <f t="shared" si="9"/>
        <v>22120228</v>
      </c>
      <c r="O39" s="2">
        <f t="shared" si="9"/>
        <v>22292753</v>
      </c>
      <c r="P39" s="2">
        <f t="shared" si="9"/>
        <v>21963329</v>
      </c>
      <c r="Q39" s="2">
        <f t="shared" si="9"/>
        <v>24095572</v>
      </c>
      <c r="R39" s="2">
        <f t="shared" si="10"/>
        <v>23366402.46153846</v>
      </c>
      <c r="S39" s="84"/>
    </row>
    <row r="40" spans="1:19">
      <c r="A40" s="81">
        <f t="shared" si="2"/>
        <v>26</v>
      </c>
      <c r="B40" s="75"/>
      <c r="C40" s="78" t="str">
        <f>+C30</f>
        <v xml:space="preserve">  Communication System</v>
      </c>
      <c r="D40" s="84" t="str">
        <f t="shared" si="8"/>
        <v>(line 6 - line 16)</v>
      </c>
      <c r="E40" s="2">
        <f t="shared" si="9"/>
        <v>4284882.8421306666</v>
      </c>
      <c r="F40" s="2">
        <f t="shared" si="9"/>
        <v>5550956.0200441256</v>
      </c>
      <c r="G40" s="2">
        <f t="shared" si="9"/>
        <v>5506311.1403762922</v>
      </c>
      <c r="H40" s="2">
        <f t="shared" si="9"/>
        <v>5458394.3845047085</v>
      </c>
      <c r="I40" s="2">
        <f t="shared" si="9"/>
        <v>5414223.3774613747</v>
      </c>
      <c r="J40" s="2">
        <f t="shared" si="9"/>
        <v>5936260.2645300403</v>
      </c>
      <c r="K40" s="2">
        <f t="shared" si="9"/>
        <v>5821168.0993119562</v>
      </c>
      <c r="L40" s="2">
        <f t="shared" si="9"/>
        <v>5772667.6740938732</v>
      </c>
      <c r="M40" s="2">
        <f t="shared" si="9"/>
        <v>5735136.5420917906</v>
      </c>
      <c r="N40" s="2">
        <f t="shared" si="9"/>
        <v>5696486.0124214571</v>
      </c>
      <c r="O40" s="2">
        <f t="shared" si="9"/>
        <v>6921875.1918767877</v>
      </c>
      <c r="P40" s="2">
        <f t="shared" si="9"/>
        <v>6968353.7799132066</v>
      </c>
      <c r="Q40" s="2">
        <f>+Q20-Q30</f>
        <v>7839767.8509554584</v>
      </c>
      <c r="R40" s="2">
        <f t="shared" si="10"/>
        <v>5915883.3215162884</v>
      </c>
      <c r="S40" s="84"/>
    </row>
    <row r="41" spans="1:19">
      <c r="A41" s="81">
        <f t="shared" si="2"/>
        <v>27</v>
      </c>
      <c r="B41" s="75"/>
      <c r="C41" s="78" t="str">
        <f>+C31</f>
        <v xml:space="preserve">  Common</v>
      </c>
      <c r="D41" s="84" t="str">
        <f t="shared" si="8"/>
        <v>(line 7 - line 17)</v>
      </c>
      <c r="E41" s="2">
        <f t="shared" si="9"/>
        <v>0</v>
      </c>
      <c r="F41" s="2">
        <f t="shared" si="9"/>
        <v>0</v>
      </c>
      <c r="G41" s="2">
        <f t="shared" si="9"/>
        <v>0</v>
      </c>
      <c r="H41" s="2">
        <f t="shared" si="9"/>
        <v>0</v>
      </c>
      <c r="I41" s="2">
        <f t="shared" si="9"/>
        <v>0</v>
      </c>
      <c r="J41" s="2">
        <f t="shared" si="9"/>
        <v>0</v>
      </c>
      <c r="K41" s="2">
        <f t="shared" si="9"/>
        <v>0</v>
      </c>
      <c r="L41" s="2">
        <f t="shared" si="9"/>
        <v>0</v>
      </c>
      <c r="M41" s="2">
        <f t="shared" si="9"/>
        <v>0</v>
      </c>
      <c r="N41" s="2">
        <f t="shared" si="9"/>
        <v>0</v>
      </c>
      <c r="O41" s="2">
        <f t="shared" si="9"/>
        <v>0</v>
      </c>
      <c r="P41" s="2">
        <f t="shared" si="9"/>
        <v>0</v>
      </c>
      <c r="Q41" s="2">
        <f t="shared" si="9"/>
        <v>0</v>
      </c>
      <c r="R41" s="3">
        <f t="shared" si="10"/>
        <v>0</v>
      </c>
      <c r="S41" s="84"/>
    </row>
    <row r="42" spans="1:19">
      <c r="A42" s="81">
        <f t="shared" si="2"/>
        <v>28</v>
      </c>
      <c r="B42" s="75"/>
      <c r="C42" s="78" t="s">
        <v>107</v>
      </c>
      <c r="D42" s="84" t="str">
        <f>"(sum lines "&amp;A35&amp;" - "&amp;A41&amp;")"</f>
        <v>(sum lines 21 - 27)</v>
      </c>
      <c r="E42" s="4">
        <f>SUM(E35:E41)</f>
        <v>1146124778.3085921</v>
      </c>
      <c r="F42" s="4">
        <f t="shared" ref="F42:Q42" si="11">SUM(F35:F41)</f>
        <v>1144318572.3925791</v>
      </c>
      <c r="G42" s="4">
        <f t="shared" si="11"/>
        <v>1140722004.9509029</v>
      </c>
      <c r="H42" s="4">
        <f t="shared" si="11"/>
        <v>1142664078.6306455</v>
      </c>
      <c r="I42" s="4">
        <f t="shared" si="11"/>
        <v>1141439063.6104221</v>
      </c>
      <c r="J42" s="4">
        <f t="shared" si="11"/>
        <v>1139221229.5726004</v>
      </c>
      <c r="K42" s="4">
        <f t="shared" si="11"/>
        <v>1141439520.002481</v>
      </c>
      <c r="L42" s="4">
        <f t="shared" si="11"/>
        <v>1148375296.7672698</v>
      </c>
      <c r="M42" s="4">
        <f t="shared" si="11"/>
        <v>1148207648.4266751</v>
      </c>
      <c r="N42" s="4">
        <f t="shared" si="11"/>
        <v>1146404352.4570022</v>
      </c>
      <c r="O42" s="4">
        <f t="shared" si="11"/>
        <v>1159232369.4539974</v>
      </c>
      <c r="P42" s="4">
        <f t="shared" si="11"/>
        <v>1172143435.1087434</v>
      </c>
      <c r="Q42" s="4">
        <f t="shared" si="11"/>
        <v>1181843411.8619204</v>
      </c>
      <c r="R42" s="4">
        <f>SUM(R35:R41)</f>
        <v>1150164289.3495252</v>
      </c>
      <c r="S42" s="84"/>
    </row>
    <row r="43" spans="1:19">
      <c r="A43" s="81"/>
      <c r="B43" s="75"/>
      <c r="C43" s="78"/>
      <c r="D43" s="8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84"/>
    </row>
    <row r="44" spans="1:19">
      <c r="A44" s="81"/>
      <c r="B44" s="75"/>
      <c r="C44" s="78" t="s">
        <v>357</v>
      </c>
      <c r="D44" s="8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84"/>
    </row>
    <row r="45" spans="1:19" ht="17.45">
      <c r="A45" s="81"/>
      <c r="B45" s="75"/>
      <c r="C45" s="97" t="s">
        <v>358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</row>
    <row r="46" spans="1:19">
      <c r="A46" s="81"/>
      <c r="B46" s="75"/>
      <c r="C46" s="78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Q46" s="84"/>
      <c r="R46" s="84"/>
      <c r="S46" s="84"/>
    </row>
    <row r="47" spans="1:19" ht="22.9">
      <c r="A47" s="81"/>
      <c r="B47" s="75"/>
      <c r="C47" s="78"/>
      <c r="D47" s="84"/>
      <c r="E47" s="189" t="s">
        <v>359</v>
      </c>
      <c r="F47" s="190"/>
      <c r="G47" s="190"/>
      <c r="H47" s="192"/>
      <c r="I47" s="78"/>
      <c r="J47" s="84"/>
      <c r="S47" s="84"/>
    </row>
    <row r="48" spans="1:19">
      <c r="A48" s="81">
        <f>+A42+1</f>
        <v>29</v>
      </c>
      <c r="B48" s="75"/>
      <c r="C48" s="75"/>
      <c r="D48" s="84"/>
      <c r="E48" s="5" t="s">
        <v>333</v>
      </c>
      <c r="F48" s="5" t="s">
        <v>334</v>
      </c>
      <c r="G48" s="5" t="s">
        <v>335</v>
      </c>
      <c r="H48" s="5"/>
      <c r="I48" s="75"/>
      <c r="J48" s="75"/>
      <c r="K48" s="75"/>
      <c r="L48" s="75"/>
    </row>
    <row r="49" spans="1:12">
      <c r="A49" s="81">
        <f t="shared" si="2"/>
        <v>30</v>
      </c>
      <c r="B49" s="75"/>
      <c r="C49" s="97" t="s">
        <v>360</v>
      </c>
      <c r="D49" s="84"/>
      <c r="E49" s="191">
        <v>45627</v>
      </c>
      <c r="F49" s="191">
        <v>45992</v>
      </c>
      <c r="G49" s="84" t="s">
        <v>361</v>
      </c>
      <c r="H49" s="191"/>
    </row>
    <row r="50" spans="1:12">
      <c r="A50" s="81">
        <f t="shared" si="2"/>
        <v>31</v>
      </c>
      <c r="B50" s="75"/>
      <c r="C50" s="78" t="s">
        <v>111</v>
      </c>
      <c r="D50" s="84" t="s">
        <v>362</v>
      </c>
      <c r="E50" s="2">
        <v>0</v>
      </c>
      <c r="F50" s="2">
        <v>0</v>
      </c>
      <c r="G50" s="2">
        <f t="shared" ref="G50:G54" si="12">(+E50+F50)/2</f>
        <v>0</v>
      </c>
      <c r="H50" s="2"/>
    </row>
    <row r="51" spans="1:12">
      <c r="A51" s="81">
        <f t="shared" si="2"/>
        <v>32</v>
      </c>
      <c r="B51" s="75"/>
      <c r="C51" s="78" t="s">
        <v>114</v>
      </c>
      <c r="D51" s="84" t="s">
        <v>363</v>
      </c>
      <c r="E51" s="2">
        <v>-150233249.46000001</v>
      </c>
      <c r="F51" s="2">
        <v>-162648044</v>
      </c>
      <c r="G51" s="2">
        <f>(+E51+F51)/2</f>
        <v>-156440646.73000002</v>
      </c>
      <c r="H51" s="78"/>
    </row>
    <row r="52" spans="1:12">
      <c r="A52" s="81">
        <f>+A51+1</f>
        <v>33</v>
      </c>
      <c r="B52" s="75"/>
      <c r="C52" s="78" t="s">
        <v>117</v>
      </c>
      <c r="D52" s="84" t="s">
        <v>364</v>
      </c>
      <c r="E52" s="3">
        <v>-19214310</v>
      </c>
      <c r="F52" s="3">
        <v>-23530979</v>
      </c>
      <c r="G52" s="2">
        <f>(+E52+F52)/2</f>
        <v>-21372644.5</v>
      </c>
      <c r="H52" s="78"/>
      <c r="J52" s="84"/>
    </row>
    <row r="53" spans="1:12">
      <c r="A53" s="81">
        <f>+A52+1</f>
        <v>34</v>
      </c>
      <c r="B53" s="75"/>
      <c r="C53" s="78" t="s">
        <v>119</v>
      </c>
      <c r="D53" s="84" t="s">
        <v>365</v>
      </c>
      <c r="E53" s="3">
        <v>44945479</v>
      </c>
      <c r="F53" s="3">
        <v>45107178</v>
      </c>
      <c r="G53" s="2">
        <f t="shared" si="12"/>
        <v>45026328.5</v>
      </c>
      <c r="H53" s="78"/>
      <c r="J53" s="84"/>
    </row>
    <row r="54" spans="1:12" ht="17.45">
      <c r="A54" s="81">
        <f>+A53+1</f>
        <v>35</v>
      </c>
      <c r="B54" s="75"/>
      <c r="C54" s="75" t="s">
        <v>124</v>
      </c>
      <c r="D54" s="84" t="s">
        <v>366</v>
      </c>
      <c r="E54" s="3">
        <v>0</v>
      </c>
      <c r="F54" s="3">
        <v>0</v>
      </c>
      <c r="G54" s="2">
        <f t="shared" si="12"/>
        <v>0</v>
      </c>
      <c r="H54" s="84"/>
      <c r="J54" s="84"/>
      <c r="L54" s="193"/>
    </row>
    <row r="55" spans="1:12" ht="17.45">
      <c r="A55" s="81">
        <f t="shared" si="2"/>
        <v>36</v>
      </c>
      <c r="B55" s="75"/>
      <c r="C55" s="78" t="s">
        <v>126</v>
      </c>
      <c r="D55" s="75" t="s">
        <v>363</v>
      </c>
      <c r="E55" s="194">
        <v>-75785.280000000028</v>
      </c>
      <c r="F55" s="194">
        <v>108230.25</v>
      </c>
      <c r="G55" s="2">
        <f>(+E55+F55)/2</f>
        <v>16222.484999999986</v>
      </c>
      <c r="H55" s="78"/>
      <c r="J55" s="84"/>
      <c r="L55" s="193"/>
    </row>
    <row r="56" spans="1:12">
      <c r="A56" s="81">
        <f t="shared" si="2"/>
        <v>37</v>
      </c>
      <c r="B56" s="75"/>
      <c r="C56" s="78" t="s">
        <v>128</v>
      </c>
      <c r="D56" s="84" t="str">
        <f>"(sum lines "&amp;A50&amp;" - "&amp;A55&amp;")"</f>
        <v>(sum lines 31 - 36)</v>
      </c>
      <c r="E56" s="2">
        <f>SUM(E50:E55)</f>
        <v>-124577865.74000001</v>
      </c>
      <c r="F56" s="2">
        <f>SUM(F50:F55)</f>
        <v>-140963614.75</v>
      </c>
      <c r="G56" s="2">
        <f>SUM(G50:G55)</f>
        <v>-132770740.24500002</v>
      </c>
      <c r="H56" s="84"/>
      <c r="J56" s="84"/>
    </row>
    <row r="57" spans="1:12">
      <c r="A57" s="81">
        <f t="shared" si="2"/>
        <v>38</v>
      </c>
      <c r="B57" s="75"/>
      <c r="C57" s="75"/>
      <c r="D57" s="84"/>
      <c r="E57" s="2"/>
      <c r="F57" s="2"/>
      <c r="G57" s="2"/>
      <c r="H57" s="84"/>
      <c r="I57" s="84"/>
      <c r="J57" s="84"/>
    </row>
    <row r="58" spans="1:12">
      <c r="A58" s="81">
        <f t="shared" si="2"/>
        <v>39</v>
      </c>
      <c r="B58" s="75"/>
      <c r="C58" s="97" t="s">
        <v>129</v>
      </c>
      <c r="D58" s="84" t="s">
        <v>367</v>
      </c>
      <c r="E58" s="2">
        <v>6203620</v>
      </c>
      <c r="F58" s="2">
        <v>6238342</v>
      </c>
      <c r="G58" s="2">
        <f>(+E58+F58)/2</f>
        <v>6220981</v>
      </c>
      <c r="H58" s="84"/>
      <c r="I58" s="84"/>
      <c r="J58" s="84"/>
    </row>
    <row r="59" spans="1:12">
      <c r="A59" s="81">
        <f t="shared" si="2"/>
        <v>40</v>
      </c>
      <c r="B59" s="75"/>
      <c r="C59" s="78"/>
      <c r="D59" s="84"/>
      <c r="E59" s="2"/>
      <c r="G59" s="2"/>
      <c r="H59" s="84"/>
      <c r="I59" s="84"/>
      <c r="J59" s="84"/>
    </row>
    <row r="60" spans="1:12">
      <c r="A60" s="81">
        <f t="shared" si="2"/>
        <v>41</v>
      </c>
      <c r="B60" s="75"/>
      <c r="C60" s="78" t="s">
        <v>368</v>
      </c>
      <c r="D60" s="84"/>
      <c r="E60" s="2"/>
      <c r="F60" s="2"/>
      <c r="G60" s="2"/>
      <c r="H60" s="84"/>
      <c r="I60" s="84"/>
      <c r="J60" s="84"/>
    </row>
    <row r="61" spans="1:12">
      <c r="A61" s="81">
        <f t="shared" si="2"/>
        <v>42</v>
      </c>
      <c r="B61" s="75"/>
      <c r="C61" s="78"/>
      <c r="D61" s="75"/>
      <c r="E61" s="2"/>
      <c r="F61" s="2"/>
      <c r="G61" s="2"/>
      <c r="H61" s="84"/>
      <c r="I61" s="84"/>
      <c r="J61" s="84"/>
    </row>
    <row r="62" spans="1:12">
      <c r="A62" s="81">
        <f t="shared" si="2"/>
        <v>43</v>
      </c>
      <c r="B62" s="75"/>
      <c r="C62" s="78" t="s">
        <v>134</v>
      </c>
      <c r="D62" s="84" t="s">
        <v>135</v>
      </c>
      <c r="E62" s="3">
        <v>8883548</v>
      </c>
      <c r="F62" s="3">
        <v>8628093</v>
      </c>
      <c r="G62" s="2">
        <f>(+E62+F62)/2</f>
        <v>8755820.5</v>
      </c>
      <c r="H62" s="78"/>
      <c r="J62" s="84"/>
    </row>
    <row r="63" spans="1:12">
      <c r="A63" s="81">
        <f t="shared" si="2"/>
        <v>44</v>
      </c>
      <c r="B63" s="75"/>
      <c r="C63" s="78" t="s">
        <v>134</v>
      </c>
      <c r="D63" s="84" t="s">
        <v>136</v>
      </c>
      <c r="E63" s="3">
        <v>151544</v>
      </c>
      <c r="F63" s="3">
        <v>149337</v>
      </c>
      <c r="G63" s="2">
        <f>(+E63+F63)/2</f>
        <v>150440.5</v>
      </c>
      <c r="H63" s="78"/>
      <c r="J63" s="84"/>
    </row>
    <row r="64" spans="1:12">
      <c r="A64" s="81">
        <f t="shared" si="2"/>
        <v>45</v>
      </c>
      <c r="B64" s="75"/>
      <c r="C64" s="78" t="s">
        <v>137</v>
      </c>
      <c r="D64" s="84" t="s">
        <v>138</v>
      </c>
      <c r="E64" s="3">
        <v>4487867</v>
      </c>
      <c r="F64" s="3">
        <v>4630741</v>
      </c>
      <c r="G64" s="2">
        <f>(+E64+F64)/2</f>
        <v>4559304</v>
      </c>
      <c r="H64" s="78"/>
      <c r="J64" s="84"/>
    </row>
    <row r="65" spans="1:20">
      <c r="A65" s="81">
        <f t="shared" si="2"/>
        <v>46</v>
      </c>
      <c r="B65" s="75"/>
      <c r="C65" s="78" t="s">
        <v>140</v>
      </c>
      <c r="D65" s="84" t="str">
        <f>"(sum lines "&amp;A61&amp;" - "&amp;A64&amp;")"</f>
        <v>(sum lines 42 - 45)</v>
      </c>
      <c r="E65" s="4">
        <f>SUM(E62:E64)</f>
        <v>13522959</v>
      </c>
      <c r="F65" s="4">
        <f>SUM(F62:F64)</f>
        <v>13408171</v>
      </c>
      <c r="G65" s="4">
        <f>SUM(G62:G64)</f>
        <v>13465565</v>
      </c>
      <c r="H65" s="78"/>
      <c r="I65" s="78"/>
      <c r="J65" s="84"/>
    </row>
    <row r="68" spans="1:20">
      <c r="C68" s="78" t="s">
        <v>348</v>
      </c>
      <c r="D68" t="s">
        <v>369</v>
      </c>
    </row>
    <row r="69" spans="1:20">
      <c r="C69" s="78" t="s">
        <v>69</v>
      </c>
      <c r="E69" s="2">
        <v>726161182.95999992</v>
      </c>
      <c r="F69" s="2">
        <v>727752103.29999995</v>
      </c>
      <c r="G69" s="2">
        <v>727725190.23000002</v>
      </c>
      <c r="H69" s="2">
        <v>728302999.89999998</v>
      </c>
      <c r="I69" s="2">
        <v>728670112.41999996</v>
      </c>
      <c r="J69" s="2">
        <v>728854424.38</v>
      </c>
      <c r="K69" s="2">
        <v>731665710.46999991</v>
      </c>
      <c r="L69" s="2">
        <v>732286797.42999983</v>
      </c>
      <c r="M69" s="2">
        <v>733225779.63999987</v>
      </c>
      <c r="N69" s="2">
        <v>734142244.16999996</v>
      </c>
      <c r="O69" s="2">
        <v>740065137.54000008</v>
      </c>
      <c r="P69" s="2">
        <v>754151371.69000018</v>
      </c>
      <c r="Q69" s="2">
        <v>760369074.80000019</v>
      </c>
      <c r="S69" s="2"/>
      <c r="T69" s="2"/>
    </row>
    <row r="70" spans="1:20">
      <c r="C70" s="78" t="s">
        <v>72</v>
      </c>
      <c r="E70" s="2">
        <v>299490869.48000002</v>
      </c>
      <c r="F70" s="2">
        <v>299433840.99000001</v>
      </c>
      <c r="G70" s="2">
        <v>299407792.99000001</v>
      </c>
      <c r="H70" s="2">
        <v>299416641.45999998</v>
      </c>
      <c r="I70" s="2">
        <v>299645719.64999998</v>
      </c>
      <c r="J70" s="2">
        <v>299663933.28999996</v>
      </c>
      <c r="K70" s="2">
        <v>299619911.66999996</v>
      </c>
      <c r="L70" s="2">
        <v>299426364.60000002</v>
      </c>
      <c r="M70" s="2">
        <v>299310215.77999997</v>
      </c>
      <c r="N70" s="2">
        <v>299309198.85999995</v>
      </c>
      <c r="O70" s="2">
        <v>301129710.40999997</v>
      </c>
      <c r="P70" s="2">
        <v>301357829.89999998</v>
      </c>
      <c r="Q70" s="2">
        <v>301359975.21999997</v>
      </c>
      <c r="T70" s="2"/>
    </row>
    <row r="71" spans="1:20">
      <c r="C71" s="78" t="s">
        <v>78</v>
      </c>
      <c r="E71" s="2">
        <v>569292336.46000004</v>
      </c>
      <c r="F71" s="2">
        <v>571433704.68000007</v>
      </c>
      <c r="G71" s="2">
        <v>571646899.63999999</v>
      </c>
      <c r="H71" s="2">
        <v>576534588.94000018</v>
      </c>
      <c r="I71" s="2">
        <v>578679027.30000007</v>
      </c>
      <c r="J71" s="2">
        <v>580058255.71000016</v>
      </c>
      <c r="K71" s="2">
        <v>581882658.38000011</v>
      </c>
      <c r="L71" s="2">
        <v>590929763.82999992</v>
      </c>
      <c r="M71" s="2">
        <v>593344418.74000001</v>
      </c>
      <c r="N71" s="2">
        <v>595177276.67000008</v>
      </c>
      <c r="O71" s="2">
        <v>600095577.24000001</v>
      </c>
      <c r="P71" s="2">
        <v>602438517.49000013</v>
      </c>
      <c r="Q71" s="2">
        <v>604188302.32000005</v>
      </c>
      <c r="T71" s="2"/>
    </row>
    <row r="72" spans="1:20">
      <c r="C72" s="78" t="s">
        <v>80</v>
      </c>
      <c r="E72" s="2">
        <v>147740382.93000001</v>
      </c>
      <c r="F72" s="2">
        <v>144029081.31</v>
      </c>
      <c r="G72" s="2">
        <v>143525836.42000005</v>
      </c>
      <c r="H72" s="2">
        <v>143037910.17000002</v>
      </c>
      <c r="I72" s="2">
        <v>143089950.07999998</v>
      </c>
      <c r="J72" s="2">
        <v>142621558.25000003</v>
      </c>
      <c r="K72" s="2">
        <v>142991246.68000001</v>
      </c>
      <c r="L72" s="2">
        <v>144900462.82999998</v>
      </c>
      <c r="M72" s="2">
        <v>145504459.52000001</v>
      </c>
      <c r="N72" s="2">
        <v>144529855.26000002</v>
      </c>
      <c r="O72" s="2">
        <v>143856858.78000003</v>
      </c>
      <c r="P72" s="2">
        <v>143810750.74000001</v>
      </c>
      <c r="Q72" s="2">
        <v>144196294.79000002</v>
      </c>
      <c r="T72" s="2"/>
    </row>
    <row r="73" spans="1:20">
      <c r="C73" s="78" t="s">
        <v>83</v>
      </c>
      <c r="D73" t="s">
        <v>370</v>
      </c>
      <c r="E73" s="2">
        <v>37323668</v>
      </c>
      <c r="F73" s="2">
        <v>35804667</v>
      </c>
      <c r="G73" s="2">
        <v>35725329</v>
      </c>
      <c r="H73" s="2">
        <v>36115707</v>
      </c>
      <c r="I73" s="2">
        <v>36094731</v>
      </c>
      <c r="J73" s="2">
        <v>35955531</v>
      </c>
      <c r="K73" s="2">
        <v>36469634</v>
      </c>
      <c r="L73" s="2">
        <v>35909663</v>
      </c>
      <c r="M73" s="2">
        <v>35915279</v>
      </c>
      <c r="N73" s="2">
        <v>36002307</v>
      </c>
      <c r="O73" s="2">
        <v>35830525</v>
      </c>
      <c r="P73" s="2">
        <v>35877375</v>
      </c>
      <c r="Q73" s="2">
        <v>37872147</v>
      </c>
      <c r="T73" s="2"/>
    </row>
    <row r="74" spans="1:20">
      <c r="C74" s="78" t="s">
        <v>85</v>
      </c>
      <c r="E74" s="2">
        <v>6753338.9000000004</v>
      </c>
      <c r="F74" s="2">
        <v>8480806.540000001</v>
      </c>
      <c r="G74" s="2">
        <v>8480806.540000001</v>
      </c>
      <c r="H74" s="2">
        <v>8477501.4800000004</v>
      </c>
      <c r="I74" s="2">
        <v>8427300.9700000007</v>
      </c>
      <c r="J74" s="2">
        <v>8998535.7300000004</v>
      </c>
      <c r="K74" s="2">
        <v>8913865.7999999989</v>
      </c>
      <c r="L74" s="2">
        <v>8913865.7999999989</v>
      </c>
      <c r="M74" s="2">
        <v>8924932.4800000004</v>
      </c>
      <c r="N74" s="2">
        <v>8936037.9800000004</v>
      </c>
      <c r="O74" s="2">
        <v>10213409.279999997</v>
      </c>
      <c r="P74" s="2">
        <v>10322349.02</v>
      </c>
      <c r="Q74" s="2">
        <v>10805701.5</v>
      </c>
      <c r="T74" s="2"/>
    </row>
    <row r="75" spans="1:20">
      <c r="C75" s="78" t="s">
        <v>88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</row>
    <row r="76" spans="1:20">
      <c r="C76" s="97" t="s">
        <v>91</v>
      </c>
      <c r="E76" s="4">
        <f>SUM(E69:E75)</f>
        <v>1786761778.7300003</v>
      </c>
      <c r="F76" s="4">
        <f>SUM(F69:F75)</f>
        <v>1786934203.8199999</v>
      </c>
      <c r="G76" s="4">
        <f t="shared" ref="G76:Q76" si="13">SUM(G69:G75)</f>
        <v>1786511854.8200002</v>
      </c>
      <c r="H76" s="4">
        <f t="shared" si="13"/>
        <v>1791885348.9500003</v>
      </c>
      <c r="I76" s="4">
        <f t="shared" si="13"/>
        <v>1794606841.4199998</v>
      </c>
      <c r="J76" s="4">
        <f t="shared" si="13"/>
        <v>1796152238.3600001</v>
      </c>
      <c r="K76" s="4">
        <f t="shared" si="13"/>
        <v>1801543027</v>
      </c>
      <c r="L76" s="4">
        <f t="shared" si="13"/>
        <v>1812366917.4899995</v>
      </c>
      <c r="M76" s="4">
        <f t="shared" si="13"/>
        <v>1816225085.1599998</v>
      </c>
      <c r="N76" s="4">
        <f t="shared" si="13"/>
        <v>1818096919.9400001</v>
      </c>
      <c r="O76" s="4">
        <f t="shared" si="13"/>
        <v>1831191218.25</v>
      </c>
      <c r="P76" s="4">
        <f t="shared" si="13"/>
        <v>1847958193.8400004</v>
      </c>
      <c r="Q76" s="4">
        <f t="shared" si="13"/>
        <v>1858791495.6300001</v>
      </c>
    </row>
    <row r="78" spans="1:20">
      <c r="C78" s="78" t="s">
        <v>353</v>
      </c>
      <c r="D78" t="s">
        <v>371</v>
      </c>
    </row>
    <row r="79" spans="1:20">
      <c r="C79" s="78" t="s">
        <v>69</v>
      </c>
      <c r="D79" t="s">
        <v>372</v>
      </c>
      <c r="E79" s="2">
        <v>266967469.72000003</v>
      </c>
      <c r="F79" s="2">
        <v>267003358.30000001</v>
      </c>
      <c r="G79" s="2">
        <v>268783965.61000007</v>
      </c>
      <c r="H79" s="2">
        <v>270405593.87</v>
      </c>
      <c r="I79" s="2">
        <v>271854000.52999997</v>
      </c>
      <c r="J79" s="2">
        <v>273631433.19</v>
      </c>
      <c r="K79" s="2">
        <v>275073399.49000001</v>
      </c>
      <c r="L79" s="2">
        <v>276766156.24000001</v>
      </c>
      <c r="M79" s="2">
        <v>278441270.36000001</v>
      </c>
      <c r="N79" s="2">
        <v>279853452.31999993</v>
      </c>
      <c r="O79" s="2">
        <v>277855573.29000002</v>
      </c>
      <c r="P79" s="2">
        <v>279643353.55000001</v>
      </c>
      <c r="Q79" s="2">
        <v>279232139.31999999</v>
      </c>
      <c r="S79" s="2"/>
      <c r="T79" s="2"/>
    </row>
    <row r="80" spans="1:20">
      <c r="C80" s="78" t="s">
        <v>72</v>
      </c>
      <c r="E80" s="2">
        <v>50758536.966214553</v>
      </c>
      <c r="F80" s="2">
        <v>51226479.40703997</v>
      </c>
      <c r="G80" s="2">
        <v>51727392.614644893</v>
      </c>
      <c r="H80" s="2">
        <v>52266223.895017304</v>
      </c>
      <c r="I80" s="2">
        <v>52737735.107416801</v>
      </c>
      <c r="J80" s="2">
        <v>53271421.55106739</v>
      </c>
      <c r="K80" s="2">
        <v>53764461.093559809</v>
      </c>
      <c r="L80" s="2">
        <v>54109926.475410216</v>
      </c>
      <c r="M80" s="2">
        <v>54649117.388961382</v>
      </c>
      <c r="N80" s="2">
        <v>55187136.259465218</v>
      </c>
      <c r="O80" s="2">
        <v>55727733.955912471</v>
      </c>
      <c r="P80" s="2">
        <v>56270039.489494964</v>
      </c>
      <c r="Q80" s="2">
        <v>56749408.496073708</v>
      </c>
      <c r="T80" s="2"/>
    </row>
    <row r="81" spans="2:31">
      <c r="C81" s="78" t="s">
        <v>78</v>
      </c>
      <c r="E81" s="2">
        <v>186078022.44000003</v>
      </c>
      <c r="F81" s="2">
        <v>186804756.19999996</v>
      </c>
      <c r="G81" s="2">
        <v>187478724.23999995</v>
      </c>
      <c r="H81" s="2">
        <v>188253028.35999998</v>
      </c>
      <c r="I81" s="2">
        <v>189396656.19999999</v>
      </c>
      <c r="J81" s="2">
        <v>190308115.31000003</v>
      </c>
      <c r="K81" s="2">
        <v>191449756.24999997</v>
      </c>
      <c r="L81" s="2">
        <v>192639478.67000002</v>
      </c>
      <c r="M81" s="2">
        <v>193805785.89000002</v>
      </c>
      <c r="N81" s="2">
        <v>194665720.72</v>
      </c>
      <c r="O81" s="2">
        <v>195643094.68000004</v>
      </c>
      <c r="P81" s="2">
        <v>196790136.56999999</v>
      </c>
      <c r="Q81" s="2">
        <v>197514022.79000002</v>
      </c>
      <c r="T81" s="2"/>
    </row>
    <row r="82" spans="2:31">
      <c r="C82" s="78" t="s">
        <v>80</v>
      </c>
      <c r="E82" s="2">
        <v>64273305.127837092</v>
      </c>
      <c r="F82" s="2">
        <v>64566296.230230451</v>
      </c>
      <c r="G82" s="2">
        <v>64474493.717973188</v>
      </c>
      <c r="H82" s="2">
        <v>64421514.41471751</v>
      </c>
      <c r="I82" s="2">
        <v>65051532.605731472</v>
      </c>
      <c r="J82" s="2">
        <v>65679592.717159688</v>
      </c>
      <c r="K82" s="2">
        <v>66130347.303614438</v>
      </c>
      <c r="L82" s="2">
        <v>66734004.35033299</v>
      </c>
      <c r="M82" s="2">
        <v>67380373.049055576</v>
      </c>
      <c r="N82" s="2">
        <v>67969851.125864431</v>
      </c>
      <c r="O82" s="2">
        <v>68404500.429700106</v>
      </c>
      <c r="P82" s="2">
        <v>69025258.670008525</v>
      </c>
      <c r="Q82" s="2">
        <v>69633943.601254135</v>
      </c>
      <c r="T82" s="2"/>
    </row>
    <row r="83" spans="2:31">
      <c r="C83" s="78" t="str">
        <f>+C73</f>
        <v xml:space="preserve">  Allocated Plant</v>
      </c>
      <c r="D83" t="s">
        <v>370</v>
      </c>
      <c r="E83" s="2">
        <v>12034656</v>
      </c>
      <c r="F83" s="2">
        <v>11567665</v>
      </c>
      <c r="G83" s="2">
        <v>11711065</v>
      </c>
      <c r="H83" s="2">
        <v>12109921</v>
      </c>
      <c r="I83" s="2">
        <v>12495890</v>
      </c>
      <c r="J83" s="2">
        <v>12582955</v>
      </c>
      <c r="K83" s="2">
        <v>12932118</v>
      </c>
      <c r="L83" s="2">
        <v>13108972</v>
      </c>
      <c r="M83" s="2">
        <v>13479617</v>
      </c>
      <c r="N83" s="2">
        <v>13882079</v>
      </c>
      <c r="O83" s="2">
        <v>13537772</v>
      </c>
      <c r="P83" s="2">
        <v>13914046</v>
      </c>
      <c r="Q83" s="2">
        <v>13776575</v>
      </c>
      <c r="T83" s="2"/>
    </row>
    <row r="84" spans="2:31">
      <c r="C84" s="78" t="s">
        <v>85</v>
      </c>
      <c r="E84" s="2">
        <v>2468456.0578693342</v>
      </c>
      <c r="F84" s="2">
        <v>2929850.5199558754</v>
      </c>
      <c r="G84" s="2">
        <v>2974495.3996237093</v>
      </c>
      <c r="H84" s="2">
        <v>3019107.095495292</v>
      </c>
      <c r="I84" s="2">
        <v>3013077.5925386259</v>
      </c>
      <c r="J84" s="2">
        <v>3062275.4654699597</v>
      </c>
      <c r="K84" s="2">
        <v>3092697.7006880427</v>
      </c>
      <c r="L84" s="2">
        <v>3141198.1259061256</v>
      </c>
      <c r="M84" s="2">
        <v>3189795.9379082099</v>
      </c>
      <c r="N84" s="2">
        <v>3239551.9675785429</v>
      </c>
      <c r="O84" s="2">
        <v>3291534.0881232093</v>
      </c>
      <c r="P84" s="2">
        <v>3353995.240086793</v>
      </c>
      <c r="Q84" s="2">
        <v>2965933.6490445426</v>
      </c>
      <c r="T84" s="2"/>
    </row>
    <row r="85" spans="2:31">
      <c r="C85" s="78" t="str">
        <f>+C75</f>
        <v xml:space="preserve">  Common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</row>
    <row r="86" spans="2:31">
      <c r="C86" s="78" t="s">
        <v>102</v>
      </c>
      <c r="E86" s="2">
        <v>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>
        <v>0</v>
      </c>
    </row>
    <row r="87" spans="2:31">
      <c r="E87" s="4">
        <f>SUM(E79:E86)</f>
        <v>582580446.311921</v>
      </c>
      <c r="F87" s="4">
        <f t="shared" ref="F87:Q87" si="14">SUM(F79:F86)</f>
        <v>584098405.6572262</v>
      </c>
      <c r="G87" s="4">
        <f t="shared" si="14"/>
        <v>587150136.58224189</v>
      </c>
      <c r="H87" s="4">
        <f t="shared" si="14"/>
        <v>590475388.63523018</v>
      </c>
      <c r="I87" s="4">
        <f t="shared" si="14"/>
        <v>594548892.03568685</v>
      </c>
      <c r="J87" s="4">
        <f t="shared" si="14"/>
        <v>598535793.23369706</v>
      </c>
      <c r="K87" s="4">
        <f t="shared" si="14"/>
        <v>602442779.83786213</v>
      </c>
      <c r="L87" s="4">
        <f t="shared" si="14"/>
        <v>606499735.86164939</v>
      </c>
      <c r="M87" s="4">
        <f t="shared" si="14"/>
        <v>610945959.62592518</v>
      </c>
      <c r="N87" s="4">
        <f t="shared" si="14"/>
        <v>614797791.3929081</v>
      </c>
      <c r="O87" s="4">
        <f t="shared" si="14"/>
        <v>614460208.44373584</v>
      </c>
      <c r="P87" s="4">
        <f t="shared" si="14"/>
        <v>618996829.51959026</v>
      </c>
      <c r="Q87" s="4">
        <f t="shared" si="14"/>
        <v>619872022.85637236</v>
      </c>
    </row>
    <row r="88" spans="2:31">
      <c r="B88" s="195"/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196"/>
      <c r="P88" s="196"/>
      <c r="Q88" s="196"/>
      <c r="R88" s="197"/>
    </row>
    <row r="89" spans="2:31">
      <c r="B89" s="198"/>
      <c r="C89" s="78" t="s">
        <v>348</v>
      </c>
      <c r="D89" t="s">
        <v>373</v>
      </c>
      <c r="R89" s="199"/>
    </row>
    <row r="90" spans="2:31">
      <c r="B90" s="198"/>
      <c r="C90" s="78" t="s">
        <v>69</v>
      </c>
      <c r="R90" s="199"/>
    </row>
    <row r="91" spans="2:31">
      <c r="B91" s="198"/>
      <c r="C91" s="78" t="s">
        <v>72</v>
      </c>
      <c r="R91" s="199"/>
    </row>
    <row r="92" spans="2:31">
      <c r="B92" s="198"/>
      <c r="C92" s="78" t="s">
        <v>78</v>
      </c>
      <c r="R92" s="199"/>
      <c r="S92" s="23"/>
    </row>
    <row r="93" spans="2:31">
      <c r="B93" s="198"/>
      <c r="C93" s="78" t="s">
        <v>80</v>
      </c>
      <c r="E93" s="30">
        <v>74531736.210000008</v>
      </c>
      <c r="F93" s="30">
        <v>74911053.980000019</v>
      </c>
      <c r="G93" s="30">
        <v>75127294.070000008</v>
      </c>
      <c r="H93" s="30">
        <v>75077348.730000004</v>
      </c>
      <c r="I93" s="30">
        <v>75082694.220000014</v>
      </c>
      <c r="J93" s="30">
        <v>75082958.659999996</v>
      </c>
      <c r="K93" s="30">
        <v>75255506.910000011</v>
      </c>
      <c r="L93" s="30">
        <v>75255506.910000011</v>
      </c>
      <c r="M93" s="30">
        <v>75348810.599999994</v>
      </c>
      <c r="N93" s="30">
        <v>75323933.780000001</v>
      </c>
      <c r="O93" s="30">
        <v>75816740.780000001</v>
      </c>
      <c r="P93" s="30">
        <v>75822872.070000008</v>
      </c>
      <c r="Q93" s="30">
        <v>76244466.679999992</v>
      </c>
      <c r="R93" s="199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</row>
    <row r="94" spans="2:31">
      <c r="B94" s="198"/>
      <c r="C94" s="78" t="s">
        <v>83</v>
      </c>
      <c r="R94" s="199"/>
      <c r="S94" s="23"/>
    </row>
    <row r="95" spans="2:31">
      <c r="B95" s="198"/>
      <c r="C95" s="78" t="s">
        <v>85</v>
      </c>
      <c r="R95" s="199"/>
      <c r="S95" s="23"/>
    </row>
    <row r="96" spans="2:31">
      <c r="B96" s="198"/>
      <c r="C96" s="78" t="s">
        <v>88</v>
      </c>
      <c r="R96" s="199"/>
      <c r="S96" s="23"/>
    </row>
    <row r="97" spans="2:31">
      <c r="B97" s="198"/>
      <c r="C97" s="97" t="s">
        <v>91</v>
      </c>
      <c r="E97" s="24">
        <f>SUM(E90:E96)</f>
        <v>74531736.210000008</v>
      </c>
      <c r="F97" s="24">
        <f t="shared" ref="F97:Q97" si="15">SUM(F90:F96)</f>
        <v>74911053.980000019</v>
      </c>
      <c r="G97" s="24">
        <f t="shared" si="15"/>
        <v>75127294.070000008</v>
      </c>
      <c r="H97" s="24">
        <f t="shared" si="15"/>
        <v>75077348.730000004</v>
      </c>
      <c r="I97" s="24">
        <f t="shared" si="15"/>
        <v>75082694.220000014</v>
      </c>
      <c r="J97" s="24">
        <f t="shared" si="15"/>
        <v>75082958.659999996</v>
      </c>
      <c r="K97" s="24">
        <f t="shared" si="15"/>
        <v>75255506.910000011</v>
      </c>
      <c r="L97" s="24">
        <f t="shared" si="15"/>
        <v>75255506.910000011</v>
      </c>
      <c r="M97" s="24">
        <f t="shared" si="15"/>
        <v>75348810.599999994</v>
      </c>
      <c r="N97" s="24">
        <f t="shared" si="15"/>
        <v>75323933.780000001</v>
      </c>
      <c r="O97" s="24">
        <f t="shared" si="15"/>
        <v>75816740.780000001</v>
      </c>
      <c r="P97" s="24">
        <f t="shared" si="15"/>
        <v>75822872.070000008</v>
      </c>
      <c r="Q97" s="24">
        <f t="shared" si="15"/>
        <v>76244466.679999992</v>
      </c>
      <c r="R97" s="199"/>
      <c r="S97" s="23"/>
    </row>
    <row r="98" spans="2:31">
      <c r="B98" s="198"/>
      <c r="R98" s="199"/>
      <c r="S98" s="23"/>
    </row>
    <row r="99" spans="2:31">
      <c r="B99" s="198"/>
      <c r="C99" s="78" t="s">
        <v>353</v>
      </c>
      <c r="D99" t="s">
        <v>373</v>
      </c>
      <c r="R99" s="199"/>
      <c r="S99" s="23"/>
    </row>
    <row r="100" spans="2:31">
      <c r="B100" s="198"/>
      <c r="C100" s="78" t="s">
        <v>69</v>
      </c>
      <c r="R100" s="199"/>
      <c r="S100" s="23"/>
    </row>
    <row r="101" spans="2:31">
      <c r="B101" s="198"/>
      <c r="C101" s="78" t="s">
        <v>72</v>
      </c>
      <c r="R101" s="199"/>
      <c r="S101" s="23"/>
      <c r="T101" s="23"/>
    </row>
    <row r="102" spans="2:31">
      <c r="B102" s="198"/>
      <c r="C102" s="78" t="s">
        <v>78</v>
      </c>
      <c r="R102" s="199"/>
      <c r="S102" s="23"/>
      <c r="T102" s="23"/>
    </row>
    <row r="103" spans="2:31">
      <c r="B103" s="198"/>
      <c r="C103" s="78" t="s">
        <v>80</v>
      </c>
      <c r="E103" s="30">
        <v>15291562.100513078</v>
      </c>
      <c r="F103" s="30">
        <v>15329543.169805298</v>
      </c>
      <c r="G103" s="30">
        <v>15452477.173144724</v>
      </c>
      <c r="H103" s="30">
        <v>15524873.865875412</v>
      </c>
      <c r="I103" s="30">
        <v>15641532.696109045</v>
      </c>
      <c r="J103" s="30">
        <v>15773263.78629729</v>
      </c>
      <c r="K103" s="30">
        <v>15942209.850343227</v>
      </c>
      <c r="L103" s="30">
        <v>16065694.578919388</v>
      </c>
      <c r="M103" s="30">
        <v>16190098.45260025</v>
      </c>
      <c r="N103" s="30">
        <v>16289269.06991042</v>
      </c>
      <c r="O103" s="30">
        <v>16426182.237733044</v>
      </c>
      <c r="P103" s="30">
        <v>16636976.098333513</v>
      </c>
      <c r="Q103" s="30">
        <v>16842162.438292272</v>
      </c>
      <c r="R103" s="199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</row>
    <row r="104" spans="2:31">
      <c r="B104" s="198"/>
      <c r="C104" s="78" t="s">
        <v>83</v>
      </c>
      <c r="R104" s="199"/>
      <c r="T104" s="23"/>
    </row>
    <row r="105" spans="2:31">
      <c r="B105" s="198"/>
      <c r="C105" s="78" t="s">
        <v>85</v>
      </c>
      <c r="R105" s="199"/>
      <c r="T105" s="23"/>
    </row>
    <row r="106" spans="2:31">
      <c r="B106" s="198"/>
      <c r="C106" s="78" t="str">
        <f>+C96</f>
        <v xml:space="preserve">  Common</v>
      </c>
      <c r="R106" s="199"/>
      <c r="T106" s="23"/>
    </row>
    <row r="107" spans="2:31">
      <c r="B107" s="198"/>
      <c r="C107" s="78" t="s">
        <v>102</v>
      </c>
      <c r="E107" s="25">
        <f>SUM(E100:E106)</f>
        <v>15291562.100513078</v>
      </c>
      <c r="F107" s="24">
        <f t="shared" ref="F107:Q107" si="16">SUM(F100:F106)</f>
        <v>15329543.169805298</v>
      </c>
      <c r="G107" s="24">
        <f t="shared" si="16"/>
        <v>15452477.173144724</v>
      </c>
      <c r="H107" s="24">
        <f t="shared" si="16"/>
        <v>15524873.865875412</v>
      </c>
      <c r="I107" s="24">
        <f t="shared" si="16"/>
        <v>15641532.696109045</v>
      </c>
      <c r="J107" s="24">
        <f t="shared" si="16"/>
        <v>15773263.78629729</v>
      </c>
      <c r="K107" s="24">
        <f t="shared" si="16"/>
        <v>15942209.850343227</v>
      </c>
      <c r="L107" s="24">
        <f t="shared" si="16"/>
        <v>16065694.578919388</v>
      </c>
      <c r="M107" s="24">
        <f t="shared" si="16"/>
        <v>16190098.45260025</v>
      </c>
      <c r="N107" s="24">
        <f t="shared" si="16"/>
        <v>16289269.06991042</v>
      </c>
      <c r="O107" s="24">
        <f t="shared" si="16"/>
        <v>16426182.237733044</v>
      </c>
      <c r="P107" s="24">
        <f t="shared" si="16"/>
        <v>16636976.098333513</v>
      </c>
      <c r="Q107" s="24">
        <f t="shared" si="16"/>
        <v>16842162.438292272</v>
      </c>
      <c r="R107" s="199"/>
      <c r="T107" s="23"/>
    </row>
    <row r="108" spans="2:31">
      <c r="B108" s="200"/>
      <c r="C108" s="134"/>
      <c r="D108" s="201"/>
      <c r="E108" s="202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  <c r="Q108" s="202"/>
      <c r="R108" s="203"/>
      <c r="T108" s="23"/>
    </row>
    <row r="109" spans="2:31">
      <c r="B109" s="195"/>
      <c r="C109" s="196"/>
      <c r="D109" s="196"/>
      <c r="E109" s="196"/>
      <c r="F109" s="196"/>
      <c r="G109" s="196"/>
      <c r="H109" s="196"/>
      <c r="I109" s="196"/>
      <c r="J109" s="196"/>
      <c r="K109" s="196"/>
      <c r="L109" s="196"/>
      <c r="M109" s="196"/>
      <c r="N109" s="196"/>
      <c r="O109" s="196"/>
      <c r="P109" s="196"/>
      <c r="Q109" s="196"/>
      <c r="R109" s="197"/>
      <c r="T109" s="23"/>
    </row>
    <row r="110" spans="2:31">
      <c r="B110" s="198"/>
      <c r="C110" s="78" t="s">
        <v>348</v>
      </c>
      <c r="D110" t="s">
        <v>374</v>
      </c>
      <c r="R110" s="199"/>
      <c r="T110" s="23"/>
    </row>
    <row r="111" spans="2:31">
      <c r="B111" s="198"/>
      <c r="C111" s="78" t="s">
        <v>69</v>
      </c>
      <c r="R111" s="199"/>
      <c r="T111" s="23"/>
    </row>
    <row r="112" spans="2:31">
      <c r="B112" s="198"/>
      <c r="C112" s="78" t="s">
        <v>72</v>
      </c>
      <c r="R112" s="199"/>
      <c r="T112" s="23"/>
    </row>
    <row r="113" spans="2:18">
      <c r="B113" s="198"/>
      <c r="C113" s="78" t="s">
        <v>78</v>
      </c>
      <c r="R113" s="199"/>
    </row>
    <row r="114" spans="2:18">
      <c r="B114" s="198"/>
      <c r="C114" s="78" t="s">
        <v>80</v>
      </c>
      <c r="R114" s="199"/>
    </row>
    <row r="115" spans="2:18">
      <c r="B115" s="198"/>
      <c r="C115" s="78" t="s">
        <v>83</v>
      </c>
      <c r="R115" s="199"/>
    </row>
    <row r="116" spans="2:18">
      <c r="B116" s="198"/>
      <c r="C116" s="78" t="s">
        <v>85</v>
      </c>
      <c r="R116" s="199"/>
    </row>
    <row r="117" spans="2:18">
      <c r="B117" s="198"/>
      <c r="C117" s="78" t="s">
        <v>88</v>
      </c>
      <c r="R117" s="199"/>
    </row>
    <row r="118" spans="2:18">
      <c r="B118" s="198"/>
      <c r="C118" s="97" t="s">
        <v>91</v>
      </c>
      <c r="E118" s="24">
        <f>SUM(E111:E117)</f>
        <v>0</v>
      </c>
      <c r="F118" s="24">
        <f t="shared" ref="F118:Q118" si="17">SUM(F111:F117)</f>
        <v>0</v>
      </c>
      <c r="G118" s="24">
        <f t="shared" si="17"/>
        <v>0</v>
      </c>
      <c r="H118" s="24">
        <f t="shared" si="17"/>
        <v>0</v>
      </c>
      <c r="I118" s="24">
        <f t="shared" si="17"/>
        <v>0</v>
      </c>
      <c r="J118" s="24">
        <f t="shared" si="17"/>
        <v>0</v>
      </c>
      <c r="K118" s="24">
        <f t="shared" si="17"/>
        <v>0</v>
      </c>
      <c r="L118" s="24">
        <f t="shared" si="17"/>
        <v>0</v>
      </c>
      <c r="M118" s="24">
        <f t="shared" si="17"/>
        <v>0</v>
      </c>
      <c r="N118" s="24">
        <f t="shared" si="17"/>
        <v>0</v>
      </c>
      <c r="O118" s="24">
        <f t="shared" si="17"/>
        <v>0</v>
      </c>
      <c r="P118" s="24">
        <f t="shared" si="17"/>
        <v>0</v>
      </c>
      <c r="Q118" s="24">
        <f t="shared" si="17"/>
        <v>0</v>
      </c>
      <c r="R118" s="199"/>
    </row>
    <row r="119" spans="2:18">
      <c r="B119" s="198"/>
      <c r="R119" s="199"/>
    </row>
    <row r="120" spans="2:18">
      <c r="B120" s="198"/>
      <c r="C120" s="78" t="s">
        <v>353</v>
      </c>
      <c r="D120" t="s">
        <v>374</v>
      </c>
      <c r="R120" s="199"/>
    </row>
    <row r="121" spans="2:18">
      <c r="B121" s="198"/>
      <c r="C121" s="78" t="s">
        <v>69</v>
      </c>
      <c r="D121" t="s">
        <v>375</v>
      </c>
      <c r="E121" s="30">
        <v>0</v>
      </c>
      <c r="F121" s="30">
        <v>-131413.04</v>
      </c>
      <c r="G121" s="30">
        <v>-134048.61000000002</v>
      </c>
      <c r="H121" s="30">
        <v>-136684.18</v>
      </c>
      <c r="I121" s="30">
        <v>-139319.75</v>
      </c>
      <c r="J121" s="30">
        <v>-141955.32</v>
      </c>
      <c r="K121" s="30">
        <v>-144590.9</v>
      </c>
      <c r="L121" s="30">
        <v>-147226.47</v>
      </c>
      <c r="M121" s="30">
        <v>-149862.04</v>
      </c>
      <c r="N121" s="30">
        <v>-152497.62</v>
      </c>
      <c r="O121" s="30">
        <v>-155133.19</v>
      </c>
      <c r="P121" s="30">
        <v>-157768.76</v>
      </c>
      <c r="Q121" s="30">
        <v>-160404.33000000002</v>
      </c>
      <c r="R121" s="199"/>
    </row>
    <row r="122" spans="2:18">
      <c r="B122" s="198"/>
      <c r="C122" s="78" t="s">
        <v>72</v>
      </c>
      <c r="R122" s="199"/>
    </row>
    <row r="123" spans="2:18">
      <c r="B123" s="198"/>
      <c r="C123" s="78" t="s">
        <v>78</v>
      </c>
      <c r="R123" s="199"/>
    </row>
    <row r="124" spans="2:18">
      <c r="B124" s="198"/>
      <c r="C124" s="78" t="s">
        <v>80</v>
      </c>
      <c r="R124" s="199"/>
    </row>
    <row r="125" spans="2:18">
      <c r="B125" s="198"/>
      <c r="C125" s="78" t="s">
        <v>83</v>
      </c>
      <c r="R125" s="199"/>
    </row>
    <row r="126" spans="2:18">
      <c r="B126" s="198"/>
      <c r="C126" s="78" t="s">
        <v>85</v>
      </c>
      <c r="R126" s="199"/>
    </row>
    <row r="127" spans="2:18">
      <c r="B127" s="198"/>
      <c r="C127" s="78" t="s">
        <v>88</v>
      </c>
      <c r="R127" s="199"/>
    </row>
    <row r="128" spans="2:18">
      <c r="B128" s="198"/>
      <c r="C128" s="78" t="s">
        <v>102</v>
      </c>
      <c r="E128" s="24">
        <f t="shared" ref="E128:Q128" si="18">SUM(E121:E127)</f>
        <v>0</v>
      </c>
      <c r="F128" s="24">
        <f t="shared" si="18"/>
        <v>-131413.04</v>
      </c>
      <c r="G128" s="24">
        <f t="shared" si="18"/>
        <v>-134048.61000000002</v>
      </c>
      <c r="H128" s="24">
        <f t="shared" si="18"/>
        <v>-136684.18</v>
      </c>
      <c r="I128" s="24">
        <f t="shared" si="18"/>
        <v>-139319.75</v>
      </c>
      <c r="J128" s="24">
        <f t="shared" si="18"/>
        <v>-141955.32</v>
      </c>
      <c r="K128" s="24">
        <f t="shared" si="18"/>
        <v>-144590.9</v>
      </c>
      <c r="L128" s="24">
        <f t="shared" si="18"/>
        <v>-147226.47</v>
      </c>
      <c r="M128" s="24">
        <f t="shared" si="18"/>
        <v>-149862.04</v>
      </c>
      <c r="N128" s="24">
        <f t="shared" si="18"/>
        <v>-152497.62</v>
      </c>
      <c r="O128" s="24">
        <f t="shared" si="18"/>
        <v>-155133.19</v>
      </c>
      <c r="P128" s="24">
        <f t="shared" si="18"/>
        <v>-157768.76</v>
      </c>
      <c r="Q128" s="24">
        <f t="shared" si="18"/>
        <v>-160404.33000000002</v>
      </c>
      <c r="R128" s="199"/>
    </row>
    <row r="129" spans="2:18">
      <c r="B129" s="198"/>
      <c r="R129" s="199"/>
    </row>
    <row r="130" spans="2:18">
      <c r="B130" s="198"/>
      <c r="C130" s="78" t="s">
        <v>376</v>
      </c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R130" s="199"/>
    </row>
    <row r="131" spans="2:18">
      <c r="B131" s="200"/>
      <c r="C131" s="201"/>
      <c r="D131" s="201"/>
      <c r="E131" s="201"/>
      <c r="F131" s="201"/>
      <c r="G131" s="201"/>
      <c r="H131" s="201"/>
      <c r="I131" s="201"/>
      <c r="J131" s="201"/>
      <c r="K131" s="201"/>
      <c r="L131" s="201"/>
      <c r="M131" s="201"/>
      <c r="N131" s="201"/>
      <c r="O131" s="201"/>
      <c r="P131" s="201"/>
      <c r="Q131" s="201"/>
      <c r="R131" s="203"/>
    </row>
    <row r="132" spans="2:18">
      <c r="B132" s="195"/>
      <c r="C132" s="126" t="s">
        <v>348</v>
      </c>
      <c r="D132" s="196" t="s">
        <v>377</v>
      </c>
      <c r="E132" s="196"/>
      <c r="F132" s="196"/>
      <c r="G132" s="196"/>
      <c r="H132" s="196"/>
      <c r="I132" s="196"/>
      <c r="J132" s="196"/>
      <c r="K132" s="196"/>
      <c r="L132" s="196"/>
      <c r="M132" s="196"/>
      <c r="N132" s="196"/>
      <c r="O132" s="196"/>
      <c r="P132" s="196"/>
      <c r="Q132" s="196"/>
      <c r="R132" s="197"/>
    </row>
    <row r="133" spans="2:18">
      <c r="B133" s="198"/>
      <c r="C133" s="78" t="s">
        <v>69</v>
      </c>
      <c r="R133" s="199"/>
    </row>
    <row r="134" spans="2:18">
      <c r="B134" s="198"/>
      <c r="C134" s="78" t="s">
        <v>72</v>
      </c>
      <c r="R134" s="199"/>
    </row>
    <row r="135" spans="2:18">
      <c r="B135" s="198"/>
      <c r="C135" s="78" t="s">
        <v>78</v>
      </c>
      <c r="R135" s="199"/>
    </row>
    <row r="136" spans="2:18">
      <c r="B136" s="198"/>
      <c r="C136" s="78" t="s">
        <v>80</v>
      </c>
      <c r="R136" s="199"/>
    </row>
    <row r="137" spans="2:18">
      <c r="B137" s="198"/>
      <c r="C137" s="78" t="s">
        <v>83</v>
      </c>
      <c r="E137" s="26"/>
      <c r="R137" s="199"/>
    </row>
    <row r="138" spans="2:18">
      <c r="B138" s="198"/>
      <c r="C138" s="78" t="s">
        <v>85</v>
      </c>
      <c r="R138" s="199"/>
    </row>
    <row r="139" spans="2:18">
      <c r="B139" s="198"/>
      <c r="C139" s="78" t="s">
        <v>88</v>
      </c>
      <c r="R139" s="199"/>
    </row>
    <row r="140" spans="2:18">
      <c r="B140" s="198"/>
      <c r="C140" s="97" t="s">
        <v>91</v>
      </c>
      <c r="E140" s="24">
        <f t="shared" ref="E140:Q140" si="19">SUM(E133:E139)</f>
        <v>0</v>
      </c>
      <c r="F140" s="24">
        <f t="shared" si="19"/>
        <v>0</v>
      </c>
      <c r="G140" s="24">
        <f t="shared" si="19"/>
        <v>0</v>
      </c>
      <c r="H140" s="24">
        <f t="shared" si="19"/>
        <v>0</v>
      </c>
      <c r="I140" s="24">
        <f t="shared" si="19"/>
        <v>0</v>
      </c>
      <c r="J140" s="24">
        <f t="shared" si="19"/>
        <v>0</v>
      </c>
      <c r="K140" s="24">
        <f t="shared" si="19"/>
        <v>0</v>
      </c>
      <c r="L140" s="24">
        <f t="shared" si="19"/>
        <v>0</v>
      </c>
      <c r="M140" s="24">
        <f t="shared" si="19"/>
        <v>0</v>
      </c>
      <c r="N140" s="24">
        <f t="shared" si="19"/>
        <v>0</v>
      </c>
      <c r="O140" s="24">
        <f t="shared" si="19"/>
        <v>0</v>
      </c>
      <c r="P140" s="24">
        <f t="shared" si="19"/>
        <v>0</v>
      </c>
      <c r="Q140" s="24">
        <f t="shared" si="19"/>
        <v>0</v>
      </c>
      <c r="R140" s="199"/>
    </row>
    <row r="141" spans="2:18">
      <c r="B141" s="198"/>
      <c r="R141" s="199"/>
    </row>
    <row r="142" spans="2:18">
      <c r="B142" s="198"/>
      <c r="C142" s="78" t="s">
        <v>353</v>
      </c>
      <c r="D142" t="s">
        <v>377</v>
      </c>
      <c r="R142" s="199"/>
    </row>
    <row r="143" spans="2:18">
      <c r="B143" s="198"/>
      <c r="C143" s="78" t="s">
        <v>69</v>
      </c>
      <c r="D143" t="s">
        <v>378</v>
      </c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7"/>
    </row>
    <row r="144" spans="2:18">
      <c r="B144" s="198"/>
      <c r="C144" s="78" t="s">
        <v>72</v>
      </c>
      <c r="D144" t="s">
        <v>379</v>
      </c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7"/>
    </row>
    <row r="145" spans="2:18">
      <c r="B145" s="198"/>
      <c r="C145" s="78" t="s">
        <v>78</v>
      </c>
      <c r="D145" t="s">
        <v>380</v>
      </c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7"/>
    </row>
    <row r="146" spans="2:18">
      <c r="B146" s="198"/>
      <c r="C146" s="78" t="s">
        <v>80</v>
      </c>
      <c r="E146" s="29">
        <v>1183620</v>
      </c>
      <c r="F146" s="29">
        <v>932872</v>
      </c>
      <c r="G146" s="29">
        <v>901055</v>
      </c>
      <c r="H146" s="29">
        <v>669909</v>
      </c>
      <c r="I146" s="29">
        <v>682956</v>
      </c>
      <c r="J146" s="29">
        <v>772524</v>
      </c>
      <c r="K146" s="29">
        <v>1507979</v>
      </c>
      <c r="L146" s="29">
        <v>1550701</v>
      </c>
      <c r="M146" s="29">
        <v>1937373</v>
      </c>
      <c r="N146" s="29">
        <v>1987391</v>
      </c>
      <c r="O146" s="29">
        <v>1736785</v>
      </c>
      <c r="P146" s="29">
        <v>2210198</v>
      </c>
      <c r="Q146" s="29">
        <v>2165839</v>
      </c>
      <c r="R146" s="27"/>
    </row>
    <row r="147" spans="2:18">
      <c r="B147" s="198"/>
      <c r="C147" s="78" t="s">
        <v>83</v>
      </c>
      <c r="E147" s="204">
        <v>0</v>
      </c>
      <c r="F147" s="204">
        <v>0</v>
      </c>
      <c r="G147" s="204">
        <v>0</v>
      </c>
      <c r="H147" s="204">
        <v>0</v>
      </c>
      <c r="I147" s="204">
        <v>0</v>
      </c>
      <c r="J147" s="204">
        <v>0</v>
      </c>
      <c r="K147" s="204">
        <v>0</v>
      </c>
      <c r="L147" s="204">
        <v>0</v>
      </c>
      <c r="M147" s="204">
        <v>0</v>
      </c>
      <c r="N147" s="204">
        <v>0</v>
      </c>
      <c r="O147" s="204">
        <v>0</v>
      </c>
      <c r="P147" s="204">
        <v>0</v>
      </c>
      <c r="Q147" s="204">
        <v>0</v>
      </c>
      <c r="R147" s="199"/>
    </row>
    <row r="148" spans="2:18">
      <c r="B148" s="198"/>
      <c r="C148" s="78" t="s">
        <v>85</v>
      </c>
      <c r="E148" s="204">
        <v>0</v>
      </c>
      <c r="F148" s="204">
        <v>0</v>
      </c>
      <c r="G148" s="204">
        <v>0</v>
      </c>
      <c r="H148" s="204">
        <v>0</v>
      </c>
      <c r="I148" s="204">
        <v>0</v>
      </c>
      <c r="J148" s="204">
        <v>0</v>
      </c>
      <c r="K148" s="204">
        <v>0</v>
      </c>
      <c r="L148" s="204">
        <v>0</v>
      </c>
      <c r="M148" s="204">
        <v>0</v>
      </c>
      <c r="N148" s="204">
        <v>0</v>
      </c>
      <c r="O148" s="204">
        <v>0</v>
      </c>
      <c r="P148" s="204">
        <v>0</v>
      </c>
      <c r="Q148" s="204">
        <v>0</v>
      </c>
      <c r="R148" s="199"/>
    </row>
    <row r="149" spans="2:18">
      <c r="B149" s="198"/>
      <c r="C149" s="78" t="s">
        <v>88</v>
      </c>
      <c r="E149" s="204">
        <f t="shared" ref="E149:Q149" si="20">E$130*E85/$E$87</f>
        <v>0</v>
      </c>
      <c r="F149" s="204">
        <f t="shared" si="20"/>
        <v>0</v>
      </c>
      <c r="G149" s="204">
        <f t="shared" si="20"/>
        <v>0</v>
      </c>
      <c r="H149" s="204">
        <f t="shared" si="20"/>
        <v>0</v>
      </c>
      <c r="I149" s="204">
        <f t="shared" si="20"/>
        <v>0</v>
      </c>
      <c r="J149" s="204">
        <f t="shared" si="20"/>
        <v>0</v>
      </c>
      <c r="K149" s="204">
        <f t="shared" si="20"/>
        <v>0</v>
      </c>
      <c r="L149" s="204">
        <f t="shared" si="20"/>
        <v>0</v>
      </c>
      <c r="M149" s="204">
        <f t="shared" si="20"/>
        <v>0</v>
      </c>
      <c r="N149" s="204">
        <f t="shared" si="20"/>
        <v>0</v>
      </c>
      <c r="O149" s="204">
        <f t="shared" si="20"/>
        <v>0</v>
      </c>
      <c r="P149" s="204">
        <f t="shared" si="20"/>
        <v>0</v>
      </c>
      <c r="Q149" s="204">
        <f t="shared" si="20"/>
        <v>0</v>
      </c>
      <c r="R149" s="199"/>
    </row>
    <row r="150" spans="2:18">
      <c r="B150" s="198"/>
      <c r="C150" s="78" t="s">
        <v>102</v>
      </c>
      <c r="E150" s="28">
        <f>SUM(E143:E149)</f>
        <v>1183620</v>
      </c>
      <c r="F150" s="28">
        <f t="shared" ref="F150:Q150" si="21">SUM(F143:F149)</f>
        <v>932872</v>
      </c>
      <c r="G150" s="28">
        <f t="shared" si="21"/>
        <v>901055</v>
      </c>
      <c r="H150" s="28">
        <f t="shared" si="21"/>
        <v>669909</v>
      </c>
      <c r="I150" s="28">
        <f t="shared" si="21"/>
        <v>682956</v>
      </c>
      <c r="J150" s="28">
        <f t="shared" si="21"/>
        <v>772524</v>
      </c>
      <c r="K150" s="28">
        <f t="shared" si="21"/>
        <v>1507979</v>
      </c>
      <c r="L150" s="28">
        <f t="shared" si="21"/>
        <v>1550701</v>
      </c>
      <c r="M150" s="28">
        <f t="shared" si="21"/>
        <v>1937373</v>
      </c>
      <c r="N150" s="28">
        <f t="shared" si="21"/>
        <v>1987391</v>
      </c>
      <c r="O150" s="28">
        <f t="shared" si="21"/>
        <v>1736785</v>
      </c>
      <c r="P150" s="28">
        <f t="shared" si="21"/>
        <v>2210198</v>
      </c>
      <c r="Q150" s="28">
        <f t="shared" si="21"/>
        <v>2165839</v>
      </c>
      <c r="R150" s="199"/>
    </row>
    <row r="151" spans="2:18">
      <c r="B151" s="200"/>
      <c r="C151" s="201"/>
      <c r="D151" s="201"/>
      <c r="E151" s="201"/>
      <c r="F151" s="201"/>
      <c r="G151" s="201"/>
      <c r="H151" s="201"/>
      <c r="I151" s="201"/>
      <c r="J151" s="201"/>
      <c r="K151" s="201"/>
      <c r="L151" s="201"/>
      <c r="M151" s="201"/>
      <c r="N151" s="201"/>
      <c r="O151" s="201"/>
      <c r="P151" s="201"/>
      <c r="Q151" s="201"/>
      <c r="R151" s="203"/>
    </row>
    <row r="152" spans="2:18">
      <c r="B152" s="195"/>
      <c r="C152" s="126"/>
      <c r="D152" s="196"/>
      <c r="E152" s="196"/>
      <c r="F152" s="196"/>
      <c r="G152" s="196"/>
      <c r="H152" s="196"/>
      <c r="I152" s="196"/>
      <c r="J152" s="196"/>
      <c r="K152" s="196"/>
      <c r="L152" s="196"/>
      <c r="M152" s="196"/>
      <c r="N152" s="196"/>
      <c r="O152" s="196"/>
      <c r="P152" s="196"/>
      <c r="Q152" s="196"/>
      <c r="R152" s="197"/>
    </row>
    <row r="153" spans="2:18">
      <c r="B153" s="198"/>
      <c r="C153" s="78" t="s">
        <v>348</v>
      </c>
      <c r="D153" s="78" t="s">
        <v>381</v>
      </c>
      <c r="R153" s="199"/>
    </row>
    <row r="154" spans="2:18">
      <c r="B154" s="198"/>
      <c r="C154" s="78" t="s">
        <v>69</v>
      </c>
      <c r="D154" t="s">
        <v>382</v>
      </c>
      <c r="E154" s="29">
        <v>-1000381.5199999999</v>
      </c>
      <c r="F154" s="29">
        <v>0</v>
      </c>
      <c r="G154" s="29">
        <v>0</v>
      </c>
      <c r="H154" s="29">
        <v>-334056.22000000003</v>
      </c>
      <c r="I154" s="29">
        <v>0</v>
      </c>
      <c r="J154" s="29">
        <v>0</v>
      </c>
      <c r="K154" s="29">
        <v>-4488985.1499999994</v>
      </c>
      <c r="L154" s="29">
        <v>0</v>
      </c>
      <c r="M154" s="29">
        <v>0</v>
      </c>
      <c r="N154" s="29">
        <v>-5182499.4800000004</v>
      </c>
      <c r="O154" s="29">
        <v>0</v>
      </c>
      <c r="P154" s="29">
        <v>0</v>
      </c>
      <c r="Q154" s="29">
        <v>-6578980.2400000002</v>
      </c>
      <c r="R154" s="199"/>
    </row>
    <row r="155" spans="2:18">
      <c r="B155" s="198"/>
      <c r="C155" s="78" t="s">
        <v>72</v>
      </c>
      <c r="D155" t="s">
        <v>383</v>
      </c>
      <c r="E155" s="29">
        <v>-77964.98</v>
      </c>
      <c r="F155" s="29">
        <v>0</v>
      </c>
      <c r="G155" s="29">
        <v>0</v>
      </c>
      <c r="H155" s="29">
        <v>-122249.12000000002</v>
      </c>
      <c r="I155" s="29">
        <v>0</v>
      </c>
      <c r="J155" s="29">
        <v>0</v>
      </c>
      <c r="K155" s="29">
        <v>-23999.16</v>
      </c>
      <c r="L155" s="29">
        <v>0</v>
      </c>
      <c r="M155" s="29">
        <v>0</v>
      </c>
      <c r="N155" s="29">
        <v>-7734.25</v>
      </c>
      <c r="O155" s="29">
        <v>0</v>
      </c>
      <c r="P155" s="29">
        <v>0</v>
      </c>
      <c r="Q155" s="29">
        <v>-1375987.0699999996</v>
      </c>
      <c r="R155" s="199"/>
    </row>
    <row r="156" spans="2:18">
      <c r="B156" s="198"/>
      <c r="C156" s="78" t="s">
        <v>78</v>
      </c>
      <c r="D156" t="s">
        <v>384</v>
      </c>
      <c r="E156" s="29">
        <v>-4114142.5169080254</v>
      </c>
      <c r="F156" s="29">
        <v>0</v>
      </c>
      <c r="G156" s="29">
        <v>0</v>
      </c>
      <c r="H156" s="29">
        <v>-3816828.8488878887</v>
      </c>
      <c r="I156" s="29">
        <v>0</v>
      </c>
      <c r="J156" s="29">
        <v>0</v>
      </c>
      <c r="K156" s="29">
        <v>-3983798.886331304</v>
      </c>
      <c r="L156" s="29">
        <v>0</v>
      </c>
      <c r="M156" s="29">
        <v>0</v>
      </c>
      <c r="N156" s="29">
        <v>-4294844.5522530209</v>
      </c>
      <c r="O156" s="29">
        <v>0</v>
      </c>
      <c r="P156" s="29">
        <v>0</v>
      </c>
      <c r="Q156" s="29">
        <v>-3826667.9974929681</v>
      </c>
      <c r="R156" s="199"/>
    </row>
    <row r="157" spans="2:18">
      <c r="B157" s="198"/>
      <c r="C157" s="78" t="s">
        <v>80</v>
      </c>
      <c r="D157" t="s">
        <v>385</v>
      </c>
      <c r="E157" s="29">
        <v>0</v>
      </c>
      <c r="F157" s="29">
        <v>0</v>
      </c>
      <c r="G157" s="29">
        <v>0</v>
      </c>
      <c r="H157" s="29">
        <v>-11755.04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0</v>
      </c>
      <c r="O157" s="29">
        <v>0</v>
      </c>
      <c r="P157" s="29">
        <v>0</v>
      </c>
      <c r="Q157" s="29">
        <v>0</v>
      </c>
      <c r="R157" s="199"/>
    </row>
    <row r="158" spans="2:18">
      <c r="B158" s="198"/>
      <c r="C158" s="78" t="s">
        <v>83</v>
      </c>
      <c r="D158" t="s">
        <v>386</v>
      </c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199"/>
    </row>
    <row r="159" spans="2:18">
      <c r="B159" s="198"/>
      <c r="C159" s="78" t="s">
        <v>85</v>
      </c>
      <c r="D159" t="s">
        <v>387</v>
      </c>
      <c r="E159" s="29">
        <v>0</v>
      </c>
      <c r="F159" s="29">
        <v>0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v>0</v>
      </c>
      <c r="Q159" s="29">
        <v>-6433.5399999999991</v>
      </c>
      <c r="R159" s="199"/>
    </row>
    <row r="160" spans="2:18">
      <c r="B160" s="198"/>
      <c r="C160" s="78" t="s">
        <v>88</v>
      </c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199"/>
    </row>
    <row r="161" spans="2:18">
      <c r="B161" s="198"/>
      <c r="C161" s="97" t="s">
        <v>91</v>
      </c>
      <c r="E161" s="28">
        <f>SUM(E154:E160)</f>
        <v>-5192489.0169080254</v>
      </c>
      <c r="F161" s="28">
        <f t="shared" ref="F161:P161" si="22">SUM(F154:F160)</f>
        <v>0</v>
      </c>
      <c r="G161" s="28">
        <f t="shared" si="22"/>
        <v>0</v>
      </c>
      <c r="H161" s="28">
        <f t="shared" si="22"/>
        <v>-4284889.2288878886</v>
      </c>
      <c r="I161" s="28">
        <f t="shared" si="22"/>
        <v>0</v>
      </c>
      <c r="J161" s="28">
        <f t="shared" si="22"/>
        <v>0</v>
      </c>
      <c r="K161" s="28">
        <f t="shared" si="22"/>
        <v>-8496783.1963313036</v>
      </c>
      <c r="L161" s="28">
        <f t="shared" si="22"/>
        <v>0</v>
      </c>
      <c r="M161" s="28">
        <f t="shared" si="22"/>
        <v>0</v>
      </c>
      <c r="N161" s="28">
        <f t="shared" si="22"/>
        <v>-9485078.2822530214</v>
      </c>
      <c r="O161" s="28">
        <f t="shared" si="22"/>
        <v>0</v>
      </c>
      <c r="P161" s="28">
        <f t="shared" si="22"/>
        <v>0</v>
      </c>
      <c r="Q161" s="28">
        <f>SUM(Q154:Q160)</f>
        <v>-11788068.847492967</v>
      </c>
      <c r="R161" s="199"/>
    </row>
    <row r="162" spans="2:18">
      <c r="B162" s="198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199"/>
    </row>
    <row r="163" spans="2:18">
      <c r="B163" s="198"/>
      <c r="C163" s="78" t="s">
        <v>353</v>
      </c>
      <c r="D163" s="78" t="s">
        <v>381</v>
      </c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199"/>
    </row>
    <row r="164" spans="2:18">
      <c r="B164" s="198"/>
      <c r="C164" s="78" t="s">
        <v>69</v>
      </c>
      <c r="E164" s="29">
        <v>-1000381.5199999999</v>
      </c>
      <c r="F164" s="29">
        <v>0</v>
      </c>
      <c r="G164" s="29">
        <v>0</v>
      </c>
      <c r="H164" s="29">
        <v>-334056.22000000003</v>
      </c>
      <c r="I164" s="29">
        <v>0</v>
      </c>
      <c r="J164" s="29">
        <v>0</v>
      </c>
      <c r="K164" s="29">
        <v>-4488985.1499999994</v>
      </c>
      <c r="L164" s="29">
        <v>0</v>
      </c>
      <c r="M164" s="29">
        <v>0</v>
      </c>
      <c r="N164" s="29">
        <v>-5182499.4800000004</v>
      </c>
      <c r="O164" s="29">
        <v>0</v>
      </c>
      <c r="P164" s="29">
        <v>0</v>
      </c>
      <c r="Q164" s="29">
        <v>-6578980.2400000002</v>
      </c>
      <c r="R164" s="199"/>
    </row>
    <row r="165" spans="2:18">
      <c r="B165" s="198"/>
      <c r="C165" s="78" t="s">
        <v>72</v>
      </c>
      <c r="E165" s="29">
        <v>-77964.98</v>
      </c>
      <c r="F165" s="29">
        <v>0</v>
      </c>
      <c r="G165" s="29">
        <v>0</v>
      </c>
      <c r="H165" s="29">
        <v>-122249.12000000002</v>
      </c>
      <c r="I165" s="29">
        <v>0</v>
      </c>
      <c r="J165" s="29">
        <v>0</v>
      </c>
      <c r="K165" s="29">
        <v>-23999.16</v>
      </c>
      <c r="L165" s="29">
        <v>0</v>
      </c>
      <c r="M165" s="29">
        <v>0</v>
      </c>
      <c r="N165" s="29">
        <v>-7734.25</v>
      </c>
      <c r="O165" s="29">
        <v>0</v>
      </c>
      <c r="P165" s="29">
        <v>0</v>
      </c>
      <c r="Q165" s="29">
        <v>-1375987.0699999996</v>
      </c>
      <c r="R165" s="199"/>
    </row>
    <row r="166" spans="2:18">
      <c r="B166" s="198"/>
      <c r="C166" s="78" t="s">
        <v>78</v>
      </c>
      <c r="E166" s="29">
        <v>-4114142.5169080254</v>
      </c>
      <c r="F166" s="29">
        <v>0</v>
      </c>
      <c r="G166" s="29">
        <v>0</v>
      </c>
      <c r="H166" s="29">
        <v>-3816828.8488878887</v>
      </c>
      <c r="I166" s="29">
        <v>0</v>
      </c>
      <c r="J166" s="29">
        <v>0</v>
      </c>
      <c r="K166" s="29">
        <v>-3983798.886331304</v>
      </c>
      <c r="L166" s="29">
        <v>0</v>
      </c>
      <c r="M166" s="29">
        <v>0</v>
      </c>
      <c r="N166" s="29">
        <v>-4294844.5522530209</v>
      </c>
      <c r="O166" s="29">
        <v>0</v>
      </c>
      <c r="P166" s="29">
        <v>0</v>
      </c>
      <c r="Q166" s="29">
        <v>-3826667.9974929681</v>
      </c>
      <c r="R166" s="199"/>
    </row>
    <row r="167" spans="2:18">
      <c r="B167" s="198"/>
      <c r="C167" s="78" t="s">
        <v>80</v>
      </c>
      <c r="E167" s="29">
        <v>0</v>
      </c>
      <c r="F167" s="29">
        <v>0</v>
      </c>
      <c r="G167" s="29">
        <v>0</v>
      </c>
      <c r="H167" s="29">
        <v>-11755.04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0</v>
      </c>
      <c r="P167" s="29">
        <v>0</v>
      </c>
      <c r="Q167" s="29">
        <v>0</v>
      </c>
      <c r="R167" s="199"/>
    </row>
    <row r="168" spans="2:18">
      <c r="B168" s="198"/>
      <c r="C168" s="78" t="s">
        <v>83</v>
      </c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199"/>
    </row>
    <row r="169" spans="2:18">
      <c r="B169" s="198"/>
      <c r="C169" s="78" t="s">
        <v>85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v>0</v>
      </c>
      <c r="Q169" s="29">
        <v>-6433.5399999999991</v>
      </c>
      <c r="R169" s="199"/>
    </row>
    <row r="170" spans="2:18">
      <c r="B170" s="198"/>
      <c r="C170" s="78" t="s">
        <v>88</v>
      </c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199"/>
    </row>
    <row r="171" spans="2:18">
      <c r="B171" s="198"/>
      <c r="C171" s="78" t="s">
        <v>102</v>
      </c>
      <c r="E171" s="28">
        <f>SUM(E164:E170)</f>
        <v>-5192489.0169080254</v>
      </c>
      <c r="F171" s="28">
        <f t="shared" ref="F171:Q171" si="23">SUM(F164:F170)</f>
        <v>0</v>
      </c>
      <c r="G171" s="28">
        <f t="shared" si="23"/>
        <v>0</v>
      </c>
      <c r="H171" s="28">
        <f t="shared" si="23"/>
        <v>-4284889.2288878886</v>
      </c>
      <c r="I171" s="28">
        <f t="shared" si="23"/>
        <v>0</v>
      </c>
      <c r="J171" s="28">
        <f t="shared" si="23"/>
        <v>0</v>
      </c>
      <c r="K171" s="28">
        <f t="shared" si="23"/>
        <v>-8496783.1963313036</v>
      </c>
      <c r="L171" s="28">
        <f t="shared" si="23"/>
        <v>0</v>
      </c>
      <c r="M171" s="28">
        <f t="shared" si="23"/>
        <v>0</v>
      </c>
      <c r="N171" s="28">
        <f t="shared" si="23"/>
        <v>-9485078.2822530214</v>
      </c>
      <c r="O171" s="28">
        <f t="shared" si="23"/>
        <v>0</v>
      </c>
      <c r="P171" s="28">
        <f t="shared" si="23"/>
        <v>0</v>
      </c>
      <c r="Q171" s="28">
        <f t="shared" si="23"/>
        <v>-11788068.847492967</v>
      </c>
      <c r="R171" s="199"/>
    </row>
    <row r="172" spans="2:18">
      <c r="B172" s="200"/>
      <c r="C172" s="201"/>
      <c r="D172" s="201"/>
      <c r="E172" s="201"/>
      <c r="F172" s="201"/>
      <c r="G172" s="201"/>
      <c r="H172" s="201"/>
      <c r="I172" s="201"/>
      <c r="J172" s="201"/>
      <c r="K172" s="201"/>
      <c r="L172" s="201"/>
      <c r="M172" s="201"/>
      <c r="N172" s="201"/>
      <c r="O172" s="201"/>
      <c r="P172" s="201"/>
      <c r="Q172" s="201"/>
      <c r="R172" s="203"/>
    </row>
  </sheetData>
  <mergeCells count="6">
    <mergeCell ref="A4:I4"/>
    <mergeCell ref="A5:I5"/>
    <mergeCell ref="A7:I7"/>
    <mergeCell ref="J4:R4"/>
    <mergeCell ref="J5:R5"/>
    <mergeCell ref="J7:R7"/>
  </mergeCells>
  <phoneticPr fontId="11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pageSetUpPr fitToPage="1"/>
  </sheetPr>
  <dimension ref="A1:R58"/>
  <sheetViews>
    <sheetView tabSelected="1" topLeftCell="A13" zoomScaleNormal="100" workbookViewId="0">
      <selection activeCell="M41" sqref="M41"/>
    </sheetView>
  </sheetViews>
  <sheetFormatPr defaultColWidth="7.109375" defaultRowHeight="13.15"/>
  <cols>
    <col min="1" max="1" width="4.77734375" style="206" customWidth="1"/>
    <col min="2" max="2" width="15.77734375" style="206" customWidth="1"/>
    <col min="3" max="3" width="7.109375" style="206" customWidth="1"/>
    <col min="4" max="4" width="8.77734375" style="206" customWidth="1"/>
    <col min="5" max="6" width="7.77734375" style="206" customWidth="1"/>
    <col min="7" max="7" width="10.21875" style="206" customWidth="1"/>
    <col min="8" max="8" width="13" style="206" customWidth="1"/>
    <col min="9" max="9" width="11.77734375" style="206" customWidth="1"/>
    <col min="10" max="10" width="11.5546875" style="206" bestFit="1" customWidth="1"/>
    <col min="11" max="11" width="8" style="206" customWidth="1"/>
    <col min="12" max="16384" width="7.109375" style="206"/>
  </cols>
  <sheetData>
    <row r="1" spans="1:16">
      <c r="K1" s="205"/>
    </row>
    <row r="2" spans="1:16">
      <c r="B2" s="31"/>
      <c r="C2" s="32"/>
      <c r="D2" s="32"/>
      <c r="E2" s="32"/>
      <c r="F2" s="32"/>
      <c r="G2" s="32"/>
      <c r="H2" s="32"/>
      <c r="J2" s="174" t="s">
        <v>388</v>
      </c>
    </row>
    <row r="3" spans="1:16" ht="15" customHeight="1">
      <c r="A3" s="265" t="s">
        <v>1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16" ht="15" customHeight="1">
      <c r="A4" s="265" t="s">
        <v>2</v>
      </c>
      <c r="B4" s="265"/>
      <c r="C4" s="265"/>
      <c r="D4" s="265"/>
      <c r="E4" s="265"/>
      <c r="F4" s="265"/>
      <c r="G4" s="265"/>
      <c r="H4" s="265"/>
      <c r="I4" s="265"/>
      <c r="J4" s="265"/>
    </row>
    <row r="5" spans="1:16">
      <c r="B5" s="31"/>
      <c r="C5" s="32"/>
      <c r="D5" s="34"/>
      <c r="E5" s="32"/>
      <c r="G5" s="32"/>
      <c r="H5" s="32"/>
      <c r="I5" s="32"/>
      <c r="J5" s="32"/>
    </row>
    <row r="6" spans="1:16" ht="18">
      <c r="A6" s="207" t="s">
        <v>60</v>
      </c>
      <c r="B6" s="31"/>
      <c r="C6" s="32"/>
      <c r="D6" s="262" t="s">
        <v>389</v>
      </c>
      <c r="E6" s="263"/>
      <c r="F6" s="263"/>
      <c r="G6" s="263"/>
      <c r="H6" s="264"/>
      <c r="I6" s="32"/>
      <c r="J6" s="32"/>
      <c r="M6" s="208"/>
    </row>
    <row r="7" spans="1:16" ht="13.9" thickBot="1">
      <c r="A7" s="209" t="s">
        <v>65</v>
      </c>
    </row>
    <row r="8" spans="1:16" ht="15">
      <c r="A8" s="210">
        <v>1</v>
      </c>
      <c r="B8" s="211"/>
      <c r="C8" s="212"/>
      <c r="D8" s="213" t="s">
        <v>390</v>
      </c>
      <c r="E8" s="213" t="s">
        <v>391</v>
      </c>
      <c r="F8" s="213" t="s">
        <v>392</v>
      </c>
      <c r="G8" s="212" t="s">
        <v>393</v>
      </c>
      <c r="H8" s="213" t="s">
        <v>394</v>
      </c>
      <c r="I8" s="213" t="s">
        <v>395</v>
      </c>
      <c r="J8" s="213" t="s">
        <v>396</v>
      </c>
      <c r="K8" s="186"/>
    </row>
    <row r="9" spans="1:16" ht="15">
      <c r="A9" s="210">
        <f>A8+1</f>
        <v>2</v>
      </c>
      <c r="B9" s="214"/>
      <c r="C9" s="215"/>
      <c r="D9" s="216" t="s">
        <v>396</v>
      </c>
      <c r="E9" s="216" t="s">
        <v>396</v>
      </c>
      <c r="F9" s="216" t="s">
        <v>397</v>
      </c>
      <c r="G9" s="215" t="s">
        <v>398</v>
      </c>
      <c r="H9" s="216" t="s">
        <v>399</v>
      </c>
      <c r="I9" s="216" t="s">
        <v>400</v>
      </c>
      <c r="J9" s="216" t="s">
        <v>401</v>
      </c>
      <c r="K9" s="186"/>
    </row>
    <row r="10" spans="1:16" ht="15.6" thickBot="1">
      <c r="A10" s="210">
        <f t="shared" ref="A10:A47" si="0">A9+1</f>
        <v>3</v>
      </c>
      <c r="B10" s="217"/>
      <c r="C10" s="218"/>
      <c r="D10" s="219" t="s">
        <v>402</v>
      </c>
      <c r="E10" s="216" t="s">
        <v>402</v>
      </c>
      <c r="F10" s="219" t="s">
        <v>402</v>
      </c>
      <c r="G10" s="218" t="s">
        <v>402</v>
      </c>
      <c r="H10" s="219" t="s">
        <v>402</v>
      </c>
      <c r="I10" s="219" t="s">
        <v>402</v>
      </c>
      <c r="J10" s="219" t="s">
        <v>403</v>
      </c>
      <c r="K10" s="186"/>
    </row>
    <row r="11" spans="1:16" ht="15">
      <c r="A11" s="210">
        <f t="shared" si="0"/>
        <v>4</v>
      </c>
      <c r="B11" s="220" t="s">
        <v>404</v>
      </c>
      <c r="C11" s="221"/>
      <c r="D11" s="211">
        <v>298.91699999999997</v>
      </c>
      <c r="E11" s="222">
        <v>299.67599999999999</v>
      </c>
      <c r="F11" s="223">
        <v>2.0939999999999999</v>
      </c>
      <c r="G11" s="222">
        <v>54.456000000000003</v>
      </c>
      <c r="H11" s="212">
        <v>317</v>
      </c>
      <c r="I11" s="211">
        <v>0</v>
      </c>
      <c r="J11" s="224">
        <f t="shared" ref="J11:J22" si="1">SUM(D11:I11)</f>
        <v>972.14300000000003</v>
      </c>
      <c r="K11" s="186"/>
      <c r="M11" s="208"/>
      <c r="N11" s="225"/>
      <c r="P11" s="225"/>
    </row>
    <row r="12" spans="1:16" ht="15">
      <c r="A12" s="210">
        <f t="shared" si="0"/>
        <v>5</v>
      </c>
      <c r="B12" s="220" t="s">
        <v>405</v>
      </c>
      <c r="D12" s="226">
        <v>279.52600000000001</v>
      </c>
      <c r="E12" s="224">
        <v>274.06900000000002</v>
      </c>
      <c r="F12" s="227">
        <v>2.177</v>
      </c>
      <c r="G12" s="224">
        <v>45.591999999999999</v>
      </c>
      <c r="H12" s="215">
        <v>317</v>
      </c>
      <c r="I12" s="214">
        <v>0</v>
      </c>
      <c r="J12" s="224">
        <f t="shared" si="1"/>
        <v>918.36400000000003</v>
      </c>
      <c r="K12" s="186"/>
      <c r="M12" s="208"/>
      <c r="N12" s="225"/>
      <c r="P12" s="225"/>
    </row>
    <row r="13" spans="1:16" ht="15">
      <c r="A13" s="210">
        <f t="shared" si="0"/>
        <v>6</v>
      </c>
      <c r="B13" s="220" t="s">
        <v>406</v>
      </c>
      <c r="D13" s="226">
        <v>267.72500000000002</v>
      </c>
      <c r="E13" s="224">
        <v>255.73500000000001</v>
      </c>
      <c r="F13" s="227">
        <v>1.925</v>
      </c>
      <c r="G13" s="224">
        <v>43.136000000000003</v>
      </c>
      <c r="H13" s="215">
        <v>317</v>
      </c>
      <c r="I13" s="214">
        <v>0</v>
      </c>
      <c r="J13" s="224">
        <f t="shared" si="1"/>
        <v>885.52099999999996</v>
      </c>
      <c r="K13" s="186"/>
      <c r="M13" s="208"/>
      <c r="N13" s="225"/>
      <c r="P13" s="225"/>
    </row>
    <row r="14" spans="1:16" ht="15">
      <c r="A14" s="210">
        <f t="shared" si="0"/>
        <v>7</v>
      </c>
      <c r="B14" s="220" t="s">
        <v>407</v>
      </c>
      <c r="D14" s="226">
        <v>231.81399999999999</v>
      </c>
      <c r="E14" s="224">
        <v>247.345</v>
      </c>
      <c r="F14" s="227">
        <v>1.9930000000000001</v>
      </c>
      <c r="G14" s="224">
        <v>39.616</v>
      </c>
      <c r="H14" s="215">
        <v>317</v>
      </c>
      <c r="I14" s="214">
        <v>0</v>
      </c>
      <c r="J14" s="224">
        <f t="shared" si="1"/>
        <v>837.76800000000003</v>
      </c>
      <c r="K14" s="186"/>
      <c r="M14" s="208"/>
      <c r="N14" s="225"/>
      <c r="P14" s="225"/>
    </row>
    <row r="15" spans="1:16" ht="15">
      <c r="A15" s="210">
        <f t="shared" si="0"/>
        <v>8</v>
      </c>
      <c r="B15" s="220" t="s">
        <v>408</v>
      </c>
      <c r="D15" s="226">
        <v>227.726</v>
      </c>
      <c r="E15" s="224">
        <v>225.65</v>
      </c>
      <c r="F15" s="227">
        <v>2.08</v>
      </c>
      <c r="G15" s="224">
        <v>38.088999999999999</v>
      </c>
      <c r="H15" s="215">
        <v>317</v>
      </c>
      <c r="I15" s="214">
        <v>0</v>
      </c>
      <c r="J15" s="224">
        <f t="shared" si="1"/>
        <v>810.54499999999996</v>
      </c>
      <c r="K15" s="186"/>
      <c r="M15" s="208"/>
      <c r="N15" s="225"/>
      <c r="P15" s="225"/>
    </row>
    <row r="16" spans="1:16" ht="15">
      <c r="A16" s="210">
        <f t="shared" si="0"/>
        <v>9</v>
      </c>
      <c r="B16" s="220" t="s">
        <v>409</v>
      </c>
      <c r="D16" s="226">
        <v>331.07100000000003</v>
      </c>
      <c r="E16" s="224">
        <v>235.833</v>
      </c>
      <c r="F16" s="227">
        <v>2.2530000000000001</v>
      </c>
      <c r="G16" s="224">
        <v>58.978000000000002</v>
      </c>
      <c r="H16" s="215">
        <v>367</v>
      </c>
      <c r="I16" s="214">
        <v>0</v>
      </c>
      <c r="J16" s="224">
        <f t="shared" si="1"/>
        <v>995.13499999999999</v>
      </c>
      <c r="K16" s="186"/>
      <c r="M16" s="208"/>
      <c r="N16" s="225"/>
      <c r="P16" s="225"/>
    </row>
    <row r="17" spans="1:18" ht="15">
      <c r="A17" s="210">
        <f t="shared" si="0"/>
        <v>10</v>
      </c>
      <c r="B17" s="220" t="s">
        <v>410</v>
      </c>
      <c r="D17" s="226">
        <v>360.21300000000002</v>
      </c>
      <c r="E17" s="224">
        <v>260.78100000000001</v>
      </c>
      <c r="F17" s="227">
        <v>2.774</v>
      </c>
      <c r="G17" s="224">
        <v>76.007999999999996</v>
      </c>
      <c r="H17" s="215">
        <v>367</v>
      </c>
      <c r="I17" s="214">
        <v>0</v>
      </c>
      <c r="J17" s="224">
        <f t="shared" si="1"/>
        <v>1066.7760000000001</v>
      </c>
      <c r="K17" s="186"/>
      <c r="M17" s="208"/>
      <c r="N17" s="225"/>
      <c r="P17" s="225"/>
    </row>
    <row r="18" spans="1:18" ht="15">
      <c r="A18" s="210">
        <f t="shared" si="0"/>
        <v>11</v>
      </c>
      <c r="B18" s="220" t="s">
        <v>411</v>
      </c>
      <c r="D18" s="224">
        <v>361</v>
      </c>
      <c r="E18" s="224">
        <v>252</v>
      </c>
      <c r="F18" s="227">
        <v>3</v>
      </c>
      <c r="G18" s="224">
        <v>85.133552413381125</v>
      </c>
      <c r="H18" s="215">
        <v>367</v>
      </c>
      <c r="I18" s="214">
        <v>0</v>
      </c>
      <c r="J18" s="224">
        <f t="shared" si="1"/>
        <v>1068.133552413381</v>
      </c>
      <c r="K18" s="186"/>
      <c r="M18" s="208"/>
      <c r="N18" s="225"/>
      <c r="P18" s="225"/>
    </row>
    <row r="19" spans="1:18" ht="15">
      <c r="A19" s="210">
        <f t="shared" si="0"/>
        <v>12</v>
      </c>
      <c r="B19" s="220" t="s">
        <v>412</v>
      </c>
      <c r="D19" s="224">
        <v>322</v>
      </c>
      <c r="E19" s="224">
        <v>250</v>
      </c>
      <c r="F19" s="227">
        <v>3</v>
      </c>
      <c r="G19" s="224">
        <v>77.878325746714467</v>
      </c>
      <c r="H19" s="215">
        <v>367</v>
      </c>
      <c r="I19" s="214">
        <v>0</v>
      </c>
      <c r="J19" s="224">
        <f t="shared" si="1"/>
        <v>1019.8783257467145</v>
      </c>
      <c r="K19" s="186"/>
      <c r="M19" s="208"/>
      <c r="N19" s="225"/>
      <c r="P19" s="225"/>
    </row>
    <row r="20" spans="1:18" ht="15">
      <c r="A20" s="210">
        <f t="shared" si="0"/>
        <v>13</v>
      </c>
      <c r="B20" s="220" t="s">
        <v>413</v>
      </c>
      <c r="D20" s="224">
        <v>274</v>
      </c>
      <c r="E20" s="224">
        <v>261</v>
      </c>
      <c r="F20" s="227">
        <v>3</v>
      </c>
      <c r="G20" s="224">
        <v>62.814952413381128</v>
      </c>
      <c r="H20" s="215">
        <v>367</v>
      </c>
      <c r="I20" s="214">
        <v>0</v>
      </c>
      <c r="J20" s="224">
        <f t="shared" si="1"/>
        <v>967.81495241338109</v>
      </c>
      <c r="K20" s="186"/>
      <c r="M20" s="208"/>
      <c r="N20" s="225"/>
      <c r="P20" s="225"/>
    </row>
    <row r="21" spans="1:18" ht="15">
      <c r="A21" s="210">
        <f t="shared" si="0"/>
        <v>14</v>
      </c>
      <c r="B21" s="220" t="s">
        <v>414</v>
      </c>
      <c r="D21" s="224">
        <v>301</v>
      </c>
      <c r="E21" s="224">
        <v>281</v>
      </c>
      <c r="F21" s="227">
        <v>3</v>
      </c>
      <c r="G21" s="224">
        <v>72.184645746714452</v>
      </c>
      <c r="H21" s="215">
        <v>367</v>
      </c>
      <c r="I21" s="214">
        <v>0</v>
      </c>
      <c r="J21" s="224">
        <f t="shared" si="1"/>
        <v>1024.1846457467145</v>
      </c>
      <c r="K21" s="186"/>
      <c r="M21" s="208"/>
      <c r="N21" s="225"/>
      <c r="P21" s="225"/>
    </row>
    <row r="22" spans="1:18" ht="15.6" thickBot="1">
      <c r="A22" s="210">
        <f t="shared" si="0"/>
        <v>15</v>
      </c>
      <c r="B22" s="228" t="s">
        <v>415</v>
      </c>
      <c r="C22" s="229"/>
      <c r="D22" s="230">
        <v>323</v>
      </c>
      <c r="E22" s="230">
        <v>310</v>
      </c>
      <c r="F22" s="231">
        <v>3</v>
      </c>
      <c r="G22" s="230">
        <v>77.25306241338113</v>
      </c>
      <c r="H22" s="230">
        <v>367</v>
      </c>
      <c r="I22" s="217">
        <v>0</v>
      </c>
      <c r="J22" s="230">
        <f t="shared" si="1"/>
        <v>1080.253062413381</v>
      </c>
      <c r="K22" s="186"/>
      <c r="M22" s="208"/>
      <c r="N22" s="225"/>
      <c r="P22" s="225"/>
    </row>
    <row r="23" spans="1:18" ht="15.6" thickBot="1">
      <c r="A23" s="210">
        <f t="shared" si="0"/>
        <v>16</v>
      </c>
      <c r="B23" s="232"/>
      <c r="D23" s="233"/>
      <c r="E23" s="233"/>
      <c r="F23" s="233"/>
      <c r="G23" s="216"/>
      <c r="H23" s="215"/>
      <c r="I23" s="219"/>
      <c r="J23" s="233"/>
      <c r="K23" s="186"/>
      <c r="N23" s="225"/>
      <c r="P23" s="225"/>
    </row>
    <row r="24" spans="1:18" ht="15.6" thickBot="1">
      <c r="A24" s="210">
        <f t="shared" si="0"/>
        <v>17</v>
      </c>
      <c r="B24" s="234" t="s">
        <v>416</v>
      </c>
      <c r="C24" s="235"/>
      <c r="D24" s="236">
        <f t="shared" ref="D24:J24" si="2">SUM(D11:D22)/12</f>
        <v>298.166</v>
      </c>
      <c r="E24" s="236">
        <f>SUM(E11:E22)/12</f>
        <v>262.75741666666664</v>
      </c>
      <c r="F24" s="236">
        <f t="shared" si="2"/>
        <v>2.5246666666666666</v>
      </c>
      <c r="G24" s="236">
        <f t="shared" si="2"/>
        <v>60.928294894464358</v>
      </c>
      <c r="H24" s="236">
        <f>SUM(H11:H22)/12</f>
        <v>346.16666666666669</v>
      </c>
      <c r="I24" s="236">
        <f t="shared" si="2"/>
        <v>0</v>
      </c>
      <c r="J24" s="236">
        <f t="shared" si="2"/>
        <v>970.5430448944644</v>
      </c>
      <c r="K24" s="186"/>
      <c r="M24" s="208"/>
      <c r="N24" s="225"/>
      <c r="P24" s="225"/>
    </row>
    <row r="25" spans="1:18">
      <c r="A25" s="210">
        <f t="shared" si="0"/>
        <v>18</v>
      </c>
      <c r="L25" s="225"/>
      <c r="M25" s="225"/>
      <c r="N25" s="225"/>
      <c r="O25" s="225"/>
      <c r="P25" s="225"/>
      <c r="Q25" s="225"/>
      <c r="R25" s="225"/>
    </row>
    <row r="26" spans="1:18" ht="18">
      <c r="A26" s="210">
        <f t="shared" si="0"/>
        <v>19</v>
      </c>
      <c r="B26" s="31"/>
      <c r="C26" s="32"/>
      <c r="D26" s="262" t="s">
        <v>417</v>
      </c>
      <c r="E26" s="263"/>
      <c r="F26" s="263"/>
      <c r="G26" s="263"/>
      <c r="H26" s="264"/>
      <c r="I26" s="32"/>
      <c r="M26" s="208"/>
    </row>
    <row r="27" spans="1:18" ht="13.9" thickBot="1">
      <c r="A27" s="210">
        <f t="shared" si="0"/>
        <v>20</v>
      </c>
    </row>
    <row r="28" spans="1:18">
      <c r="A28" s="210">
        <f t="shared" si="0"/>
        <v>21</v>
      </c>
      <c r="B28" s="211"/>
      <c r="C28" s="212"/>
      <c r="D28" s="213" t="s">
        <v>390</v>
      </c>
      <c r="E28" s="213" t="s">
        <v>391</v>
      </c>
      <c r="F28" s="213" t="s">
        <v>392</v>
      </c>
      <c r="G28" s="212" t="s">
        <v>393</v>
      </c>
      <c r="H28" s="213" t="s">
        <v>394</v>
      </c>
      <c r="I28" s="213" t="s">
        <v>395</v>
      </c>
      <c r="J28" s="213" t="s">
        <v>396</v>
      </c>
    </row>
    <row r="29" spans="1:18">
      <c r="A29" s="210">
        <f t="shared" si="0"/>
        <v>22</v>
      </c>
      <c r="B29" s="214"/>
      <c r="C29" s="215"/>
      <c r="D29" s="216" t="s">
        <v>396</v>
      </c>
      <c r="E29" s="216" t="s">
        <v>396</v>
      </c>
      <c r="F29" s="216" t="s">
        <v>397</v>
      </c>
      <c r="G29" s="215" t="s">
        <v>398</v>
      </c>
      <c r="H29" s="216" t="s">
        <v>399</v>
      </c>
      <c r="I29" s="216" t="s">
        <v>400</v>
      </c>
      <c r="J29" s="216" t="s">
        <v>401</v>
      </c>
    </row>
    <row r="30" spans="1:18" ht="13.9" thickBot="1">
      <c r="A30" s="210">
        <f t="shared" si="0"/>
        <v>23</v>
      </c>
      <c r="B30" s="217"/>
      <c r="C30" s="218"/>
      <c r="D30" s="219" t="s">
        <v>402</v>
      </c>
      <c r="E30" s="216" t="s">
        <v>402</v>
      </c>
      <c r="F30" s="219" t="s">
        <v>402</v>
      </c>
      <c r="G30" s="218" t="s">
        <v>402</v>
      </c>
      <c r="H30" s="219" t="s">
        <v>402</v>
      </c>
      <c r="I30" s="219" t="s">
        <v>402</v>
      </c>
      <c r="J30" s="219" t="s">
        <v>403</v>
      </c>
    </row>
    <row r="31" spans="1:18">
      <c r="A31" s="210">
        <f t="shared" si="0"/>
        <v>24</v>
      </c>
      <c r="B31" s="220" t="s">
        <v>404</v>
      </c>
      <c r="C31" s="221"/>
      <c r="D31" s="222">
        <v>332.41362117145394</v>
      </c>
      <c r="E31" s="222">
        <v>283</v>
      </c>
      <c r="F31" s="223">
        <v>3</v>
      </c>
      <c r="G31" s="222">
        <v>76.986642413381119</v>
      </c>
      <c r="H31" s="215">
        <v>347</v>
      </c>
      <c r="I31" s="213">
        <v>0</v>
      </c>
      <c r="J31" s="222">
        <f>SUM(D31:I31)</f>
        <v>1042.4002635848351</v>
      </c>
      <c r="M31" s="208"/>
      <c r="N31" s="225"/>
      <c r="O31" s="225"/>
    </row>
    <row r="32" spans="1:18">
      <c r="A32" s="210">
        <f t="shared" si="0"/>
        <v>25</v>
      </c>
      <c r="B32" s="220" t="s">
        <v>405</v>
      </c>
      <c r="D32" s="224">
        <v>319.80561195693923</v>
      </c>
      <c r="E32" s="224">
        <v>284</v>
      </c>
      <c r="F32" s="227">
        <v>3</v>
      </c>
      <c r="G32" s="224">
        <v>73.580092413381124</v>
      </c>
      <c r="H32" s="215">
        <v>347</v>
      </c>
      <c r="I32" s="216">
        <v>0</v>
      </c>
      <c r="J32" s="224">
        <f t="shared" ref="J32:J41" si="3">SUM(D32:I32)</f>
        <v>1027.3857043703204</v>
      </c>
      <c r="M32" s="208"/>
      <c r="N32" s="225"/>
      <c r="O32" s="225"/>
    </row>
    <row r="33" spans="1:15">
      <c r="A33" s="210">
        <f t="shared" si="0"/>
        <v>26</v>
      </c>
      <c r="B33" s="220" t="s">
        <v>406</v>
      </c>
      <c r="D33" s="224">
        <v>298.94803973176647</v>
      </c>
      <c r="E33" s="224">
        <v>259</v>
      </c>
      <c r="F33" s="227">
        <v>3</v>
      </c>
      <c r="G33" s="224">
        <v>69.622762413381125</v>
      </c>
      <c r="H33" s="215">
        <v>347</v>
      </c>
      <c r="I33" s="216">
        <v>0</v>
      </c>
      <c r="J33" s="224">
        <f t="shared" si="3"/>
        <v>977.57080214514758</v>
      </c>
      <c r="M33" s="208"/>
      <c r="N33" s="225"/>
      <c r="O33" s="225"/>
    </row>
    <row r="34" spans="1:15">
      <c r="A34" s="210">
        <f t="shared" si="0"/>
        <v>27</v>
      </c>
      <c r="B34" s="220" t="s">
        <v>407</v>
      </c>
      <c r="D34" s="224">
        <v>269.65343888844473</v>
      </c>
      <c r="E34" s="224">
        <v>246</v>
      </c>
      <c r="F34" s="227">
        <v>3</v>
      </c>
      <c r="G34" s="224">
        <v>62.23239241338112</v>
      </c>
      <c r="H34" s="215">
        <v>347</v>
      </c>
      <c r="I34" s="216">
        <v>0</v>
      </c>
      <c r="J34" s="224">
        <f t="shared" si="3"/>
        <v>927.88583130182587</v>
      </c>
      <c r="M34" s="208"/>
      <c r="N34" s="225"/>
      <c r="O34" s="225"/>
    </row>
    <row r="35" spans="1:15">
      <c r="A35" s="210">
        <f t="shared" si="0"/>
        <v>28</v>
      </c>
      <c r="B35" s="220" t="s">
        <v>408</v>
      </c>
      <c r="D35" s="224">
        <v>279.09082224814</v>
      </c>
      <c r="E35" s="224">
        <v>216</v>
      </c>
      <c r="F35" s="227">
        <v>3</v>
      </c>
      <c r="G35" s="224">
        <v>66.809852413381122</v>
      </c>
      <c r="H35" s="215">
        <v>347</v>
      </c>
      <c r="I35" s="216">
        <v>0</v>
      </c>
      <c r="J35" s="224">
        <f t="shared" si="3"/>
        <v>911.90067466152118</v>
      </c>
      <c r="M35" s="208"/>
      <c r="N35" s="225"/>
      <c r="O35" s="225"/>
    </row>
    <row r="36" spans="1:15">
      <c r="A36" s="210">
        <f t="shared" si="0"/>
        <v>29</v>
      </c>
      <c r="B36" s="220" t="s">
        <v>409</v>
      </c>
      <c r="D36" s="224">
        <v>344.36787121467239</v>
      </c>
      <c r="E36" s="224">
        <v>224</v>
      </c>
      <c r="F36" s="227">
        <v>3</v>
      </c>
      <c r="G36" s="224">
        <v>81.164882413381122</v>
      </c>
      <c r="H36" s="215">
        <v>347</v>
      </c>
      <c r="I36" s="216">
        <v>0</v>
      </c>
      <c r="J36" s="224">
        <f t="shared" si="3"/>
        <v>999.53275362805357</v>
      </c>
      <c r="M36" s="208"/>
      <c r="N36" s="225"/>
      <c r="O36" s="225"/>
    </row>
    <row r="37" spans="1:15">
      <c r="A37" s="210">
        <f t="shared" si="0"/>
        <v>30</v>
      </c>
      <c r="B37" s="220" t="s">
        <v>410</v>
      </c>
      <c r="D37" s="224">
        <v>380.23328552252286</v>
      </c>
      <c r="E37" s="224">
        <v>236</v>
      </c>
      <c r="F37" s="227">
        <v>3</v>
      </c>
      <c r="G37" s="224">
        <v>90.500662413381121</v>
      </c>
      <c r="H37" s="215">
        <v>347</v>
      </c>
      <c r="I37" s="216">
        <v>0</v>
      </c>
      <c r="J37" s="224">
        <f t="shared" si="3"/>
        <v>1056.7339479359041</v>
      </c>
      <c r="M37" s="208"/>
      <c r="N37" s="225"/>
      <c r="O37" s="225"/>
    </row>
    <row r="38" spans="1:15">
      <c r="A38" s="210">
        <f t="shared" si="0"/>
        <v>31</v>
      </c>
      <c r="B38" s="220" t="s">
        <v>411</v>
      </c>
      <c r="D38" s="224">
        <v>364.61990056680452</v>
      </c>
      <c r="E38" s="224">
        <v>238</v>
      </c>
      <c r="F38" s="227">
        <v>3</v>
      </c>
      <c r="G38" s="224">
        <v>86.15704241338112</v>
      </c>
      <c r="H38" s="215">
        <v>347</v>
      </c>
      <c r="I38" s="216">
        <v>0</v>
      </c>
      <c r="J38" s="224">
        <f t="shared" si="3"/>
        <v>1038.7769429801856</v>
      </c>
      <c r="M38" s="208"/>
      <c r="N38" s="225"/>
      <c r="O38" s="225"/>
    </row>
    <row r="39" spans="1:15">
      <c r="A39" s="210">
        <f t="shared" si="0"/>
        <v>32</v>
      </c>
      <c r="B39" s="220" t="s">
        <v>412</v>
      </c>
      <c r="D39" s="224">
        <v>325.28843491269669</v>
      </c>
      <c r="E39" s="224">
        <v>234</v>
      </c>
      <c r="F39" s="227">
        <v>3</v>
      </c>
      <c r="G39" s="224">
        <v>78.799465746714461</v>
      </c>
      <c r="H39" s="215">
        <v>347</v>
      </c>
      <c r="I39" s="216">
        <v>0</v>
      </c>
      <c r="J39" s="224">
        <f t="shared" si="3"/>
        <v>988.08790065941105</v>
      </c>
      <c r="M39" s="208"/>
      <c r="N39" s="225"/>
      <c r="O39" s="225"/>
    </row>
    <row r="40" spans="1:15">
      <c r="A40" s="210">
        <f t="shared" si="0"/>
        <v>33</v>
      </c>
      <c r="B40" s="220" t="s">
        <v>413</v>
      </c>
      <c r="D40" s="224">
        <v>276.60355199027487</v>
      </c>
      <c r="E40" s="224">
        <v>245</v>
      </c>
      <c r="F40" s="227">
        <v>3</v>
      </c>
      <c r="G40" s="224">
        <v>63.519722413381125</v>
      </c>
      <c r="H40" s="215">
        <v>347</v>
      </c>
      <c r="I40" s="216">
        <v>0</v>
      </c>
      <c r="J40" s="224">
        <f t="shared" si="3"/>
        <v>935.12327440365596</v>
      </c>
      <c r="M40" s="208"/>
      <c r="N40" s="225"/>
      <c r="O40" s="225"/>
    </row>
    <row r="41" spans="1:15" ht="12.75">
      <c r="A41" s="210">
        <f t="shared" si="0"/>
        <v>34</v>
      </c>
      <c r="B41" s="220" t="s">
        <v>414</v>
      </c>
      <c r="D41" s="224">
        <v>303.41067920505736</v>
      </c>
      <c r="E41" s="224">
        <v>266</v>
      </c>
      <c r="F41" s="227">
        <v>3</v>
      </c>
      <c r="G41" s="224">
        <v>73.027865746714454</v>
      </c>
      <c r="H41" s="215">
        <v>347</v>
      </c>
      <c r="I41" s="216">
        <v>0</v>
      </c>
      <c r="J41" s="224">
        <f t="shared" si="3"/>
        <v>992.43854495177186</v>
      </c>
      <c r="M41" s="208"/>
      <c r="N41" s="225"/>
      <c r="O41" s="225"/>
    </row>
    <row r="42" spans="1:15" ht="12.75">
      <c r="A42" s="210">
        <f t="shared" si="0"/>
        <v>35</v>
      </c>
      <c r="B42" s="228" t="s">
        <v>415</v>
      </c>
      <c r="C42" s="229"/>
      <c r="D42" s="230">
        <v>325.71638889456477</v>
      </c>
      <c r="E42" s="230">
        <v>294</v>
      </c>
      <c r="F42" s="231">
        <v>3</v>
      </c>
      <c r="G42" s="230">
        <v>78.171562413381125</v>
      </c>
      <c r="H42" s="230">
        <v>347</v>
      </c>
      <c r="I42" s="219">
        <v>0</v>
      </c>
      <c r="J42" s="230">
        <f>SUM(D42:I42)</f>
        <v>1047.887951307946</v>
      </c>
      <c r="M42" s="208"/>
      <c r="N42" s="225"/>
      <c r="O42" s="225"/>
    </row>
    <row r="43" spans="1:15" ht="12.75">
      <c r="A43" s="210">
        <f t="shared" si="0"/>
        <v>36</v>
      </c>
      <c r="B43" s="232"/>
      <c r="D43" s="233"/>
      <c r="E43" s="233"/>
      <c r="F43" s="233"/>
      <c r="G43" s="233"/>
      <c r="H43" s="233"/>
      <c r="I43" s="233"/>
      <c r="J43" s="233"/>
      <c r="N43" s="225"/>
      <c r="O43" s="225"/>
    </row>
    <row r="44" spans="1:15" ht="13.9" thickBot="1">
      <c r="A44" s="210">
        <f t="shared" si="0"/>
        <v>37</v>
      </c>
      <c r="B44" s="234" t="s">
        <v>416</v>
      </c>
      <c r="C44" s="235"/>
      <c r="D44" s="237">
        <f t="shared" ref="D44:J44" si="4">SUM(D31:D42)/12</f>
        <v>318.34597052527812</v>
      </c>
      <c r="E44" s="236">
        <f t="shared" si="4"/>
        <v>252.08333333333334</v>
      </c>
      <c r="F44" s="238">
        <f t="shared" si="4"/>
        <v>3</v>
      </c>
      <c r="G44" s="236">
        <f t="shared" si="4"/>
        <v>75.047745468936668</v>
      </c>
      <c r="H44" s="239">
        <f t="shared" si="4"/>
        <v>347</v>
      </c>
      <c r="I44" s="237">
        <f t="shared" si="4"/>
        <v>0</v>
      </c>
      <c r="J44" s="236">
        <f t="shared" si="4"/>
        <v>995.47704932754823</v>
      </c>
      <c r="K44" s="240"/>
      <c r="M44" s="208"/>
      <c r="N44" s="225"/>
      <c r="O44" s="225"/>
    </row>
    <row r="45" spans="1:15">
      <c r="A45" s="210">
        <f t="shared" si="0"/>
        <v>38</v>
      </c>
      <c r="N45" s="225"/>
    </row>
    <row r="46" spans="1:15">
      <c r="A46" s="210">
        <f t="shared" si="0"/>
        <v>39</v>
      </c>
      <c r="B46" s="241" t="s">
        <v>418</v>
      </c>
      <c r="D46" s="242"/>
      <c r="E46" s="242"/>
      <c r="F46" s="242"/>
      <c r="G46" s="243"/>
      <c r="H46" s="243"/>
      <c r="I46" s="244"/>
    </row>
    <row r="47" spans="1:15">
      <c r="A47" s="210">
        <f t="shared" si="0"/>
        <v>40</v>
      </c>
      <c r="B47" s="241" t="s">
        <v>419</v>
      </c>
      <c r="G47" s="243"/>
    </row>
    <row r="48" spans="1:15">
      <c r="A48" s="210"/>
      <c r="B48" s="241"/>
      <c r="D48" s="241"/>
      <c r="E48" s="241"/>
    </row>
    <row r="49" spans="1:10">
      <c r="A49" s="210"/>
      <c r="B49" s="241"/>
      <c r="D49" s="241"/>
      <c r="E49" s="241"/>
    </row>
    <row r="50" spans="1:10">
      <c r="A50" s="210"/>
      <c r="B50" s="241"/>
      <c r="C50" s="241"/>
      <c r="D50" s="241"/>
      <c r="E50" s="241"/>
    </row>
    <row r="51" spans="1:10">
      <c r="A51" s="210"/>
      <c r="B51" s="241"/>
      <c r="C51" s="241"/>
      <c r="D51" s="245"/>
      <c r="E51" s="245"/>
      <c r="F51" s="245"/>
      <c r="G51" s="245"/>
      <c r="H51" s="245"/>
      <c r="I51" s="245"/>
      <c r="J51" s="245"/>
    </row>
    <row r="52" spans="1:10">
      <c r="B52" s="241"/>
      <c r="C52" s="241"/>
      <c r="D52" s="245"/>
      <c r="E52" s="245"/>
      <c r="F52" s="245"/>
      <c r="G52" s="245"/>
      <c r="H52" s="245"/>
      <c r="I52" s="245"/>
      <c r="J52" s="245"/>
    </row>
    <row r="53" spans="1:10">
      <c r="B53" s="241"/>
      <c r="C53" s="241"/>
      <c r="D53" s="241"/>
      <c r="E53" s="241"/>
    </row>
    <row r="54" spans="1:10">
      <c r="B54" s="241"/>
      <c r="C54" s="241"/>
      <c r="D54" s="241"/>
      <c r="E54" s="241"/>
    </row>
    <row r="55" spans="1:10">
      <c r="B55" s="241"/>
      <c r="C55" s="241"/>
      <c r="D55" s="241"/>
      <c r="E55" s="241"/>
    </row>
    <row r="56" spans="1:10">
      <c r="B56" s="241"/>
      <c r="C56" s="241"/>
      <c r="D56" s="241"/>
      <c r="E56" s="241"/>
    </row>
    <row r="57" spans="1:10">
      <c r="B57" s="241"/>
      <c r="C57" s="241"/>
      <c r="D57" s="241"/>
      <c r="E57" s="241"/>
    </row>
    <row r="58" spans="1:10">
      <c r="B58" s="241"/>
      <c r="C58" s="241"/>
      <c r="D58" s="241"/>
      <c r="E58" s="241"/>
    </row>
  </sheetData>
  <mergeCells count="4">
    <mergeCell ref="D6:H6"/>
    <mergeCell ref="D26:H26"/>
    <mergeCell ref="A3:J3"/>
    <mergeCell ref="A4:J4"/>
  </mergeCells>
  <phoneticPr fontId="11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AD5B4-786E-4EBA-9698-67CB9CF05840}">
  <dimension ref="A1:I27"/>
  <sheetViews>
    <sheetView workbookViewId="0">
      <selection activeCell="E28" sqref="E28"/>
    </sheetView>
  </sheetViews>
  <sheetFormatPr defaultColWidth="8.88671875" defaultRowHeight="13.15"/>
  <cols>
    <col min="1" max="1" width="8.88671875" style="247"/>
    <col min="2" max="2" width="26.6640625" style="247" customWidth="1"/>
    <col min="3" max="3" width="4.5546875" style="247" customWidth="1"/>
    <col min="4" max="4" width="12.6640625" style="247" bestFit="1" customWidth="1"/>
    <col min="5" max="5" width="11.44140625" style="247" customWidth="1"/>
    <col min="6" max="6" width="16.21875" style="247" bestFit="1" customWidth="1"/>
    <col min="7" max="16384" width="8.88671875" style="247"/>
  </cols>
  <sheetData>
    <row r="1" spans="1:9">
      <c r="A1" s="246"/>
      <c r="B1" s="246"/>
      <c r="C1" s="246"/>
      <c r="D1" s="246"/>
      <c r="E1" s="246"/>
      <c r="F1" s="246"/>
      <c r="G1" s="246"/>
      <c r="H1" s="246"/>
    </row>
    <row r="2" spans="1:9">
      <c r="A2" s="246"/>
      <c r="B2" s="246"/>
      <c r="C2" s="246"/>
      <c r="D2" s="246"/>
      <c r="E2" s="246"/>
      <c r="F2" s="174"/>
      <c r="G2" s="185" t="s">
        <v>47</v>
      </c>
      <c r="H2" s="174">
        <v>2025</v>
      </c>
      <c r="I2" s="174"/>
    </row>
    <row r="3" spans="1:9">
      <c r="A3" s="274" t="s">
        <v>420</v>
      </c>
      <c r="B3" s="274"/>
      <c r="C3" s="274"/>
      <c r="D3" s="274"/>
      <c r="E3" s="274"/>
      <c r="F3" s="274"/>
      <c r="G3" s="274"/>
      <c r="H3" s="274"/>
    </row>
    <row r="4" spans="1:9">
      <c r="A4" s="274" t="s">
        <v>421</v>
      </c>
      <c r="B4" s="274"/>
      <c r="C4" s="274"/>
      <c r="D4" s="274"/>
      <c r="E4" s="274"/>
      <c r="F4" s="274"/>
      <c r="G4" s="274"/>
      <c r="H4" s="274"/>
    </row>
    <row r="5" spans="1:9">
      <c r="A5" s="274" t="s">
        <v>50</v>
      </c>
      <c r="B5" s="274"/>
      <c r="C5" s="274"/>
      <c r="D5" s="274"/>
      <c r="E5" s="274"/>
      <c r="F5" s="274"/>
      <c r="G5" s="274"/>
      <c r="H5" s="274"/>
    </row>
    <row r="7" spans="1:9">
      <c r="A7" s="176"/>
      <c r="B7" s="176"/>
      <c r="C7" s="176"/>
      <c r="D7" s="176"/>
      <c r="E7" s="176"/>
      <c r="F7" s="176"/>
      <c r="G7" s="176"/>
      <c r="H7" s="176"/>
    </row>
    <row r="8" spans="1:9">
      <c r="A8" s="246"/>
      <c r="B8" s="178" t="s">
        <v>333</v>
      </c>
      <c r="C8" s="178"/>
      <c r="D8" s="178" t="s">
        <v>334</v>
      </c>
      <c r="E8" s="178"/>
      <c r="F8" s="178" t="s">
        <v>422</v>
      </c>
      <c r="G8" s="178"/>
      <c r="H8" s="178"/>
    </row>
    <row r="9" spans="1:9">
      <c r="A9" s="178" t="s">
        <v>60</v>
      </c>
      <c r="B9" s="246"/>
      <c r="C9" s="246"/>
      <c r="D9" s="246"/>
      <c r="E9" s="246"/>
      <c r="F9" s="246"/>
      <c r="G9" s="246"/>
      <c r="H9" s="246"/>
    </row>
    <row r="10" spans="1:9">
      <c r="A10" s="180" t="s">
        <v>65</v>
      </c>
      <c r="B10" s="180" t="s">
        <v>423</v>
      </c>
      <c r="C10" s="180"/>
      <c r="D10" s="180" t="s">
        <v>187</v>
      </c>
      <c r="E10" s="180"/>
      <c r="F10" s="248" t="s">
        <v>424</v>
      </c>
      <c r="G10" s="178"/>
      <c r="H10" s="178"/>
    </row>
    <row r="11" spans="1:9">
      <c r="A11" s="178"/>
      <c r="B11" s="246"/>
      <c r="C11" s="246"/>
      <c r="D11" s="246"/>
      <c r="E11" s="246"/>
      <c r="F11" s="246"/>
      <c r="G11" s="178"/>
      <c r="H11" s="178"/>
    </row>
    <row r="12" spans="1:9">
      <c r="A12" s="178">
        <f>1+A11</f>
        <v>1</v>
      </c>
      <c r="B12" s="249" t="s">
        <v>425</v>
      </c>
      <c r="C12" s="250"/>
      <c r="D12" s="251" t="s">
        <v>426</v>
      </c>
      <c r="E12" s="250"/>
      <c r="F12" s="252">
        <v>20213000</v>
      </c>
      <c r="G12" s="1"/>
      <c r="H12" s="1"/>
    </row>
    <row r="13" spans="1:9">
      <c r="A13" s="178">
        <f t="shared" ref="A13:A23" si="0">1+A12</f>
        <v>2</v>
      </c>
      <c r="B13" s="249"/>
      <c r="C13" s="246"/>
      <c r="D13" s="253"/>
      <c r="E13" s="246"/>
      <c r="F13" s="252"/>
    </row>
    <row r="14" spans="1:9">
      <c r="A14" s="178">
        <f t="shared" si="0"/>
        <v>3</v>
      </c>
      <c r="B14" s="254" t="s">
        <v>427</v>
      </c>
      <c r="C14" s="246"/>
      <c r="D14" s="253" t="s">
        <v>428</v>
      </c>
      <c r="E14" s="246"/>
      <c r="F14" s="252">
        <v>201362</v>
      </c>
    </row>
    <row r="15" spans="1:9">
      <c r="A15" s="178">
        <f t="shared" si="0"/>
        <v>4</v>
      </c>
      <c r="B15" s="249"/>
      <c r="C15" s="246"/>
      <c r="D15" s="253"/>
      <c r="E15" s="246"/>
      <c r="F15" s="252"/>
    </row>
    <row r="16" spans="1:9">
      <c r="A16" s="178">
        <f t="shared" si="0"/>
        <v>5</v>
      </c>
      <c r="B16" s="254" t="s">
        <v>429</v>
      </c>
      <c r="C16" s="246"/>
      <c r="D16" s="251" t="s">
        <v>430</v>
      </c>
      <c r="E16" s="246"/>
      <c r="F16" s="252">
        <v>0</v>
      </c>
      <c r="G16" s="255"/>
    </row>
    <row r="17" spans="1:6">
      <c r="A17" s="178">
        <f t="shared" si="0"/>
        <v>6</v>
      </c>
      <c r="B17" s="254"/>
      <c r="C17" s="246"/>
      <c r="D17" s="253"/>
      <c r="E17" s="246"/>
      <c r="F17" s="252"/>
    </row>
    <row r="18" spans="1:6" ht="15.6">
      <c r="A18" s="178">
        <f t="shared" si="0"/>
        <v>7</v>
      </c>
      <c r="B18" s="254" t="s">
        <v>431</v>
      </c>
      <c r="C18" s="246"/>
      <c r="D18" s="253" t="s">
        <v>191</v>
      </c>
      <c r="E18" s="246"/>
      <c r="F18" s="252">
        <v>10267251</v>
      </c>
    </row>
    <row r="19" spans="1:6" ht="13.9" thickBot="1">
      <c r="A19" s="178">
        <f t="shared" si="0"/>
        <v>8</v>
      </c>
      <c r="B19" s="256"/>
      <c r="C19" s="256"/>
      <c r="D19" s="256"/>
      <c r="E19" s="256"/>
    </row>
    <row r="20" spans="1:6">
      <c r="A20" s="178">
        <f t="shared" si="0"/>
        <v>9</v>
      </c>
      <c r="B20" s="257" t="s">
        <v>12</v>
      </c>
      <c r="C20" s="246"/>
      <c r="D20" s="258"/>
      <c r="F20" s="259">
        <f>SUM(F12:F18)</f>
        <v>30681613</v>
      </c>
    </row>
    <row r="21" spans="1:6">
      <c r="A21" s="178">
        <f t="shared" si="0"/>
        <v>10</v>
      </c>
      <c r="B21" s="260"/>
      <c r="C21" s="246"/>
      <c r="D21" s="258"/>
      <c r="E21" s="246"/>
    </row>
    <row r="22" spans="1:6">
      <c r="A22" s="178">
        <f t="shared" si="0"/>
        <v>11</v>
      </c>
      <c r="B22" s="249" t="s">
        <v>432</v>
      </c>
      <c r="C22" s="246"/>
      <c r="D22" s="258"/>
      <c r="E22" s="246"/>
    </row>
    <row r="23" spans="1:6">
      <c r="A23" s="178">
        <f t="shared" si="0"/>
        <v>12</v>
      </c>
      <c r="B23" s="260" t="s">
        <v>433</v>
      </c>
      <c r="C23" s="246"/>
      <c r="D23" s="207"/>
      <c r="E23" s="246"/>
    </row>
    <row r="24" spans="1:6">
      <c r="A24" s="178"/>
      <c r="B24" s="261"/>
      <c r="C24" s="246"/>
      <c r="D24" s="246"/>
      <c r="E24" s="246"/>
    </row>
    <row r="25" spans="1:6">
      <c r="A25" s="178"/>
      <c r="B25" s="250"/>
      <c r="C25" s="246"/>
      <c r="D25" s="246"/>
      <c r="E25" s="246"/>
    </row>
    <row r="27" spans="1:6">
      <c r="F27" s="255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8D3477F073934384A207DA4AB3CB09" ma:contentTypeVersion="3" ma:contentTypeDescription="Create a new document." ma:contentTypeScope="" ma:versionID="59f603a469bccf2917bce07809fc28e3">
  <xsd:schema xmlns:xsd="http://www.w3.org/2001/XMLSchema" xmlns:xs="http://www.w3.org/2001/XMLSchema" xmlns:p="http://schemas.microsoft.com/office/2006/metadata/properties" xmlns:ns2="3ad7328d-bf36-4303-95b2-624f3402f812" targetNamespace="http://schemas.microsoft.com/office/2006/metadata/properties" ma:root="true" ma:fieldsID="eece25d7479741fdd40dc04403867e27" ns2:_="">
    <xsd:import namespace="3ad7328d-bf36-4303-95b2-624f3402f8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7328d-bf36-4303-95b2-624f3402f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C0211B-1C3B-48C4-89F9-892F0A15021C}"/>
</file>

<file path=customXml/itemProps2.xml><?xml version="1.0" encoding="utf-8"?>
<ds:datastoreItem xmlns:ds="http://schemas.openxmlformats.org/officeDocument/2006/customXml" ds:itemID="{ADE456DB-1FFE-428D-BBEE-A9C0C63D6300}"/>
</file>

<file path=customXml/itemProps3.xml><?xml version="1.0" encoding="utf-8"?>
<ds:datastoreItem xmlns:ds="http://schemas.openxmlformats.org/officeDocument/2006/customXml" ds:itemID="{A540FA57-7E90-4EDF-AE1B-7BB57A3B04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Dell Computer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Escue, Ethan</cp:lastModifiedBy>
  <cp:revision/>
  <dcterms:created xsi:type="dcterms:W3CDTF">1997-04-03T19:40:56Z</dcterms:created>
  <dcterms:modified xsi:type="dcterms:W3CDTF">2026-09-29T18:51:53Z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0x010100948D3477F073934384A207DA4AB3CB09</vt:lpwstr>
  </property>
</Properties>
</file>