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3"/>
  <workbookPr defaultThemeVersion="124226"/>
  <mc:AlternateContent xmlns:mc="http://schemas.openxmlformats.org/markup-compatibility/2006">
    <mc:Choice Requires="x15">
      <x15ac:absPath xmlns:x15ac="http://schemas.microsoft.com/office/spreadsheetml/2010/11/ac" url="M:\Rates\BHE COE\FERC\Transmission Formula Rate\COE Trans Form Rates 2023\"/>
    </mc:Choice>
  </mc:AlternateContent>
  <xr:revisionPtr revIDLastSave="5" documentId="8_{39116376-02F1-4223-BB58-9D035C188701}" xr6:coauthVersionLast="47" xr6:coauthVersionMax="47" xr10:uidLastSave="{63FB0250-FF74-4869-8899-4C26BCE04F8E}"/>
  <bookViews>
    <workbookView xWindow="-120" yWindow="-120" windowWidth="29040" windowHeight="15840" tabRatio="890" firstSheet="6" activeTab="14"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4-Rate Base" sheetId="23" r:id="rId7"/>
    <sheet name="A3.2-EDIT-DDIT.dtl" sheetId="42"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externalReferences>
    <externalReference r:id="rId22"/>
    <externalReference r:id="rId23"/>
  </externalReferences>
  <definedNames>
    <definedName name="__123Graph_A" localSheetId="11" hidden="1">[1]Sheet3!#REF!</definedName>
    <definedName name="__123Graph_A" localSheetId="12" hidden="1">[1]Sheet3!#REF!</definedName>
    <definedName name="__123Graph_A" localSheetId="19" hidden="1">[1]Sheet3!#REF!</definedName>
    <definedName name="__123Graph_A" hidden="1">[1]Sheet3!#REF!</definedName>
    <definedName name="__123Graph_A1991" localSheetId="11" hidden="1">[1]Sheet3!#REF!</definedName>
    <definedName name="__123Graph_A1991" localSheetId="12" hidden="1">[1]Sheet3!#REF!</definedName>
    <definedName name="__123Graph_A1991" localSheetId="19" hidden="1">[1]Sheet3!#REF!</definedName>
    <definedName name="__123Graph_A1991" hidden="1">[1]Sheet3!#REF!</definedName>
    <definedName name="__123Graph_A1992" localSheetId="11" hidden="1">[1]Sheet3!#REF!</definedName>
    <definedName name="__123Graph_A1992" localSheetId="12" hidden="1">[1]Sheet3!#REF!</definedName>
    <definedName name="__123Graph_A1992" localSheetId="19" hidden="1">[1]Sheet3!#REF!</definedName>
    <definedName name="__123Graph_A1992" hidden="1">[1]Sheet3!#REF!</definedName>
    <definedName name="__123Graph_A1993" localSheetId="11" hidden="1">[1]Sheet3!#REF!</definedName>
    <definedName name="__123Graph_A1993" localSheetId="12" hidden="1">[1]Sheet3!#REF!</definedName>
    <definedName name="__123Graph_A1993" localSheetId="19" hidden="1">[1]Sheet3!#REF!</definedName>
    <definedName name="__123Graph_A1993" hidden="1">[1]Sheet3!#REF!</definedName>
    <definedName name="__123Graph_A1994" localSheetId="11" hidden="1">[1]Sheet3!#REF!</definedName>
    <definedName name="__123Graph_A1994" localSheetId="12" hidden="1">[1]Sheet3!#REF!</definedName>
    <definedName name="__123Graph_A1994" localSheetId="19" hidden="1">[1]Sheet3!#REF!</definedName>
    <definedName name="__123Graph_A1994" hidden="1">[1]Sheet3!#REF!</definedName>
    <definedName name="__123Graph_A1995" localSheetId="11" hidden="1">[1]Sheet3!#REF!</definedName>
    <definedName name="__123Graph_A1995" localSheetId="12" hidden="1">[1]Sheet3!#REF!</definedName>
    <definedName name="__123Graph_A1995" localSheetId="19" hidden="1">[1]Sheet3!#REF!</definedName>
    <definedName name="__123Graph_A1995" hidden="1">[1]Sheet3!#REF!</definedName>
    <definedName name="__123Graph_A1996" localSheetId="11" hidden="1">[1]Sheet3!#REF!</definedName>
    <definedName name="__123Graph_A1996" localSheetId="12" hidden="1">[1]Sheet3!#REF!</definedName>
    <definedName name="__123Graph_A1996" localSheetId="19" hidden="1">[1]Sheet3!#REF!</definedName>
    <definedName name="__123Graph_A1996" hidden="1">[1]Sheet3!#REF!</definedName>
    <definedName name="__123Graph_ABAR" localSheetId="11" hidden="1">[1]Sheet3!#REF!</definedName>
    <definedName name="__123Graph_ABAR" localSheetId="12" hidden="1">[1]Sheet3!#REF!</definedName>
    <definedName name="__123Graph_ABAR" localSheetId="19" hidden="1">[1]Sheet3!#REF!</definedName>
    <definedName name="__123Graph_ABAR" hidden="1">[1]Sheet3!#REF!</definedName>
    <definedName name="__123Graph_B" localSheetId="11" hidden="1">[1]Sheet3!#REF!</definedName>
    <definedName name="__123Graph_B" localSheetId="12" hidden="1">[1]Sheet3!#REF!</definedName>
    <definedName name="__123Graph_B" localSheetId="19" hidden="1">[1]Sheet3!#REF!</definedName>
    <definedName name="__123Graph_B" hidden="1">[1]Sheet3!#REF!</definedName>
    <definedName name="__123Graph_B1991" localSheetId="11" hidden="1">[1]Sheet3!#REF!</definedName>
    <definedName name="__123Graph_B1991" localSheetId="12" hidden="1">[1]Sheet3!#REF!</definedName>
    <definedName name="__123Graph_B1991" localSheetId="19" hidden="1">[1]Sheet3!#REF!</definedName>
    <definedName name="__123Graph_B1991" hidden="1">[1]Sheet3!#REF!</definedName>
    <definedName name="__123Graph_B1992" localSheetId="11" hidden="1">[1]Sheet3!#REF!</definedName>
    <definedName name="__123Graph_B1992" localSheetId="12" hidden="1">[1]Sheet3!#REF!</definedName>
    <definedName name="__123Graph_B1992" localSheetId="19" hidden="1">[1]Sheet3!#REF!</definedName>
    <definedName name="__123Graph_B1992" hidden="1">[1]Sheet3!#REF!</definedName>
    <definedName name="__123Graph_B1993" localSheetId="11" hidden="1">[1]Sheet3!#REF!</definedName>
    <definedName name="__123Graph_B1993" localSheetId="12" hidden="1">[1]Sheet3!#REF!</definedName>
    <definedName name="__123Graph_B1993" localSheetId="19" hidden="1">[1]Sheet3!#REF!</definedName>
    <definedName name="__123Graph_B1993" hidden="1">[1]Sheet3!#REF!</definedName>
    <definedName name="__123Graph_B1994" localSheetId="11" hidden="1">[1]Sheet3!#REF!</definedName>
    <definedName name="__123Graph_B1994" localSheetId="12" hidden="1">[1]Sheet3!#REF!</definedName>
    <definedName name="__123Graph_B1994" localSheetId="19" hidden="1">[1]Sheet3!#REF!</definedName>
    <definedName name="__123Graph_B1994" hidden="1">[1]Sheet3!#REF!</definedName>
    <definedName name="__123Graph_B1995" localSheetId="11" hidden="1">[1]Sheet3!#REF!</definedName>
    <definedName name="__123Graph_B1995" localSheetId="12" hidden="1">[1]Sheet3!#REF!</definedName>
    <definedName name="__123Graph_B1995" localSheetId="19" hidden="1">[1]Sheet3!#REF!</definedName>
    <definedName name="__123Graph_B1995" hidden="1">[1]Sheet3!#REF!</definedName>
    <definedName name="__123Graph_B1996" localSheetId="11" hidden="1">[1]Sheet3!#REF!</definedName>
    <definedName name="__123Graph_B1996" localSheetId="12" hidden="1">[1]Sheet3!#REF!</definedName>
    <definedName name="__123Graph_B1996" localSheetId="19" hidden="1">[1]Sheet3!#REF!</definedName>
    <definedName name="__123Graph_B1996" hidden="1">[1]Sheet3!#REF!</definedName>
    <definedName name="__123Graph_BBAR" localSheetId="11" hidden="1">[1]Sheet3!#REF!</definedName>
    <definedName name="__123Graph_BBAR" localSheetId="12" hidden="1">[1]Sheet3!#REF!</definedName>
    <definedName name="__123Graph_BBAR" localSheetId="19" hidden="1">[1]Sheet3!#REF!</definedName>
    <definedName name="__123Graph_BBAR" hidden="1">[1]Sheet3!#REF!</definedName>
    <definedName name="__123Graph_CBAR" localSheetId="11" hidden="1">[1]Sheet3!#REF!</definedName>
    <definedName name="__123Graph_CBAR" localSheetId="12" hidden="1">[1]Sheet3!#REF!</definedName>
    <definedName name="__123Graph_CBAR" localSheetId="19" hidden="1">[1]Sheet3!#REF!</definedName>
    <definedName name="__123Graph_CBAR" hidden="1">[1]Sheet3!#REF!</definedName>
    <definedName name="__123Graph_DBAR" localSheetId="11" hidden="1">[1]Sheet3!#REF!</definedName>
    <definedName name="__123Graph_DBAR" localSheetId="12" hidden="1">[1]Sheet3!#REF!</definedName>
    <definedName name="__123Graph_DBAR" localSheetId="19" hidden="1">[1]Sheet3!#REF!</definedName>
    <definedName name="__123Graph_DBAR" hidden="1">[1]Sheet3!#REF!</definedName>
    <definedName name="__123Graph_EBAR" localSheetId="11" hidden="1">[1]Sheet3!#REF!</definedName>
    <definedName name="__123Graph_EBAR" localSheetId="12" hidden="1">[1]Sheet3!#REF!</definedName>
    <definedName name="__123Graph_EBAR" localSheetId="19" hidden="1">[1]Sheet3!#REF!</definedName>
    <definedName name="__123Graph_EBAR" hidden="1">[1]Sheet3!#REF!</definedName>
    <definedName name="__123Graph_FBAR" localSheetId="11" hidden="1">[1]Sheet3!#REF!</definedName>
    <definedName name="__123Graph_FBAR" localSheetId="12" hidden="1">[1]Sheet3!#REF!</definedName>
    <definedName name="__123Graph_FBAR" localSheetId="19" hidden="1">[1]Sheet3!#REF!</definedName>
    <definedName name="__123Graph_FBAR" hidden="1">[1]Sheet3!#REF!</definedName>
    <definedName name="__123Graph_X" localSheetId="11" hidden="1">[1]Sheet3!#REF!</definedName>
    <definedName name="__123Graph_X" localSheetId="12" hidden="1">[1]Sheet3!#REF!</definedName>
    <definedName name="__123Graph_X" localSheetId="19" hidden="1">[1]Sheet3!#REF!</definedName>
    <definedName name="__123Graph_X" hidden="1">[1]Sheet3!#REF!</definedName>
    <definedName name="__123Graph_X1991" localSheetId="11" hidden="1">[1]Sheet3!#REF!</definedName>
    <definedName name="__123Graph_X1991" localSheetId="12" hidden="1">[1]Sheet3!#REF!</definedName>
    <definedName name="__123Graph_X1991" localSheetId="19" hidden="1">[1]Sheet3!#REF!</definedName>
    <definedName name="__123Graph_X1991" hidden="1">[1]Sheet3!#REF!</definedName>
    <definedName name="__123Graph_X1992" localSheetId="11" hidden="1">[1]Sheet3!#REF!</definedName>
    <definedName name="__123Graph_X1992" localSheetId="12" hidden="1">[1]Sheet3!#REF!</definedName>
    <definedName name="__123Graph_X1992" localSheetId="19" hidden="1">[1]Sheet3!#REF!</definedName>
    <definedName name="__123Graph_X1992" hidden="1">[1]Sheet3!#REF!</definedName>
    <definedName name="__123Graph_X1993" localSheetId="11" hidden="1">[1]Sheet3!#REF!</definedName>
    <definedName name="__123Graph_X1993" localSheetId="12" hidden="1">[1]Sheet3!#REF!</definedName>
    <definedName name="__123Graph_X1993" localSheetId="19" hidden="1">[1]Sheet3!#REF!</definedName>
    <definedName name="__123Graph_X1993" hidden="1">[1]Sheet3!#REF!</definedName>
    <definedName name="__123Graph_X1994" localSheetId="11" hidden="1">[1]Sheet3!#REF!</definedName>
    <definedName name="__123Graph_X1994" localSheetId="12" hidden="1">[1]Sheet3!#REF!</definedName>
    <definedName name="__123Graph_X1994" localSheetId="19" hidden="1">[1]Sheet3!#REF!</definedName>
    <definedName name="__123Graph_X1994" hidden="1">[1]Sheet3!#REF!</definedName>
    <definedName name="__123Graph_X1995" localSheetId="11" hidden="1">[1]Sheet3!#REF!</definedName>
    <definedName name="__123Graph_X1995" localSheetId="12" hidden="1">[1]Sheet3!#REF!</definedName>
    <definedName name="__123Graph_X1995" localSheetId="19" hidden="1">[1]Sheet3!#REF!</definedName>
    <definedName name="__123Graph_X1995" hidden="1">[1]Sheet3!#REF!</definedName>
    <definedName name="__123Graph_X1996" localSheetId="11" hidden="1">[1]Sheet3!#REF!</definedName>
    <definedName name="__123Graph_X1996" localSheetId="12" hidden="1">[1]Sheet3!#REF!</definedName>
    <definedName name="__123Graph_X1996" localSheetId="19" hidden="1">[1]Sheet3!#REF!</definedName>
    <definedName name="__123Graph_X1996" hidden="1">[1]Sheet3!#REF!</definedName>
    <definedName name="__tet12" localSheetId="19" hidden="1">{"assumptions",#N/A,FALSE,"Scenario 1";"valuation",#N/A,FALSE,"Scenario 1"}</definedName>
    <definedName name="__tet12"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19" hidden="1">{#N/A,#N/A,FALSE,"EMPPAY"}</definedName>
    <definedName name="_FEB01" hidden="1">{#N/A,#N/A,FALSE,"EMPPAY"}</definedName>
    <definedName name="_Fill" localSheetId="11" hidden="1">'[2]Exp Detail'!#REF!</definedName>
    <definedName name="_Fill" localSheetId="12" hidden="1">'[2]Exp Detail'!#REF!</definedName>
    <definedName name="_Fill" hidden="1">'[2]Exp Detail'!#REF!</definedName>
    <definedName name="_JAN01" localSheetId="19" hidden="1">{#N/A,#N/A,FALSE,"EMPPAY"}</definedName>
    <definedName name="_JAN01" hidden="1">{#N/A,#N/A,FALSE,"EMPPAY"}</definedName>
    <definedName name="_JAN2001" localSheetId="19" hidden="1">{#N/A,#N/A,FALSE,"EMPPAY"}</definedName>
    <definedName name="_JAN2001" hidden="1">{#N/A,#N/A,FALSE,"EMPPAY"}</definedName>
    <definedName name="_Key1" localSheetId="11" hidden="1">'[2]Exp Detail'!#REF!</definedName>
    <definedName name="_Key1" localSheetId="12"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19" hidden="1">{"assumptions",#N/A,FALSE,"Scenario 1";"valuation",#N/A,FALSE,"Scenario 1"}</definedName>
    <definedName name="_tet12"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9" hidden="1">{#N/A,#N/A,FALSE,"ARREC"}</definedName>
    <definedName name="DEC00" hidden="1">{#N/A,#N/A,FALSE,"ARREC"}</definedName>
    <definedName name="DocumentName" hidden="1">"b1"</definedName>
    <definedName name="DocumentNum" hidden="1">"a1"</definedName>
    <definedName name="FEB00" localSheetId="19" hidden="1">{#N/A,#N/A,FALSE,"ARREC"}</definedName>
    <definedName name="FEB00" hidden="1">{#N/A,#N/A,FALSE,"ARREC"}</definedName>
    <definedName name="GP">'Act Att-H'!$G$50</definedName>
    <definedName name="Library" hidden="1">"a1"</definedName>
    <definedName name="MAY" localSheetId="19" hidden="1">{#N/A,#N/A,FALSE,"EMPPAY"}</definedName>
    <definedName name="MAY" hidden="1">{#N/A,#N/A,FALSE,"EMPPAY"}</definedName>
    <definedName name="NA">0</definedName>
    <definedName name="NP">'Act Att-H'!$G$66</definedName>
    <definedName name="_xlnm.Print_Area" localSheetId="2">'A1-RevCred'!$A$1:$J$61</definedName>
    <definedName name="_xlnm.Print_Area" localSheetId="3">'A2-A&amp;G'!$A$1:$D$38</definedName>
    <definedName name="_xlnm.Print_Area" localSheetId="7">'A3.2-EDIT-DDIT.dtl'!$A$1:$I$58</definedName>
    <definedName name="_xlnm.Print_Area" localSheetId="4">'A3-ADIT'!$A$1:$F$33</definedName>
    <definedName name="_xlnm.Print_Area" localSheetId="10">'A7-IncentPlant'!$A$1:$O$48</definedName>
    <definedName name="_xlnm.Print_Area" localSheetId="11">'A8-Prepmts'!$A$1:$H$23</definedName>
    <definedName name="_xlnm.Print_Area" localSheetId="1">'Act Att-H'!$A$1:$K$264</definedName>
    <definedName name="_xlnm.Print_Area" localSheetId="15">'P1-Trans Plant'!$A$1:$AA$49</definedName>
    <definedName name="_xlnm.Print_Area" localSheetId="19">'P5-ADIT'!$A$1:$J$175</definedName>
    <definedName name="_xlnm.Print_Area" localSheetId="14">'Proj Att-H'!$A$1:$K$260</definedName>
    <definedName name="_xlnm.Print_Area" localSheetId="13">'TU-TrueUp'!$A$1:$I$66</definedName>
    <definedName name="_xlnm.Print_Titles" localSheetId="15">'P1-Trans Plant'!$A:$F</definedName>
    <definedName name="TE">'Act Att-H'!$I$183</definedName>
    <definedName name="test" localSheetId="19" hidden="1">{"LBO Summary",#N/A,FALSE,"Summary"}</definedName>
    <definedName name="test" hidden="1">{"LBO Summary",#N/A,FALSE,"Summary"}</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9" hidden="1">{"LBO Summary",#N/A,FALSE,"Summary"}</definedName>
    <definedName name="test11" hidden="1">{"LBO Summary",#N/A,FALSE,"Summary"}</definedName>
    <definedName name="test12" localSheetId="19" hidden="1">{"assumptions",#N/A,FALSE,"Scenario 1";"valuation",#N/A,FALSE,"Scenario 1"}</definedName>
    <definedName name="test12" hidden="1">{"assumptions",#N/A,FALSE,"Scenario 1";"valuation",#N/A,FALSE,"Scenario 1"}</definedName>
    <definedName name="test13" localSheetId="19" hidden="1">{"LBO Summary",#N/A,FALSE,"Summary"}</definedName>
    <definedName name="test13" hidden="1">{"LBO Summary",#N/A,FALSE,"Summary"}</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9" hidden="1">{"LBO Summary",#N/A,FALSE,"Summary"}</definedName>
    <definedName name="test2" hidden="1">{"LBO Summary",#N/A,FALSE,"Summary"}</definedName>
    <definedName name="test4" localSheetId="19" hidden="1">{"assumptions",#N/A,FALSE,"Scenario 1";"valuation",#N/A,FALSE,"Scenario 1"}</definedName>
    <definedName name="test4" hidden="1">{"assumptions",#N/A,FALSE,"Scenario 1";"valuation",#N/A,FALSE,"Scenario 1"}</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9" hidden="1">{#N/A,#N/A,FALSE,"ARREC"}</definedName>
    <definedName name="wrn.ARREC." hidden="1">{#N/A,#N/A,FALSE,"ARREC"}</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19" hidden="1">{#N/A,#N/A,FALSE,"EMPPAY"}</definedName>
    <definedName name="wrn.EMPPAY." hidden="1">{#N/A,#N/A,FALSE,"EMPPAY"}</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19" hidden="1">{"LBO Summary",#N/A,FALSE,"Summary"}</definedName>
    <definedName name="wrn.LBO._.Summary." hidden="1">{"LBO Summary",#N/A,FALSE,"Summary"}</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9" hidden="1">{#N/A,#N/A,FALSE,"EMPPAY"}</definedName>
    <definedName name="xx" hidden="1">{#N/A,#N/A,FALSE,"EMPPAY"}</definedName>
    <definedName name="Z_5C332329_7D4E_4C16_8567_CAD656F9D2F1_.wvu.PrintArea" localSheetId="13" hidden="1">'TU-TrueUp'!$A$2:$N$65</definedName>
    <definedName name="Z_5C332329_7D4E_4C16_8567_CAD656F9D2F1_.wvu.PrintTitles" localSheetId="13" hidden="1">'TU-TrueUp'!$2:$4</definedName>
    <definedName name="Z_F04A2B9A_C6FE_4FEB_AD1E_2CF9AC309BE4_.wvu.PrintArea" localSheetId="6" hidden="1">'A4-Rate Base'!$A$1:$L$134</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5" l="1"/>
  <c r="D23" i="31"/>
  <c r="D9" i="31" l="1"/>
  <c r="D190" i="9" l="1"/>
  <c r="D120" i="9" l="1"/>
  <c r="D119" i="9"/>
  <c r="D106" i="9"/>
  <c r="E19" i="20"/>
  <c r="E18" i="20"/>
  <c r="E17" i="20"/>
  <c r="E16" i="20"/>
  <c r="E15" i="20"/>
  <c r="E14" i="20"/>
  <c r="E13" i="20"/>
  <c r="E12" i="20"/>
  <c r="E11" i="20"/>
  <c r="E10" i="20"/>
  <c r="E9" i="20"/>
  <c r="E8" i="20"/>
  <c r="H23" i="42" l="1"/>
  <c r="H24" i="42"/>
  <c r="H25" i="42"/>
  <c r="H26" i="42"/>
  <c r="H27" i="42"/>
  <c r="H28" i="42"/>
  <c r="H29" i="42"/>
  <c r="F25" i="42"/>
  <c r="G25" i="42" s="1"/>
  <c r="F26" i="42"/>
  <c r="G26" i="42" s="1"/>
  <c r="F27" i="42"/>
  <c r="G27" i="42" s="1"/>
  <c r="I26" i="42" l="1"/>
  <c r="I27" i="42"/>
  <c r="I25" i="42"/>
  <c r="H44" i="21" l="1"/>
  <c r="F22" i="27"/>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7" i="25"/>
  <c r="D51" i="25"/>
  <c r="D12" i="37"/>
  <c r="D13" i="37" s="1"/>
  <c r="D14" i="37" s="1"/>
  <c r="D15" i="37" s="1"/>
  <c r="D16" i="37" s="1"/>
  <c r="D17" i="37" s="1"/>
  <c r="D18" i="37" s="1"/>
  <c r="D19" i="37" s="1"/>
  <c r="D20" i="37" s="1"/>
  <c r="D21" i="37" s="1"/>
  <c r="D22" i="37" s="1"/>
  <c r="D63"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5" i="4" l="1"/>
  <c r="J26" i="4"/>
  <c r="J27" i="4"/>
  <c r="J28" i="4"/>
  <c r="J29" i="4"/>
  <c r="J30" i="4"/>
  <c r="J31" i="4"/>
  <c r="J24" i="4"/>
  <c r="D121" i="9" l="1"/>
  <c r="G8" i="39" l="1"/>
  <c r="F11" i="4" l="1"/>
  <c r="E88" i="23" l="1"/>
  <c r="F18" i="40"/>
  <c r="G18" i="40" s="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F24" i="42"/>
  <c r="G24" i="42" s="1"/>
  <c r="A28" i="42"/>
  <c r="A29" i="42" s="1"/>
  <c r="A30" i="42" s="1"/>
  <c r="F28" i="42"/>
  <c r="G28" i="42" s="1"/>
  <c r="I28" i="42" s="1"/>
  <c r="F29" i="42"/>
  <c r="G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0" i="9"/>
  <c r="F35" i="41" l="1"/>
  <c r="G39" i="41"/>
  <c r="H161" i="37" s="1"/>
  <c r="I21" i="41"/>
  <c r="H21" i="41"/>
  <c r="F39" i="41"/>
  <c r="F21" i="41"/>
  <c r="H162" i="37"/>
  <c r="H154" i="37"/>
  <c r="H159" i="37"/>
  <c r="H158" i="37"/>
  <c r="H163" i="37"/>
  <c r="H157" i="37"/>
  <c r="H39" i="41"/>
  <c r="J167" i="37"/>
  <c r="O19" i="41"/>
  <c r="O15" i="4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O21" i="41"/>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F41" i="41" s="1"/>
  <c r="I22" i="42"/>
  <c r="G213" i="9"/>
  <c r="H153" i="37" l="1"/>
  <c r="H156" i="37"/>
  <c r="H152" i="37"/>
  <c r="H160" i="37"/>
  <c r="H155" i="37"/>
  <c r="M35" i="41"/>
  <c r="N39" i="41"/>
  <c r="L40" i="41"/>
  <c r="M40" i="41"/>
  <c r="H41" i="41"/>
  <c r="H35" i="41"/>
  <c r="J168" i="37"/>
  <c r="J27" i="37"/>
  <c r="L21" i="41"/>
  <c r="N40" i="41"/>
  <c r="N41" i="41" s="1"/>
  <c r="I15" i="42"/>
  <c r="F33" i="42"/>
  <c r="F54" i="42" s="1"/>
  <c r="G19" i="42"/>
  <c r="G33" i="42" s="1"/>
  <c r="G54" i="42" s="1"/>
  <c r="L35" i="41"/>
  <c r="N35" i="41"/>
  <c r="M39" i="41"/>
  <c r="L39" i="41"/>
  <c r="H19" i="42"/>
  <c r="I19" i="42"/>
  <c r="H52" i="42"/>
  <c r="H31" i="42"/>
  <c r="I52" i="42"/>
  <c r="O30" i="41"/>
  <c r="O33" i="41" s="1"/>
  <c r="O40" i="41" s="1"/>
  <c r="I33" i="41"/>
  <c r="I23" i="42"/>
  <c r="I31" i="42" s="1"/>
  <c r="I42" i="41"/>
  <c r="D80" i="9" s="1"/>
  <c r="O39" i="41"/>
  <c r="M41" i="41" l="1"/>
  <c r="D143" i="9" s="1"/>
  <c r="L41" i="41"/>
  <c r="I33" i="42"/>
  <c r="I54" i="42" s="1"/>
  <c r="O35" i="41"/>
  <c r="H33" i="42"/>
  <c r="H54" i="42" s="1"/>
  <c r="I40" i="41"/>
  <c r="I41" i="41" s="1"/>
  <c r="I35" i="41"/>
  <c r="O42" i="41"/>
  <c r="I80" i="9" s="1"/>
  <c r="O41" i="41"/>
  <c r="E16" i="39"/>
  <c r="O43" i="41" l="1"/>
  <c r="J174" i="37" s="1"/>
  <c r="F12" i="40"/>
  <c r="F9" i="40"/>
  <c r="J34" i="37" l="1"/>
  <c r="D14" i="16"/>
  <c r="D23" i="16"/>
  <c r="J19" i="29" l="1"/>
  <c r="N19" i="29" l="1"/>
  <c r="I89" i="23" l="1"/>
  <c r="E17" i="39" s="1"/>
  <c r="E18" i="39" s="1"/>
  <c r="D194" i="25"/>
  <c r="D193" i="25"/>
  <c r="G12" i="40" l="1"/>
  <c r="G9" i="40"/>
  <c r="A3" i="40"/>
  <c r="A3" i="39" l="1"/>
  <c r="A44" i="37" l="1"/>
  <c r="J135" i="37" l="1"/>
  <c r="J26" i="37"/>
  <c r="J98" i="37"/>
  <c r="J28" i="37" l="1"/>
  <c r="D142" i="25"/>
  <c r="J29" i="37"/>
  <c r="J31" i="37" s="1"/>
  <c r="F21" i="15"/>
  <c r="F20" i="15"/>
  <c r="F19" i="15"/>
  <c r="D72" i="25" l="1"/>
  <c r="F22" i="15"/>
  <c r="D79" i="9" s="1"/>
  <c r="A19" i="15"/>
  <c r="A20" i="15" s="1"/>
  <c r="A21" i="15" s="1"/>
  <c r="A22" i="15" s="1"/>
  <c r="A23" i="15" s="1"/>
  <c r="A24" i="15" s="1"/>
  <c r="A25" i="15" s="1"/>
  <c r="A26" i="15" s="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9" i="25" s="1"/>
  <c r="J140" i="37"/>
  <c r="D71"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1" i="23" l="1"/>
  <c r="F112" i="23"/>
  <c r="F113" i="23"/>
  <c r="F114" i="23"/>
  <c r="F115" i="23"/>
  <c r="F116" i="23"/>
  <c r="F117" i="23"/>
  <c r="F118" i="23"/>
  <c r="F119" i="23"/>
  <c r="F120" i="23"/>
  <c r="F121" i="23"/>
  <c r="F122" i="23"/>
  <c r="F110" i="23"/>
  <c r="F123" i="23" l="1"/>
  <c r="D123" i="23"/>
  <c r="E123" i="23"/>
  <c r="E103" i="23"/>
  <c r="E102" i="23"/>
  <c r="C123" i="23"/>
  <c r="I206" i="25" l="1"/>
  <c r="I206" i="9"/>
  <c r="I209" i="9" s="1"/>
  <c r="G10" i="4"/>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82" i="25"/>
  <c r="D76" i="25"/>
  <c r="D75" i="25"/>
  <c r="D56" i="25"/>
  <c r="D50"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5"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213" i="25" l="1"/>
  <c r="D78" i="25"/>
  <c r="I177" i="25"/>
  <c r="I170" i="25"/>
  <c r="I169" i="25"/>
  <c r="D212" i="25"/>
  <c r="D211" i="25"/>
  <c r="I207" i="25"/>
  <c r="I204" i="25"/>
  <c r="I201" i="25"/>
  <c r="I199" i="25"/>
  <c r="D187" i="25"/>
  <c r="D188" i="25"/>
  <c r="D189" i="25"/>
  <c r="D186" i="25"/>
  <c r="D141" i="25"/>
  <c r="D33" i="27"/>
  <c r="D35" i="27"/>
  <c r="D36" i="27"/>
  <c r="D37" i="27"/>
  <c r="D32" i="27"/>
  <c r="D17" i="27"/>
  <c r="D18" i="27"/>
  <c r="D19" i="27"/>
  <c r="D23" i="27"/>
  <c r="F23" i="27" s="1"/>
  <c r="D25" i="27"/>
  <c r="D26" i="27"/>
  <c r="D16" i="27"/>
  <c r="D121" i="25"/>
  <c r="D120" i="25"/>
  <c r="D119"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70" i="23" l="1"/>
  <c r="E104" i="23"/>
  <c r="G23" i="28"/>
  <c r="G24" i="28" s="1"/>
  <c r="A3" i="28"/>
  <c r="I26" i="25" l="1"/>
  <c r="D32" i="31"/>
  <c r="C225" i="25"/>
  <c r="K222" i="25"/>
  <c r="I219" i="25"/>
  <c r="G212" i="25"/>
  <c r="G211" i="25"/>
  <c r="D196" i="25"/>
  <c r="G194" i="25" s="1"/>
  <c r="I192" i="25"/>
  <c r="D190" i="25"/>
  <c r="G189" i="25"/>
  <c r="G188" i="25"/>
  <c r="G186" i="25"/>
  <c r="C163" i="25"/>
  <c r="G160" i="25"/>
  <c r="I157" i="25"/>
  <c r="D136" i="25"/>
  <c r="F127" i="25"/>
  <c r="I121" i="25"/>
  <c r="B120" i="25"/>
  <c r="B118" i="25"/>
  <c r="F112" i="25"/>
  <c r="F110" i="25"/>
  <c r="C98" i="25"/>
  <c r="K95" i="25"/>
  <c r="I92" i="25"/>
  <c r="F56" i="25"/>
  <c r="B56" i="25"/>
  <c r="B62" i="25" s="1"/>
  <c r="F55" i="25"/>
  <c r="F82" i="25" s="1"/>
  <c r="B55" i="25"/>
  <c r="B61" i="25" s="1"/>
  <c r="C42" i="25"/>
  <c r="K39" i="25"/>
  <c r="I36" i="25"/>
  <c r="U26" i="26" l="1"/>
  <c r="U22" i="26"/>
  <c r="U18" i="26"/>
  <c r="U27" i="26"/>
  <c r="U29" i="26"/>
  <c r="U25" i="26"/>
  <c r="U21" i="26"/>
  <c r="U23" i="26"/>
  <c r="U28" i="26"/>
  <c r="U24" i="26"/>
  <c r="U20" i="26"/>
  <c r="U19" i="26"/>
  <c r="D140" i="25"/>
  <c r="D146"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C38" i="9"/>
  <c r="K35" i="9"/>
  <c r="I32" i="9"/>
  <c r="F14" i="9"/>
  <c r="D101" i="23" l="1"/>
  <c r="I100" i="23"/>
  <c r="I99" i="23"/>
  <c r="I98" i="23"/>
  <c r="I97" i="23"/>
  <c r="I96" i="23"/>
  <c r="I95" i="23"/>
  <c r="A94" i="23"/>
  <c r="D71" i="9"/>
  <c r="D89" i="23"/>
  <c r="D77" i="9" s="1"/>
  <c r="C89" i="23"/>
  <c r="D76" i="9" s="1"/>
  <c r="I46" i="23"/>
  <c r="D57" i="9" s="1"/>
  <c r="H46" i="23"/>
  <c r="D56" i="9" s="1"/>
  <c r="G46" i="23"/>
  <c r="D55" i="9" s="1"/>
  <c r="F46" i="23"/>
  <c r="D54" i="9" s="1"/>
  <c r="E46" i="23"/>
  <c r="D53" i="9" s="1"/>
  <c r="I23" i="23"/>
  <c r="D83" i="9" s="1"/>
  <c r="H23" i="23"/>
  <c r="G23" i="23"/>
  <c r="D49" i="9" s="1"/>
  <c r="D236" i="25" s="1"/>
  <c r="F23" i="23"/>
  <c r="D48" i="9" s="1"/>
  <c r="E23" i="23"/>
  <c r="D47" i="9" s="1"/>
  <c r="D234" i="25" s="1"/>
  <c r="D23" i="23"/>
  <c r="D46" i="9" s="1"/>
  <c r="C23" i="23"/>
  <c r="D45" i="9" s="1"/>
  <c r="D232" i="25" s="1"/>
  <c r="I101"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2" i="25"/>
  <c r="D235" i="25"/>
  <c r="I12" i="26"/>
  <c r="D66" i="25"/>
  <c r="D68" i="9"/>
  <c r="I68" i="9" s="1"/>
  <c r="H44" i="26" l="1"/>
  <c r="D77" i="25"/>
  <c r="I77" i="25" s="1"/>
  <c r="I78" i="9"/>
  <c r="I18" i="26"/>
  <c r="E18" i="26" s="1"/>
  <c r="S18" i="26" s="1"/>
  <c r="I29" i="26"/>
  <c r="I19" i="26"/>
  <c r="E19" i="26" s="1"/>
  <c r="S19" i="26" s="1"/>
  <c r="I20" i="26"/>
  <c r="E20" i="26" s="1"/>
  <c r="S20" i="26" s="1"/>
  <c r="D20" i="26"/>
  <c r="H53" i="21"/>
  <c r="D25" i="31" s="1"/>
  <c r="C11" i="21"/>
  <c r="B10" i="21"/>
  <c r="A8" i="21"/>
  <c r="D26" i="31" l="1"/>
  <c r="D27" i="31" s="1"/>
  <c r="J18" i="26"/>
  <c r="D21" i="26"/>
  <c r="I21" i="26"/>
  <c r="E21" i="26" s="1"/>
  <c r="S21" i="26" s="1"/>
  <c r="H57" i="21"/>
  <c r="H58" i="21" s="1"/>
  <c r="A9" i="21"/>
  <c r="F18" i="26" l="1"/>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H49" i="4"/>
  <c r="I49" i="4"/>
  <c r="J49" i="4"/>
  <c r="H50" i="4"/>
  <c r="I50" i="4"/>
  <c r="J50" i="4"/>
  <c r="H51" i="4"/>
  <c r="I51" i="4"/>
  <c r="J51" i="4"/>
  <c r="I48" i="4"/>
  <c r="J48" i="4"/>
  <c r="H48" i="4"/>
  <c r="G49" i="4"/>
  <c r="G50" i="4"/>
  <c r="G51" i="4"/>
  <c r="G4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J45" i="4"/>
  <c r="I45" i="4"/>
  <c r="H45" i="4"/>
  <c r="G45" i="4"/>
  <c r="F45" i="4"/>
  <c r="E12" i="4"/>
  <c r="G11" i="4"/>
  <c r="G12" i="4" s="1"/>
  <c r="D31" i="16"/>
  <c r="D113" i="9" s="1"/>
  <c r="D24" i="27" s="1"/>
  <c r="D110" i="9"/>
  <c r="D25" i="16" l="1"/>
  <c r="D111" i="9"/>
  <c r="D116" i="9" s="1"/>
  <c r="D19" i="31"/>
  <c r="D29" i="31" s="1"/>
  <c r="D35" i="31" s="1"/>
  <c r="J28" i="26"/>
  <c r="F28" i="26" s="1"/>
  <c r="D31" i="26"/>
  <c r="I31" i="26"/>
  <c r="E31" i="26" s="1"/>
  <c r="X31" i="26" s="1"/>
  <c r="D21" i="27"/>
  <c r="I22" i="9"/>
  <c r="D14" i="25"/>
  <c r="I14" i="25" s="1"/>
  <c r="J52" i="4"/>
  <c r="G52" i="4"/>
  <c r="H52" i="4"/>
  <c r="I52" i="4"/>
  <c r="F12" i="4"/>
  <c r="D27" i="27" l="1"/>
  <c r="D37" i="31"/>
  <c r="D36" i="31"/>
  <c r="J29" i="26"/>
  <c r="F29" i="26" s="1"/>
  <c r="D32" i="26"/>
  <c r="I32" i="26"/>
  <c r="E32" i="26" s="1"/>
  <c r="X32" i="26" s="1"/>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8" i="25" s="1"/>
  <c r="D122" i="25" s="1"/>
  <c r="I43" i="26"/>
  <c r="D49" i="25"/>
  <c r="F113" i="9"/>
  <c r="I220" i="9"/>
  <c r="I158" i="9"/>
  <c r="I93" i="9"/>
  <c r="K223" i="9"/>
  <c r="D226" i="9"/>
  <c r="G161" i="9"/>
  <c r="C164" i="9"/>
  <c r="C99" i="9"/>
  <c r="K96" i="9"/>
  <c r="D233" i="25" l="1"/>
  <c r="D237" i="25" s="1"/>
  <c r="D52" i="25"/>
  <c r="J40" i="26"/>
  <c r="F40" i="26" s="1"/>
  <c r="G212" i="9"/>
  <c r="D197" i="9"/>
  <c r="G195" i="9" s="1"/>
  <c r="I193" i="9"/>
  <c r="D191" i="9"/>
  <c r="G190" i="9"/>
  <c r="G189" i="9"/>
  <c r="G187" i="9"/>
  <c r="I177" i="9"/>
  <c r="I169" i="9"/>
  <c r="D137" i="9"/>
  <c r="D134" i="9"/>
  <c r="D39" i="27" s="1"/>
  <c r="C132" i="9"/>
  <c r="F128" i="9"/>
  <c r="C128" i="9"/>
  <c r="B121" i="9"/>
  <c r="B119" i="9"/>
  <c r="D86" i="9"/>
  <c r="I115" i="9"/>
  <c r="F111" i="9"/>
  <c r="D65" i="9"/>
  <c r="D244" i="25" s="1"/>
  <c r="D64" i="9"/>
  <c r="D243" i="25" s="1"/>
  <c r="D63" i="9"/>
  <c r="D242" i="25" s="1"/>
  <c r="D62" i="9"/>
  <c r="D61" i="9"/>
  <c r="D240" i="25" s="1"/>
  <c r="D58" i="9"/>
  <c r="F57" i="9"/>
  <c r="B57" i="9"/>
  <c r="B65" i="9" s="1"/>
  <c r="F56" i="9"/>
  <c r="B56" i="9"/>
  <c r="B64" i="9" s="1"/>
  <c r="F55" i="9"/>
  <c r="B55" i="9"/>
  <c r="B63" i="9" s="1"/>
  <c r="F54" i="9"/>
  <c r="F83" i="9" s="1"/>
  <c r="B54" i="9"/>
  <c r="B62" i="9" s="1"/>
  <c r="F53" i="9"/>
  <c r="B53" i="9"/>
  <c r="B61" i="9" s="1"/>
  <c r="D50" i="9"/>
  <c r="J41" i="26" l="1"/>
  <c r="F41" i="26" s="1"/>
  <c r="F44" i="26" s="1"/>
  <c r="D141" i="9"/>
  <c r="D148" i="9" s="1"/>
  <c r="I148" i="9" s="1"/>
  <c r="D214" i="9"/>
  <c r="D215" i="9" s="1"/>
  <c r="E213" i="9" s="1"/>
  <c r="I213" i="9" s="1"/>
  <c r="I205" i="25"/>
  <c r="I208" i="25" s="1"/>
  <c r="I168" i="25"/>
  <c r="I179" i="9"/>
  <c r="I181" i="9" s="1"/>
  <c r="D66" i="9"/>
  <c r="I172" i="9"/>
  <c r="I174" i="9" s="1"/>
  <c r="I77" i="9" l="1"/>
  <c r="I76" i="9"/>
  <c r="G9" i="39"/>
  <c r="H9" i="39" s="1"/>
  <c r="H8" i="39"/>
  <c r="I10" i="4"/>
  <c r="J10" i="4" s="1"/>
  <c r="C125" i="23"/>
  <c r="C126" i="23" s="1"/>
  <c r="D147" i="9"/>
  <c r="I182" i="9"/>
  <c r="I183" i="9" s="1"/>
  <c r="G10" i="39" s="1"/>
  <c r="E188" i="9"/>
  <c r="G188" i="9" s="1"/>
  <c r="G191" i="9" s="1"/>
  <c r="I191" i="9" s="1"/>
  <c r="G14" i="9"/>
  <c r="J44" i="26"/>
  <c r="D55" i="25" s="1"/>
  <c r="D58" i="25" s="1"/>
  <c r="D213" i="25"/>
  <c r="D214" i="25" s="1"/>
  <c r="E211" i="25" s="1"/>
  <c r="I211" i="25" s="1"/>
  <c r="G46" i="9"/>
  <c r="G119" i="9"/>
  <c r="G83" i="9"/>
  <c r="G13" i="9"/>
  <c r="G54" i="9"/>
  <c r="E214" i="9"/>
  <c r="M11" i="30" s="1"/>
  <c r="O47" i="30" s="1"/>
  <c r="E212" i="9"/>
  <c r="I212" i="9" s="1"/>
  <c r="F8" i="40" l="1"/>
  <c r="F11" i="40"/>
  <c r="G11" i="40" s="1"/>
  <c r="G108" i="9"/>
  <c r="F17" i="40"/>
  <c r="G17" i="40" s="1"/>
  <c r="F16" i="40"/>
  <c r="G16" i="40" s="1"/>
  <c r="F15" i="40"/>
  <c r="G15" i="40" s="1"/>
  <c r="F13" i="40"/>
  <c r="F10" i="40"/>
  <c r="G12" i="39"/>
  <c r="H12" i="39" s="1"/>
  <c r="H15" i="39"/>
  <c r="H10" i="39"/>
  <c r="E126" i="23"/>
  <c r="D125" i="23"/>
  <c r="D126" i="23" s="1"/>
  <c r="D61" i="25"/>
  <c r="D64" i="25" s="1"/>
  <c r="E212" i="25"/>
  <c r="I212" i="25" s="1"/>
  <c r="G48" i="9"/>
  <c r="G113" i="9"/>
  <c r="G128" i="9"/>
  <c r="G112" i="9"/>
  <c r="G56" i="9"/>
  <c r="G127" i="9"/>
  <c r="G110" i="9"/>
  <c r="G120" i="9"/>
  <c r="E213" i="25"/>
  <c r="I213" i="25" s="1"/>
  <c r="G107" i="9"/>
  <c r="G106" i="9"/>
  <c r="G105" i="9"/>
  <c r="G111" i="9"/>
  <c r="G87" i="9"/>
  <c r="M11" i="29"/>
  <c r="O20" i="29" s="1"/>
  <c r="I11" i="30"/>
  <c r="K47" i="30" s="1"/>
  <c r="F47" i="30" s="1"/>
  <c r="I217" i="25" s="1"/>
  <c r="I214" i="9"/>
  <c r="I215" i="9" s="1"/>
  <c r="I11" i="29"/>
  <c r="I14" i="9"/>
  <c r="I195" i="9"/>
  <c r="K195" i="9" s="1"/>
  <c r="I46" i="9"/>
  <c r="J11" i="4" l="1"/>
  <c r="J12" i="4" s="1"/>
  <c r="D13" i="9" s="1"/>
  <c r="D13" i="25" s="1"/>
  <c r="I13" i="25" s="1"/>
  <c r="I17" i="25" s="1"/>
  <c r="G11" i="39"/>
  <c r="H11" i="39" s="1"/>
  <c r="K20" i="29"/>
  <c r="K19" i="29"/>
  <c r="O37" i="29"/>
  <c r="F126" i="23"/>
  <c r="O38" i="29"/>
  <c r="O24" i="29"/>
  <c r="I214" i="25"/>
  <c r="D137" i="25" s="1"/>
  <c r="O31" i="29"/>
  <c r="O34" i="29"/>
  <c r="O29" i="29"/>
  <c r="O42" i="29"/>
  <c r="O33" i="29"/>
  <c r="O21" i="29"/>
  <c r="K34" i="29"/>
  <c r="D241" i="25"/>
  <c r="D245"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K37" i="29"/>
  <c r="K33" i="29"/>
  <c r="K29" i="29"/>
  <c r="K25" i="29"/>
  <c r="K21" i="29"/>
  <c r="K40" i="29"/>
  <c r="K36" i="29"/>
  <c r="K32" i="29"/>
  <c r="K28" i="29"/>
  <c r="K24" i="29"/>
  <c r="F20" i="29"/>
  <c r="I48" i="9"/>
  <c r="I54" i="9"/>
  <c r="I62" i="9" s="1"/>
  <c r="I105" i="9"/>
  <c r="F32" i="29" l="1"/>
  <c r="F41" i="29"/>
  <c r="F37" i="29"/>
  <c r="I13" i="9"/>
  <c r="I17" i="9" s="1"/>
  <c r="D86" i="25"/>
  <c r="I86" i="25" s="1"/>
  <c r="F35" i="29"/>
  <c r="F30" i="29"/>
  <c r="F38" i="29"/>
  <c r="F26" i="29"/>
  <c r="F28" i="29"/>
  <c r="F21" i="29"/>
  <c r="F19" i="29"/>
  <c r="F34" i="29"/>
  <c r="F29" i="29"/>
  <c r="D87" i="9"/>
  <c r="F23" i="29"/>
  <c r="F24" i="29"/>
  <c r="F33" i="29"/>
  <c r="F31" i="29"/>
  <c r="F25" i="29"/>
  <c r="F42" i="29"/>
  <c r="F36" i="29"/>
  <c r="F39" i="29"/>
  <c r="F40" i="29"/>
  <c r="I111" i="9"/>
  <c r="I106" i="9"/>
  <c r="I107" i="9"/>
  <c r="I50" i="9"/>
  <c r="G50" i="9" s="1"/>
  <c r="I57" i="9"/>
  <c r="I65" i="9" s="1"/>
  <c r="I56" i="9"/>
  <c r="I64" i="9" s="1"/>
  <c r="I119" i="9"/>
  <c r="I83" i="9"/>
  <c r="G13" i="39" l="1"/>
  <c r="H13" i="39" s="1"/>
  <c r="P13" i="26"/>
  <c r="P14" i="26" s="1"/>
  <c r="F14" i="40"/>
  <c r="G71" i="9"/>
  <c r="G147" i="9"/>
  <c r="G79" i="9"/>
  <c r="G74" i="9"/>
  <c r="G73" i="9"/>
  <c r="G72" i="9"/>
  <c r="I87" i="9"/>
  <c r="G130" i="9"/>
  <c r="I130" i="9" s="1"/>
  <c r="I112" i="9"/>
  <c r="I113" i="9"/>
  <c r="I66" i="9"/>
  <c r="G66" i="9" s="1"/>
  <c r="G14" i="39" s="1"/>
  <c r="H14" i="39" s="1"/>
  <c r="H16" i="39" s="1"/>
  <c r="I58" i="9"/>
  <c r="I121" i="9"/>
  <c r="I114" i="9"/>
  <c r="I132" i="9"/>
  <c r="I108" i="9"/>
  <c r="D88" i="9" l="1"/>
  <c r="D87" i="25"/>
  <c r="I87" i="25" s="1"/>
  <c r="G8" i="40"/>
  <c r="G10" i="40"/>
  <c r="G14" i="40"/>
  <c r="G13" i="40"/>
  <c r="I71" i="9"/>
  <c r="D12" i="27"/>
  <c r="I120" i="9"/>
  <c r="I123" i="9" s="1"/>
  <c r="I110" i="9"/>
  <c r="I116" i="9" s="1"/>
  <c r="I88" i="9" l="1"/>
  <c r="D89" i="9"/>
  <c r="D91" i="9" s="1"/>
  <c r="D153" i="9" s="1"/>
  <c r="D146" i="9" s="1"/>
  <c r="G19" i="40"/>
  <c r="D144" i="9" s="1"/>
  <c r="I86" i="9"/>
  <c r="I79" i="9"/>
  <c r="I147" i="9"/>
  <c r="E24" i="27"/>
  <c r="E19" i="27"/>
  <c r="E25" i="27"/>
  <c r="E26" i="27"/>
  <c r="E21" i="27"/>
  <c r="E17" i="27"/>
  <c r="E18" i="27"/>
  <c r="E33" i="27"/>
  <c r="E16" i="27"/>
  <c r="E37" i="27"/>
  <c r="E35" i="27"/>
  <c r="E32" i="27"/>
  <c r="E36" i="27"/>
  <c r="I128" i="9"/>
  <c r="I127" i="9"/>
  <c r="I89" i="9" l="1"/>
  <c r="D143" i="25"/>
  <c r="D145" i="9"/>
  <c r="I72" i="9"/>
  <c r="I75" i="9"/>
  <c r="I74" i="9"/>
  <c r="I73" i="9"/>
  <c r="I134" i="9"/>
  <c r="I81" i="9" l="1"/>
  <c r="D144" i="25"/>
  <c r="D148" i="25" s="1"/>
  <c r="I148" i="25" s="1"/>
  <c r="D149" i="9"/>
  <c r="I91" i="9" l="1"/>
  <c r="I153" i="9" s="1"/>
  <c r="I146" i="9" s="1"/>
  <c r="I149" i="9"/>
  <c r="D150" i="9"/>
  <c r="D155" i="9" s="1"/>
  <c r="I150" i="9" l="1"/>
  <c r="I155" i="9" s="1"/>
  <c r="I171" i="25"/>
  <c r="I173" i="25" s="1"/>
  <c r="I10" i="9" l="1"/>
  <c r="I19" i="9" s="1"/>
  <c r="D25" i="9" s="1"/>
  <c r="D27" i="9" s="1"/>
  <c r="I76" i="25"/>
  <c r="I66" i="25"/>
  <c r="I75" i="25"/>
  <c r="G70" i="25"/>
  <c r="G233" i="25"/>
  <c r="I233" i="25" s="1"/>
  <c r="G118" i="25"/>
  <c r="G55" i="25"/>
  <c r="G49" i="25"/>
  <c r="G82" i="25"/>
  <c r="I181" i="25"/>
  <c r="E187" i="25"/>
  <c r="G187" i="25" s="1"/>
  <c r="G190" i="25" s="1"/>
  <c r="I190" i="25" s="1"/>
  <c r="D26" i="9" l="1"/>
  <c r="G241" i="25"/>
  <c r="I241" i="25" s="1"/>
  <c r="G235" i="25"/>
  <c r="I235" i="25" s="1"/>
  <c r="G112" i="25"/>
  <c r="G107" i="25"/>
  <c r="G111" i="25"/>
  <c r="G56" i="25"/>
  <c r="G109" i="25"/>
  <c r="G50" i="25"/>
  <c r="D28" i="9"/>
  <c r="D30" i="9" s="1"/>
  <c r="D29" i="9"/>
  <c r="D31" i="9" s="1"/>
  <c r="I55" i="25"/>
  <c r="I49" i="25"/>
  <c r="I194" i="25"/>
  <c r="K194" i="25" s="1"/>
  <c r="I118" i="25"/>
  <c r="I82" i="25"/>
  <c r="G51" i="25" l="1"/>
  <c r="I51" i="25" s="1"/>
  <c r="G57" i="25"/>
  <c r="I57" i="25" s="1"/>
  <c r="G243" i="25"/>
  <c r="I243" i="25" s="1"/>
  <c r="G113" i="25"/>
  <c r="G236" i="25"/>
  <c r="I61" i="25"/>
  <c r="I50" i="25"/>
  <c r="I52" i="25" s="1"/>
  <c r="I63" i="25" l="1"/>
  <c r="G244" i="25"/>
  <c r="I236" i="25"/>
  <c r="I237" i="25" s="1"/>
  <c r="G237" i="25" s="1"/>
  <c r="Q13" i="26" s="1"/>
  <c r="Q14" i="26" s="1"/>
  <c r="Q30" i="26" s="1"/>
  <c r="W30" i="26" s="1"/>
  <c r="I56" i="25"/>
  <c r="I62" i="25" l="1"/>
  <c r="I64" i="25" s="1"/>
  <c r="I58" i="25"/>
  <c r="G146" i="25"/>
  <c r="G78" i="25"/>
  <c r="G72" i="25"/>
  <c r="G71" i="25"/>
  <c r="G69" i="25"/>
  <c r="I69" i="25" s="1"/>
  <c r="J99" i="37"/>
  <c r="J100" i="37" s="1"/>
  <c r="I244" i="25"/>
  <c r="I245" i="25" s="1"/>
  <c r="G245" i="25" s="1"/>
  <c r="G64" i="25" s="1"/>
  <c r="G129" i="25"/>
  <c r="G52" i="25"/>
  <c r="G119" i="25"/>
  <c r="G120" i="25"/>
  <c r="I120" i="25" s="1"/>
  <c r="I78" i="25" l="1"/>
  <c r="F13" i="27"/>
  <c r="F24" i="27" s="1"/>
  <c r="D112" i="25" s="1"/>
  <c r="D111" i="25"/>
  <c r="I119" i="25"/>
  <c r="I122" i="25" s="1"/>
  <c r="G126"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7" i="25" s="1"/>
  <c r="F37" i="27"/>
  <c r="D131" i="25" s="1"/>
  <c r="I131" i="25" s="1"/>
  <c r="F19" i="27"/>
  <c r="D107" i="25" s="1"/>
  <c r="I107" i="25" s="1"/>
  <c r="F32" i="27"/>
  <c r="D126" i="25" s="1"/>
  <c r="F18" i="27"/>
  <c r="D106" i="25" s="1"/>
  <c r="F17" i="27"/>
  <c r="D105" i="25" s="1"/>
  <c r="F35" i="27"/>
  <c r="D129" i="25" s="1"/>
  <c r="I129" i="25" s="1"/>
  <c r="F16" i="27"/>
  <c r="F26" i="27"/>
  <c r="D114" i="25" s="1"/>
  <c r="I114" i="25" s="1"/>
  <c r="F36" i="27"/>
  <c r="D130" i="25" s="1"/>
  <c r="F25" i="27"/>
  <c r="D113" i="25" s="1"/>
  <c r="I113" i="25" s="1"/>
  <c r="F21" i="27"/>
  <c r="D109" i="25" s="1"/>
  <c r="I109" i="25" s="1"/>
  <c r="D110" i="25"/>
  <c r="I146" i="25"/>
  <c r="G127" i="25"/>
  <c r="F27" i="27" l="1"/>
  <c r="V18" i="26"/>
  <c r="T42" i="26"/>
  <c r="V42" i="26" s="1"/>
  <c r="W42" i="26"/>
  <c r="Y30" i="26"/>
  <c r="R42" i="26"/>
  <c r="P42" i="26"/>
  <c r="Q42" i="26"/>
  <c r="I127" i="25"/>
  <c r="D104" i="25"/>
  <c r="I176" i="25" s="1"/>
  <c r="I178" i="25" s="1"/>
  <c r="I180" i="25" s="1"/>
  <c r="I182" i="25" s="1"/>
  <c r="F39" i="27"/>
  <c r="D133" i="25"/>
  <c r="I126" i="25"/>
  <c r="I74" i="25"/>
  <c r="I71" i="25"/>
  <c r="D115" i="25" l="1"/>
  <c r="D85" i="25" s="1"/>
  <c r="D88" i="25" s="1"/>
  <c r="J101" i="37"/>
  <c r="J102" i="37" s="1"/>
  <c r="AA30" i="26"/>
  <c r="H84" i="37" s="1"/>
  <c r="Y42" i="26"/>
  <c r="I133" i="25"/>
  <c r="G105" i="25"/>
  <c r="G104" i="25"/>
  <c r="G110" i="25"/>
  <c r="G106" i="25"/>
  <c r="H96" i="37" l="1"/>
  <c r="I84" i="37"/>
  <c r="AA42" i="26"/>
  <c r="I104" i="25"/>
  <c r="J84" i="37" l="1"/>
  <c r="J85" i="37" s="1"/>
  <c r="J86" i="37" s="1"/>
  <c r="J87" i="37" s="1"/>
  <c r="J88" i="37" s="1"/>
  <c r="J89" i="37" s="1"/>
  <c r="J90" i="37" s="1"/>
  <c r="J91" i="37" s="1"/>
  <c r="J92" i="37" s="1"/>
  <c r="J93" i="37" s="1"/>
  <c r="J94" i="37" s="1"/>
  <c r="J95" i="37" s="1"/>
  <c r="J103" i="37" s="1"/>
  <c r="J104" i="37" s="1"/>
  <c r="I96" i="37"/>
  <c r="I105" i="25"/>
  <c r="I106" i="25"/>
  <c r="I110" i="25"/>
  <c r="J106" i="37" l="1"/>
  <c r="D70" i="25" s="1"/>
  <c r="I112" i="25"/>
  <c r="I111" i="25"/>
  <c r="I115" i="25" l="1"/>
  <c r="I85" i="25" s="1"/>
  <c r="I88" i="25" s="1"/>
  <c r="I70" i="25" l="1"/>
  <c r="D147" i="25" l="1"/>
  <c r="I147" i="25" s="1"/>
  <c r="I152" i="37" l="1"/>
  <c r="J152" i="37" s="1"/>
  <c r="H13" i="37"/>
  <c r="I13" i="37" s="1"/>
  <c r="H12" i="37"/>
  <c r="I153" i="37" l="1"/>
  <c r="J153" i="37" s="1"/>
  <c r="H14" i="37"/>
  <c r="I14" i="37" s="1"/>
  <c r="I12" i="37"/>
  <c r="H15" i="37" l="1"/>
  <c r="I15" i="37" s="1"/>
  <c r="I154" i="37"/>
  <c r="J154" i="37" s="1"/>
  <c r="J12" i="37"/>
  <c r="J13" i="37" s="1"/>
  <c r="J14" i="37" s="1"/>
  <c r="J15" i="37" l="1"/>
  <c r="I155" i="37"/>
  <c r="J155" i="37" s="1"/>
  <c r="H16" i="37"/>
  <c r="I16" i="37" s="1"/>
  <c r="J16" i="37" l="1"/>
  <c r="I156" i="37"/>
  <c r="J156" i="37" s="1"/>
  <c r="H17" i="37"/>
  <c r="I17" i="37" s="1"/>
  <c r="J17" i="37" l="1"/>
  <c r="H18" i="37"/>
  <c r="I18" i="37" s="1"/>
  <c r="I157" i="37"/>
  <c r="J157" i="37" s="1"/>
  <c r="H19" i="37"/>
  <c r="I19" i="37" s="1"/>
  <c r="I158" i="37" l="1"/>
  <c r="J158" i="37" s="1"/>
  <c r="J18" i="37"/>
  <c r="J19" i="37" s="1"/>
  <c r="I159" i="37"/>
  <c r="H20" i="37"/>
  <c r="I20" i="37" s="1"/>
  <c r="J20" i="37" l="1"/>
  <c r="J159" i="37"/>
  <c r="I160" i="37"/>
  <c r="H21" i="37"/>
  <c r="I21" i="37" s="1"/>
  <c r="J21" i="37" l="1"/>
  <c r="J160" i="37"/>
  <c r="H22" i="37"/>
  <c r="I22" i="37" s="1"/>
  <c r="I161" i="37"/>
  <c r="J161" i="37" l="1"/>
  <c r="J22" i="37"/>
  <c r="I162" i="37"/>
  <c r="H23" i="37"/>
  <c r="J162" i="37" l="1"/>
  <c r="I23" i="37"/>
  <c r="H24" i="37"/>
  <c r="I163" i="37"/>
  <c r="J163" i="37" s="1"/>
  <c r="H164" i="37"/>
  <c r="I24" i="37" l="1"/>
  <c r="J23" i="37"/>
  <c r="J32" i="37" s="1"/>
  <c r="J33" i="37" s="1"/>
  <c r="I164" i="37"/>
  <c r="J170" i="37"/>
  <c r="J171" i="37" s="1"/>
  <c r="J173" i="37" s="1"/>
  <c r="I72" i="25" l="1"/>
  <c r="J35" i="37"/>
  <c r="D73" i="25" s="1"/>
  <c r="J175" i="37"/>
  <c r="I73" i="25" l="1"/>
  <c r="D79" i="25"/>
  <c r="D80" i="25" s="1"/>
  <c r="I79" i="25" l="1"/>
  <c r="I80" i="25" s="1"/>
  <c r="I90" i="25" s="1"/>
  <c r="D90" i="25"/>
  <c r="D152" i="25" s="1"/>
  <c r="D145" i="25" s="1"/>
  <c r="D149" i="25" s="1"/>
  <c r="D154" i="25" s="1"/>
  <c r="I152" i="25" l="1"/>
  <c r="I145" i="25" s="1"/>
  <c r="I149" i="25" s="1"/>
  <c r="I154" i="25" s="1"/>
  <c r="I10" i="25" s="1"/>
  <c r="I21" i="25" s="1"/>
  <c r="D29" i="25" l="1"/>
  <c r="D30" i="25" s="1"/>
  <c r="I23" i="25"/>
  <c r="D31" i="25" l="1"/>
  <c r="D33" i="25" s="1"/>
  <c r="D35" i="25" s="1"/>
  <c r="D32" i="25" l="1"/>
  <c r="D34" i="25" s="1"/>
</calcChain>
</file>

<file path=xl/sharedStrings.xml><?xml version="1.0" encoding="utf-8"?>
<sst xmlns="http://schemas.openxmlformats.org/spreadsheetml/2006/main" count="2604" uniqueCount="1316">
  <si>
    <t>Black Hills Colorado Electric, LLC</t>
  </si>
  <si>
    <t>Transmission Formula Rate Template</t>
  </si>
  <si>
    <t>Table of Contents</t>
  </si>
  <si>
    <t>Page 1 of 1</t>
  </si>
  <si>
    <t>Overview</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</si>
  <si>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</si>
  <si>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</si>
  <si>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</si>
  <si>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</si>
  <si>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Cells highlighted in green signify that the data is sourced from other worksheets in the formula and that the reference is static.</t>
  </si>
  <si>
    <t xml:space="preserve">                                                                                      </t>
  </si>
  <si>
    <t>Tab</t>
  </si>
  <si>
    <t>Schedule/Worksheet Designation</t>
  </si>
  <si>
    <t>Description</t>
  </si>
  <si>
    <t>Date to be Posted</t>
  </si>
  <si>
    <t>Act Att-H</t>
  </si>
  <si>
    <t>Actual Attachment H</t>
  </si>
  <si>
    <t>Actual Annual Transmission Revenue Requirements for most recent calendar year</t>
  </si>
  <si>
    <t>June</t>
  </si>
  <si>
    <t>A1-RevCred</t>
  </si>
  <si>
    <t>Worksheet A1</t>
  </si>
  <si>
    <t>Actual revenue credits</t>
  </si>
  <si>
    <t>A2-A&amp;G</t>
  </si>
  <si>
    <t>Worksheet A2</t>
  </si>
  <si>
    <t>Actual A&amp;G Expense supporting data</t>
  </si>
  <si>
    <t>A3-ADIT</t>
  </si>
  <si>
    <t>Worksheet A3</t>
  </si>
  <si>
    <t>Actual Accumulated Deferred Income Tax data</t>
  </si>
  <si>
    <t>A-3.1 EDIT-DDIT</t>
  </si>
  <si>
    <t>Worksheet A3.1</t>
  </si>
  <si>
    <t>Annual Excess and Deficient Accumulated Deferred Income Tax</t>
  </si>
  <si>
    <t>A-3.2 EDIT-DDIT.dtl</t>
  </si>
  <si>
    <t>Worksheet A3.2</t>
  </si>
  <si>
    <t xml:space="preserve">Excess and Deficient Accumulated Deferred Income Tax Remeasurement </t>
  </si>
  <si>
    <t>June, Sep</t>
  </si>
  <si>
    <t>A4-Rate Base</t>
  </si>
  <si>
    <t>Worksheet A4</t>
  </si>
  <si>
    <t>Actual Rate Base data</t>
  </si>
  <si>
    <t>A5-Depr</t>
  </si>
  <si>
    <t>Worksheet A5</t>
  </si>
  <si>
    <t>Actual Depreciation Rates</t>
  </si>
  <si>
    <t>A6-Divisor</t>
  </si>
  <si>
    <t>Worksheet A6</t>
  </si>
  <si>
    <t>Actual Transmission Load Data for Calculating Rate Divisors</t>
  </si>
  <si>
    <t>A7-IncentPlant</t>
  </si>
  <si>
    <t>Worksheet A7</t>
  </si>
  <si>
    <t>Actual Incentive Plant</t>
  </si>
  <si>
    <t>A8-Prepmts</t>
  </si>
  <si>
    <t>Worksheet A8</t>
  </si>
  <si>
    <t>Prepayments</t>
  </si>
  <si>
    <t>A9-PermDiffs</t>
  </si>
  <si>
    <t>Worksheet A9</t>
  </si>
  <si>
    <t>Permanent Differences</t>
  </si>
  <si>
    <t>TU (True-up)</t>
  </si>
  <si>
    <t>Worksheet TU</t>
  </si>
  <si>
    <t>True-up Adjustment and Interest Calculation</t>
  </si>
  <si>
    <t>Proj Att-H</t>
  </si>
  <si>
    <t>Projected Attachment H</t>
  </si>
  <si>
    <t>Projected Annual Transmission Revenue Requirements for next calendar year</t>
  </si>
  <si>
    <t>Sep</t>
  </si>
  <si>
    <t>P1-Trans Plant</t>
  </si>
  <si>
    <t>Worksheet P1</t>
  </si>
  <si>
    <t>Projected transmission plant for next calendar year</t>
  </si>
  <si>
    <t>P2-Exp. &amp; Rev. Credits</t>
  </si>
  <si>
    <t>Worksheet P2</t>
  </si>
  <si>
    <t>Projected expenses and revenue credits for next calendar year</t>
  </si>
  <si>
    <t>P3-Trans. Network Load</t>
  </si>
  <si>
    <t>Worksheet P3</t>
  </si>
  <si>
    <t>Projected transmission load for next calendar year</t>
  </si>
  <si>
    <t>P4-IncentPlant</t>
  </si>
  <si>
    <t>Worksheet P4</t>
  </si>
  <si>
    <t>Projected Incentive Plant</t>
  </si>
  <si>
    <t>P5-ADIT</t>
  </si>
  <si>
    <t>Worksheet P5</t>
  </si>
  <si>
    <t>Projected Accumulated Deferred Income Tax data</t>
  </si>
  <si>
    <t>Schedule 1</t>
  </si>
  <si>
    <t>Ancillary Services, Schedule No. 1 - Scheduling System Control and Dispatch Service</t>
  </si>
  <si>
    <t>Page 1</t>
  </si>
  <si>
    <t xml:space="preserve">Formula Rate - Non-Levelized </t>
  </si>
  <si>
    <t>Rate Formula Template</t>
  </si>
  <si>
    <t>Actuals - For the 12 months ended 12/31/2021</t>
  </si>
  <si>
    <t>Utilizing FERC Form 1 Data</t>
  </si>
  <si>
    <t>Line</t>
  </si>
  <si>
    <t>Allocated</t>
  </si>
  <si>
    <t>No.</t>
  </si>
  <si>
    <t>Amount</t>
  </si>
  <si>
    <t>GROSS REVENUE REQUIREMENT  (page 3, line 29)</t>
  </si>
  <si>
    <t xml:space="preserve"> </t>
  </si>
  <si>
    <t xml:space="preserve">REVENUE CREDITS </t>
  </si>
  <si>
    <t>(Note S)</t>
  </si>
  <si>
    <t>Total</t>
  </si>
  <si>
    <t>Allocator</t>
  </si>
  <si>
    <t xml:space="preserve">  Account No. 454</t>
  </si>
  <si>
    <t>(Worksheet A1, line 6)</t>
  </si>
  <si>
    <t>TP</t>
  </si>
  <si>
    <t xml:space="preserve">  Account No. 456.1</t>
  </si>
  <si>
    <t>(Worksheet A1, line 42, col (b) )</t>
  </si>
  <si>
    <t>Held for Future Use</t>
  </si>
  <si>
    <t>TOTAL REVENUE CREDITS  (sum lines 2-5)</t>
  </si>
  <si>
    <t>NET REVENUE REQUIREMENT</t>
  </si>
  <si>
    <t>(line 1 minus line 6)</t>
  </si>
  <si>
    <t xml:space="preserve">DIVISOR </t>
  </si>
  <si>
    <t xml:space="preserve">   Divisor (kW)</t>
  </si>
  <si>
    <t>(Worksheet A6, Line 14)</t>
  </si>
  <si>
    <t>RATES</t>
  </si>
  <si>
    <t xml:space="preserve">   Annual</t>
  </si>
  <si>
    <t>/kW-year</t>
  </si>
  <si>
    <t xml:space="preserve">   Monthly</t>
  </si>
  <si>
    <t>12 months/year</t>
  </si>
  <si>
    <t>/kW-month</t>
  </si>
  <si>
    <t xml:space="preserve">   Weekly</t>
  </si>
  <si>
    <t>52 weeks/year</t>
  </si>
  <si>
    <t>/kW-week</t>
  </si>
  <si>
    <t xml:space="preserve">   Daily On-Peak</t>
  </si>
  <si>
    <t>6 days/week</t>
  </si>
  <si>
    <t>/kW-day</t>
  </si>
  <si>
    <t xml:space="preserve">   Daily Off-Peak</t>
  </si>
  <si>
    <t>7 days/week</t>
  </si>
  <si>
    <t xml:space="preserve">   Hourly On-Peak</t>
  </si>
  <si>
    <t>16 hours/day</t>
  </si>
  <si>
    <t>/MW-hour</t>
  </si>
  <si>
    <t xml:space="preserve">   Hourly Off-Peak</t>
  </si>
  <si>
    <t>24 hours/day</t>
  </si>
  <si>
    <t>Page 2</t>
  </si>
  <si>
    <t xml:space="preserve">     Rate Formula Template</t>
  </si>
  <si>
    <t xml:space="preserve"> Utilizing FERC Form 1 Data</t>
  </si>
  <si>
    <t>(1)</t>
  </si>
  <si>
    <t>(2)</t>
  </si>
  <si>
    <t>(3)</t>
  </si>
  <si>
    <t>(4)</t>
  </si>
  <si>
    <t>(5)</t>
  </si>
  <si>
    <t>Form No. 1</t>
  </si>
  <si>
    <t>Transmission</t>
  </si>
  <si>
    <t>Page, Line, Col.</t>
  </si>
  <si>
    <t>Company Total</t>
  </si>
  <si>
    <t xml:space="preserve">                  Allocator</t>
  </si>
  <si>
    <t>(Col 3 times Col 4)</t>
  </si>
  <si>
    <t>RATE BASE: (Note A, V)</t>
  </si>
  <si>
    <t>GROSS PLANT IN SERVICE     (Note A)</t>
  </si>
  <si>
    <t xml:space="preserve">  Production</t>
  </si>
  <si>
    <t>Worksheet A4, Page 1, Line 14, Col. (b)</t>
  </si>
  <si>
    <t>NA</t>
  </si>
  <si>
    <t xml:space="preserve">  Transmission</t>
  </si>
  <si>
    <t>Worksheet A4, Page 1, Line 14, Col. (c)</t>
  </si>
  <si>
    <t xml:space="preserve">  Distribution</t>
  </si>
  <si>
    <t>Worksheet A4, Page 1, Line 14, Col. (d)</t>
  </si>
  <si>
    <t xml:space="preserve">  General &amp; Intangible</t>
  </si>
  <si>
    <t>Worksheet A4, Page 1, Line 14, Col. (e )</t>
  </si>
  <si>
    <t>W/S</t>
  </si>
  <si>
    <t xml:space="preserve">  Common</t>
  </si>
  <si>
    <t>Worksheet A4, Page 1, Line 14, Col. (f)</t>
  </si>
  <si>
    <t>CE</t>
  </si>
  <si>
    <t>TOTAL GROSS PLANT</t>
  </si>
  <si>
    <t>(Sum of Lines 1 through 5)</t>
  </si>
  <si>
    <t>GP=</t>
  </si>
  <si>
    <t>ACCUMULATED DEPRECIATION   (Note A)</t>
  </si>
  <si>
    <t>Worksheet A4, Page 1, Line 28, Col. (d)</t>
  </si>
  <si>
    <t>Worksheet A4, Page 1, Line 28, Col. (e)</t>
  </si>
  <si>
    <t>Worksheet A4, Page 1, Line 28, Col. (f)</t>
  </si>
  <si>
    <t>Worksheet A4, Page 1, Line 28, Col. (g)</t>
  </si>
  <si>
    <t>Worksheet A4, Page 1, Line 28, Col. (h)</t>
  </si>
  <si>
    <t>TOTAL ACCUM. DEPRECIATION</t>
  </si>
  <si>
    <t>(Sum of Lines 7 through 11)</t>
  </si>
  <si>
    <t xml:space="preserve">NET PLANT IN SERVICE  </t>
  </si>
  <si>
    <t xml:space="preserve">TOTAL NET PLANT </t>
  </si>
  <si>
    <t>(Sum of Lines 13 through 17)</t>
  </si>
  <si>
    <t>NP=</t>
  </si>
  <si>
    <t>18a</t>
  </si>
  <si>
    <t xml:space="preserve">  CWIP Approved by FERC Order</t>
  </si>
  <si>
    <t>Worksheet A4, Page 1, Line 14, Col. (g)   (Note Q)</t>
  </si>
  <si>
    <t>ADJUSTMENTS TO RATE BASE (Note V)</t>
  </si>
  <si>
    <t xml:space="preserve">  Account No. 281 </t>
  </si>
  <si>
    <t>Worksheet A4, Page 2, Line 14, Col. (d) (Note F)</t>
  </si>
  <si>
    <t>GP</t>
  </si>
  <si>
    <t xml:space="preserve">  Account No. 282</t>
  </si>
  <si>
    <t>Worksheet A4, Page 2, Line 14, Col. (e) (Note F)</t>
  </si>
  <si>
    <t xml:space="preserve">  Account No. 283 </t>
  </si>
  <si>
    <t>Worksheet A4, Page 2, Line 14, Col. (f) (Note F)</t>
  </si>
  <si>
    <t xml:space="preserve">  Account No. 190 </t>
  </si>
  <si>
    <t>Worksheet A4, Page 2, Line 14, Col. (g) (Note F)</t>
  </si>
  <si>
    <t xml:space="preserve">  Account No. 255 (enter Zero)</t>
  </si>
  <si>
    <t>Note B</t>
  </si>
  <si>
    <t>23a</t>
  </si>
  <si>
    <t xml:space="preserve">  Unamortized Regulatory Asset </t>
  </si>
  <si>
    <t>Worksheet A4, Page 2, Line 14, Col. (b) (Note P)</t>
  </si>
  <si>
    <t>23b</t>
  </si>
  <si>
    <t xml:space="preserve">  Unamortized Abandoned Plant  </t>
  </si>
  <si>
    <t>Worksheet A4, Page 2, Line 14, Col. (c) (Note N)</t>
  </si>
  <si>
    <t>23c</t>
  </si>
  <si>
    <t xml:space="preserve">  Unfunded Reserves</t>
  </si>
  <si>
    <t>Worksheet A4, Page 2, Line 22, Col. (h)  (Note R)</t>
  </si>
  <si>
    <t xml:space="preserve">  FAS 109 Adjustment</t>
  </si>
  <si>
    <t>Worksheet A3, Page 1, Line 14</t>
  </si>
  <si>
    <t xml:space="preserve">  Net Excess/Deficient Deferred Income Taxes Transmission</t>
  </si>
  <si>
    <t>Worksheet A3.1, Ln 358 Col (e) &amp; (j)</t>
  </si>
  <si>
    <t xml:space="preserve">TOTAL ADJUSTMENTS </t>
  </si>
  <si>
    <t>(Sum of Lines 19 - 25)</t>
  </si>
  <si>
    <t xml:space="preserve">LAND HELD FOR FUTURE USE </t>
  </si>
  <si>
    <t>Worksheet A4, Page 1, Line 14, Col. (h) (Note G)</t>
  </si>
  <si>
    <t xml:space="preserve">WORKING CAPITAL </t>
  </si>
  <si>
    <t>(Note H)</t>
  </si>
  <si>
    <t xml:space="preserve">  Cash Working Capital</t>
  </si>
  <si>
    <t>1/8*(Page 3, Line 8)</t>
  </si>
  <si>
    <t xml:space="preserve">  Materials &amp; Supplies </t>
  </si>
  <si>
    <t xml:space="preserve">Worksheet A4, Page 3, Line 17, Col. (e) </t>
  </si>
  <si>
    <t>TE</t>
  </si>
  <si>
    <t xml:space="preserve">  Prepayments (Account 165)</t>
  </si>
  <si>
    <t xml:space="preserve">Worksheet A8, Page 1, Line 9 , Col. (f) </t>
  </si>
  <si>
    <t>TOTAL WORKING CAPITAL</t>
  </si>
  <si>
    <t>(Sum of Lines 28 through 30)</t>
  </si>
  <si>
    <t>RATE BASE</t>
  </si>
  <si>
    <t>(Sum lines 18, 26, 27, &amp; 31)</t>
  </si>
  <si>
    <t>Page 3</t>
  </si>
  <si>
    <t xml:space="preserve">O&amp;M  </t>
  </si>
  <si>
    <t xml:space="preserve">  Transmission </t>
  </si>
  <si>
    <t>321.112.b</t>
  </si>
  <si>
    <t xml:space="preserve">     Less Account 561.1-561.3</t>
  </si>
  <si>
    <t>321.85-87.b</t>
  </si>
  <si>
    <t>2a</t>
  </si>
  <si>
    <t xml:space="preserve">     Less Account 565</t>
  </si>
  <si>
    <t>321.96.b</t>
  </si>
  <si>
    <t xml:space="preserve">  A&amp;G</t>
  </si>
  <si>
    <t>323.197.b</t>
  </si>
  <si>
    <t xml:space="preserve">     Adjustments to A&amp;G</t>
  </si>
  <si>
    <t xml:space="preserve">     Less EPRI &amp; Reg. Comm. Exp. &amp; Non-safety  Ad.  (Note I)</t>
  </si>
  <si>
    <t>Worksheet A2 Line 5</t>
  </si>
  <si>
    <t>5a</t>
  </si>
  <si>
    <t xml:space="preserve">     Plus Transmission Related Reg. Comm. Exp.</t>
  </si>
  <si>
    <t>Worksheet A2 Line 14</t>
  </si>
  <si>
    <t>5b</t>
  </si>
  <si>
    <t xml:space="preserve">     Plus: PBOP Actual Cash Outlay</t>
  </si>
  <si>
    <t>(Note J)</t>
  </si>
  <si>
    <t>5c</t>
  </si>
  <si>
    <t xml:space="preserve">     Less: PBOP Net Periodic Expense</t>
  </si>
  <si>
    <t>Worksheet A2 Line 22</t>
  </si>
  <si>
    <t>356</t>
  </si>
  <si>
    <t xml:space="preserve">  Transmission Lease Payments</t>
  </si>
  <si>
    <t>(Note W)</t>
  </si>
  <si>
    <t>DA</t>
  </si>
  <si>
    <t>TOTAL O&amp;M  (sum lines 1, 3, 5a, 5b, 6, 7 less lines 2, 2a, 5, 5c)</t>
  </si>
  <si>
    <t>DEPRECIATION AND AMORTIZATION EXPENSE (Note A)</t>
  </si>
  <si>
    <t>336.7.f less 336.7.c</t>
  </si>
  <si>
    <t xml:space="preserve">  General &amp; Intangible </t>
  </si>
  <si>
    <t>336.10.f &amp; 336.1.f less 336.10.c &amp; 336.1.c</t>
  </si>
  <si>
    <t>336.11.f less 336.11.c</t>
  </si>
  <si>
    <t>11a</t>
  </si>
  <si>
    <t xml:space="preserve">  Amortization of Abandoned Plant</t>
  </si>
  <si>
    <t xml:space="preserve">(Note N) </t>
  </si>
  <si>
    <t xml:space="preserve">TOTAL DEPRECIATION </t>
  </si>
  <si>
    <t>(Sum of Lines 9 through 11a)</t>
  </si>
  <si>
    <t>TAXES OTHER THAN INCOME TAXES  (Note D)</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</si>
  <si>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</si>
  <si>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</si>
  <si>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</si>
  <si>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</si>
  <si>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</si>
  <si>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</si>
  <si>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</si>
  <si>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 (Note AA)</t>
  </si>
  <si>
    <t>Intentionally left blank</t>
  </si>
  <si>
    <t xml:space="preserve">TOTAL OTHER TAXES </t>
  </si>
  <si>
    <t>(Sum of Lines 13 through 19)</t>
  </si>
  <si>
    <t xml:space="preserve">INCOME TAXES          </t>
  </si>
  <si>
    <t>(Note K)</t>
  </si>
  <si>
    <t xml:space="preserve">     T=1 - {[(1 - SIT) * (1 - FIT)] / (1 - SIT * FIT * p)} =</t>
  </si>
  <si>
    <t xml:space="preserve">     CIT=(T/(1-T)) * (1-(WCLTD/R)) =</t>
  </si>
  <si>
    <t xml:space="preserve">       where WCLTD=(page 4, line 28) and R= (page 4, line 31)</t>
  </si>
  <si>
    <t xml:space="preserve">       and FIT, SIT &amp; p are as given in Note K.</t>
  </si>
  <si>
    <t xml:space="preserve">      1 / (1 - T)  = (from line 21)</t>
  </si>
  <si>
    <t>Amortized Investment Tax Credit (266.8f)</t>
  </si>
  <si>
    <t>266.8.f</t>
  </si>
  <si>
    <t>24a</t>
  </si>
  <si>
    <t>Amortization of Excess/Deficient Deferred Income Taxes Transmission only (Net)</t>
  </si>
  <si>
    <t>Worksheet A3.1, Line 357 Col (h) (Note X)</t>
  </si>
  <si>
    <t>24aa</t>
  </si>
  <si>
    <t>Permanent Differences  Transmission only</t>
  </si>
  <si>
    <t>Worksheet A9, Line 50, Col (e)  (Notes T, Y)</t>
  </si>
  <si>
    <t>24b</t>
  </si>
  <si>
    <t>Tax Effect of Permanent Differences</t>
  </si>
  <si>
    <t>(Line 21 times Line 24aa) (Notes T, Y)</t>
  </si>
  <si>
    <t xml:space="preserve">Income Tax Calculation </t>
  </si>
  <si>
    <t>(Line 22 times Line 28)</t>
  </si>
  <si>
    <t>ITC Adjustment</t>
  </si>
  <si>
    <t>(Line 23 times Line 24)</t>
  </si>
  <si>
    <t>26a</t>
  </si>
  <si>
    <t>Excess / Deficient Deferred Income Tax Adjustment (Net)</t>
  </si>
  <si>
    <t>(Line 23 times Line 24a)</t>
  </si>
  <si>
    <t>26b</t>
  </si>
  <si>
    <t>Permanent Differences Tax Adjustment</t>
  </si>
  <si>
    <t>(Line 23 times Line 24b)</t>
  </si>
  <si>
    <t>Total Income Taxes</t>
  </si>
  <si>
    <t>(Sum of Lines 25 and 26b less lines 26, 26a )</t>
  </si>
  <si>
    <t xml:space="preserve">RETURN </t>
  </si>
  <si>
    <t xml:space="preserve">  Rate Base * Rate of Return plus Incentive Return</t>
  </si>
  <si>
    <t>(Page 2, Line 32 x Page 4, Line 31, Col. (5)) + Page 4, Line 32</t>
  </si>
  <si>
    <t>REV. REQUIREMENT</t>
  </si>
  <si>
    <t>(Sum of Lines 8, 12, 20, 27, 28)</t>
  </si>
  <si>
    <t>Page 4</t>
  </si>
  <si>
    <t>SUPPORTING CALCULATIONS AND NOTES</t>
  </si>
  <si>
    <t>TRANSMISSION PLANT INCLUDED IN RATES</t>
  </si>
  <si>
    <t>Total transmission plant</t>
  </si>
  <si>
    <t>(Page 2, Line 2, Column 3)</t>
  </si>
  <si>
    <t xml:space="preserve">Less transmission plant excluded from Wholesale Rates </t>
  </si>
  <si>
    <t>(Note L)</t>
  </si>
  <si>
    <t>Less transmission plant included in OATT Ancillary Services and/or GSUs</t>
  </si>
  <si>
    <t>(Note M)</t>
  </si>
  <si>
    <t xml:space="preserve">Transmission plant included in Wholesale Rates  </t>
  </si>
  <si>
    <t>(Line 1 less Lines 2 &amp; 3)</t>
  </si>
  <si>
    <t xml:space="preserve">Percentage of transmission plant included in Wholesale Rates </t>
  </si>
  <si>
    <t xml:space="preserve"> (Line 4 divided by Line 1)</t>
  </si>
  <si>
    <t>TP=</t>
  </si>
  <si>
    <t xml:space="preserve">TRANSMISSION EXPENSES </t>
  </si>
  <si>
    <t xml:space="preserve">Total transmission expenses  </t>
  </si>
  <si>
    <t>(Page 3, Line 1, column 3)</t>
  </si>
  <si>
    <t xml:space="preserve">Less transmission expenses included in OATT Ancillary Services </t>
  </si>
  <si>
    <t>(Note E)</t>
  </si>
  <si>
    <t>Included transmission expenses</t>
  </si>
  <si>
    <t>(Line 6 less Line 7)</t>
  </si>
  <si>
    <t xml:space="preserve">% of transmission expenses after adjustment  </t>
  </si>
  <si>
    <t>(Line 8 divided by Line 6)</t>
  </si>
  <si>
    <t xml:space="preserve">% of transmission plant included in wholesale Rates  </t>
  </si>
  <si>
    <t>(Line 5)</t>
  </si>
  <si>
    <t>% of transmission expenses included in wholesale Rates</t>
  </si>
  <si>
    <t>(Line 9 times Line 10)</t>
  </si>
  <si>
    <t>TE=</t>
  </si>
  <si>
    <t>WAGES &amp; SALARY ALLOCATOR   (W&amp;S)</t>
  </si>
  <si>
    <t>Form 1 Reference</t>
  </si>
  <si>
    <t>$</t>
  </si>
  <si>
    <t>Allocation</t>
  </si>
  <si>
    <t>354.20.b</t>
  </si>
  <si>
    <t>354.21.b</t>
  </si>
  <si>
    <t>354.23.b</t>
  </si>
  <si>
    <t>W&amp;S Allocator</t>
  </si>
  <si>
    <t xml:space="preserve">  Other</t>
  </si>
  <si>
    <t>354.24, 25, 26.b</t>
  </si>
  <si>
    <t>($ / Allocation)</t>
  </si>
  <si>
    <t xml:space="preserve">  Total  </t>
  </si>
  <si>
    <t>(Sum of Lines 12-15)</t>
  </si>
  <si>
    <t>=</t>
  </si>
  <si>
    <t xml:space="preserve">COMMON PLANT ALLOCATOR  (CE) </t>
  </si>
  <si>
    <t>% Electric</t>
  </si>
  <si>
    <t xml:space="preserve">  Electric</t>
  </si>
  <si>
    <t>200.3.c</t>
  </si>
  <si>
    <t>(line 17 / line 20)</t>
  </si>
  <si>
    <t>(line 16)</t>
  </si>
  <si>
    <t xml:space="preserve">  Gas</t>
  </si>
  <si>
    <t>201.3.d</t>
  </si>
  <si>
    <t>*</t>
  </si>
  <si>
    <t>201.3.x</t>
  </si>
  <si>
    <t>(Sum of Lines 17-19)</t>
  </si>
  <si>
    <t>RETURN (R)</t>
  </si>
  <si>
    <t>Long Term Interest</t>
  </si>
  <si>
    <t>117, Column c, lines 62+63+64-65-66+67 (Note AB)</t>
  </si>
  <si>
    <t>Preferred Dividends</t>
  </si>
  <si>
    <t>118.29.c (positive number)</t>
  </si>
  <si>
    <t>Development of Common Stock:</t>
  </si>
  <si>
    <t>Proprietary Capital</t>
  </si>
  <si>
    <t>112.16.c (Note AD)</t>
  </si>
  <si>
    <t xml:space="preserve">Less Preferred Stock </t>
  </si>
  <si>
    <t xml:space="preserve">(Line 29) </t>
  </si>
  <si>
    <t xml:space="preserve">Less Account 216.1 </t>
  </si>
  <si>
    <t xml:space="preserve">112.12.c  </t>
  </si>
  <si>
    <t>Less Account 219</t>
  </si>
  <si>
    <t xml:space="preserve">112.15.c  </t>
  </si>
  <si>
    <t>Common Stock</t>
  </si>
  <si>
    <t>(Line 23 less lines 24, 25, 26)</t>
  </si>
  <si>
    <t>Cost</t>
  </si>
  <si>
    <t>%</t>
  </si>
  <si>
    <t>(Note C)</t>
  </si>
  <si>
    <t>Weighted</t>
  </si>
  <si>
    <t xml:space="preserve">  Long Term Debt</t>
  </si>
  <si>
    <t>112, sum of 18.c through 21.c and 112.39.c (Note AC)</t>
  </si>
  <si>
    <t>=WCLTD</t>
  </si>
  <si>
    <t xml:space="preserve">  Preferred Stock </t>
  </si>
  <si>
    <t>112.3.c</t>
  </si>
  <si>
    <t xml:space="preserve">  Common Stock </t>
  </si>
  <si>
    <t>Line 27</t>
  </si>
  <si>
    <t xml:space="preserve">Total </t>
  </si>
  <si>
    <t>(Sum of Lines 28-30)</t>
  </si>
  <si>
    <t>=R</t>
  </si>
  <si>
    <t>Incentive Return</t>
  </si>
  <si>
    <t>Worksheet A7, Column (e )</t>
  </si>
  <si>
    <t>Page 5</t>
  </si>
  <si>
    <t>General Note:   References to pages in this formulary rate are indicated as:  (page#, line#, col.#)</t>
  </si>
  <si>
    <t>References to data from FERC Form 1 are indicated as:   #.y.x  (page, line, column)</t>
  </si>
  <si>
    <t>Note</t>
  </si>
  <si>
    <t>Letter</t>
  </si>
  <si>
    <t>A</t>
  </si>
  <si>
    <t>Plant in Service, Accumulated Depreciation, and Depreciation Expense amounts exclude Asset Retirement Obligation amounts unless authorized by FERC.</t>
  </si>
  <si>
    <t>B</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</si>
  <si>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</si>
  <si>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C</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</si>
  <si>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</si>
  <si>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D</t>
  </si>
  <si>
    <t xml:space="preserve">Includes only FICA, unemployment, highway, property, and other assessments charged in the current year.  Taxes related to income are excluded.  Gross receipts taxes are not included in transmission revenue requirement in the Rate Formula Template. </t>
  </si>
  <si>
    <t>E</t>
  </si>
  <si>
    <t xml:space="preserve">Removes identifiable expenses related to plant excluded from wholesale rates.  </t>
  </si>
  <si>
    <t>F</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</si>
  <si>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</si>
  <si>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G</t>
  </si>
  <si>
    <t>Amounts included here are those recorded in Account 105, and limited to transmission-related land.</t>
  </si>
  <si>
    <t>H</t>
  </si>
  <si>
    <t>Cash Working Capital assigned to transmission is one-eighth of O&amp;M allocated to transmission at Page 3, Line 8, Column 5.    Prepayments are the electric related prepayments booked to Account No. 165; the total is reported on Page 111 Line 57 in the Form 1.</t>
  </si>
  <si>
    <t>I</t>
  </si>
  <si>
    <t xml:space="preserve">EPRI Annual Membership Dues listed in Form 1 at 335.1.b, all Regulatory Commission Expenses itemized at 351.h, and non-safety-related advertising included in Account 930.1.  </t>
  </si>
  <si>
    <t>J</t>
  </si>
  <si>
    <t>The revenue requirement includes the PBOP actual cash outlay (defined as actual benefit payments for the year net of participant contributions plus administrative expenses) and excludes the accrued amount.</t>
  </si>
  <si>
    <t>K</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</si>
  <si>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</si>
  <si>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Inputs Required:</t>
  </si>
  <si>
    <t>FIT =</t>
  </si>
  <si>
    <t xml:space="preserve">  (Federal Income Tax Rate)</t>
  </si>
  <si>
    <t>SIT=</t>
  </si>
  <si>
    <t xml:space="preserve">  (State Income Tax Rate or Composite SIT)</t>
  </si>
  <si>
    <t>p =</t>
  </si>
  <si>
    <t xml:space="preserve">  (percent of federal income tax deductible for state purposes)</t>
  </si>
  <si>
    <t>L</t>
  </si>
  <si>
    <t>Removes plant that is not serving a transmission function, including but not limited to any 69kV plant recorded in transmission accounts and/or plant serving a distribution function and/or plant directly-assigned to a transmission customer.</t>
  </si>
  <si>
    <t>M</t>
  </si>
  <si>
    <t xml:space="preserve">Removes dollar amount of transmission plant included in the development of OATT ancillary service rates and/or plant more appropriately characterized as production including but not limited to generation step-up facilities.    </t>
  </si>
  <si>
    <t>N</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</si>
  <si>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</si>
  <si>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O</t>
  </si>
  <si>
    <t>Reserved</t>
  </si>
  <si>
    <t>P</t>
  </si>
  <si>
    <t xml:space="preserve">Recovery of project-specific regulatory assets requires authorization from the Commission.  </t>
  </si>
  <si>
    <t>Q</t>
  </si>
  <si>
    <t>AFUDC ceases when CWIP is recovered in rate base.  No CWIP will be included in rate base on line 18a absent FERC authorization.</t>
  </si>
  <si>
    <t>R</t>
  </si>
  <si>
    <t xml:space="preserve">Unfunded Reserves are customer contributed capital such as when employee vacation expense is accrued but not yet incurred.  </t>
  </si>
  <si>
    <t>S</t>
  </si>
  <si>
    <t>The revenues credited do not include gross receipts taxes, ancillary service revenues, or revenues associated with facilities the costs of which are not recovered under this Rate Formula Template (e.g., direct assignment facilities and GSUs).</t>
  </si>
  <si>
    <t>T</t>
  </si>
  <si>
    <t>The Tax Effect of Permanent Differences captures the differences in the income taxes due under the Federal and State calculations and the income taxes calculated in Attachment H that are not the result of a timing difference.</t>
  </si>
  <si>
    <t>U</t>
  </si>
  <si>
    <t>V</t>
  </si>
  <si>
    <t>Calculate using 13 month average balance, reconciling to FERC Form No. 1 by Page, Line, and Column as shown in Worksheet A4 for inputs on page 2 of 5 above, except ADIT.</t>
  </si>
  <si>
    <t>W</t>
  </si>
  <si>
    <t>If applicable, a separate workpaper will be provided and posted with other supporting documentation.</t>
  </si>
  <si>
    <t>X</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</si>
  <si>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</si>
  <si>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Y</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</si>
  <si>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  Source of input data on Worksheet A9 is Company Records.</t>
  </si>
  <si>
    <t>Z</t>
  </si>
  <si>
    <t>AA</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</si>
  <si>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</si>
  <si>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AB</t>
  </si>
  <si>
    <t>Excluded amounts from FERC Form No. 1 page 117 related to Winter Storm Uri interest will be shown in a workpaper published according to the Protocols.</t>
  </si>
  <si>
    <t>AC</t>
  </si>
  <si>
    <t>Excluded amounts from FERC Form No. 1 page 112 related to Winter Storm Uri debt will be shown in a workpaper published according to the Protocols.</t>
  </si>
  <si>
    <t>AD</t>
  </si>
  <si>
    <t>Black Hills Colorado's FERC Form No. 1 consolidates a financing lease for generation assets with Black Hills Colorado Electric, LLC.  All impacts of the financing lease have been removed in this formula rate.  The financial impact of the financing lease is per Company Records and its exclusion will be shown in a workpaper published according to the Protocols.</t>
  </si>
  <si>
    <t>Revenue Credits</t>
  </si>
  <si>
    <t>Line #</t>
  </si>
  <si>
    <t>ACCOUNT 454 (RENT FROM ELECTRIC PROPERTY)  (Note A)</t>
  </si>
  <si>
    <t>FERC Acct</t>
  </si>
  <si>
    <t>Adjustments</t>
  </si>
  <si>
    <t>Adjd Total</t>
  </si>
  <si>
    <t>(a)</t>
  </si>
  <si>
    <t>(b)</t>
  </si>
  <si>
    <t>(c)</t>
  </si>
  <si>
    <t>(d)</t>
  </si>
  <si>
    <t>(e )</t>
  </si>
  <si>
    <t>454- Rent From Electric Property</t>
  </si>
  <si>
    <t>Rental Income on Transmission Facilities</t>
  </si>
  <si>
    <t>Rental Income on Other Facilities</t>
  </si>
  <si>
    <t>Total 454 - FERC Form No. 1 300.19.b</t>
  </si>
  <si>
    <t>ACCOUNT 456.1 (OTHER ELECTRIC REVENUES) (Note B)</t>
  </si>
  <si>
    <t xml:space="preserve">Service </t>
  </si>
  <si>
    <t>PTP</t>
  </si>
  <si>
    <t>Network</t>
  </si>
  <si>
    <t>Ancillary</t>
  </si>
  <si>
    <t xml:space="preserve">Type </t>
  </si>
  <si>
    <t>Type</t>
  </si>
  <si>
    <t>KW</t>
  </si>
  <si>
    <t>Trans</t>
  </si>
  <si>
    <t>Transm</t>
  </si>
  <si>
    <t>Services</t>
  </si>
  <si>
    <t>Other</t>
  </si>
  <si>
    <t>(e)</t>
  </si>
  <si>
    <t>(f)</t>
  </si>
  <si>
    <t>Divisor</t>
  </si>
  <si>
    <t>Long-Term Firm Point to Point Transmission Service</t>
  </si>
  <si>
    <t>LFP</t>
  </si>
  <si>
    <t>Firm Network Service for Others</t>
  </si>
  <si>
    <t>FNO</t>
  </si>
  <si>
    <t>Credit</t>
  </si>
  <si>
    <t>Short-Term Firm Point to Point Transmission Reservation</t>
  </si>
  <si>
    <t>SFP</t>
  </si>
  <si>
    <t>Non-Firm Transmission Service</t>
  </si>
  <si>
    <t>NF</t>
  </si>
  <si>
    <t>Summarized by Type:</t>
  </si>
  <si>
    <t>Revenue Types:</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</si>
  <si>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</si>
  <si>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</si>
  <si>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</si>
  <si>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Notes</t>
  </si>
  <si>
    <t>Includes income related only to transmission facilities, such as pole attachments, rentals and special use.</t>
  </si>
  <si>
    <t>PTP Revenue credits from Line 42, Column (b) are used to populate Actual Attachment H, page 1, line 3.</t>
  </si>
  <si>
    <t>Administrative and General Expenses</t>
  </si>
  <si>
    <t>Item</t>
  </si>
  <si>
    <t>EPRI Annual Membership Dues</t>
  </si>
  <si>
    <t>335.1.b</t>
  </si>
  <si>
    <t>Regulatory Commission Expenses</t>
  </si>
  <si>
    <t>323.189.b</t>
  </si>
  <si>
    <t>Account No. 930.1</t>
  </si>
  <si>
    <t>323.191.b</t>
  </si>
  <si>
    <t xml:space="preserve">Less Safety Related Advertising </t>
  </si>
  <si>
    <t>Company Records (Note A)</t>
  </si>
  <si>
    <t>4a</t>
  </si>
  <si>
    <t>Lobbying Expense</t>
  </si>
  <si>
    <t>Company Records</t>
  </si>
  <si>
    <t>4b</t>
  </si>
  <si>
    <t>Penalties</t>
  </si>
  <si>
    <t>EPRI &amp; Reg. Comm. Exp. &amp; Non-safety Ad.</t>
  </si>
  <si>
    <t>(Sum of Lines 1-3, 4a, 4b) less Line 4)</t>
  </si>
  <si>
    <t>Transmission Related Regulatory Expense</t>
  </si>
  <si>
    <t>Reserved for use in the event of transmission rate filings</t>
  </si>
  <si>
    <t>Company Records (Note C)</t>
  </si>
  <si>
    <t>FERC annual charges - transmission only</t>
  </si>
  <si>
    <t>350.b</t>
  </si>
  <si>
    <t xml:space="preserve">Transmission Related Regulatory Expense   </t>
  </si>
  <si>
    <t>PBOP Net Periodic expense</t>
  </si>
  <si>
    <t>Account No. 920</t>
  </si>
  <si>
    <t>Company Records (Note B)</t>
  </si>
  <si>
    <t>Account No. 926</t>
  </si>
  <si>
    <t>(Note D)</t>
  </si>
  <si>
    <t>For FERC account no. 930.1, the Company reviews all entries and identifies those that are safety related advertising.</t>
  </si>
  <si>
    <t>For FERC account nos. 920 and 926, the Company reviews all entries and identifies the PBOP Net Periodic expenses to be removed from A&amp;G.</t>
  </si>
  <si>
    <t>Limited to Transmission-related regulatory expenses itemized from total amounts on FERC Form No. 1 page 351.</t>
  </si>
  <si>
    <t>The amount is the net periodic expense and not the actual cash outlay.</t>
  </si>
  <si>
    <t>Accumulated Deferred Income Taxes</t>
  </si>
  <si>
    <t>BOY Balance</t>
  </si>
  <si>
    <t>EOY Balance</t>
  </si>
  <si>
    <t>(Note A)</t>
  </si>
  <si>
    <t>(Note B)</t>
  </si>
  <si>
    <t>Ref</t>
  </si>
  <si>
    <t>Average Balance</t>
  </si>
  <si>
    <t xml:space="preserve">  Account No. 281 (enter negative)</t>
  </si>
  <si>
    <t>272.2.b &amp; 273.2.k</t>
  </si>
  <si>
    <t xml:space="preserve">  Account No. 282 (enter negative)</t>
  </si>
  <si>
    <t>274.2.b &amp; 275.2.k</t>
  </si>
  <si>
    <t xml:space="preserve">  Account No. 283 (enter negative)</t>
  </si>
  <si>
    <t>276.9.b &amp; 277.9.k</t>
  </si>
  <si>
    <t>234.8.b&amp;c</t>
  </si>
  <si>
    <t>FAS 109 (Note E)</t>
  </si>
  <si>
    <t>FAS 109 Adjustment to ADIT</t>
  </si>
  <si>
    <t>FAS 109 AFUDC Equity in Plant</t>
  </si>
  <si>
    <t>232.8.b &amp; 232.8.f</t>
  </si>
  <si>
    <t>Reg Liability FAS 109 ITC (enter negative)</t>
  </si>
  <si>
    <t>278.1.b &amp; 278.1.f</t>
  </si>
  <si>
    <t>Reg Liability Retiree HC (enter negative)</t>
  </si>
  <si>
    <t>278.5.b &amp; 278.5.f</t>
  </si>
  <si>
    <t>Federal Income Tax Rate</t>
  </si>
  <si>
    <t>FAS 109 Adjustment to ADIT for Attachment H</t>
  </si>
  <si>
    <t>Notes:</t>
  </si>
  <si>
    <t>Beginning of Year ("BOY") balance is end of previous year balance per FERC Form No. 1.</t>
  </si>
  <si>
    <t>End of Year ("EOY") balance is end of current year balance per FERC Form No. 1.</t>
  </si>
  <si>
    <t>Reserved.</t>
  </si>
  <si>
    <t>The effect of the FAS 109 Adjustment to ADIT is to remove deferred taxes included in accounts 190 and 283 that are non-ratemaking in nature.</t>
  </si>
  <si>
    <t>Accumulated Excess / Deficient Deferred Income Taxes ("EDIT"/"DDIT") (Note A, H)</t>
  </si>
  <si>
    <t>2021</t>
  </si>
  <si>
    <t>(a1)</t>
  </si>
  <si>
    <t>(a2)</t>
  </si>
  <si>
    <t>(a3)</t>
  </si>
  <si>
    <t>(g)</t>
  </si>
  <si>
    <t>(h)</t>
  </si>
  <si>
    <t>(i)</t>
  </si>
  <si>
    <t>(j)</t>
  </si>
  <si>
    <t>(k)</t>
  </si>
  <si>
    <t>(l)</t>
  </si>
  <si>
    <t>Line No.</t>
  </si>
  <si>
    <t>Item (Note A1)</t>
  </si>
  <si>
    <t>Vintage</t>
  </si>
  <si>
    <t>Account</t>
  </si>
  <si>
    <t>Form No. 1 Page  (Note I)</t>
  </si>
  <si>
    <t>BOY Balance (Note B)</t>
  </si>
  <si>
    <t>Current Period Amortization (Note C)</t>
  </si>
  <si>
    <t>Current Period Other Activity (Note D)</t>
  </si>
  <si>
    <t>EOY Balance (Note E)</t>
  </si>
  <si>
    <t>Allocator (Note F)</t>
  </si>
  <si>
    <t>BOY Allocated Amount</t>
  </si>
  <si>
    <t>Current Amortization Allocated</t>
  </si>
  <si>
    <t>Current Period Other Activity Allocated</t>
  </si>
  <si>
    <t>EOY Allocated Amount</t>
  </si>
  <si>
    <t>Prorated (Yes/No) (Note G)</t>
  </si>
  <si>
    <t>Amort Period or Method</t>
  </si>
  <si>
    <t>NON PLANT DDIT/(EDIT)</t>
  </si>
  <si>
    <t>Total Non-Protected Non-Property - DDIT (Note K)</t>
  </si>
  <si>
    <t>2017 TCJA</t>
  </si>
  <si>
    <t>182.3</t>
  </si>
  <si>
    <t>2017 NP</t>
  </si>
  <si>
    <t>Yes</t>
  </si>
  <si>
    <t>One-Time Refund</t>
  </si>
  <si>
    <t>…</t>
  </si>
  <si>
    <t>Total Non Plant Non-Protected DDIT/(EDIT)</t>
  </si>
  <si>
    <t>Deferred Tax Liability Non Plant (Note K)</t>
  </si>
  <si>
    <t>Total Deferred Tax Offset Non Plant</t>
  </si>
  <si>
    <t>Total Non Plant Non-Protected DDIT/(EDIT) (Net of Tax Gross Up)</t>
  </si>
  <si>
    <t>PLANT DDIT/(EDIT)</t>
  </si>
  <si>
    <t>Total Protected Property - EDIT</t>
  </si>
  <si>
    <t>254</t>
  </si>
  <si>
    <t>ARAM</t>
  </si>
  <si>
    <t>Total Non-Protected Property - EDIT (Note K)</t>
  </si>
  <si>
    <t>Total Protected Property - DDIT-NOL</t>
  </si>
  <si>
    <t>Total Plant DDIT/(EDIT)</t>
  </si>
  <si>
    <t>Deferred Tax Asset Plant</t>
  </si>
  <si>
    <t>Deferred Tax Liability Plant</t>
  </si>
  <si>
    <t>Total Deferred Tax Offset Plant</t>
  </si>
  <si>
    <t>Total Plant DDIT/(EDIT) (Net of Tax Gross Up)</t>
  </si>
  <si>
    <t>TOTALS</t>
  </si>
  <si>
    <t>Total Excess/Deficient Deferred Income Taxes (Note I)</t>
  </si>
  <si>
    <t>Total Deferred Tax Offset</t>
  </si>
  <si>
    <t>Total Excess/Deficient Deferred Income Taxes (Net of Tax Gross Up) (Note J)</t>
  </si>
  <si>
    <t>Total Excess/Deficient Deferred Income Taxes Annual Average</t>
  </si>
  <si>
    <t>Weighted Average EDIT/DDIT Net Plant Allocator</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</si>
  <si>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</si>
  <si>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A1</t>
  </si>
  <si>
    <t>The determination of an item as "Protected" versus "Non-Protected" has been and will be made in accordance with applicable tax code and regulations.</t>
  </si>
  <si>
    <t>Beginning of Year ("BOY") balance is end of Prior Year balance reflected on FERC Form No. 1 p.232/278</t>
  </si>
  <si>
    <t>DDIT or EDIT is reduced in the current period under the prescribed amortization method to account 410.1, Provision for Deferred Income Taxes, Utility Operating Income and 411.1, Provision for Deferred Income Taxes—Credit, Utility Operating Income, respectively.</t>
  </si>
  <si>
    <t>Includes the impact of tax rate changes enacted during the period.</t>
  </si>
  <si>
    <t>End of Year ("EOY") balance is the end of Current Year balance reflected on FERC Form No. 1. p.232/278</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</si>
  <si>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</si>
  <si>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</si>
  <si>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 xml:space="preserve">In the event the Company populates the data enterable fields for future income tax changes, the Company will support the data entered as just and reasonable in its annual update following a change in tax rates.  </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</si>
  <si>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</si>
  <si>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</si>
  <si>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Due to a one time refund in 2021 and for purposes of implementing initial rates, the balances on lines 2 and 202 reflect a one-time refund in 2021 rather than 2020 actuals.  This one time adjustment occurred to avoid impacts in future rate years.</t>
  </si>
  <si>
    <t>Rate Base Worksheet</t>
  </si>
  <si>
    <t>Page 1 of 3</t>
  </si>
  <si>
    <t xml:space="preserve">Gross Plant In Service </t>
  </si>
  <si>
    <t>CWIP</t>
  </si>
  <si>
    <t>LHFFU</t>
  </si>
  <si>
    <t>Line No</t>
  </si>
  <si>
    <t>Month</t>
  </si>
  <si>
    <t>Production</t>
  </si>
  <si>
    <t>Distribution</t>
  </si>
  <si>
    <t>General &amp; Intangible</t>
  </si>
  <si>
    <t>Common</t>
  </si>
  <si>
    <t>CWIP (Note C)</t>
  </si>
  <si>
    <t>Land Held for Future Use</t>
  </si>
  <si>
    <t>FN1 Reference for Dec</t>
  </si>
  <si>
    <t>205.46.g (Note K) Excluding ARO</t>
  </si>
  <si>
    <t>207.58.g (Note K) Excluding ARO</t>
  </si>
  <si>
    <t>207.75.g (Note K) Excluding ARO</t>
  </si>
  <si>
    <t>205.5.g &amp; 207.99.g (Note K) Excluding ARO</t>
  </si>
  <si>
    <t>201.8.e,f,g,h (Note I) (Note K) Excluding ARO</t>
  </si>
  <si>
    <t>216.x.b</t>
  </si>
  <si>
    <t>214.x.d</t>
  </si>
  <si>
    <t>December Prior Year</t>
  </si>
  <si>
    <t>January</t>
  </si>
  <si>
    <t>February</t>
  </si>
  <si>
    <t xml:space="preserve">March </t>
  </si>
  <si>
    <t>April</t>
  </si>
  <si>
    <t>May</t>
  </si>
  <si>
    <t>July</t>
  </si>
  <si>
    <t xml:space="preserve">August </t>
  </si>
  <si>
    <t>September</t>
  </si>
  <si>
    <t>October</t>
  </si>
  <si>
    <t>November</t>
  </si>
  <si>
    <t xml:space="preserve">December </t>
  </si>
  <si>
    <t xml:space="preserve">Average of the 13 Monthly Balances </t>
  </si>
  <si>
    <t xml:space="preserve">Accumulated Depreciation </t>
  </si>
  <si>
    <t>reserved</t>
  </si>
  <si>
    <t>219.20-24.c  Excluding ARO</t>
  </si>
  <si>
    <t>219.25.c Excluding ARO</t>
  </si>
  <si>
    <t>219.26.c Excluding ARO</t>
  </si>
  <si>
    <t>219.28.c &amp; 200.21.c Excluding ARO</t>
  </si>
  <si>
    <t>201.14.e,f,g,h (Note I) Excluding ARO</t>
  </si>
  <si>
    <t>Plant in Service ARO</t>
  </si>
  <si>
    <t>Accumulated Depreciation - ARO</t>
  </si>
  <si>
    <t>Finance Lease Asset</t>
  </si>
  <si>
    <t>Accum. Depreciation - Finance Lease</t>
  </si>
  <si>
    <t>Right of Use Asset Operating Lease</t>
  </si>
  <si>
    <t>Accum Amortization - Right of Use Asset</t>
  </si>
  <si>
    <t>Page 2 of 3</t>
  </si>
  <si>
    <t>Adjustments to Rate Base</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</si>
  <si>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</si>
  <si>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</si>
  <si>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</si>
  <si>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</si>
  <si>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</si>
  <si>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</si>
  <si>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Account No. 165
Prepayments</t>
  </si>
  <si>
    <t>Notes A &amp; E</t>
  </si>
  <si>
    <t>Note D</t>
  </si>
  <si>
    <t>Average of the 13 Monthly Balances -</t>
  </si>
  <si>
    <t>(Except ADIT which is average of Beg. &amp; End Balances)</t>
  </si>
  <si>
    <t>Unfunded Reserves    (Note G)</t>
  </si>
  <si>
    <t>List of all reserves:</t>
  </si>
  <si>
    <t>Amount 
(Enter the negative of amount reflected in the FERC Form 1)</t>
  </si>
  <si>
    <t xml:space="preserve">Enter 1 if NOT in a trust or reserved account, enter zero (0) if included in a trust or reserved account </t>
  </si>
  <si>
    <t>Enter 1 if the accrual account is included in the formula rate, enter zero (0)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</si>
  <si>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</si>
  <si>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</si>
  <si>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</si>
  <si>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</si>
  <si>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</si>
  <si>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</si>
  <si>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</si>
  <si>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Page 3 of 3</t>
  </si>
  <si>
    <t>Materials &amp; Supplies</t>
  </si>
  <si>
    <t>Deferred Tax Items</t>
  </si>
  <si>
    <t xml:space="preserve">  Materials &amp; Supplies: Transmission Plant</t>
  </si>
  <si>
    <t xml:space="preserve">  Materials &amp; Supplies: Stores Expense Undistributed</t>
  </si>
  <si>
    <t xml:space="preserve">  Materials &amp; Supplies: Construction</t>
  </si>
  <si>
    <t xml:space="preserve">  Materials &amp; Supplies</t>
  </si>
  <si>
    <t>227.8.c</t>
  </si>
  <si>
    <t>227.16.c</t>
  </si>
  <si>
    <t>227.5.c</t>
  </si>
  <si>
    <t>Total (Note E)</t>
  </si>
  <si>
    <t>Allocator Value (Note H)</t>
  </si>
  <si>
    <t>Avg of 13 Month Balances - Allocated</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</si>
  <si>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</si>
  <si>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Balances are from Worksheet A3-ADIT.</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</si>
  <si>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</si>
  <si>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</si>
  <si>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 xml:space="preserve">Common plant includes Plant that is owned by Black Hills Service Company that is allocated to Black Hills Colorado Electric, LLC based on Black Hills Service Company's Cost Allocation Manual.  </t>
  </si>
  <si>
    <t>Finance Lease and Right of Use Operating Lease from Company Records are not included in the calculation of rate base and are provided for transparency.</t>
  </si>
  <si>
    <t>Figures are the FERC Form No. 1 totals less the ARO balances shown on A4 page 1 lines 29-42.</t>
  </si>
  <si>
    <t>(Excess)/Deficient Deferred Income Taxes - FERC Order 864 Worksheet -- Tax Rate Change</t>
  </si>
  <si>
    <t xml:space="preserve">Prior Year:
</t>
  </si>
  <si>
    <t xml:space="preserve">2017
</t>
  </si>
  <si>
    <t>New Tax Rate?</t>
  </si>
  <si>
    <t>New Rate:</t>
  </si>
  <si>
    <t>Tax Gross Up Factor:</t>
  </si>
  <si>
    <t>Vintage Name:</t>
  </si>
  <si>
    <t>(Col 1)</t>
  </si>
  <si>
    <t>(Col 2)</t>
  </si>
  <si>
    <t>(Col 3)</t>
  </si>
  <si>
    <t>(Col 4)</t>
  </si>
  <si>
    <t>(Col 5)</t>
  </si>
  <si>
    <t>(Col 6)</t>
  </si>
  <si>
    <t>(Col 7)</t>
  </si>
  <si>
    <t>(Col 8)</t>
  </si>
  <si>
    <t>New Tax Rate Adjustment Calculation</t>
  </si>
  <si>
    <t>(C3) x New Rate</t>
  </si>
  <si>
    <t>= (C4) - (C5)</t>
  </si>
  <si>
    <t>= (C6) * Tax Gross Up Factor</t>
  </si>
  <si>
    <t>= (C6) - (C7)</t>
  </si>
  <si>
    <r>
      <rPr>
        <b/>
        <u/>
        <sz val="10"/>
        <rFont val="Times New Roman"/>
        <family val="1"/>
      </rPr>
      <t>Line</t>
    </r>
  </si>
  <si>
    <t>Accumulated (Taxable) / Deductible Book-to-Tax Differences</t>
  </si>
  <si>
    <t>Accumulated DIT Balances at Prior Tax Rate</t>
  </si>
  <si>
    <t>Accumulated DIT Balance at New Tax Rate</t>
  </si>
  <si>
    <t>(Excess) Deficient Def. Taxes at New Tax Rate</t>
  </si>
  <si>
    <t>(Excess) Deficient Def. Taxes with Tax Gross Up 182.3 / 254 Acct (Note A)</t>
  </si>
  <si>
    <t>Deferred Tax Offset (Note B)</t>
  </si>
  <si>
    <t>Protected - Property</t>
  </si>
  <si>
    <t>Method/Life</t>
  </si>
  <si>
    <t>Cost of Removal</t>
  </si>
  <si>
    <t>Federal NOL</t>
  </si>
  <si>
    <t>Non-Protected - Property</t>
  </si>
  <si>
    <t>1603 Grant</t>
  </si>
  <si>
    <t>162 Ordinary &amp; Necessary Business Deductions</t>
  </si>
  <si>
    <t>174 Development &amp; Engineering Costs</t>
  </si>
  <si>
    <t>Construction Work in Progress</t>
  </si>
  <si>
    <t>Construction Period Interest</t>
  </si>
  <si>
    <t>Contribution in Aid of Construction</t>
  </si>
  <si>
    <t>Tax Repairs Deduction</t>
  </si>
  <si>
    <t>Capitalization of Overhead</t>
  </si>
  <si>
    <t>Total Property Related  (= L99 + L199)</t>
  </si>
  <si>
    <t>Non-Protected - Non-Property </t>
  </si>
  <si>
    <t>Accrued Vacation</t>
  </si>
  <si>
    <t>Bad Debt Reserve</t>
  </si>
  <si>
    <t>Deferred Rate Case</t>
  </si>
  <si>
    <t>Employee Compensation</t>
  </si>
  <si>
    <t>Employee Group Insurance</t>
  </si>
  <si>
    <t>Insurance Reserve</t>
  </si>
  <si>
    <t>Line Extension Deposits</t>
  </si>
  <si>
    <t>Pension</t>
  </si>
  <si>
    <t>Performance Plan</t>
  </si>
  <si>
    <t>Power Plant Maintenance</t>
  </si>
  <si>
    <t>Prepaid Expenses</t>
  </si>
  <si>
    <t>PUC Fees</t>
  </si>
  <si>
    <t>RESA Rider</t>
  </si>
  <si>
    <t>Retiree Healthcare</t>
  </si>
  <si>
    <t>Workman's Compensation</t>
  </si>
  <si>
    <t>Total Non-Property Related</t>
  </si>
  <si>
    <t>Grand Total   (= L200 + L400)</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</si>
  <si>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</si>
  <si>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</si>
  <si>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Depreciation Rates</t>
  </si>
  <si>
    <t>Plant Type</t>
  </si>
  <si>
    <t>Rates</t>
  </si>
  <si>
    <t>Transmission Plant (Note A)</t>
  </si>
  <si>
    <t xml:space="preserve">STRUCTURES AND IMPROVEMENTS         </t>
  </si>
  <si>
    <t xml:space="preserve">STRUCTURES AND IMPROVEMENTS - AMORTIZED         </t>
  </si>
  <si>
    <t xml:space="preserve">STATION EQUIPMENT                   </t>
  </si>
  <si>
    <t xml:space="preserve">STATION EQUIPMENT - AMORTIZED             </t>
  </si>
  <si>
    <t xml:space="preserve">POLES AND FIXTURES                  </t>
  </si>
  <si>
    <t xml:space="preserve">OVERHEAD CONDUCTORS AND DEVICES     </t>
  </si>
  <si>
    <t>UNDERGROUND CONDUIT</t>
  </si>
  <si>
    <t>UNDERGROUND CONDUCTORS AND DEVICES</t>
  </si>
  <si>
    <t>TOTAL TRANSMISSION PLANT</t>
  </si>
  <si>
    <t>General Plant</t>
  </si>
  <si>
    <t xml:space="preserve">STRUCTURES AND IMPROVEMENTS - OWNED  </t>
  </si>
  <si>
    <t xml:space="preserve">OFFICE FURNITURE AND EQUIPMENT          </t>
  </si>
  <si>
    <t xml:space="preserve">COMPUTER HARDWARE                       </t>
  </si>
  <si>
    <t>SOFTWARE</t>
  </si>
  <si>
    <t>SYSTEM DEVELOPMENT</t>
  </si>
  <si>
    <t>TRANSPORTATION EQUIPMENT</t>
  </si>
  <si>
    <t xml:space="preserve">STORES EQUIPMENT               </t>
  </si>
  <si>
    <t>TOOLS, SHOP AND GARAGE EQUIPMENT</t>
  </si>
  <si>
    <t xml:space="preserve">LABORATORY EQUIPMENT           </t>
  </si>
  <si>
    <t>POWER OPERATED EQUIPMENT</t>
  </si>
  <si>
    <t xml:space="preserve">COMMUNICATION EQUIPMENT        </t>
  </si>
  <si>
    <t xml:space="preserve">MISCELLANEOUS EQUIPMENT        </t>
  </si>
  <si>
    <t xml:space="preserve">    TOTAL GENERAL PLANT </t>
  </si>
  <si>
    <t>Intangible Plant</t>
  </si>
  <si>
    <t>ORGANIZATION</t>
  </si>
  <si>
    <t>MISCELLANEOUS INTANGIBLE PLANT</t>
  </si>
  <si>
    <t>TOTAL INTANGIBLE PLANT</t>
  </si>
  <si>
    <t>Black Hills Service Company Plant</t>
  </si>
  <si>
    <t>General Plant - Electric</t>
  </si>
  <si>
    <t xml:space="preserve">STRUCTURES AND IMPROVEMENTS             </t>
  </si>
  <si>
    <t xml:space="preserve">  TOTAL COMMUNICATION EQUIPMENT</t>
  </si>
  <si>
    <t xml:space="preserve">  TOTAL COMMUNICATION EQUIPMENT -TOWERS</t>
  </si>
  <si>
    <t>General Plant - Common</t>
  </si>
  <si>
    <t>STRUCTURES AND IMPROVEMENTS</t>
  </si>
  <si>
    <t xml:space="preserve">TRANSPORTATION EQUIPMENT </t>
  </si>
  <si>
    <t>TOTAL COMMUNICATION EQUIPMENT</t>
  </si>
  <si>
    <t>MISCELLANEOUS EQUIPMENT</t>
  </si>
  <si>
    <t>The depreciation/amortization rates included in this worksheet cannot be changed by Black Hills Colorado Electric, LLC without an FPA 205 filing.</t>
  </si>
  <si>
    <t>Divisor - Network Transmission Load</t>
  </si>
  <si>
    <t>Year</t>
  </si>
  <si>
    <t>Transmission System Peak Load (kW) (Note A)</t>
  </si>
  <si>
    <t>Avg. Transmission Network Load for Jan-Aug (kW)</t>
  </si>
  <si>
    <t>Percentage of Avg. Jan -Aug Load 
(Note B)</t>
  </si>
  <si>
    <t>March</t>
  </si>
  <si>
    <t>August</t>
  </si>
  <si>
    <t>December</t>
  </si>
  <si>
    <t>12-CP</t>
  </si>
  <si>
    <t>Average</t>
  </si>
  <si>
    <t>Source: Form 1 page 400, lines 1-15, columns e, f, g and h</t>
  </si>
  <si>
    <t xml:space="preserve">Carried forward for use in Worksheet P3, Column b. </t>
  </si>
  <si>
    <t>Incentive Plant Worksheet</t>
  </si>
  <si>
    <t>Incentive Projects</t>
  </si>
  <si>
    <t>Note C</t>
  </si>
  <si>
    <t>Project:</t>
  </si>
  <si>
    <t>Project 1</t>
  </si>
  <si>
    <t>Project 2</t>
  </si>
  <si>
    <t>Proj. ID</t>
  </si>
  <si>
    <t>n/a</t>
  </si>
  <si>
    <t>Deprec. Rate:</t>
  </si>
  <si>
    <t>ROE Adder</t>
  </si>
  <si>
    <t>Weighted ROE Adder:</t>
  </si>
  <si>
    <t>Beginning Year:</t>
  </si>
  <si>
    <t>Beginning Amt</t>
  </si>
  <si>
    <t>Depreciation</t>
  </si>
  <si>
    <t>Net Plant</t>
  </si>
  <si>
    <t>Incentive Ret</t>
  </si>
  <si>
    <t>Accumulated Depreciation</t>
  </si>
  <si>
    <t>Incentive Ret
(Net Plant * Weighted ROE Adder)</t>
  </si>
  <si>
    <t>(m)</t>
  </si>
  <si>
    <t>yyyy</t>
  </si>
  <si>
    <t>Special depreciation rates may be utilized for specific incentive transmission projects if approved by the FERC.</t>
  </si>
  <si>
    <t>Incentive ROE requires authorization by the Commission</t>
  </si>
  <si>
    <t>Applies only to projects authorized by the Commission.  The source of the information is the Company Records.</t>
  </si>
  <si>
    <t>The Accumulated Depreciation for Year 1 will reflect the prorated amount of depreciation for the months that the project is in service.</t>
  </si>
  <si>
    <t>Prepaid Item</t>
  </si>
  <si>
    <t>13 Month Average Balance
(Note B)</t>
  </si>
  <si>
    <t>Allocation Factor</t>
  </si>
  <si>
    <t>Allocated Amount</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</si>
  <si>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</si>
  <si>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</si>
  <si>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</si>
  <si>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</si>
  <si>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</si>
  <si>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</si>
  <si>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Common Plant-Related Prepaid Items</t>
  </si>
  <si>
    <t>Prepaid Items (allocated by Common Plant Allocator)</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</si>
  <si>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</si>
  <si>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</si>
  <si>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</si>
  <si>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</si>
  <si>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</si>
  <si>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</si>
  <si>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NP</t>
  </si>
  <si>
    <t>Prepaid Items Not Allocated</t>
  </si>
  <si>
    <t>Prepaid Items Not Allocated (including but not limited to Insurance for Generation assets, Prepaid Generation maintenance, Land Easements and Leases for Generation and Distribution, and Income Taxes)</t>
  </si>
  <si>
    <t>Total from A4-Rate Base</t>
  </si>
  <si>
    <t>Variance</t>
  </si>
  <si>
    <t>To Actual Attachment H, page 2, line 30</t>
  </si>
  <si>
    <t>The total of the 13 month average of the individual items will match the 13 month average calculated on A4-Rate Base, page 2 line 14 column (h).  The variance between A8 and A4 will be $0.</t>
  </si>
  <si>
    <t>Item (Note B)</t>
  </si>
  <si>
    <t>Annual Cost</t>
  </si>
  <si>
    <t>Club Dues</t>
  </si>
  <si>
    <t>WS</t>
  </si>
  <si>
    <t>Lobbying</t>
  </si>
  <si>
    <t>Meals</t>
  </si>
  <si>
    <t>Entertainment</t>
  </si>
  <si>
    <t>Pension Equity Plan Life Insurance</t>
  </si>
  <si>
    <t>Equity AFUDC Perm</t>
  </si>
  <si>
    <t>Transportation/Parking</t>
  </si>
  <si>
    <t>Non Deductible Insurance</t>
  </si>
  <si>
    <t>Non Deductible Compensation</t>
  </si>
  <si>
    <t>Note A</t>
  </si>
  <si>
    <t>To Actual Attachment H, page 3, line 24aa</t>
  </si>
  <si>
    <t>If Black Hills Colorado Electric, LLC includes a new permanent difference and allocator on one of the reserved lines that are data enterable fields, it will provide a description of its justification for inclusion of the permanent difference and choice of allocator at the first opportunity under its protocols whether that is in its posting of its Projected Net Revenue Requirement, its Informational Filing with FERC or its posting of its Annual True-Up as those times are set in the protocols.   If a customer acting pursuant to the formal challenge process under the protocols challenges inclusion of a new permanent difference and/or permanent difference allocator or if FERC institutes a FPA 206 in response to Black Hills Colorado Electric, LLC including a new permanent difference and/or permanent difference allocator, Black Hills Colorado Electric, LLC while not required to make a FPA section 205 filing for such change(s), shall bear a FPA Section 205 burden to show that its inclusion of the new permanent difference and choice of allocator results in a just and reasonable allocation of costs to OATT Transmission Service.  The foregoing disclosure obligations and retention of burden applies only in the instances described in this note.</t>
  </si>
  <si>
    <t>True-Up Adjustment</t>
  </si>
  <si>
    <t>Timeline</t>
  </si>
  <si>
    <t>Step</t>
  </si>
  <si>
    <t>Action</t>
  </si>
  <si>
    <t>Oct</t>
  </si>
  <si>
    <t>Year 0</t>
  </si>
  <si>
    <t>Company populates the formula rate using projected costs for Year 1</t>
  </si>
  <si>
    <t>Post results of Step 1</t>
  </si>
  <si>
    <t>Jan</t>
  </si>
  <si>
    <t>Year 1</t>
  </si>
  <si>
    <t>Results of Step 2 go into effect.</t>
  </si>
  <si>
    <t>Company populates the formula rate using projected costs for Year 2</t>
  </si>
  <si>
    <t>Post results of Step 4</t>
  </si>
  <si>
    <t>Year 2</t>
  </si>
  <si>
    <t>Results of Step 5 go into effect.</t>
  </si>
  <si>
    <t>Jun</t>
  </si>
  <si>
    <t>Company populates the formula rate using actual costs for Year 1</t>
  </si>
  <si>
    <t>Calculate  the difference between the formula rate calculated in Step 7 and Step 1</t>
  </si>
  <si>
    <t>Post results from Step 7 and Step 8</t>
  </si>
  <si>
    <t>Company populates the formula rate using projected costs for Year 3, including true-up adjustment for Year 1</t>
  </si>
  <si>
    <t>Post results of Step 10</t>
  </si>
  <si>
    <t>Rev Req Comparison</t>
  </si>
  <si>
    <t>Total Rev. Req.</t>
  </si>
  <si>
    <t>Actual Revenue Requirements from Step 7</t>
  </si>
  <si>
    <t>Originally Projected Revenue Requirements from Step 1 (Note E)</t>
  </si>
  <si>
    <t>True-up Amount (before Volume Revenue Adjustment &amp; interest)</t>
  </si>
  <si>
    <t>(line 13 - line 14)</t>
  </si>
  <si>
    <t>Volume Comparison</t>
  </si>
  <si>
    <t>Divisor for Actual Rate Year from Step 7</t>
  </si>
  <si>
    <t>kW</t>
  </si>
  <si>
    <t>Divisor for Originally Projected Rate Year from Step 1</t>
  </si>
  <si>
    <t>Difference in Volume</t>
  </si>
  <si>
    <t>(line 18 - line 17)</t>
  </si>
  <si>
    <t>Originally Projected Rev Req Rate</t>
  </si>
  <si>
    <t>(line 14 / line 18)</t>
  </si>
  <si>
    <t>$/kW</t>
  </si>
  <si>
    <t>Volume Revenue Adjustment</t>
  </si>
  <si>
    <t>(line 19 x line 21)</t>
  </si>
  <si>
    <t>Prior Period Adjustment</t>
  </si>
  <si>
    <t>Prior Period Adjustment (Note F)</t>
  </si>
  <si>
    <t>True-up Amount including Volume Revenue Adjustment (before interest)</t>
  </si>
  <si>
    <t>(line 15+22+23a)</t>
  </si>
  <si>
    <t>Interest Calculation</t>
  </si>
  <si>
    <t>Short term Interest Rate</t>
  </si>
  <si>
    <t>Avg. Ann Short Term Int</t>
  </si>
  <si>
    <t>Average Daily Interest Exp. (Acct. 430)</t>
  </si>
  <si>
    <t>Average Daily Notes Payable (Acct. 233)  (Note C)</t>
  </si>
  <si>
    <t>No. of Days</t>
  </si>
  <si>
    <t>Annual Short-term Int Rate</t>
  </si>
  <si>
    <t>(line 25 / line 26 * line 27)</t>
  </si>
  <si>
    <t>FERC Qtr Int. Rate (Note A)</t>
  </si>
  <si>
    <t>Qtr 3 (Previous Year)</t>
  </si>
  <si>
    <t>Qtr 4 (Previous Year)</t>
  </si>
  <si>
    <t>Qtr 1 (Current Year)</t>
  </si>
  <si>
    <t>Qtr 2 (Current Year)</t>
  </si>
  <si>
    <t xml:space="preserve">Average of the last 4 quarters </t>
  </si>
  <si>
    <t>(Lines 29-32 / 4)</t>
  </si>
  <si>
    <t>Interest Rate Used for True-up adjustment (Note D)</t>
  </si>
  <si>
    <t>Total True-up</t>
  </si>
  <si>
    <t>Amount from Line 24</t>
  </si>
  <si>
    <t>Interest on True-up Amount  ( [Average Interest Rate / 12 months]*24 months)</t>
  </si>
  <si>
    <t>Total True-up Adjustment</t>
  </si>
  <si>
    <t>Interest rates posted by FERC</t>
  </si>
  <si>
    <t>Reserved for future use</t>
  </si>
  <si>
    <t>Average of the daily short-term borrowings is obtained from Company Records</t>
  </si>
  <si>
    <t>Use the lower of Short Term Interest Rate and FERC Interest Rate if the True-up Amount is greater than or equal to zero. Use FERC Interest Rate if the True-up Amount is less than zero.</t>
  </si>
  <si>
    <t>Enter the Projected Revenue Requirement for the Actual period without a true-up adjustment.</t>
  </si>
  <si>
    <t xml:space="preserve">Prior Period Adjustment, if any, is calculated to the same timing basis as balance of true up (i.e. before interest applied on lines 15 and 22).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</si>
  <si>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Estimated - For the 12 months ended 12/31/2023</t>
  </si>
  <si>
    <t>Act Att-H, page 1 line 2</t>
  </si>
  <si>
    <t>Act Att-H, page 1 line 3</t>
  </si>
  <si>
    <t>6a</t>
  </si>
  <si>
    <t xml:space="preserve">Total True Up Amount </t>
  </si>
  <si>
    <t>Worksheet TU, line 37  (Note D)</t>
  </si>
  <si>
    <t>(line 1 minus line 6 plus line 6a)</t>
  </si>
  <si>
    <t>7a</t>
  </si>
  <si>
    <t>Net Revenue Requirement without True Up Adjustment</t>
  </si>
  <si>
    <t>(line 7 minus line 6a)</t>
  </si>
  <si>
    <t>Worksheet P3, Line 15</t>
  </si>
  <si>
    <t xml:space="preserve">RATE BASE: </t>
  </si>
  <si>
    <t xml:space="preserve">GROSS PLANT IN SERVICE     </t>
  </si>
  <si>
    <t>Worksheet P1, Line 29, Column (f)</t>
  </si>
  <si>
    <t>Worksheet A4, Page 1, Line 13, Column (e)</t>
  </si>
  <si>
    <t>Worksheet A4, Page 1, Line 13, Column (f)</t>
  </si>
  <si>
    <t>(Sum Lines 1 and 2 and 2a)</t>
  </si>
  <si>
    <t xml:space="preserve">ACCUMULATED DEPRECIATION </t>
  </si>
  <si>
    <t>Worksheet P1, Line 29, Column (h)</t>
  </si>
  <si>
    <t>Worksheet A4, Page 1, Line 27, Column (g)</t>
  </si>
  <si>
    <t>Worksheet A4, Page 1, Line 27, Column (h)</t>
  </si>
  <si>
    <t>(Sum Lines 4 and 5 and 5a)</t>
  </si>
  <si>
    <t>(Line 1 - Line 4)</t>
  </si>
  <si>
    <t>(Line 2 - Line 5)</t>
  </si>
  <si>
    <t>8a</t>
  </si>
  <si>
    <t>(Line 2a - Line 5a)</t>
  </si>
  <si>
    <t>(Sum Lines 7 and 8 and 8a)</t>
  </si>
  <si>
    <t xml:space="preserve">ADJUSTMENTS TO RATE BASE </t>
  </si>
  <si>
    <t>Worksheet P5, Page 2, Line 55, Column H</t>
  </si>
  <si>
    <t xml:space="preserve">  Account No. 282 (Transmission only)</t>
  </si>
  <si>
    <t>Worksheet P5, Page 3, Line 82, Column H</t>
  </si>
  <si>
    <t xml:space="preserve">  Account No. 283</t>
  </si>
  <si>
    <t>Worksheet P5, Page 4, Line 109, Column H</t>
  </si>
  <si>
    <t>Worksheet P5, Page 1, Line 21, Column H</t>
  </si>
  <si>
    <t>14a</t>
  </si>
  <si>
    <t xml:space="preserve"> Account No. 190 for Tax Gross Up Offset on Excess Deferred Income Taxes</t>
  </si>
  <si>
    <t>Worksheet P5, Page 1, Line 28, Column H</t>
  </si>
  <si>
    <t xml:space="preserve">  Account No. 255 (enter zero)</t>
  </si>
  <si>
    <t>Worksheet A4, Page 2, Line 14, Column (b) (Note B)</t>
  </si>
  <si>
    <t>Worksheet A4, Page 2, Line 14, Column (c) (Note B)</t>
  </si>
  <si>
    <t xml:space="preserve">  Unfunded Reserves (enter negative)</t>
  </si>
  <si>
    <t>Actual Attachment H, Page 2, Line 23c</t>
  </si>
  <si>
    <t>Actual Attachment H, Page 2, Line 24</t>
  </si>
  <si>
    <t xml:space="preserve">  Net Excess/Deficient Deferred Income Taxes (Note C) Transmission only</t>
  </si>
  <si>
    <t>Worksheet P5, Page 5, Line 137, Column H</t>
  </si>
  <si>
    <t>(Sum of Lines 11 - 21)</t>
  </si>
  <si>
    <t xml:space="preserve">Worksheet A4, Page 1, Line 13, Col. (h) </t>
  </si>
  <si>
    <t xml:space="preserve">  CWC  </t>
  </si>
  <si>
    <t xml:space="preserve">Worksheet A8, Page 1, Line 9, Col. (f) </t>
  </si>
  <si>
    <t xml:space="preserve">RATE BASE </t>
  </si>
  <si>
    <t xml:space="preserve">Worksheet P2, Column 5, Line 3 </t>
  </si>
  <si>
    <t xml:space="preserve">     Less Account 561</t>
  </si>
  <si>
    <t>Worksheet P2, Column 5, Line 4</t>
  </si>
  <si>
    <t>Worksheet P2, Column 5, Line 5</t>
  </si>
  <si>
    <t>Worksheet P2, Column 5, Line 6</t>
  </si>
  <si>
    <t xml:space="preserve">     Less EPRI &amp; Reg. Comm. Exp. &amp; Non-safety  Ad</t>
  </si>
  <si>
    <t>Worksheet P2, Column 5, Line 8</t>
  </si>
  <si>
    <t>Worksheet P2, Column 5, Line 9</t>
  </si>
  <si>
    <t>Worksheet P2, Column 5, Line 10</t>
  </si>
  <si>
    <t>Worksheet P2, Column 5, Line 11</t>
  </si>
  <si>
    <t>Worksheet P2, Column 5, Line 12</t>
  </si>
  <si>
    <t>Worksheet P2, Column 5, Line 13</t>
  </si>
  <si>
    <t>TOTAL O&amp;M  (sum lines 1, 3, 5a, 5b, 6, 7 less lines 2, 2a,  5, 5c)</t>
  </si>
  <si>
    <t xml:space="preserve">DEPRECIATION AND AMORTIZATION EXPENSE </t>
  </si>
  <si>
    <t>Worksheet P1, Line 28, Column (c)</t>
  </si>
  <si>
    <t>Actual Attachment H, Page 3, Line 10</t>
  </si>
  <si>
    <t>Actual Attachment H, Page 3, Line 11</t>
  </si>
  <si>
    <t>Actual Attachment H, Page 3, Line 11a (Note B)</t>
  </si>
  <si>
    <t xml:space="preserve">TAXES OTHER THAN INCOME TAXES </t>
  </si>
  <si>
    <t>Worksheet P2, Column 5, Line 15</t>
  </si>
  <si>
    <t>Worksheet P2, Column 5, Line 16</t>
  </si>
  <si>
    <t>Worksheet P2, Column 5, Line 18</t>
  </si>
  <si>
    <t>Worksheet P2, Column 5, Line 19</t>
  </si>
  <si>
    <t>Worksheet P2, Column 5, Line 20</t>
  </si>
  <si>
    <t xml:space="preserve">       and FIT, SIT &amp; p are as given in Note A.</t>
  </si>
  <si>
    <t>Actual Attachment H, Page 3, Line 24</t>
  </si>
  <si>
    <t>Net Amortization of Excess/Deficient Deferred Income Taxes Transmission only</t>
  </si>
  <si>
    <t>Actual Attachment H, Page 3, Line 24a</t>
  </si>
  <si>
    <t>Actual Attachment H, Page 3, Line 24aa</t>
  </si>
  <si>
    <t>Actual Attachment H, Page 3, Line 24b</t>
  </si>
  <si>
    <t>Net Excess/Deficient Deferred Income Tax Adjustment</t>
  </si>
  <si>
    <t xml:space="preserve">  Rate Base * Rate of Return + Incentive Return</t>
  </si>
  <si>
    <t>(Page 2, Line 27 x Page 4, Line 31, Col. (5)) + Page 4, Line 32</t>
  </si>
  <si>
    <t>Actual Attachment H, Page 4, Line 1</t>
  </si>
  <si>
    <t>Actual Attachment H, Page 4, Line 2</t>
  </si>
  <si>
    <t xml:space="preserve">Less transmission plant included in OATT Ancillary Services </t>
  </si>
  <si>
    <t>Actual Attachment H, Page 4, Line 3</t>
  </si>
  <si>
    <t>Actual Attachment H, Page 4, Line 7</t>
  </si>
  <si>
    <t xml:space="preserve">Percentage of transmission expenses after adjustment  </t>
  </si>
  <si>
    <t xml:space="preserve">Percentage of transmission plant included in wholesale Rates  </t>
  </si>
  <si>
    <t>Percentage of transmission expenses included in wholesale Rates</t>
  </si>
  <si>
    <t>Reference</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</si>
  <si>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</si>
  <si>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</si>
  <si>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</si>
  <si>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</si>
  <si>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</si>
  <si>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</si>
  <si>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</si>
  <si>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</si>
  <si>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</si>
  <si>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</si>
  <si>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</si>
  <si>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</si>
  <si>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26</t>
  </si>
  <si>
    <t>(Line 23 less Lines 24, 25, 26)</t>
  </si>
  <si>
    <t>Actual Attachment H, Page 4, Line 28</t>
  </si>
  <si>
    <t>Actual Attachment H, Page 4, Line 29</t>
  </si>
  <si>
    <t>Actual Attachment H, Page 4, Line 30</t>
  </si>
  <si>
    <t>(Sum of Lines 27-29)</t>
  </si>
  <si>
    <t>Worksheet P4, Line 35, Column (e )</t>
  </si>
  <si>
    <t xml:space="preserve">GROSS PLANT ALLOCATOR  (GP) </t>
  </si>
  <si>
    <t>Actual Attachment H, Page 2, Column 3 Line 1</t>
  </si>
  <si>
    <t>Page 2, Column 3, Line 1</t>
  </si>
  <si>
    <t>Actual Attachment H, Page 2, Column 3 Line 3</t>
  </si>
  <si>
    <t>Actual Attachment H, Page 2, Column 3 Line 4</t>
  </si>
  <si>
    <t>Actual Attachment H, Page 2, Column 3 Line 5</t>
  </si>
  <si>
    <t>(Sum of Lines 1-5)</t>
  </si>
  <si>
    <t xml:space="preserve">NET PLANT ALLOCATOR  (NP) </t>
  </si>
  <si>
    <t>Actual Attachment H, Page 2, Column 3 Line 13</t>
  </si>
  <si>
    <t>Page 2, Column 3, Line 7</t>
  </si>
  <si>
    <t>Actual Attachment H, Page 2, Column 3 Line 15</t>
  </si>
  <si>
    <t>Actual Attachment H, Page 2, Column 3 Line 16</t>
  </si>
  <si>
    <t>Actual Attachment H, Page 2, Column 3 Line 17</t>
  </si>
  <si>
    <t>(Sum of Lines 7-11)</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</si>
  <si>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</si>
  <si>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allocator used will be in accordance with the FERC order authorizing the inclusion of these items in the formula rate.</t>
  </si>
  <si>
    <t>The Balance reflecting any amortization for the year is calculated using the proration method shown on Worksheet P5-ADIT.</t>
  </si>
  <si>
    <t>The true up for the 2022 partial rate year will be prorated for a partial year and supported in a workpaper published according to the Protocols.</t>
  </si>
  <si>
    <t>Page 60 of 68</t>
  </si>
  <si>
    <t>Projected Transmission Plant</t>
  </si>
  <si>
    <t>Page 1 of 4</t>
  </si>
  <si>
    <t>Page 2 of 4</t>
  </si>
  <si>
    <t>Page 3 of 4</t>
  </si>
  <si>
    <t>Page 4 of 4</t>
  </si>
  <si>
    <t>Total Projected Plant</t>
  </si>
  <si>
    <t>Projected Plant</t>
  </si>
  <si>
    <t>Rate Year -1</t>
  </si>
  <si>
    <t>Rate Year</t>
  </si>
  <si>
    <t>Plant</t>
  </si>
  <si>
    <t>Tax  Depreciation</t>
  </si>
  <si>
    <t xml:space="preserve"> Tax Depreciation on Plant</t>
  </si>
  <si>
    <t>Projected</t>
  </si>
  <si>
    <t>Accumulated</t>
  </si>
  <si>
    <t>Incremental</t>
  </si>
  <si>
    <t>Rate</t>
  </si>
  <si>
    <t>Depreciation on Additions</t>
  </si>
  <si>
    <t>Balances as of Ending Rate Year -2</t>
  </si>
  <si>
    <t>Tax Deprec</t>
  </si>
  <si>
    <t>Book</t>
  </si>
  <si>
    <t>Timing</t>
  </si>
  <si>
    <t>#</t>
  </si>
  <si>
    <t>&amp; Year</t>
  </si>
  <si>
    <t>Gross Plant</t>
  </si>
  <si>
    <t>Accum. Dep.</t>
  </si>
  <si>
    <t>Plant Additions</t>
  </si>
  <si>
    <t>Plant in Service</t>
  </si>
  <si>
    <t>Accrual (Note A)</t>
  </si>
  <si>
    <t>Additions</t>
  </si>
  <si>
    <t>Difference</t>
  </si>
  <si>
    <t>Tax Rate</t>
  </si>
  <si>
    <t>ADIT</t>
  </si>
  <si>
    <t>.</t>
  </si>
  <si>
    <t>Plant Balances as of Dec 31, 2021 &gt;</t>
  </si>
  <si>
    <t>(n)</t>
  </si>
  <si>
    <t>(o)</t>
  </si>
  <si>
    <t>(p)</t>
  </si>
  <si>
    <t>(q)</t>
  </si>
  <si>
    <t>(r)</t>
  </si>
  <si>
    <t>(s)</t>
  </si>
  <si>
    <t>(t)</t>
  </si>
  <si>
    <t>(u)</t>
  </si>
  <si>
    <t>(v)</t>
  </si>
  <si>
    <t>(w)</t>
  </si>
  <si>
    <t>(x)</t>
  </si>
  <si>
    <t>(y)</t>
  </si>
  <si>
    <t>27a</t>
  </si>
  <si>
    <t>12 Mon Tot</t>
  </si>
  <si>
    <t>13 Mon Avg</t>
  </si>
  <si>
    <t>Actual transmission depreciation expense (Actual Attachment H, page 3, line 9) divided by actual transmission plant in service (Actual Attachment H, page 2, line 2) divided by 12 months.</t>
  </si>
  <si>
    <t>Projected Expenses and Revenue Credits</t>
  </si>
  <si>
    <t>Ratio of</t>
  </si>
  <si>
    <t>Expense</t>
  </si>
  <si>
    <t>Actual</t>
  </si>
  <si>
    <t>To Net</t>
  </si>
  <si>
    <t>Costs</t>
  </si>
  <si>
    <t>(Ratio of Cost to total)</t>
  </si>
  <si>
    <t>(Ratio * Proj. Net Plant)</t>
  </si>
  <si>
    <t xml:space="preserve">Net Plant in Service </t>
  </si>
  <si>
    <t>Actual Attachment H, Page 2 Line 18</t>
  </si>
  <si>
    <t xml:space="preserve">Projected Net Plant in Service </t>
  </si>
  <si>
    <t>Projected Attachment H, Page 2, Line 9</t>
  </si>
  <si>
    <t>Operation and Maintenance Expenses</t>
  </si>
  <si>
    <t>Actual Attachment H, Page 3, Line 1</t>
  </si>
  <si>
    <t>Actual Attachment H, Page 3, Line 2</t>
  </si>
  <si>
    <t>Actual Attachment H, Page 3, Line 2a</t>
  </si>
  <si>
    <t>Actual Attachment H, Page 3, Line 3</t>
  </si>
  <si>
    <t xml:space="preserve">     Less EPRI &amp; Reg. Comm. Exp. &amp; Non-safety  Ad. </t>
  </si>
  <si>
    <t>Actual Attachment H, Page 3, Line 5</t>
  </si>
  <si>
    <t xml:space="preserve">     Plus Transmission Related Reg. Comm. Exp. </t>
  </si>
  <si>
    <t>Actual Attachment H, Page 3, Line 5b</t>
  </si>
  <si>
    <t>Actual Attachment H, Page 3, Line 5c</t>
  </si>
  <si>
    <t>Actual Attachment H, Page 3, Line 6</t>
  </si>
  <si>
    <t>Actual Attachment H, Page 3, Line 7</t>
  </si>
  <si>
    <t xml:space="preserve">TOTAL O&amp;M </t>
  </si>
  <si>
    <t>(Sum lines 3,6,9,10,12,13 less lines 4,5,8,11)</t>
  </si>
  <si>
    <t>Other Taxes</t>
  </si>
  <si>
    <t>Actual Attachment H, Page 3, Line 13</t>
  </si>
  <si>
    <t>Actual Attachment H, Page 3, Line 14</t>
  </si>
  <si>
    <t>Actual Attachment H, Page 3, Line 16</t>
  </si>
  <si>
    <t>Actual Attachment H, Page 3, Line 17</t>
  </si>
  <si>
    <t xml:space="preserve">         Other</t>
  </si>
  <si>
    <t>Actual Attachment H, Page 3, Line 18</t>
  </si>
  <si>
    <t>Intentionally Left Blank</t>
  </si>
  <si>
    <t>Projected Other Taxes</t>
  </si>
  <si>
    <t>(Sum Lines 15-21)</t>
  </si>
  <si>
    <t>Projected transmission-related regulatory commission expenses including projected FERC rate filing costs (i.e. projection of amounts on Worksheet A2, Lines 10-11).</t>
  </si>
  <si>
    <t xml:space="preserve">Worksheet P3 </t>
  </si>
  <si>
    <t>Projected Divisor - Network Transmission Load</t>
  </si>
  <si>
    <t>Transmission Network Load</t>
  </si>
  <si>
    <t>Monthly Transmission Network Load as Percentage of the Average Total Network Load of Jan-Aug (Worksheet A6)</t>
  </si>
  <si>
    <t>Avg Monthly Transmission Network Load  for Jan-Aug                   (Col e, line 2-9)</t>
  </si>
  <si>
    <t>Estimated Monthly Transmission Network Load for Sep-Dec                       ( Col. b  * c)</t>
  </si>
  <si>
    <t>Actual Load  for Jan-Aug</t>
  </si>
  <si>
    <t>Projected Transmission Network Load</t>
  </si>
  <si>
    <t xml:space="preserve">Note: </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</si>
  <si>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</si>
  <si>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through August) of monthly transmission network load in column e.</t>
    </r>
  </si>
  <si>
    <r>
      <t xml:space="preserve">Column e </t>
    </r>
    <r>
      <rPr>
        <sz val="10"/>
        <rFont val="Times New Roman"/>
        <family val="1"/>
      </rPr>
      <t>contains actual load values from current year FERC Form 3Q page 400, lines 1-10, columns e, f, g and h.</t>
    </r>
  </si>
  <si>
    <r>
      <t xml:space="preserve">Column f </t>
    </r>
    <r>
      <rPr>
        <sz val="10"/>
        <rFont val="Times New Roman"/>
        <family val="1"/>
      </rPr>
      <t>contains actual load values for January-August and projected load values for September - December.</t>
    </r>
  </si>
  <si>
    <t>Projected Incentive Plant Worksheet</t>
  </si>
  <si>
    <t>Deprec. Rate/Month:</t>
  </si>
  <si>
    <t>Mon/Yr</t>
  </si>
  <si>
    <t>Total Incentive Return</t>
  </si>
  <si>
    <t>(Line 5) Weighted ROE Adder times (Line 34) 13 Month Average Net Plant</t>
  </si>
  <si>
    <t>The source of the information is the Company Records.</t>
  </si>
  <si>
    <t>Page 1 of 5</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</si>
  <si>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</si>
  <si>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</si>
  <si>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</si>
  <si>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</si>
  <si>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</si>
  <si>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</si>
  <si>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</si>
  <si>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</si>
  <si>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</si>
  <si>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</si>
  <si>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</si>
  <si>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</si>
  <si>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Total Account 190 Beginning Balance</t>
  </si>
  <si>
    <t>Worksheet A3, Ln 5 Col (d)</t>
  </si>
  <si>
    <t>Amount of Tax Gross Up Offset on EDIT</t>
  </si>
  <si>
    <t>(Line 128 * - Actual Composite tax rate)</t>
  </si>
  <si>
    <t>Account 190 Not Including EDIT Tax Gross Up</t>
  </si>
  <si>
    <t>(Line 19 - Line 20)</t>
  </si>
  <si>
    <t>Beginning Balance of Account 190 for EDIT Tax Gross Up Offset</t>
  </si>
  <si>
    <t>(Line 20)</t>
  </si>
  <si>
    <t>Activity for Year prior to Rate Year</t>
  </si>
  <si>
    <t>Ending Balance of Account 190 for EDIT Tax Gross Up Offset</t>
  </si>
  <si>
    <t>Line 22 + Line 23</t>
  </si>
  <si>
    <t>Ending Balance of Prorated items</t>
  </si>
  <si>
    <t>(Line 17, Col H)</t>
  </si>
  <si>
    <t>Amount for Attachment H before Allocation</t>
  </si>
  <si>
    <t>Line 24 + Line 25</t>
  </si>
  <si>
    <t>Weighted Average EDIT/DDIT Net Plant Allocation Factor</t>
  </si>
  <si>
    <t>Worksheet A3.1, Ln 359 Col (j)</t>
  </si>
  <si>
    <t>Amount for Attachment H</t>
  </si>
  <si>
    <t>Line 26 * Line 27</t>
  </si>
  <si>
    <t>Page 2 of 5</t>
  </si>
  <si>
    <t>Account 281</t>
  </si>
  <si>
    <t>Beginning Balance (Enter Negative)</t>
  </si>
  <si>
    <t>272.b</t>
  </si>
  <si>
    <t>Less non Prorated Items</t>
  </si>
  <si>
    <t>Beginning Balance of Prorated items</t>
  </si>
  <si>
    <t>Ending Balance</t>
  </si>
  <si>
    <t>273.k</t>
  </si>
  <si>
    <t>(Line 53)</t>
  </si>
  <si>
    <t>Page 3 of 5</t>
  </si>
  <si>
    <t>Account 282</t>
  </si>
  <si>
    <t>December 31st balance Prorated Items From Latest FF1</t>
  </si>
  <si>
    <t>Worksheet A3, Column d, Line 3</t>
  </si>
  <si>
    <t>Allocation Factor "GP"</t>
  </si>
  <si>
    <t>Projected Attachment H, Page 5, Line 6</t>
  </si>
  <si>
    <t>Allocated December 31st Balance Transmission Items</t>
  </si>
  <si>
    <t>(Line 74 * Line 75)</t>
  </si>
  <si>
    <t>Worksheet P1, Page 3, Column t, Line 27a</t>
  </si>
  <si>
    <t>Beginning Balance</t>
  </si>
  <si>
    <t>(Line 76 + Line 77)</t>
  </si>
  <si>
    <t>Prorated Balance of Rate Year</t>
  </si>
  <si>
    <t>(Line 78 + Line 79)</t>
  </si>
  <si>
    <t>(Line 80)</t>
  </si>
  <si>
    <t>Page 4 of 5</t>
  </si>
  <si>
    <t>Account 283</t>
  </si>
  <si>
    <t>276.b</t>
  </si>
  <si>
    <t>Worksheet A3, Pg 1, Col D, Line 4</t>
  </si>
  <si>
    <t>(Line 107)</t>
  </si>
  <si>
    <t>Page 5 of 5</t>
  </si>
  <si>
    <t>Net of Account 254 &amp; 182.3</t>
  </si>
  <si>
    <t>Beginning Balance of Rate Year -1</t>
  </si>
  <si>
    <t>Worksheet A3.1, Ln 355 Col (e)</t>
  </si>
  <si>
    <t>Worksheet A3.1, Ln 355 Col (c)</t>
  </si>
  <si>
    <t>Ending Balance of Rate Year -1</t>
  </si>
  <si>
    <t>Line 128 + Line 129</t>
  </si>
  <si>
    <t xml:space="preserve">Beginning Balance of Rate Year </t>
  </si>
  <si>
    <t>Line 130</t>
  </si>
  <si>
    <t>(Line 126, Col H)</t>
  </si>
  <si>
    <t>Line 131 + Line 132</t>
  </si>
  <si>
    <t>Line 133</t>
  </si>
  <si>
    <t>Line 135 * Line 136</t>
  </si>
  <si>
    <t>Revenue Requirement</t>
  </si>
  <si>
    <t>Total Load Dispatch and Scheduling (Account 561)</t>
  </si>
  <si>
    <t>321.85-92.b</t>
  </si>
  <si>
    <t>Less:  Scheduling, System Control &amp; Dispatch Services (Account 561.4)</t>
  </si>
  <si>
    <t>321.88.b</t>
  </si>
  <si>
    <t>Less: Reliability, Planning and Standards Development (Account 561.5)</t>
  </si>
  <si>
    <t>321.89.b</t>
  </si>
  <si>
    <t>Less: Transmission Service Studies (Account 561.6)</t>
  </si>
  <si>
    <t>321.90.b</t>
  </si>
  <si>
    <t>Less: Generation Interconnection Studies (Account 561.7)</t>
  </si>
  <si>
    <t>321.91.b</t>
  </si>
  <si>
    <t>Less: Reliability, Planning &amp; Standards Development Services (Account 561.8)</t>
  </si>
  <si>
    <t>321.92.b</t>
  </si>
  <si>
    <t>Total 561 Costs for Schedule 1 Annual Rev Req</t>
  </si>
  <si>
    <t>Line 2 less Lines 3 through 7</t>
  </si>
  <si>
    <t>Less:  Schedule 1 Point to Point Revenues</t>
  </si>
  <si>
    <t>398.1.g</t>
  </si>
  <si>
    <t>Actual Schedule 1 Annual Rev Req (before True Up)</t>
  </si>
  <si>
    <t>Line 8 less Line 10</t>
  </si>
  <si>
    <t>True Up Adjustment</t>
  </si>
  <si>
    <t>Actual Revenue Requirement</t>
  </si>
  <si>
    <t>Line 8</t>
  </si>
  <si>
    <t>Originally Projected Revenue Requirement without True Up Adjustment</t>
  </si>
  <si>
    <t>Previous Filing (Note B)</t>
  </si>
  <si>
    <t>True-up Amount (before interest)</t>
  </si>
  <si>
    <t>Line 15 - Line 16</t>
  </si>
  <si>
    <t xml:space="preserve">Interest Rate on True-up Amount </t>
  </si>
  <si>
    <t>(Worksheet TU, Line 34)</t>
  </si>
  <si>
    <t>Interest on True-up Amount</t>
  </si>
  <si>
    <t>Line 17 * Line 18 * 24 / 12</t>
  </si>
  <si>
    <t>True-up Adjustment</t>
  </si>
  <si>
    <t>Line 17 + Line 19</t>
  </si>
  <si>
    <t>Net Schedule 1 Annual Rev Req</t>
  </si>
  <si>
    <t>Line 12 + Line 20 (Note A)</t>
  </si>
  <si>
    <t>(Worksheet P3, Line 15)</t>
  </si>
  <si>
    <t>Net Schedule 1 Annual Revenue Requirement projection is set to Actual amount from previous year plus Sch 1 True Up Adjustment</t>
  </si>
  <si>
    <t>Explanatory comment(s) for Originally Projected Sch 1 Rev Req without True Up Adjustment from Previous Filing:</t>
  </si>
  <si>
    <t xml:space="preserve">     True Up Adjustment is not applicable in first year when transitioning from stated rate to formula rate, so line 16 is set equal to</t>
  </si>
  <si>
    <t xml:space="preserve">     line 15 to ensure that True-up Amount (before interest)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</si>
</sst>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1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
      <sz val="8"/>
      <name val="Arial MT"/>
    </font>
    <font>
      <sz val="12"/>
      <color theme="1"/>
      <name val="Arial MT"/>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85">
    <xf numFmtId="172" fontId="0" fillId="0" borderId="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0" fontId="11"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38" fontId="35" fillId="0" borderId="0" applyBorder="0" applyAlignment="0"/>
    <xf numFmtId="175" fontId="31" fillId="53" borderId="16">
      <alignment horizontal="center" vertical="center"/>
    </xf>
    <xf numFmtId="176" fontId="11" fillId="0" borderId="17">
      <alignment horizontal="left"/>
    </xf>
    <xf numFmtId="0" fontId="36" fillId="0" borderId="0"/>
    <xf numFmtId="0" fontId="37" fillId="36" borderId="0" applyNumberFormat="0" applyBorder="0" applyAlignment="0" applyProtection="0"/>
    <xf numFmtId="0" fontId="38" fillId="0" borderId="0" applyNumberFormat="0" applyFill="0" applyBorder="0" applyAlignment="0" applyProtection="0"/>
    <xf numFmtId="177" fontId="39" fillId="0" borderId="1" applyNumberFormat="0" applyFill="0" applyAlignment="0" applyProtection="0">
      <alignment horizontal="center"/>
    </xf>
    <xf numFmtId="178" fontId="39" fillId="0" borderId="3" applyFill="0" applyAlignment="0" applyProtection="0">
      <alignment horizontal="center"/>
    </xf>
    <xf numFmtId="38" fontId="11" fillId="0" borderId="0">
      <alignment horizontal="right"/>
    </xf>
    <xf numFmtId="37" fontId="40" fillId="0" borderId="0" applyFill="0">
      <alignment horizontal="right"/>
    </xf>
    <xf numFmtId="37" fontId="40" fillId="0" borderId="0">
      <alignment horizontal="right"/>
    </xf>
    <xf numFmtId="0" fontId="40" fillId="0" borderId="0" applyFill="0">
      <alignment horizontal="center"/>
    </xf>
    <xf numFmtId="37" fontId="40" fillId="0" borderId="18" applyFill="0">
      <alignment horizontal="right"/>
    </xf>
    <xf numFmtId="37" fontId="40" fillId="0" borderId="0">
      <alignment horizontal="right"/>
    </xf>
    <xf numFmtId="0" fontId="41" fillId="0" borderId="0" applyFill="0">
      <alignment vertical="top"/>
    </xf>
    <xf numFmtId="0" fontId="42" fillId="0" borderId="0" applyFill="0">
      <alignment horizontal="left" vertical="top"/>
    </xf>
    <xf numFmtId="37" fontId="40" fillId="0" borderId="4" applyFill="0">
      <alignment horizontal="right"/>
    </xf>
    <xf numFmtId="0" fontId="11" fillId="0" borderId="0" applyNumberFormat="0" applyFont="0" applyAlignment="0"/>
    <xf numFmtId="0" fontId="41" fillId="0" borderId="0" applyFill="0">
      <alignment wrapText="1"/>
    </xf>
    <xf numFmtId="0" fontId="42"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4" fillId="0" borderId="0" applyFill="0">
      <alignment vertical="top" wrapText="1"/>
    </xf>
    <xf numFmtId="0" fontId="30"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5" fillId="0" borderId="0" applyFill="0">
      <alignment vertical="center" wrapText="1"/>
    </xf>
    <xf numFmtId="0" fontId="29" fillId="0" borderId="0">
      <alignment horizontal="left" vertical="center" wrapText="1"/>
    </xf>
    <xf numFmtId="37" fontId="40" fillId="0" borderId="0" applyFill="0">
      <alignment horizontal="right"/>
    </xf>
    <xf numFmtId="0" fontId="43" fillId="0" borderId="0" applyNumberFormat="0" applyFont="0" applyAlignment="0">
      <alignment horizontal="center"/>
    </xf>
    <xf numFmtId="0" fontId="46" fillId="0" borderId="0" applyFill="0">
      <alignment horizontal="center" vertical="center" wrapText="1"/>
    </xf>
    <xf numFmtId="0" fontId="11"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50" fillId="0" borderId="0">
      <alignment horizontal="center" wrapText="1"/>
    </xf>
    <xf numFmtId="0" fontId="51" fillId="0" borderId="0" applyFill="0">
      <alignment horizontal="center" wrapText="1"/>
    </xf>
    <xf numFmtId="0" fontId="52" fillId="54" borderId="19" applyNumberFormat="0" applyAlignment="0" applyProtection="0"/>
    <xf numFmtId="0" fontId="53" fillId="55" borderId="20" applyNumberFormat="0" applyAlignment="0" applyProtection="0"/>
    <xf numFmtId="179" fontId="32" fillId="0" borderId="0" applyFont="0" applyFill="0" applyBorder="0" applyAlignment="0" applyProtection="0"/>
    <xf numFmtId="43" fontId="9" fillId="0" borderId="0" applyFont="0" applyFill="0" applyBorder="0" applyAlignment="0" applyProtection="0"/>
    <xf numFmtId="43" fontId="54" fillId="0" borderId="0" applyFont="0" applyFill="0" applyBorder="0" applyAlignment="0" applyProtection="0"/>
    <xf numFmtId="0" fontId="55" fillId="0" borderId="0"/>
    <xf numFmtId="44" fontId="11" fillId="0" borderId="0" applyFont="0" applyFill="0" applyBorder="0" applyAlignment="0" applyProtection="0"/>
    <xf numFmtId="180" fontId="11" fillId="0" borderId="17">
      <alignment horizontal="center"/>
    </xf>
    <xf numFmtId="181" fontId="56" fillId="0" borderId="0" applyFont="0" applyFill="0" applyBorder="0" applyAlignment="0" applyProtection="0"/>
    <xf numFmtId="0" fontId="57" fillId="0" borderId="0" applyNumberFormat="0" applyFill="0" applyBorder="0" applyAlignment="0" applyProtection="0"/>
    <xf numFmtId="182" fontId="11" fillId="0" borderId="0">
      <protection locked="0"/>
    </xf>
    <xf numFmtId="0" fontId="58" fillId="0" borderId="0"/>
    <xf numFmtId="0" fontId="59" fillId="0" borderId="0"/>
    <xf numFmtId="0" fontId="60" fillId="0" borderId="0"/>
    <xf numFmtId="0" fontId="61" fillId="37" borderId="0" applyNumberFormat="0" applyBorder="0" applyAlignment="0" applyProtection="0"/>
    <xf numFmtId="38" fontId="40" fillId="56" borderId="0" applyNumberFormat="0" applyBorder="0" applyAlignment="0" applyProtection="0"/>
    <xf numFmtId="0" fontId="62" fillId="0" borderId="0" applyNumberFormat="0" applyFill="0" applyBorder="0" applyAlignment="0" applyProtection="0"/>
    <xf numFmtId="0" fontId="30" fillId="0" borderId="21" applyNumberFormat="0" applyAlignment="0" applyProtection="0">
      <alignment horizontal="left" vertical="center"/>
    </xf>
    <xf numFmtId="0" fontId="30" fillId="0" borderId="15">
      <alignment horizontal="left" vertical="center"/>
    </xf>
    <xf numFmtId="0" fontId="63" fillId="0" borderId="0">
      <alignment horizontal="center"/>
    </xf>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183" fontId="11" fillId="0" borderId="0">
      <protection locked="0"/>
    </xf>
    <xf numFmtId="183" fontId="11" fillId="0" borderId="0">
      <protection locked="0"/>
    </xf>
    <xf numFmtId="0" fontId="67" fillId="0" borderId="25" applyNumberFormat="0" applyFill="0" applyAlignment="0" applyProtection="0"/>
    <xf numFmtId="10" fontId="40" fillId="57" borderId="17" applyNumberFormat="0" applyBorder="0" applyAlignment="0" applyProtection="0"/>
    <xf numFmtId="0" fontId="68" fillId="40" borderId="19" applyNumberFormat="0" applyAlignment="0" applyProtection="0"/>
    <xf numFmtId="0" fontId="40" fillId="56" borderId="0"/>
    <xf numFmtId="0" fontId="69" fillId="0" borderId="26" applyNumberFormat="0" applyFill="0" applyAlignment="0" applyProtection="0"/>
    <xf numFmtId="184" fontId="11" fillId="0" borderId="17">
      <alignment horizontal="center"/>
    </xf>
    <xf numFmtId="185" fontId="70" fillId="0" borderId="0"/>
    <xf numFmtId="17" fontId="71" fillId="0" borderId="0">
      <alignment horizontal="center"/>
    </xf>
    <xf numFmtId="186" fontId="11" fillId="0" borderId="0" applyFont="0" applyFill="0" applyBorder="0" applyAlignment="0" applyProtection="0"/>
    <xf numFmtId="187" fontId="11" fillId="0" borderId="0" applyFont="0" applyFill="0" applyBorder="0" applyAlignment="0" applyProtection="0"/>
    <xf numFmtId="0" fontId="72" fillId="58" borderId="0" applyNumberFormat="0" applyBorder="0" applyAlignment="0" applyProtection="0"/>
    <xf numFmtId="43" fontId="73" fillId="0" borderId="0" applyNumberFormat="0" applyFill="0" applyBorder="0" applyAlignment="0" applyProtection="0"/>
    <xf numFmtId="0" fontId="39" fillId="0" borderId="0" applyNumberFormat="0" applyFill="0" applyAlignment="0" applyProtection="0"/>
    <xf numFmtId="37" fontId="74" fillId="0" borderId="0"/>
    <xf numFmtId="188" fontId="75" fillId="0" borderId="0"/>
    <xf numFmtId="172" fontId="12" fillId="0" borderId="0" applyProtection="0"/>
    <xf numFmtId="0" fontId="11" fillId="0" borderId="0"/>
    <xf numFmtId="0" fontId="9" fillId="0" borderId="0"/>
    <xf numFmtId="0" fontId="54" fillId="0" borderId="0"/>
    <xf numFmtId="0" fontId="11" fillId="0" borderId="17">
      <alignment horizontal="center" wrapText="1"/>
    </xf>
    <xf numFmtId="2" fontId="11" fillId="0" borderId="17">
      <alignment horizontal="center"/>
    </xf>
    <xf numFmtId="189" fontId="76" fillId="0" borderId="17" applyFont="0">
      <alignment horizontal="center"/>
    </xf>
    <xf numFmtId="0" fontId="11" fillId="59" borderId="27" applyNumberFormat="0" applyFont="0" applyAlignment="0" applyProtection="0"/>
    <xf numFmtId="1" fontId="11" fillId="0" borderId="17">
      <alignment horizontal="center"/>
    </xf>
    <xf numFmtId="0" fontId="77" fillId="54" borderId="28" applyNumberFormat="0" applyAlignment="0" applyProtection="0"/>
    <xf numFmtId="10"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78" fillId="0" borderId="1">
      <alignment horizontal="center"/>
    </xf>
    <xf numFmtId="3" fontId="32" fillId="0" borderId="0" applyFont="0" applyFill="0" applyBorder="0" applyAlignment="0" applyProtection="0"/>
    <xf numFmtId="0" fontId="32" fillId="60" borderId="0" applyNumberFormat="0" applyFont="0" applyBorder="0" applyAlignment="0" applyProtection="0"/>
    <xf numFmtId="37" fontId="40" fillId="56" borderId="0" applyFill="0">
      <alignment horizontal="right"/>
    </xf>
    <xf numFmtId="0" fontId="47" fillId="0" borderId="0">
      <alignment horizontal="left"/>
    </xf>
    <xf numFmtId="0" fontId="40" fillId="0" borderId="0" applyFill="0">
      <alignment horizontal="left"/>
    </xf>
    <xf numFmtId="37" fontId="40" fillId="0" borderId="3" applyFill="0">
      <alignment horizontal="right"/>
    </xf>
    <xf numFmtId="0" fontId="76" fillId="0" borderId="17" applyNumberFormat="0" applyFont="0" applyBorder="0">
      <alignment horizontal="right"/>
    </xf>
    <xf numFmtId="0" fontId="79" fillId="0" borderId="0" applyFill="0"/>
    <xf numFmtId="0" fontId="40" fillId="0" borderId="0" applyFill="0">
      <alignment horizontal="left"/>
    </xf>
    <xf numFmtId="190" fontId="40" fillId="0" borderId="3" applyFill="0">
      <alignment horizontal="right"/>
    </xf>
    <xf numFmtId="0" fontId="11" fillId="0" borderId="0" applyNumberFormat="0" applyFont="0" applyBorder="0" applyAlignment="0"/>
    <xf numFmtId="0" fontId="44" fillId="0" borderId="0" applyFill="0">
      <alignment horizontal="left" indent="1"/>
    </xf>
    <xf numFmtId="0" fontId="47" fillId="0" borderId="0" applyFill="0">
      <alignment horizontal="left"/>
    </xf>
    <xf numFmtId="37" fontId="40" fillId="0" borderId="0" applyFill="0">
      <alignment horizontal="right"/>
    </xf>
    <xf numFmtId="0" fontId="11" fillId="0" borderId="0" applyNumberFormat="0" applyFont="0" applyFill="0" applyBorder="0" applyAlignment="0"/>
    <xf numFmtId="0" fontId="44" fillId="0" borderId="0" applyFill="0">
      <alignment horizontal="left" indent="2"/>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80" fillId="0" borderId="0">
      <alignment horizontal="left" indent="3"/>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46" fillId="0" borderId="0">
      <alignment horizontal="left" indent="4"/>
    </xf>
    <xf numFmtId="0" fontId="40" fillId="0" borderId="0" applyFill="0">
      <alignment horizontal="left"/>
    </xf>
    <xf numFmtId="37" fontId="47" fillId="0" borderId="0" applyFill="0">
      <alignment horizontal="right"/>
    </xf>
    <xf numFmtId="0" fontId="11" fillId="0" borderId="0" applyNumberFormat="0" applyFont="0" applyBorder="0" applyAlignment="0"/>
    <xf numFmtId="0" fontId="48" fillId="0" borderId="0">
      <alignment horizontal="left" indent="5"/>
    </xf>
    <xf numFmtId="0" fontId="47" fillId="0" borderId="0" applyFill="0">
      <alignment horizontal="left"/>
    </xf>
    <xf numFmtId="37" fontId="47" fillId="0" borderId="0" applyFill="0">
      <alignment horizontal="right"/>
    </xf>
    <xf numFmtId="0" fontId="11" fillId="0" borderId="0" applyNumberFormat="0" applyFont="0" applyFill="0" applyBorder="0" applyAlignment="0"/>
    <xf numFmtId="0" fontId="50" fillId="0" borderId="0" applyFill="0">
      <alignment horizontal="left" indent="6"/>
    </xf>
    <xf numFmtId="0" fontId="47" fillId="0" borderId="0" applyFill="0">
      <alignment horizontal="left"/>
    </xf>
    <xf numFmtId="38" fontId="81" fillId="2" borderId="3">
      <alignment horizontal="right"/>
    </xf>
    <xf numFmtId="38" fontId="11" fillId="61" borderId="0" applyNumberFormat="0" applyFont="0" applyBorder="0" applyAlignment="0" applyProtection="0"/>
    <xf numFmtId="0" fontId="82" fillId="0" borderId="0" applyNumberFormat="0" applyAlignment="0">
      <alignment horizontal="centerContinuous"/>
    </xf>
    <xf numFmtId="0" fontId="39" fillId="0" borderId="3" applyNumberFormat="0" applyFill="0" applyAlignment="0" applyProtection="0"/>
    <xf numFmtId="37" fontId="83" fillId="0" borderId="0" applyNumberFormat="0">
      <alignment horizontal="left"/>
    </xf>
    <xf numFmtId="191" fontId="11" fillId="0" borderId="17">
      <alignment horizontal="center" wrapText="1"/>
    </xf>
    <xf numFmtId="38" fontId="32" fillId="0" borderId="0" applyFont="0" applyFill="0" applyBorder="0" applyAlignment="0" applyProtection="0"/>
    <xf numFmtId="38" fontId="32" fillId="0" borderId="0" applyFont="0" applyFill="0" applyBorder="0" applyAlignment="0" applyProtection="0"/>
    <xf numFmtId="0" fontId="11" fillId="0" borderId="0" applyNumberFormat="0" applyFill="0" applyBorder="0" applyProtection="0">
      <alignment horizontal="right" wrapText="1"/>
    </xf>
    <xf numFmtId="192" fontId="11" fillId="0" borderId="0" applyFill="0" applyBorder="0" applyAlignment="0" applyProtection="0">
      <alignment wrapText="1"/>
    </xf>
    <xf numFmtId="37" fontId="84" fillId="0" borderId="0" applyNumberFormat="0">
      <alignment horizontal="left"/>
    </xf>
    <xf numFmtId="37" fontId="85" fillId="0" borderId="0" applyNumberFormat="0">
      <alignment horizontal="left"/>
    </xf>
    <xf numFmtId="37" fontId="86" fillId="0" borderId="0" applyNumberFormat="0">
      <alignment horizontal="left"/>
    </xf>
    <xf numFmtId="185" fontId="87" fillId="0" borderId="0"/>
    <xf numFmtId="40" fontId="88" fillId="0" borderId="0"/>
    <xf numFmtId="0" fontId="89" fillId="0" borderId="0" applyNumberFormat="0" applyFill="0" applyBorder="0" applyAlignment="0" applyProtection="0"/>
    <xf numFmtId="0" fontId="90" fillId="0" borderId="29" applyNumberFormat="0" applyFill="0" applyAlignment="0" applyProtection="0"/>
    <xf numFmtId="37" fontId="40" fillId="2" borderId="0" applyNumberFormat="0" applyBorder="0" applyAlignment="0" applyProtection="0"/>
    <xf numFmtId="37" fontId="40" fillId="0" borderId="0"/>
    <xf numFmtId="3" fontId="91" fillId="0" borderId="25" applyProtection="0"/>
    <xf numFmtId="0" fontId="92" fillId="0" borderId="0" applyNumberForma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20"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93"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32"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13"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93" fillId="29"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4"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94"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94"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3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94"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94"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94"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94"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95"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96" fillId="8"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97"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0"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2"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4" fillId="0" borderId="6"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6" fillId="0" borderId="7"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alignment vertical="top"/>
      <protection locked="0"/>
    </xf>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108" fillId="7"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109"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93" fillId="10" borderId="12"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112" fillId="8"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114"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72" fontId="12" fillId="0" borderId="0" applyProtection="0"/>
    <xf numFmtId="0" fontId="31" fillId="0" borderId="0"/>
    <xf numFmtId="0" fontId="11" fillId="0" borderId="0"/>
    <xf numFmtId="194" fontId="11" fillId="65" borderId="0" applyNumberFormat="0" applyFill="0" applyBorder="0" applyAlignment="0" applyProtection="0">
      <alignment horizontal="right" vertical="center"/>
    </xf>
    <xf numFmtId="194" fontId="67" fillId="0" borderId="0" applyNumberFormat="0" applyFill="0" applyBorder="0" applyAlignment="0" applyProtection="0"/>
    <xf numFmtId="0" fontId="11" fillId="0" borderId="3" applyNumberFormat="0" applyFont="0" applyFill="0" applyAlignment="0" applyProtection="0"/>
    <xf numFmtId="195" fontId="10" fillId="0" borderId="0" applyFont="0" applyFill="0" applyBorder="0" applyAlignment="0" applyProtection="0"/>
    <xf numFmtId="37" fontId="116" fillId="0" borderId="0" applyFont="0" applyFill="0" applyBorder="0" applyAlignment="0" applyProtection="0">
      <alignment vertical="center"/>
      <protection locked="0"/>
    </xf>
    <xf numFmtId="196" fontId="31" fillId="0" borderId="0" applyFont="0" applyFill="0" applyBorder="0" applyAlignment="0" applyProtection="0"/>
    <xf numFmtId="0" fontId="117" fillId="0" borderId="0"/>
    <xf numFmtId="0" fontId="11" fillId="0" borderId="0" applyFill="0">
      <alignment horizontal="center" vertical="center" wrapText="1"/>
    </xf>
    <xf numFmtId="185" fontId="118" fillId="0" borderId="0" applyFont="0" applyFill="0" applyBorder="0" applyAlignment="0" applyProtection="0">
      <protection locked="0"/>
    </xf>
    <xf numFmtId="197" fontId="118" fillId="0" borderId="0" applyFont="0" applyFill="0" applyBorder="0" applyAlignment="0" applyProtection="0">
      <protection locked="0"/>
    </xf>
    <xf numFmtId="39" fontId="11" fillId="0" borderId="0" applyFont="0" applyFill="0" applyBorder="0" applyAlignment="0" applyProtection="0"/>
    <xf numFmtId="198" fontId="119" fillId="0" borderId="0" applyFont="0" applyFill="0" applyBorder="0" applyAlignment="0" applyProtection="0"/>
    <xf numFmtId="199" fontId="31" fillId="0" borderId="0" applyFont="0" applyFill="0" applyBorder="0" applyAlignment="0" applyProtection="0"/>
    <xf numFmtId="0" fontId="11" fillId="0" borderId="3" applyNumberFormat="0" applyFont="0" applyFill="0" applyBorder="0" applyProtection="0">
      <alignment horizontal="centerContinuous" vertical="center"/>
    </xf>
    <xf numFmtId="0" fontId="120" fillId="0" borderId="0" applyFill="0" applyBorder="0" applyProtection="0">
      <alignment horizontal="center"/>
      <protection locked="0"/>
    </xf>
    <xf numFmtId="41" fontId="93" fillId="0" borderId="0" applyFont="0" applyFill="0" applyBorder="0" applyAlignment="0" applyProtection="0"/>
    <xf numFmtId="41" fontId="9" fillId="0" borderId="0" applyFont="0" applyFill="0" applyBorder="0" applyAlignment="0" applyProtection="0"/>
    <xf numFmtId="200" fontId="39" fillId="0" borderId="0" applyFont="0" applyFill="0" applyBorder="0" applyAlignment="0" applyProtection="0"/>
    <xf numFmtId="201" fontId="121" fillId="0" borderId="0" applyFont="0" applyFill="0" applyBorder="0" applyAlignment="0" applyProtection="0"/>
    <xf numFmtId="202" fontId="121" fillId="0" borderId="0" applyFont="0" applyFill="0" applyBorder="0" applyAlignment="0" applyProtection="0"/>
    <xf numFmtId="203" fontId="122" fillId="0" borderId="0" applyFont="0" applyFill="0" applyBorder="0" applyAlignment="0" applyProtection="0">
      <protection locked="0"/>
    </xf>
    <xf numFmtId="3" fontId="11" fillId="0" borderId="0" applyFont="0" applyFill="0" applyBorder="0" applyAlignment="0" applyProtection="0"/>
    <xf numFmtId="0" fontId="42" fillId="0" borderId="0" applyFill="0" applyBorder="0" applyAlignment="0" applyProtection="0">
      <protection locked="0"/>
    </xf>
    <xf numFmtId="0" fontId="11" fillId="0" borderId="35"/>
    <xf numFmtId="204" fontId="121" fillId="0" borderId="0" applyFont="0" applyFill="0" applyBorder="0" applyAlignment="0" applyProtection="0"/>
    <xf numFmtId="205" fontId="121" fillId="0" borderId="0" applyFont="0" applyFill="0" applyBorder="0" applyAlignment="0" applyProtection="0"/>
    <xf numFmtId="206" fontId="121" fillId="0" borderId="0" applyFont="0" applyFill="0" applyBorder="0" applyAlignment="0" applyProtection="0"/>
    <xf numFmtId="207" fontId="122" fillId="0" borderId="0" applyFont="0" applyFill="0" applyBorder="0" applyAlignment="0" applyProtection="0">
      <protection locked="0"/>
    </xf>
    <xf numFmtId="5" fontId="11" fillId="0" borderId="0" applyFont="0" applyFill="0" applyBorder="0" applyAlignment="0" applyProtection="0"/>
    <xf numFmtId="5" fontId="11" fillId="0" borderId="0" applyFont="0" applyFill="0" applyBorder="0" applyAlignment="0" applyProtection="0"/>
    <xf numFmtId="208" fontId="31" fillId="0" borderId="0" applyFont="0" applyFill="0" applyBorder="0" applyAlignment="0" applyProtection="0"/>
    <xf numFmtId="209" fontId="11" fillId="0" borderId="0" applyFont="0" applyFill="0" applyBorder="0" applyAlignment="0" applyProtection="0"/>
    <xf numFmtId="210" fontId="118" fillId="0" borderId="0" applyFont="0" applyFill="0" applyBorder="0" applyAlignment="0" applyProtection="0">
      <protection locked="0"/>
    </xf>
    <xf numFmtId="7" fontId="40" fillId="0" borderId="0" applyFont="0" applyFill="0" applyBorder="0" applyAlignment="0" applyProtection="0"/>
    <xf numFmtId="211" fontId="119" fillId="0" borderId="0" applyFont="0" applyFill="0" applyBorder="0" applyAlignment="0" applyProtection="0"/>
    <xf numFmtId="212" fontId="123" fillId="0" borderId="0" applyFont="0" applyFill="0" applyBorder="0" applyAlignment="0" applyProtection="0"/>
    <xf numFmtId="0" fontId="124" fillId="66" borderId="36" applyNumberFormat="0" applyFont="0" applyFill="0" applyAlignment="0" applyProtection="0">
      <alignment horizontal="left" indent="1"/>
    </xf>
    <xf numFmtId="5" fontId="125" fillId="0" borderId="0" applyBorder="0"/>
    <xf numFmtId="209" fontId="125" fillId="0" borderId="0" applyBorder="0"/>
    <xf numFmtId="7" fontId="125" fillId="0" borderId="0" applyBorder="0"/>
    <xf numFmtId="37" fontId="125" fillId="0" borderId="0" applyBorder="0"/>
    <xf numFmtId="185" fontId="125" fillId="0" borderId="0" applyBorder="0"/>
    <xf numFmtId="213" fontId="125" fillId="0" borderId="0" applyBorder="0"/>
    <xf numFmtId="39" fontId="125" fillId="0" borderId="0" applyBorder="0"/>
    <xf numFmtId="214" fontId="125" fillId="0" borderId="0" applyBorder="0"/>
    <xf numFmtId="7" fontId="11" fillId="0" borderId="0" applyFont="0" applyFill="0" applyBorder="0" applyAlignment="0" applyProtection="0"/>
    <xf numFmtId="215" fontId="31" fillId="0" borderId="0" applyFont="0" applyFill="0" applyBorder="0" applyAlignment="0" applyProtection="0"/>
    <xf numFmtId="216" fontId="31" fillId="0" borderId="0" applyFont="0" applyFill="0" applyAlignment="0" applyProtection="0"/>
    <xf numFmtId="215" fontId="31" fillId="0" borderId="0" applyFont="0" applyFill="0" applyBorder="0" applyAlignment="0" applyProtection="0"/>
    <xf numFmtId="185" fontId="126" fillId="0" borderId="0" applyNumberFormat="0" applyFill="0" applyBorder="0" applyAlignment="0" applyProtection="0"/>
    <xf numFmtId="0" fontId="40" fillId="0" borderId="0" applyFont="0" applyFill="0" applyBorder="0" applyAlignment="0" applyProtection="0"/>
    <xf numFmtId="0" fontId="126" fillId="0" borderId="0" applyNumberFormat="0" applyFill="0" applyBorder="0" applyAlignment="0" applyProtection="0"/>
    <xf numFmtId="0" fontId="120" fillId="0" borderId="0" applyFill="0" applyAlignment="0" applyProtection="0">
      <protection locked="0"/>
    </xf>
    <xf numFmtId="0" fontId="120" fillId="0" borderId="3" applyFill="0" applyAlignment="0" applyProtection="0">
      <protection locked="0"/>
    </xf>
    <xf numFmtId="0" fontId="127" fillId="0" borderId="3" applyNumberFormat="0" applyFill="0" applyAlignment="0" applyProtection="0"/>
    <xf numFmtId="0" fontId="128" fillId="62" borderId="17" applyNumberFormat="0" applyAlignment="0" applyProtection="0"/>
    <xf numFmtId="5" fontId="129" fillId="0" borderId="0" applyBorder="0"/>
    <xf numFmtId="209" fontId="129" fillId="0" borderId="0" applyBorder="0"/>
    <xf numFmtId="7" fontId="129" fillId="0" borderId="0" applyBorder="0"/>
    <xf numFmtId="37" fontId="129" fillId="0" borderId="0" applyBorder="0"/>
    <xf numFmtId="185" fontId="129" fillId="0" borderId="0" applyBorder="0"/>
    <xf numFmtId="213" fontId="129" fillId="0" borderId="0" applyBorder="0"/>
    <xf numFmtId="39" fontId="129" fillId="0" borderId="0" applyBorder="0"/>
    <xf numFmtId="214" fontId="129" fillId="0" borderId="0" applyBorder="0"/>
    <xf numFmtId="0" fontId="130" fillId="0" borderId="37" applyNumberFormat="0" applyFont="0" applyFill="0" applyAlignment="0" applyProtection="0"/>
    <xf numFmtId="217"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0" fontId="11" fillId="0" borderId="0"/>
    <xf numFmtId="222" fontId="11" fillId="0" borderId="0" applyFont="0" applyFill="0" applyBorder="0" applyAlignment="0" applyProtection="0"/>
    <xf numFmtId="223" fontId="98" fillId="67" borderId="0" applyFont="0" applyFill="0" applyBorder="0" applyAlignment="0" applyProtection="0"/>
    <xf numFmtId="224" fontId="98" fillId="67" borderId="0" applyFont="0" applyFill="0" applyBorder="0" applyAlignment="0" applyProtection="0"/>
    <xf numFmtId="225" fontId="11" fillId="0" borderId="0" applyFont="0" applyFill="0" applyBorder="0" applyAlignment="0" applyProtection="0"/>
    <xf numFmtId="226" fontId="121" fillId="0" borderId="0" applyFont="0" applyFill="0" applyBorder="0" applyAlignment="0" applyProtection="0"/>
    <xf numFmtId="227" fontId="39" fillId="0" borderId="0" applyFont="0" applyFill="0" applyBorder="0" applyAlignment="0" applyProtection="0"/>
    <xf numFmtId="228" fontId="11" fillId="0" borderId="0" applyFont="0" applyFill="0" applyBorder="0" applyAlignment="0" applyProtection="0"/>
    <xf numFmtId="229" fontId="121" fillId="0" borderId="0" applyFont="0" applyFill="0" applyBorder="0" applyAlignment="0" applyProtection="0"/>
    <xf numFmtId="230" fontId="39" fillId="0" borderId="0" applyFont="0" applyFill="0" applyBorder="0" applyAlignment="0" applyProtection="0"/>
    <xf numFmtId="231" fontId="121" fillId="0" borderId="0" applyFont="0" applyFill="0" applyBorder="0" applyAlignment="0" applyProtection="0"/>
    <xf numFmtId="232" fontId="39" fillId="0" borderId="0" applyFont="0" applyFill="0" applyBorder="0" applyAlignment="0" applyProtection="0"/>
    <xf numFmtId="233" fontId="121" fillId="0" borderId="0" applyFont="0" applyFill="0" applyBorder="0" applyAlignment="0" applyProtection="0"/>
    <xf numFmtId="234" fontId="39" fillId="0" borderId="0" applyFont="0" applyFill="0" applyBorder="0" applyAlignment="0" applyProtection="0"/>
    <xf numFmtId="235" fontId="122" fillId="0" borderId="0" applyFont="0" applyFill="0" applyBorder="0" applyAlignment="0" applyProtection="0">
      <protection locked="0"/>
    </xf>
    <xf numFmtId="236" fontId="39"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93" fillId="0" borderId="0" applyFont="0" applyFill="0" applyBorder="0" applyAlignment="0" applyProtection="0"/>
    <xf numFmtId="9" fontId="9" fillId="0" borderId="0" applyFont="0" applyFill="0" applyBorder="0" applyAlignment="0" applyProtection="0"/>
    <xf numFmtId="9" fontId="125" fillId="0" borderId="0" applyBorder="0"/>
    <xf numFmtId="237" fontId="125" fillId="0" borderId="0" applyBorder="0"/>
    <xf numFmtId="10" fontId="125" fillId="0" borderId="0" applyBorder="0"/>
    <xf numFmtId="3" fontId="11" fillId="0" borderId="0">
      <alignment horizontal="left" vertical="top"/>
    </xf>
    <xf numFmtId="3" fontId="11" fillId="0" borderId="0">
      <alignment horizontal="right" vertical="top"/>
    </xf>
    <xf numFmtId="0" fontId="11" fillId="0" borderId="0" applyFill="0">
      <alignment horizontal="left" indent="4"/>
    </xf>
    <xf numFmtId="0" fontId="130" fillId="0" borderId="38" applyNumberFormat="0" applyFont="0" applyFill="0" applyAlignment="0" applyProtection="0"/>
    <xf numFmtId="0" fontId="131" fillId="0" borderId="0" applyNumberFormat="0" applyFill="0" applyBorder="0" applyAlignment="0" applyProtection="0"/>
    <xf numFmtId="0" fontId="132" fillId="0" borderId="0"/>
    <xf numFmtId="0" fontId="42" fillId="68" borderId="0"/>
    <xf numFmtId="0" fontId="11" fillId="56" borderId="35" applyNumberFormat="0" applyFont="0" applyAlignment="0"/>
    <xf numFmtId="0" fontId="130" fillId="66" borderId="0" applyNumberFormat="0" applyFont="0" applyBorder="0" applyAlignment="0" applyProtection="0"/>
    <xf numFmtId="223" fontId="133" fillId="0" borderId="15" applyNumberFormat="0" applyFont="0" applyFill="0" applyAlignment="0" applyProtection="0"/>
    <xf numFmtId="0" fontId="134" fillId="0" borderId="0" applyFill="0" applyBorder="0" applyProtection="0">
      <alignment horizontal="left" vertical="top"/>
    </xf>
    <xf numFmtId="0" fontId="11" fillId="0" borderId="4" applyNumberFormat="0" applyFont="0" applyFill="0" applyAlignment="0" applyProtection="0"/>
    <xf numFmtId="0" fontId="135" fillId="0" borderId="0" applyNumberFormat="0" applyFill="0" applyBorder="0" applyAlignment="0" applyProtection="0"/>
    <xf numFmtId="238" fontId="39" fillId="0" borderId="0" applyFont="0" applyFill="0" applyBorder="0" applyAlignment="0" applyProtection="0"/>
    <xf numFmtId="239" fontId="39" fillId="0" borderId="0" applyFont="0" applyFill="0" applyBorder="0" applyAlignment="0" applyProtection="0"/>
    <xf numFmtId="240" fontId="39" fillId="0" borderId="0" applyFont="0" applyFill="0" applyBorder="0" applyAlignment="0" applyProtection="0"/>
    <xf numFmtId="241" fontId="39" fillId="0" borderId="0" applyFont="0" applyFill="0" applyBorder="0" applyAlignment="0" applyProtection="0"/>
    <xf numFmtId="242" fontId="39" fillId="0" borderId="0" applyFont="0" applyFill="0" applyBorder="0" applyAlignment="0" applyProtection="0"/>
    <xf numFmtId="243" fontId="39" fillId="0" borderId="0" applyFont="0" applyFill="0" applyBorder="0" applyAlignment="0" applyProtection="0"/>
    <xf numFmtId="244" fontId="39" fillId="0" borderId="0" applyFont="0" applyFill="0" applyBorder="0" applyAlignment="0" applyProtection="0"/>
    <xf numFmtId="245" fontId="39" fillId="0" borderId="0" applyFont="0" applyFill="0" applyBorder="0" applyAlignment="0" applyProtection="0"/>
    <xf numFmtId="246" fontId="136" fillId="66" borderId="39" applyFont="0" applyFill="0" applyBorder="0" applyAlignment="0" applyProtection="0"/>
    <xf numFmtId="246" fontId="31" fillId="0" borderId="0" applyFont="0" applyFill="0" applyBorder="0" applyAlignment="0" applyProtection="0"/>
    <xf numFmtId="247" fontId="119" fillId="0" borderId="0" applyFont="0" applyFill="0" applyBorder="0" applyAlignment="0" applyProtection="0"/>
    <xf numFmtId="248" fontId="123" fillId="0" borderId="15" applyFont="0" applyFill="0" applyBorder="0" applyAlignment="0" applyProtection="0">
      <alignment horizontal="right"/>
      <protection locked="0"/>
    </xf>
    <xf numFmtId="0" fontId="56" fillId="0" borderId="0">
      <alignment vertical="top"/>
    </xf>
    <xf numFmtId="0" fontId="137" fillId="0" borderId="0"/>
    <xf numFmtId="0" fontId="11" fillId="0" borderId="0" applyNumberFormat="0" applyFill="0" applyBorder="0" applyAlignment="0" applyProtection="0"/>
    <xf numFmtId="0" fontId="11" fillId="0" borderId="0" applyNumberFormat="0" applyFill="0" applyBorder="0" applyAlignment="0" applyProtection="0"/>
    <xf numFmtId="175" fontId="31" fillId="53" borderId="16">
      <alignment horizontal="center" vertical="center"/>
    </xf>
    <xf numFmtId="0" fontId="138" fillId="0" borderId="0" applyNumberFormat="0" applyFont="0" applyFill="0" applyBorder="0" applyProtection="0">
      <alignment vertical="top" wrapText="1"/>
    </xf>
    <xf numFmtId="0" fontId="76" fillId="2" borderId="0" applyNumberFormat="0" applyFont="0" applyAlignment="0">
      <alignment vertical="top"/>
    </xf>
    <xf numFmtId="0" fontId="11" fillId="2" borderId="0" applyNumberFormat="0" applyFont="0" applyAlignment="0">
      <alignment vertical="top" wrapText="1"/>
    </xf>
    <xf numFmtId="249" fontId="134" fillId="0" borderId="37" applyNumberFormat="0" applyFill="0" applyBorder="0" applyAlignment="0" applyProtection="0">
      <alignment horizontal="center"/>
    </xf>
    <xf numFmtId="0" fontId="139" fillId="0" borderId="0"/>
    <xf numFmtId="250" fontId="140" fillId="0" borderId="0">
      <alignment horizontal="center" wrapText="1"/>
    </xf>
    <xf numFmtId="251" fontId="141" fillId="0" borderId="0" applyFont="0" applyFill="0" applyBorder="0" applyAlignment="0" applyProtection="0">
      <alignment vertical="center"/>
    </xf>
    <xf numFmtId="4" fontId="142" fillId="0" borderId="4" applyFont="0" applyFill="0" applyBorder="0" applyAlignment="0">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8" fontId="40" fillId="0" borderId="0">
      <alignment horizontal="right"/>
    </xf>
    <xf numFmtId="252" fontId="138" fillId="0" borderId="0" applyFont="0" applyFill="0" applyBorder="0" applyAlignment="0" applyProtection="0"/>
    <xf numFmtId="0" fontId="143" fillId="0" borderId="0"/>
    <xf numFmtId="253" fontId="144" fillId="0" borderId="0">
      <protection locked="0"/>
    </xf>
    <xf numFmtId="171" fontId="31" fillId="0" borderId="0" applyFont="0" applyFill="0" applyBorder="0" applyAlignment="0" applyProtection="0"/>
    <xf numFmtId="171" fontId="31"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4" fontId="136" fillId="0" borderId="0"/>
    <xf numFmtId="254" fontId="29" fillId="0" borderId="0">
      <protection locked="0"/>
    </xf>
    <xf numFmtId="44" fontId="141" fillId="0" borderId="0" applyFont="0" applyFill="0" applyBorder="0" applyAlignment="0" applyProtection="0"/>
    <xf numFmtId="255" fontId="1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256" fontId="11" fillId="0" borderId="0" applyFont="0" applyFill="0" applyBorder="0" applyAlignment="0" applyProtection="0">
      <alignment wrapText="1"/>
    </xf>
    <xf numFmtId="256" fontId="11" fillId="0" borderId="0" applyFont="0" applyFill="0" applyBorder="0" applyAlignment="0" applyProtection="0">
      <alignment wrapText="1"/>
    </xf>
    <xf numFmtId="16" fontId="40" fillId="0" borderId="0">
      <alignment horizontal="right"/>
    </xf>
    <xf numFmtId="15" fontId="40" fillId="0" borderId="0">
      <alignment horizontal="right"/>
    </xf>
    <xf numFmtId="257" fontId="10" fillId="0" borderId="0"/>
    <xf numFmtId="182" fontId="11" fillId="0" borderId="0">
      <protection locked="0"/>
    </xf>
    <xf numFmtId="182" fontId="11" fillId="0" borderId="0">
      <protection locked="0"/>
    </xf>
    <xf numFmtId="0" fontId="145" fillId="0" borderId="0" applyNumberFormat="0" applyFill="0" applyBorder="0" applyAlignment="0" applyProtection="0"/>
    <xf numFmtId="38" fontId="40" fillId="56" borderId="0" applyNumberFormat="0" applyBorder="0" applyAlignment="0" applyProtection="0"/>
    <xf numFmtId="183" fontId="11" fillId="0" borderId="0">
      <protection locked="0"/>
    </xf>
    <xf numFmtId="183" fontId="11" fillId="0" borderId="0">
      <protection locked="0"/>
    </xf>
    <xf numFmtId="183" fontId="11" fillId="0" borderId="0">
      <protection locked="0"/>
    </xf>
    <xf numFmtId="183" fontId="11" fillId="0" borderId="0">
      <protection locked="0"/>
    </xf>
    <xf numFmtId="10" fontId="40" fillId="57" borderId="17" applyNumberFormat="0" applyBorder="0" applyAlignment="0" applyProtection="0"/>
    <xf numFmtId="258" fontId="29" fillId="0" borderId="0">
      <alignment horizontal="center"/>
      <protection locked="0"/>
    </xf>
    <xf numFmtId="259" fontId="11" fillId="0" borderId="0" applyFont="0" applyFill="0" applyBorder="0" applyAlignment="0" applyProtection="0"/>
    <xf numFmtId="260" fontId="11" fillId="0" borderId="0" applyFont="0" applyFill="0" applyBorder="0" applyAlignment="0" applyProtection="0"/>
    <xf numFmtId="261" fontId="31" fillId="0" borderId="0"/>
    <xf numFmtId="37" fontId="146"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56"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262" fontId="11" fillId="0" borderId="0"/>
    <xf numFmtId="262" fontId="11" fillId="0" borderId="0"/>
    <xf numFmtId="263" fontId="14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48" fillId="0" borderId="40"/>
    <xf numFmtId="174" fontId="136" fillId="0" borderId="0"/>
    <xf numFmtId="3" fontId="47" fillId="0" borderId="41" applyBorder="0">
      <alignment horizontal="right" wrapText="1"/>
    </xf>
    <xf numFmtId="4" fontId="47" fillId="0" borderId="42" applyBorder="0">
      <alignment horizontal="right" wrapText="1"/>
    </xf>
    <xf numFmtId="0" fontId="11" fillId="69" borderId="28" applyNumberFormat="0" applyProtection="0">
      <alignment horizontal="left" vertical="center" indent="1"/>
    </xf>
    <xf numFmtId="4" fontId="56" fillId="70" borderId="28" applyNumberFormat="0" applyProtection="0">
      <alignment horizontal="right" vertical="center"/>
    </xf>
    <xf numFmtId="0" fontId="11" fillId="69" borderId="28" applyNumberFormat="0" applyProtection="0">
      <alignment horizontal="left" vertical="center" indent="1"/>
    </xf>
    <xf numFmtId="0" fontId="11" fillId="69" borderId="28" applyNumberFormat="0" applyProtection="0">
      <alignment horizontal="left" vertical="center" indent="1"/>
    </xf>
    <xf numFmtId="0" fontId="138" fillId="71" borderId="0" applyNumberFormat="0" applyFont="0" applyBorder="0" applyAlignment="0" applyProtection="0"/>
    <xf numFmtId="0" fontId="138" fillId="61" borderId="0" applyNumberFormat="0" applyFont="0" applyBorder="0" applyAlignment="0" applyProtection="0"/>
    <xf numFmtId="0" fontId="138" fillId="1" borderId="0" applyNumberFormat="0" applyFont="0" applyBorder="0" applyAlignment="0" applyProtection="0"/>
    <xf numFmtId="264" fontId="138" fillId="0" borderId="0" applyFont="0" applyFill="0" applyBorder="0" applyAlignment="0" applyProtection="0"/>
    <xf numFmtId="265" fontId="138" fillId="0" borderId="0" applyFont="0" applyFill="0" applyBorder="0" applyAlignment="0" applyProtection="0"/>
    <xf numFmtId="266" fontId="138" fillId="0" borderId="0" applyFont="0" applyFill="0" applyBorder="0" applyAlignment="0" applyProtection="0"/>
    <xf numFmtId="0" fontId="76" fillId="72" borderId="43" applyNumberFormat="0" applyProtection="0">
      <alignment horizontal="center" wrapText="1"/>
    </xf>
    <xf numFmtId="0" fontId="76" fillId="72" borderId="43" applyNumberFormat="0" applyProtection="0">
      <alignment horizontal="center" wrapText="1"/>
    </xf>
    <xf numFmtId="0" fontId="76" fillId="72" borderId="44" applyNumberFormat="0" applyAlignment="0" applyProtection="0">
      <alignment wrapText="1"/>
    </xf>
    <xf numFmtId="0" fontId="76" fillId="72" borderId="44" applyNumberFormat="0" applyAlignment="0" applyProtection="0">
      <alignment wrapText="1"/>
    </xf>
    <xf numFmtId="0" fontId="11" fillId="73" borderId="0" applyNumberFormat="0" applyBorder="0">
      <alignment horizontal="center" wrapText="1"/>
    </xf>
    <xf numFmtId="0" fontId="11" fillId="73" borderId="0" applyNumberFormat="0" applyBorder="0">
      <alignment horizontal="center" wrapText="1"/>
    </xf>
    <xf numFmtId="0" fontId="11" fillId="73" borderId="0" applyNumberFormat="0" applyBorder="0">
      <alignment wrapText="1"/>
    </xf>
    <xf numFmtId="0" fontId="11" fillId="73" borderId="0" applyNumberFormat="0" applyBorder="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267" fontId="11" fillId="0" borderId="0" applyFill="0" applyBorder="0" applyAlignment="0" applyProtection="0">
      <alignment wrapText="1"/>
    </xf>
    <xf numFmtId="267" fontId="11" fillId="0" borderId="0" applyFill="0" applyBorder="0" applyAlignment="0" applyProtection="0">
      <alignment wrapText="1"/>
    </xf>
    <xf numFmtId="192" fontId="11" fillId="0" borderId="0" applyFill="0" applyBorder="0" applyAlignment="0" applyProtection="0">
      <alignment wrapText="1"/>
    </xf>
    <xf numFmtId="268" fontId="11" fillId="0" borderId="0" applyFill="0" applyBorder="0" applyAlignment="0" applyProtection="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0" fontId="11" fillId="0" borderId="0" applyNumberFormat="0" applyFill="0" applyBorder="0">
      <alignment horizontal="right" wrapText="1"/>
    </xf>
    <xf numFmtId="0" fontId="11" fillId="0" borderId="0" applyNumberFormat="0" applyFill="0" applyBorder="0">
      <alignment horizontal="right" wrapText="1"/>
    </xf>
    <xf numFmtId="17" fontId="11" fillId="0" borderId="0" applyFill="0" applyBorder="0">
      <alignment horizontal="right" wrapText="1"/>
    </xf>
    <xf numFmtId="17" fontId="11" fillId="0" borderId="0" applyFill="0" applyBorder="0">
      <alignment horizontal="right" wrapText="1"/>
    </xf>
    <xf numFmtId="8" fontId="11" fillId="0" borderId="0" applyFill="0" applyBorder="0" applyAlignment="0" applyProtection="0">
      <alignment wrapText="1"/>
    </xf>
    <xf numFmtId="8" fontId="11" fillId="0" borderId="0" applyFill="0" applyBorder="0" applyAlignment="0" applyProtection="0">
      <alignment wrapText="1"/>
    </xf>
    <xf numFmtId="0" fontId="30" fillId="0" borderId="0" applyNumberFormat="0" applyFill="0" applyBorder="0">
      <alignment horizontal="left" wrapText="1"/>
    </xf>
    <xf numFmtId="0" fontId="30" fillId="0" borderId="0" applyNumberFormat="0" applyFill="0" applyBorder="0">
      <alignment horizontal="left"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149" fillId="0" borderId="45"/>
    <xf numFmtId="0" fontId="150" fillId="0" borderId="0">
      <alignment horizontal="centerContinuous" vertical="center" wrapText="1"/>
    </xf>
    <xf numFmtId="0" fontId="138" fillId="0" borderId="0" applyNumberFormat="0" applyFont="0" applyFill="0" applyBorder="0" applyProtection="0">
      <alignment horizontal="center" wrapText="1"/>
    </xf>
    <xf numFmtId="0" fontId="138" fillId="0" borderId="0" applyNumberFormat="0" applyFont="0" applyFill="0" applyBorder="0" applyProtection="0">
      <alignment horizontal="centerContinuous" vertical="center" wrapText="1"/>
    </xf>
    <xf numFmtId="0" fontId="11" fillId="0" borderId="0"/>
    <xf numFmtId="0" fontId="11" fillId="0" borderId="0"/>
    <xf numFmtId="269" fontId="11" fillId="0" borderId="0">
      <alignment wrapText="1"/>
    </xf>
    <xf numFmtId="269" fontId="11" fillId="0" borderId="0">
      <alignment wrapText="1"/>
    </xf>
    <xf numFmtId="270" fontId="11" fillId="0" borderId="0">
      <alignment wrapText="1"/>
    </xf>
    <xf numFmtId="270" fontId="11" fillId="0" borderId="0">
      <alignment wrapText="1"/>
    </xf>
    <xf numFmtId="37" fontId="40" fillId="2" borderId="0" applyNumberFormat="0" applyBorder="0" applyAlignment="0" applyProtection="0"/>
    <xf numFmtId="37" fontId="40" fillId="0" borderId="0"/>
    <xf numFmtId="0" fontId="151" fillId="0" borderId="0"/>
    <xf numFmtId="0" fontId="138" fillId="0" borderId="0" applyNumberFormat="0" applyFont="0" applyFill="0" applyBorder="0" applyProtection="0"/>
    <xf numFmtId="0" fontId="138" fillId="0" borderId="0" applyNumberFormat="0" applyFont="0" applyFill="0" applyBorder="0" applyProtection="0">
      <alignment vertical="center"/>
    </xf>
    <xf numFmtId="0" fontId="138" fillId="0" borderId="0" applyNumberFormat="0" applyFont="0" applyFill="0" applyBorder="0" applyProtection="0">
      <alignment vertical="top"/>
    </xf>
    <xf numFmtId="0" fontId="138" fillId="0" borderId="0" applyNumberFormat="0" applyFont="0" applyFill="0" applyBorder="0" applyProtection="0">
      <alignment wrapText="1"/>
    </xf>
    <xf numFmtId="0" fontId="152" fillId="0" borderId="0"/>
    <xf numFmtId="0" fontId="152" fillId="0" borderId="0"/>
    <xf numFmtId="43" fontId="152" fillId="0" borderId="0" applyFont="0" applyFill="0" applyBorder="0" applyAlignment="0" applyProtection="0"/>
    <xf numFmtId="0" fontId="147" fillId="0" borderId="0"/>
    <xf numFmtId="172" fontId="153" fillId="0" borderId="0" applyNumberFormat="0" applyFill="0" applyBorder="0" applyAlignment="0" applyProtection="0"/>
    <xf numFmtId="9" fontId="8" fillId="0" borderId="0" applyFont="0" applyFill="0" applyBorder="0" applyAlignment="0" applyProtection="0"/>
    <xf numFmtId="0" fontId="11" fillId="0" borderId="0"/>
    <xf numFmtId="43" fontId="11" fillId="0" borderId="0" applyFont="0" applyFill="0" applyBorder="0" applyAlignment="0" applyProtection="0"/>
    <xf numFmtId="272" fontId="154" fillId="0" borderId="0" applyFont="0" applyFill="0" applyBorder="0" applyAlignment="0" applyProtection="0"/>
    <xf numFmtId="273" fontId="154" fillId="0" borderId="0" applyFont="0" applyFill="0" applyBorder="0" applyAlignment="0" applyProtection="0"/>
    <xf numFmtId="274" fontId="154" fillId="0" borderId="0" applyFont="0" applyFill="0" applyBorder="0" applyAlignment="0" applyProtection="0"/>
    <xf numFmtId="275" fontId="154" fillId="0" borderId="0" applyFont="0" applyFill="0" applyBorder="0" applyAlignment="0" applyProtection="0"/>
    <xf numFmtId="276" fontId="154" fillId="0" borderId="0" applyFont="0" applyFill="0" applyBorder="0" applyAlignment="0" applyProtection="0"/>
    <xf numFmtId="277" fontId="154" fillId="0" borderId="0" applyFont="0" applyFill="0" applyBorder="0" applyAlignment="0" applyProtection="0"/>
    <xf numFmtId="0" fontId="98" fillId="0" borderId="0"/>
    <xf numFmtId="278" fontId="154" fillId="0" borderId="0" applyFont="0" applyFill="0" applyBorder="0" applyProtection="0">
      <alignment horizontal="left"/>
    </xf>
    <xf numFmtId="279" fontId="154" fillId="0" borderId="0" applyFont="0" applyFill="0" applyBorder="0" applyProtection="0">
      <alignment horizontal="left"/>
    </xf>
    <xf numFmtId="280" fontId="154" fillId="0" borderId="0" applyFont="0" applyFill="0" applyBorder="0" applyProtection="0">
      <alignment horizontal="left"/>
    </xf>
    <xf numFmtId="0" fontId="117"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81" fontId="1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6" fillId="0" borderId="0" applyFont="0" applyFill="0" applyBorder="0" applyAlignment="0" applyProtection="0"/>
    <xf numFmtId="37" fontId="73" fillId="0" borderId="0" applyFill="0" applyBorder="0" applyAlignment="0" applyProtection="0"/>
    <xf numFmtId="282" fontId="154" fillId="0" borderId="0" applyFont="0" applyFill="0" applyBorder="0" applyAlignment="0" applyProtection="0"/>
    <xf numFmtId="283" fontId="154" fillId="0" borderId="0" applyFont="0" applyFill="0" applyBorder="0" applyAlignment="0" applyProtection="0"/>
    <xf numFmtId="5" fontId="73" fillId="0" borderId="0" applyFill="0" applyBorder="0" applyAlignment="0" applyProtection="0"/>
    <xf numFmtId="284" fontId="154" fillId="0" borderId="0" applyFont="0" applyFill="0" applyBorder="0" applyProtection="0"/>
    <xf numFmtId="285" fontId="154" fillId="0" borderId="0" applyFont="0" applyFill="0" applyBorder="0" applyProtection="0"/>
    <xf numFmtId="286" fontId="154" fillId="0" borderId="0" applyFont="0" applyFill="0" applyBorder="0" applyAlignment="0" applyProtection="0"/>
    <xf numFmtId="287" fontId="154" fillId="0" borderId="0" applyFont="0" applyFill="0" applyBorder="0" applyAlignment="0" applyProtection="0"/>
    <xf numFmtId="288" fontId="154" fillId="0" borderId="0" applyFont="0" applyFill="0" applyBorder="0" applyAlignment="0" applyProtection="0"/>
    <xf numFmtId="289" fontId="130" fillId="0" borderId="0" applyFont="0" applyFill="0" applyBorder="0" applyAlignment="0" applyProtection="0"/>
    <xf numFmtId="0" fontId="155" fillId="0" borderId="0"/>
    <xf numFmtId="0" fontId="154" fillId="0" borderId="0" applyFont="0" applyFill="0" applyBorder="0" applyProtection="0">
      <alignment horizontal="center" wrapText="1"/>
    </xf>
    <xf numFmtId="290" fontId="154" fillId="0" borderId="0" applyFont="0" applyFill="0" applyBorder="0" applyProtection="0">
      <alignment horizontal="right"/>
    </xf>
    <xf numFmtId="291" fontId="154" fillId="0" borderId="0" applyFont="0" applyFill="0" applyBorder="0" applyProtection="0">
      <alignment horizontal="left"/>
    </xf>
    <xf numFmtId="292" fontId="154" fillId="0" borderId="0" applyFont="0" applyFill="0" applyBorder="0" applyProtection="0">
      <alignment horizontal="left"/>
    </xf>
    <xf numFmtId="293" fontId="154" fillId="0" borderId="0" applyFont="0" applyFill="0" applyBorder="0" applyProtection="0">
      <alignment horizontal="left"/>
    </xf>
    <xf numFmtId="294" fontId="154" fillId="0" borderId="0" applyFont="0" applyFill="0" applyBorder="0" applyProtection="0">
      <alignment horizontal="left"/>
    </xf>
    <xf numFmtId="0" fontId="156" fillId="0" borderId="0"/>
    <xf numFmtId="0" fontId="11" fillId="0" borderId="0" applyFont="0" applyFill="0" applyBorder="0" applyAlignment="0" applyProtection="0">
      <alignment horizontal="right"/>
    </xf>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applyProtection="0"/>
    <xf numFmtId="172" fontId="12" fillId="0" borderId="0" applyProtection="0"/>
    <xf numFmtId="172" fontId="12" fillId="0" borderId="0" applyProtection="0"/>
    <xf numFmtId="0" fontId="11" fillId="0" borderId="0"/>
    <xf numFmtId="0" fontId="10" fillId="76" borderId="0" applyNumberFormat="0" applyFont="0" applyBorder="0" applyAlignment="0"/>
    <xf numFmtId="295" fontId="157"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6" fontId="11" fillId="0" borderId="0"/>
    <xf numFmtId="297" fontId="31" fillId="0" borderId="0"/>
    <xf numFmtId="297" fontId="31" fillId="0" borderId="0"/>
    <xf numFmtId="295" fontId="157" fillId="0" borderId="0"/>
    <xf numFmtId="0" fontId="31" fillId="0" borderId="0"/>
    <xf numFmtId="295" fontId="73" fillId="0" borderId="0"/>
    <xf numFmtId="296" fontId="11" fillId="0" borderId="0"/>
    <xf numFmtId="297" fontId="31" fillId="0" borderId="0"/>
    <xf numFmtId="297" fontId="31" fillId="0" borderId="0"/>
    <xf numFmtId="0" fontId="31" fillId="0" borderId="0"/>
    <xf numFmtId="0" fontId="31"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0" fontId="31"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5" fontId="157" fillId="0" borderId="0"/>
    <xf numFmtId="295" fontId="157" fillId="0" borderId="0"/>
    <xf numFmtId="222" fontId="11" fillId="0" borderId="0" applyFont="0" applyFill="0" applyBorder="0" applyAlignment="0" applyProtection="0"/>
    <xf numFmtId="295" fontId="157" fillId="0" borderId="0"/>
    <xf numFmtId="295" fontId="157"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301" fontId="154" fillId="0" borderId="0" applyFont="0" applyFill="0" applyBorder="0" applyAlignment="0" applyProtection="0"/>
    <xf numFmtId="302" fontId="154"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194" fontId="73" fillId="0" borderId="0" applyFill="0" applyBorder="0" applyAlignment="0" applyProtection="0"/>
    <xf numFmtId="0" fontId="132" fillId="0" borderId="0"/>
    <xf numFmtId="0" fontId="158" fillId="0" borderId="1">
      <alignment horizontal="right"/>
    </xf>
    <xf numFmtId="303" fontId="123" fillId="0" borderId="0">
      <alignment horizontal="center"/>
    </xf>
    <xf numFmtId="304" fontId="159" fillId="0" borderId="0">
      <alignment horizontal="center"/>
    </xf>
    <xf numFmtId="0" fontId="56" fillId="0" borderId="0" applyNumberFormat="0" applyBorder="0" applyAlignment="0"/>
    <xf numFmtId="0" fontId="160" fillId="0" borderId="0" applyNumberFormat="0" applyBorder="0" applyAlignment="0"/>
    <xf numFmtId="0" fontId="161" fillId="0" borderId="0" applyAlignment="0">
      <alignment horizontal="centerContinuous"/>
    </xf>
    <xf numFmtId="0" fontId="162" fillId="0" borderId="0" applyNumberFormat="0" applyFill="0" applyBorder="0" applyAlignment="0" applyProtection="0">
      <alignment vertical="top"/>
      <protection locked="0"/>
    </xf>
    <xf numFmtId="172" fontId="12" fillId="0" borderId="0" applyProtection="0"/>
    <xf numFmtId="43" fontId="12" fillId="0" borderId="0" applyFont="0" applyFill="0" applyBorder="0" applyAlignment="0" applyProtection="0"/>
    <xf numFmtId="9" fontId="12" fillId="0" borderId="0" applyFont="0" applyFill="0" applyBorder="0" applyAlignment="0" applyProtection="0"/>
    <xf numFmtId="37" fontId="12" fillId="0" borderId="0" applyFont="0" applyFill="0" applyBorder="0" applyAlignment="0" applyProtection="0"/>
    <xf numFmtId="172" fontId="12" fillId="0" borderId="0" applyProtection="0"/>
    <xf numFmtId="172" fontId="12" fillId="0" borderId="0" applyProtection="0"/>
    <xf numFmtId="0" fontId="11" fillId="0" borderId="0"/>
    <xf numFmtId="0" fontId="185" fillId="0" borderId="0"/>
    <xf numFmtId="44" fontId="11" fillId="0" borderId="0" applyFont="0" applyFill="0" applyBorder="0" applyAlignment="0" applyProtection="0"/>
    <xf numFmtId="0" fontId="6" fillId="0" borderId="0"/>
    <xf numFmtId="0" fontId="29" fillId="0" borderId="0">
      <alignment vertical="top"/>
    </xf>
    <xf numFmtId="0" fontId="5" fillId="0" borderId="0"/>
    <xf numFmtId="172" fontId="12" fillId="0" borderId="0" applyProtection="0"/>
    <xf numFmtId="9" fontId="5" fillId="0" borderId="0" applyFont="0" applyFill="0" applyBorder="0" applyAlignment="0" applyProtection="0"/>
    <xf numFmtId="43" fontId="5" fillId="0" borderId="0" applyFont="0" applyFill="0" applyBorder="0" applyAlignment="0" applyProtection="0"/>
    <xf numFmtId="0" fontId="11" fillId="0" borderId="0"/>
    <xf numFmtId="0" fontId="5" fillId="0" borderId="0"/>
    <xf numFmtId="43" fontId="5"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00"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59">
    <xf numFmtId="172" fontId="0" fillId="0" borderId="0" xfId="0"/>
    <xf numFmtId="0" fontId="163" fillId="0" borderId="0" xfId="0" applyNumberFormat="1" applyFont="1" applyAlignment="1">
      <alignment horizontal="center"/>
    </xf>
    <xf numFmtId="172" fontId="31" fillId="0" borderId="0" xfId="0" applyFont="1"/>
    <xf numFmtId="0" fontId="31" fillId="0" borderId="0" xfId="4598" applyFont="1"/>
    <xf numFmtId="172" fontId="39" fillId="0" borderId="0" xfId="0" applyFont="1"/>
    <xf numFmtId="0" fontId="31" fillId="0" borderId="0" xfId="0" applyNumberFormat="1" applyFont="1" applyAlignment="1">
      <alignment horizontal="center"/>
    </xf>
    <xf numFmtId="172" fontId="31" fillId="0" borderId="0" xfId="0" applyFont="1" applyAlignment="1">
      <alignment horizontal="right"/>
    </xf>
    <xf numFmtId="0" fontId="123" fillId="0" borderId="0" xfId="4598" applyFont="1" applyAlignment="1">
      <alignment horizontal="centerContinuous"/>
    </xf>
    <xf numFmtId="0" fontId="123" fillId="0" borderId="17" xfId="4598" applyFont="1" applyBorder="1" applyAlignment="1">
      <alignment horizontal="center"/>
    </xf>
    <xf numFmtId="0" fontId="31" fillId="0" borderId="0" xfId="0" applyNumberFormat="1" applyFont="1" applyAlignment="1">
      <alignment horizontal="center" wrapText="1"/>
    </xf>
    <xf numFmtId="0" fontId="123" fillId="0" borderId="0" xfId="4598" applyFont="1" applyAlignment="1">
      <alignment horizontal="center" wrapText="1"/>
    </xf>
    <xf numFmtId="172" fontId="123" fillId="0" borderId="0" xfId="0" applyFont="1" applyAlignment="1">
      <alignment horizontal="center" wrapText="1"/>
    </xf>
    <xf numFmtId="172" fontId="31" fillId="0" borderId="0" xfId="0" applyFont="1" applyAlignment="1">
      <alignment wrapText="1"/>
    </xf>
    <xf numFmtId="0" fontId="123" fillId="0" borderId="0" xfId="4598" applyFont="1" applyAlignment="1">
      <alignment horizontal="center"/>
    </xf>
    <xf numFmtId="0" fontId="123" fillId="0" borderId="0" xfId="4595" applyFont="1" applyAlignment="1">
      <alignment horizontal="center" wrapText="1"/>
    </xf>
    <xf numFmtId="172" fontId="164" fillId="0" borderId="0" xfId="0" applyFont="1"/>
    <xf numFmtId="172" fontId="163" fillId="0" borderId="0" xfId="0" applyFont="1"/>
    <xf numFmtId="0" fontId="31" fillId="0" borderId="0" xfId="4598" applyFont="1" applyAlignment="1">
      <alignment horizontal="left"/>
    </xf>
    <xf numFmtId="0" fontId="31" fillId="0" borderId="0" xfId="4598" quotePrefix="1" applyFont="1" applyAlignment="1">
      <alignment horizontal="left"/>
    </xf>
    <xf numFmtId="41" fontId="31" fillId="2" borderId="0" xfId="4598" applyNumberFormat="1" applyFont="1" applyFill="1"/>
    <xf numFmtId="0" fontId="31" fillId="0" borderId="0" xfId="4598" applyFont="1" applyAlignment="1">
      <alignment horizontal="right"/>
    </xf>
    <xf numFmtId="174" fontId="31" fillId="0" borderId="14" xfId="190" applyNumberFormat="1" applyFont="1" applyBorder="1"/>
    <xf numFmtId="37" fontId="31" fillId="0" borderId="0" xfId="4598" applyNumberFormat="1" applyFont="1"/>
    <xf numFmtId="172" fontId="31" fillId="0" borderId="0" xfId="4596" applyFont="1"/>
    <xf numFmtId="0" fontId="123" fillId="0" borderId="0" xfId="4598" applyFont="1" applyAlignment="1">
      <alignment horizontal="centerContinuous" wrapText="1"/>
    </xf>
    <xf numFmtId="41" fontId="31" fillId="77" borderId="0" xfId="4598" applyNumberFormat="1" applyFont="1" applyFill="1"/>
    <xf numFmtId="43" fontId="31" fillId="0" borderId="14" xfId="190" applyFont="1" applyBorder="1"/>
    <xf numFmtId="172" fontId="31" fillId="74" borderId="0" xfId="0" applyFont="1" applyFill="1"/>
    <xf numFmtId="172" fontId="31" fillId="0" borderId="0" xfId="0" applyFont="1" applyAlignment="1">
      <alignment horizontal="center"/>
    </xf>
    <xf numFmtId="44" fontId="31" fillId="0" borderId="0" xfId="0" applyNumberFormat="1" applyFont="1"/>
    <xf numFmtId="0" fontId="31" fillId="0" borderId="0" xfId="4157" applyFont="1"/>
    <xf numFmtId="0" fontId="31" fillId="0" borderId="0" xfId="4157" applyFont="1" applyAlignment="1">
      <alignment horizontal="center"/>
    </xf>
    <xf numFmtId="3" fontId="31" fillId="0" borderId="0" xfId="4157" applyNumberFormat="1" applyFont="1" applyAlignment="1">
      <alignment horizontal="center" wrapText="1"/>
    </xf>
    <xf numFmtId="0" fontId="31" fillId="0" borderId="0" xfId="4157" applyFont="1" applyAlignment="1">
      <alignment horizontal="center" wrapText="1"/>
    </xf>
    <xf numFmtId="0" fontId="31" fillId="3" borderId="0" xfId="4157" applyFont="1" applyFill="1"/>
    <xf numFmtId="174" fontId="31" fillId="3" borderId="0" xfId="190" applyNumberFormat="1" applyFont="1" applyFill="1" applyBorder="1" applyAlignment="1">
      <alignment horizontal="center"/>
    </xf>
    <xf numFmtId="174" fontId="31" fillId="0" borderId="0" xfId="190" applyNumberFormat="1" applyFont="1" applyFill="1" applyBorder="1" applyAlignment="1">
      <alignment horizontal="center" wrapText="1"/>
    </xf>
    <xf numFmtId="174" fontId="31" fillId="3" borderId="0" xfId="190" applyNumberFormat="1" applyFont="1" applyFill="1" applyBorder="1"/>
    <xf numFmtId="172" fontId="163" fillId="3" borderId="0" xfId="0" applyFont="1" applyFill="1"/>
    <xf numFmtId="0" fontId="31" fillId="3" borderId="3" xfId="4157" applyFont="1" applyFill="1" applyBorder="1"/>
    <xf numFmtId="174" fontId="31" fillId="3" borderId="3" xfId="190" applyNumberFormat="1" applyFont="1" applyFill="1" applyBorder="1"/>
    <xf numFmtId="174" fontId="31" fillId="3" borderId="3" xfId="190" applyNumberFormat="1" applyFont="1" applyFill="1" applyBorder="1" applyAlignment="1">
      <alignment horizontal="center"/>
    </xf>
    <xf numFmtId="172" fontId="163" fillId="3" borderId="3" xfId="0" applyFont="1" applyFill="1" applyBorder="1"/>
    <xf numFmtId="174" fontId="31" fillId="0" borderId="3" xfId="190" applyNumberFormat="1" applyFont="1" applyFill="1" applyBorder="1" applyAlignment="1">
      <alignment horizontal="center" wrapText="1"/>
    </xf>
    <xf numFmtId="174" fontId="31" fillId="0" borderId="0" xfId="190" applyNumberFormat="1" applyFont="1" applyFill="1" applyBorder="1"/>
    <xf numFmtId="174" fontId="31" fillId="0" borderId="0" xfId="190" applyNumberFormat="1" applyFont="1" applyFill="1" applyBorder="1" applyAlignment="1">
      <alignment horizontal="center"/>
    </xf>
    <xf numFmtId="0" fontId="165" fillId="0" borderId="0" xfId="0" applyNumberFormat="1" applyFont="1" applyAlignment="1">
      <alignment horizontal="center"/>
    </xf>
    <xf numFmtId="172" fontId="165" fillId="0" borderId="0" xfId="0" applyFont="1" applyAlignment="1">
      <alignment horizontal="center"/>
    </xf>
    <xf numFmtId="44" fontId="165" fillId="0" borderId="0" xfId="0" applyNumberFormat="1" applyFont="1"/>
    <xf numFmtId="172" fontId="31" fillId="0" borderId="0" xfId="0" applyFont="1" applyAlignment="1">
      <alignment vertical="center" wrapText="1"/>
    </xf>
    <xf numFmtId="172" fontId="31" fillId="0" borderId="0" xfId="0" applyFont="1" applyAlignment="1">
      <alignment vertical="center"/>
    </xf>
    <xf numFmtId="0" fontId="31" fillId="0" borderId="0" xfId="0" applyNumberFormat="1" applyFont="1" applyAlignment="1">
      <alignment horizontal="center" vertical="top"/>
    </xf>
    <xf numFmtId="0" fontId="31" fillId="0" borderId="0" xfId="4228" applyFont="1" applyAlignment="1">
      <alignment vertical="top"/>
    </xf>
    <xf numFmtId="3" fontId="31" fillId="0" borderId="0" xfId="4228" applyNumberFormat="1" applyFont="1"/>
    <xf numFmtId="3" fontId="31" fillId="0" borderId="0" xfId="4597" applyNumberFormat="1" applyFont="1"/>
    <xf numFmtId="0" fontId="31" fillId="0" borderId="0" xfId="4597" applyNumberFormat="1" applyFont="1" applyAlignment="1" applyProtection="1">
      <alignment horizontal="center"/>
      <protection locked="0"/>
    </xf>
    <xf numFmtId="0" fontId="31" fillId="0" borderId="0" xfId="4597" applyNumberFormat="1" applyFont="1"/>
    <xf numFmtId="174" fontId="31" fillId="0" borderId="0" xfId="190" applyNumberFormat="1" applyFont="1" applyAlignment="1"/>
    <xf numFmtId="43" fontId="31" fillId="0" borderId="0" xfId="190" applyFont="1" applyAlignment="1">
      <alignment horizontal="center"/>
    </xf>
    <xf numFmtId="0" fontId="31" fillId="0" borderId="0" xfId="4595" applyFont="1"/>
    <xf numFmtId="3" fontId="31" fillId="0" borderId="0" xfId="4595" applyNumberFormat="1" applyFont="1"/>
    <xf numFmtId="174" fontId="31" fillId="0" borderId="0" xfId="190" applyNumberFormat="1" applyFont="1" applyFill="1" applyBorder="1" applyAlignment="1"/>
    <xf numFmtId="174" fontId="31" fillId="0" borderId="0" xfId="190" applyNumberFormat="1" applyFont="1" applyBorder="1" applyAlignment="1"/>
    <xf numFmtId="172" fontId="31" fillId="0" borderId="0" xfId="4597" applyFont="1"/>
    <xf numFmtId="164" fontId="31" fillId="0" borderId="0" xfId="4597" applyNumberFormat="1" applyFont="1" applyAlignment="1">
      <alignment horizontal="center"/>
    </xf>
    <xf numFmtId="174" fontId="31" fillId="0" borderId="0" xfId="190" applyNumberFormat="1" applyFont="1" applyFill="1" applyAlignment="1"/>
    <xf numFmtId="174" fontId="31" fillId="0" borderId="1" xfId="190" applyNumberFormat="1" applyFont="1" applyFill="1" applyBorder="1" applyAlignment="1"/>
    <xf numFmtId="271" fontId="31" fillId="0" borderId="0" xfId="190" applyNumberFormat="1" applyFont="1" applyFill="1" applyAlignment="1"/>
    <xf numFmtId="271" fontId="31" fillId="0" borderId="0" xfId="190" applyNumberFormat="1" applyFont="1" applyAlignment="1"/>
    <xf numFmtId="271" fontId="31" fillId="0" borderId="0" xfId="190" applyNumberFormat="1" applyFont="1" applyBorder="1" applyAlignment="1"/>
    <xf numFmtId="174" fontId="31" fillId="0" borderId="1" xfId="190" applyNumberFormat="1" applyFont="1" applyBorder="1" applyAlignment="1"/>
    <xf numFmtId="3" fontId="31" fillId="0" borderId="0" xfId="4597" quotePrefix="1" applyNumberFormat="1" applyFont="1" applyAlignment="1">
      <alignment horizontal="left"/>
    </xf>
    <xf numFmtId="174" fontId="31" fillId="0" borderId="14" xfId="190" applyNumberFormat="1" applyFont="1" applyFill="1" applyBorder="1" applyAlignment="1"/>
    <xf numFmtId="0" fontId="31" fillId="0" borderId="0" xfId="0" applyNumberFormat="1" applyFont="1" applyProtection="1">
      <protection locked="0"/>
    </xf>
    <xf numFmtId="174" fontId="31" fillId="0" borderId="50" xfId="190" applyNumberFormat="1" applyFont="1" applyFill="1" applyBorder="1" applyAlignment="1"/>
    <xf numFmtId="174" fontId="166" fillId="3" borderId="0" xfId="190" applyNumberFormat="1" applyFont="1" applyFill="1" applyAlignment="1"/>
    <xf numFmtId="0" fontId="31" fillId="0" borderId="0" xfId="4595" applyFont="1" applyAlignment="1" applyProtection="1">
      <alignment horizontal="center"/>
      <protection locked="0"/>
    </xf>
    <xf numFmtId="10" fontId="31" fillId="0" borderId="0" xfId="4597" applyNumberFormat="1" applyFont="1" applyAlignment="1">
      <alignment horizontal="left"/>
    </xf>
    <xf numFmtId="174" fontId="31" fillId="0" borderId="2" xfId="190" applyNumberFormat="1" applyFont="1" applyFill="1" applyBorder="1" applyAlignment="1"/>
    <xf numFmtId="0" fontId="31" fillId="0" borderId="0" xfId="0" applyNumberFormat="1" applyFont="1" applyAlignment="1" applyProtection="1">
      <alignment horizontal="center"/>
      <protection locked="0"/>
    </xf>
    <xf numFmtId="0" fontId="31" fillId="0" borderId="0" xfId="0" applyNumberFormat="1" applyFont="1" applyAlignment="1" applyProtection="1">
      <alignment horizontal="center" vertical="top"/>
      <protection locked="0"/>
    </xf>
    <xf numFmtId="0" fontId="31" fillId="0" borderId="0" xfId="0" applyNumberFormat="1" applyFont="1" applyAlignment="1" applyProtection="1">
      <alignment vertical="center"/>
      <protection locked="0"/>
    </xf>
    <xf numFmtId="172" fontId="31" fillId="0" borderId="0" xfId="0" applyFont="1" applyAlignment="1">
      <alignment horizontal="center" vertical="top"/>
    </xf>
    <xf numFmtId="0" fontId="31" fillId="0" borderId="0" xfId="4664" applyNumberFormat="1" applyFont="1"/>
    <xf numFmtId="0" fontId="167" fillId="0" borderId="0" xfId="0" applyNumberFormat="1" applyFont="1" applyProtection="1">
      <protection locked="0"/>
    </xf>
    <xf numFmtId="3" fontId="167" fillId="0" borderId="0" xfId="0" applyNumberFormat="1" applyFont="1"/>
    <xf numFmtId="0" fontId="167" fillId="0" borderId="0" xfId="0" applyNumberFormat="1" applyFont="1" applyAlignment="1" applyProtection="1">
      <alignment horizontal="center" vertical="top"/>
      <protection locked="0"/>
    </xf>
    <xf numFmtId="0" fontId="167" fillId="0" borderId="0" xfId="4597" applyNumberFormat="1" applyFont="1" applyAlignment="1" applyProtection="1">
      <alignment vertical="top" wrapText="1"/>
      <protection locked="0"/>
    </xf>
    <xf numFmtId="0" fontId="167" fillId="0" borderId="0" xfId="0" applyNumberFormat="1" applyFont="1" applyAlignment="1" applyProtection="1">
      <alignment vertical="top"/>
      <protection locked="0"/>
    </xf>
    <xf numFmtId="0" fontId="168" fillId="0" borderId="0" xfId="0" applyNumberFormat="1" applyFont="1" applyProtection="1">
      <protection locked="0"/>
    </xf>
    <xf numFmtId="172" fontId="167" fillId="0" borderId="0" xfId="0" applyFont="1"/>
    <xf numFmtId="172" fontId="167" fillId="0" borderId="0" xfId="0" applyFont="1" applyAlignment="1">
      <alignment horizontal="center"/>
    </xf>
    <xf numFmtId="0" fontId="167" fillId="0" borderId="0" xfId="4228" applyFont="1" applyAlignment="1">
      <alignment vertical="top" wrapText="1"/>
    </xf>
    <xf numFmtId="0" fontId="167" fillId="0" borderId="0" xfId="0" applyNumberFormat="1" applyFont="1"/>
    <xf numFmtId="172" fontId="167" fillId="0" borderId="0" xfId="0" applyFont="1" applyAlignment="1">
      <alignment horizontal="center" vertical="top"/>
    </xf>
    <xf numFmtId="0" fontId="167" fillId="0" borderId="0" xfId="4664" applyNumberFormat="1" applyFont="1"/>
    <xf numFmtId="172" fontId="167" fillId="0" borderId="0" xfId="4664" applyFont="1" applyAlignment="1">
      <alignment horizontal="center"/>
    </xf>
    <xf numFmtId="172" fontId="167" fillId="0" borderId="0" xfId="0" applyFont="1" applyAlignment="1">
      <alignment vertical="top" wrapText="1"/>
    </xf>
    <xf numFmtId="0" fontId="167" fillId="0" borderId="0" xfId="4228" applyFont="1" applyAlignment="1">
      <alignment vertical="top"/>
    </xf>
    <xf numFmtId="0" fontId="167" fillId="0" borderId="0" xfId="4597" applyNumberFormat="1" applyFont="1" applyAlignment="1" applyProtection="1">
      <alignment vertical="top"/>
      <protection locked="0"/>
    </xf>
    <xf numFmtId="170" fontId="167" fillId="0" borderId="0" xfId="4597" applyNumberFormat="1" applyFont="1" applyAlignment="1" applyProtection="1">
      <alignment vertical="top"/>
    </xf>
    <xf numFmtId="3" fontId="167" fillId="0" borderId="0" xfId="4597" applyNumberFormat="1" applyFont="1" applyAlignment="1" applyProtection="1">
      <alignment vertical="top"/>
    </xf>
    <xf numFmtId="172" fontId="167" fillId="0" borderId="0" xfId="0" applyFont="1" applyAlignment="1">
      <alignment vertical="top"/>
    </xf>
    <xf numFmtId="0" fontId="167" fillId="0" borderId="0" xfId="2138" applyFont="1" applyAlignment="1">
      <alignment vertical="center"/>
    </xf>
    <xf numFmtId="172" fontId="31" fillId="0" borderId="0" xfId="0" applyFont="1" applyProtection="1">
      <protection locked="0"/>
    </xf>
    <xf numFmtId="0" fontId="31" fillId="0" borderId="0" xfId="0" applyNumberFormat="1" applyFont="1" applyAlignment="1" applyProtection="1">
      <alignment horizontal="left"/>
      <protection locked="0"/>
    </xf>
    <xf numFmtId="0" fontId="31" fillId="0" borderId="0" xfId="0" applyNumberFormat="1" applyFont="1" applyAlignment="1" applyProtection="1">
      <alignment horizontal="right"/>
      <protection locked="0"/>
    </xf>
    <xf numFmtId="0" fontId="31" fillId="2" borderId="0" xfId="0" applyNumberFormat="1" applyFont="1" applyFill="1" applyAlignment="1" applyProtection="1">
      <alignment horizontal="right"/>
      <protection locked="0"/>
    </xf>
    <xf numFmtId="3" fontId="31" fillId="0" borderId="0" xfId="0" applyNumberFormat="1" applyFont="1" applyProtection="1">
      <protection locked="0"/>
    </xf>
    <xf numFmtId="3" fontId="31" fillId="0" borderId="0" xfId="0" applyNumberFormat="1" applyFont="1" applyAlignment="1" applyProtection="1">
      <alignment horizontal="center"/>
      <protection locked="0"/>
    </xf>
    <xf numFmtId="49" fontId="123" fillId="0" borderId="0" xfId="0" applyNumberFormat="1" applyFont="1" applyAlignment="1" applyProtection="1">
      <alignment horizontal="center"/>
      <protection locked="0"/>
    </xf>
    <xf numFmtId="49" fontId="31" fillId="0" borderId="0" xfId="0" applyNumberFormat="1" applyFont="1" applyProtection="1">
      <protection locked="0"/>
    </xf>
    <xf numFmtId="0" fontId="31" fillId="0" borderId="1" xfId="0" applyNumberFormat="1" applyFont="1" applyBorder="1" applyAlignment="1" applyProtection="1">
      <alignment horizontal="center"/>
      <protection locked="0"/>
    </xf>
    <xf numFmtId="42" fontId="31" fillId="0" borderId="0" xfId="0" applyNumberFormat="1" applyFont="1" applyProtection="1"/>
    <xf numFmtId="0" fontId="31" fillId="0" borderId="1" xfId="0" applyNumberFormat="1" applyFont="1" applyBorder="1" applyAlignment="1" applyProtection="1">
      <alignment horizontal="centerContinuous"/>
      <protection locked="0"/>
    </xf>
    <xf numFmtId="166" fontId="31" fillId="0" borderId="0" xfId="0" applyNumberFormat="1" applyFont="1" applyProtection="1"/>
    <xf numFmtId="3" fontId="31" fillId="0" borderId="0" xfId="0" applyNumberFormat="1" applyFont="1" applyProtection="1"/>
    <xf numFmtId="3" fontId="166" fillId="2" borderId="0" xfId="0" applyNumberFormat="1" applyFont="1" applyFill="1" applyProtection="1">
      <protection locked="0"/>
    </xf>
    <xf numFmtId="3" fontId="31" fillId="0" borderId="0" xfId="0" applyNumberFormat="1" applyFont="1" applyAlignment="1" applyProtection="1">
      <alignment horizontal="fill"/>
      <protection locked="0"/>
    </xf>
    <xf numFmtId="166" fontId="31" fillId="0" borderId="0" xfId="0" applyNumberFormat="1" applyFont="1" applyProtection="1">
      <protection locked="0"/>
    </xf>
    <xf numFmtId="42" fontId="31" fillId="0" borderId="14" xfId="0" applyNumberFormat="1" applyFont="1" applyBorder="1" applyAlignment="1" applyProtection="1">
      <alignment horizontal="right"/>
    </xf>
    <xf numFmtId="42" fontId="31" fillId="0" borderId="0" xfId="0" applyNumberFormat="1" applyFont="1" applyAlignment="1" applyProtection="1">
      <alignment horizontal="right"/>
      <protection locked="0"/>
    </xf>
    <xf numFmtId="0" fontId="31" fillId="0" borderId="0" xfId="0" applyNumberFormat="1" applyFont="1" applyAlignment="1" applyProtection="1">
      <alignment horizontal="right"/>
    </xf>
    <xf numFmtId="172" fontId="123" fillId="0" borderId="0" xfId="0" applyFont="1" applyAlignment="1" applyProtection="1">
      <alignment horizontal="center"/>
    </xf>
    <xf numFmtId="49" fontId="31" fillId="0" borderId="0" xfId="0" applyNumberFormat="1" applyFont="1" applyAlignment="1" applyProtection="1">
      <alignment horizontal="left"/>
      <protection locked="0"/>
    </xf>
    <xf numFmtId="49" fontId="31" fillId="0" borderId="0" xfId="0" applyNumberFormat="1" applyFont="1" applyAlignment="1" applyProtection="1">
      <alignment horizontal="center"/>
      <protection locked="0"/>
    </xf>
    <xf numFmtId="3" fontId="123" fillId="0" borderId="0" xfId="0" applyNumberFormat="1" applyFont="1" applyAlignment="1" applyProtection="1">
      <alignment horizontal="center"/>
      <protection locked="0"/>
    </xf>
    <xf numFmtId="0" fontId="123" fillId="0" borderId="0" xfId="0" applyNumberFormat="1" applyFont="1" applyAlignment="1" applyProtection="1">
      <alignment horizontal="center"/>
      <protection locked="0"/>
    </xf>
    <xf numFmtId="172" fontId="123" fillId="0" borderId="0" xfId="0" applyFont="1" applyAlignment="1" applyProtection="1">
      <alignment horizontal="center"/>
      <protection locked="0"/>
    </xf>
    <xf numFmtId="3" fontId="123" fillId="0" borderId="0" xfId="0" applyNumberFormat="1" applyFont="1" applyProtection="1">
      <protection locked="0"/>
    </xf>
    <xf numFmtId="0" fontId="123" fillId="0" borderId="0" xfId="0" applyNumberFormat="1" applyFont="1" applyProtection="1">
      <protection locked="0"/>
    </xf>
    <xf numFmtId="165" fontId="31" fillId="0" borderId="0" xfId="0" applyNumberFormat="1" applyFont="1" applyProtection="1">
      <protection locked="0"/>
    </xf>
    <xf numFmtId="165" fontId="31" fillId="0" borderId="0" xfId="0" applyNumberFormat="1" applyFont="1" applyProtection="1"/>
    <xf numFmtId="164" fontId="31" fillId="0" borderId="0" xfId="0" applyNumberFormat="1" applyFont="1" applyAlignment="1" applyProtection="1">
      <alignment horizontal="center"/>
    </xf>
    <xf numFmtId="164" fontId="31" fillId="0" borderId="0" xfId="0" applyNumberFormat="1" applyFont="1" applyAlignment="1" applyProtection="1">
      <alignment horizontal="center"/>
      <protection locked="0"/>
    </xf>
    <xf numFmtId="0" fontId="31" fillId="0" borderId="0" xfId="0" applyNumberFormat="1" applyFont="1" applyProtection="1"/>
    <xf numFmtId="172" fontId="31" fillId="0" borderId="1" xfId="0" applyFont="1" applyBorder="1" applyProtection="1">
      <protection locked="0"/>
    </xf>
    <xf numFmtId="172" fontId="31" fillId="0" borderId="0" xfId="0" applyFont="1" applyProtection="1"/>
    <xf numFmtId="171" fontId="31" fillId="0" borderId="0" xfId="0" applyNumberFormat="1" applyFont="1" applyAlignment="1" applyProtection="1">
      <alignment horizontal="left"/>
    </xf>
    <xf numFmtId="166" fontId="31" fillId="0" borderId="0" xfId="0" applyNumberFormat="1" applyFont="1" applyAlignment="1" applyProtection="1">
      <alignment horizontal="right"/>
      <protection locked="0"/>
    </xf>
    <xf numFmtId="166" fontId="31" fillId="0" borderId="0" xfId="0" applyNumberFormat="1" applyFont="1" applyAlignment="1" applyProtection="1">
      <alignment horizontal="center"/>
      <protection locked="0"/>
    </xf>
    <xf numFmtId="164" fontId="31" fillId="0" borderId="0" xfId="0" applyNumberFormat="1" applyFont="1" applyAlignment="1" applyProtection="1">
      <alignment horizontal="left"/>
      <protection locked="0"/>
    </xf>
    <xf numFmtId="10" fontId="31" fillId="0" borderId="0" xfId="0" applyNumberFormat="1" applyFont="1" applyAlignment="1" applyProtection="1">
      <alignment horizontal="right"/>
    </xf>
    <xf numFmtId="10" fontId="31" fillId="0" borderId="0" xfId="0" applyNumberFormat="1" applyFont="1" applyAlignment="1" applyProtection="1">
      <alignment horizontal="left"/>
      <protection locked="0"/>
    </xf>
    <xf numFmtId="3" fontId="31" fillId="0" borderId="0" xfId="0" applyNumberFormat="1" applyFont="1" applyAlignment="1" applyProtection="1">
      <alignment horizontal="left"/>
      <protection locked="0"/>
    </xf>
    <xf numFmtId="167" fontId="31" fillId="0" borderId="0" xfId="0" applyNumberFormat="1" applyFont="1" applyProtection="1">
      <protection locked="0"/>
    </xf>
    <xf numFmtId="0" fontId="31" fillId="0" borderId="1" xfId="0" applyNumberFormat="1" applyFont="1" applyBorder="1" applyProtection="1">
      <protection locked="0"/>
    </xf>
    <xf numFmtId="3" fontId="166" fillId="2" borderId="1" xfId="0" applyNumberFormat="1" applyFont="1" applyFill="1" applyBorder="1" applyProtection="1">
      <protection locked="0"/>
    </xf>
    <xf numFmtId="165" fontId="31" fillId="0" borderId="0" xfId="0" applyNumberFormat="1" applyFont="1" applyAlignment="1" applyProtection="1">
      <alignment horizontal="right"/>
    </xf>
    <xf numFmtId="172" fontId="169" fillId="0" borderId="0" xfId="0" applyFont="1" applyProtection="1">
      <protection locked="0"/>
    </xf>
    <xf numFmtId="3" fontId="31" fillId="2" borderId="1" xfId="0" applyNumberFormat="1" applyFont="1" applyFill="1" applyBorder="1" applyProtection="1">
      <protection locked="0"/>
    </xf>
    <xf numFmtId="173" fontId="31" fillId="0" borderId="0" xfId="1" applyNumberFormat="1" applyFont="1" applyFill="1" applyBorder="1" applyAlignment="1" applyProtection="1">
      <protection locked="0"/>
    </xf>
    <xf numFmtId="3" fontId="170" fillId="0" borderId="0" xfId="0" applyNumberFormat="1" applyFont="1" applyProtection="1">
      <protection locked="0"/>
    </xf>
    <xf numFmtId="170" fontId="31" fillId="0" borderId="0" xfId="0" applyNumberFormat="1" applyFont="1" applyProtection="1">
      <protection locked="0"/>
    </xf>
    <xf numFmtId="172" fontId="170" fillId="0" borderId="0" xfId="0" applyFont="1" applyProtection="1">
      <protection locked="0"/>
    </xf>
    <xf numFmtId="172" fontId="171" fillId="0" borderId="0" xfId="0" applyFont="1" applyProtection="1">
      <protection locked="0"/>
    </xf>
    <xf numFmtId="172" fontId="172" fillId="0" borderId="0" xfId="0" applyFont="1" applyProtection="1">
      <protection locked="0"/>
    </xf>
    <xf numFmtId="172" fontId="170" fillId="0" borderId="0" xfId="0" applyFont="1" applyAlignment="1" applyProtection="1">
      <alignment horizontal="left" wrapText="1"/>
      <protection locked="0"/>
    </xf>
    <xf numFmtId="3" fontId="31" fillId="0" borderId="1" xfId="0" applyNumberFormat="1" applyFont="1" applyBorder="1" applyProtection="1">
      <protection locked="0"/>
    </xf>
    <xf numFmtId="3" fontId="31" fillId="0" borderId="1" xfId="0" applyNumberFormat="1" applyFont="1" applyBorder="1" applyAlignment="1" applyProtection="1">
      <alignment horizontal="center"/>
      <protection locked="0"/>
    </xf>
    <xf numFmtId="4" fontId="31" fillId="0" borderId="0" xfId="0" applyNumberFormat="1" applyFont="1" applyProtection="1">
      <protection locked="0"/>
    </xf>
    <xf numFmtId="4" fontId="31" fillId="0" borderId="0" xfId="0" applyNumberFormat="1" applyFont="1" applyProtection="1"/>
    <xf numFmtId="3" fontId="31" fillId="0" borderId="1" xfId="0" applyNumberFormat="1" applyFont="1" applyBorder="1" applyProtection="1"/>
    <xf numFmtId="166" fontId="31" fillId="0" borderId="0" xfId="0" applyNumberFormat="1" applyFont="1" applyAlignment="1" applyProtection="1">
      <alignment horizontal="center"/>
    </xf>
    <xf numFmtId="170" fontId="166" fillId="2" borderId="0" xfId="0" applyNumberFormat="1" applyFont="1" applyFill="1" applyProtection="1">
      <protection locked="0"/>
    </xf>
    <xf numFmtId="42" fontId="166" fillId="2" borderId="0" xfId="0" applyNumberFormat="1" applyFont="1" applyFill="1" applyProtection="1">
      <protection locked="0"/>
    </xf>
    <xf numFmtId="0" fontId="157" fillId="0" borderId="0" xfId="0" applyNumberFormat="1" applyFont="1" applyProtection="1">
      <protection locked="0"/>
    </xf>
    <xf numFmtId="9" fontId="31" fillId="0" borderId="0" xfId="0" applyNumberFormat="1" applyFont="1" applyProtection="1"/>
    <xf numFmtId="169" fontId="31" fillId="0" borderId="0" xfId="0" applyNumberFormat="1" applyFont="1" applyProtection="1">
      <protection locked="0"/>
    </xf>
    <xf numFmtId="169" fontId="31" fillId="0" borderId="0" xfId="0" applyNumberFormat="1" applyFont="1" applyProtection="1"/>
    <xf numFmtId="3" fontId="31" fillId="0" borderId="0" xfId="0" quotePrefix="1" applyNumberFormat="1" applyFont="1" applyProtection="1">
      <protection locked="0"/>
    </xf>
    <xf numFmtId="169" fontId="31" fillId="0" borderId="1" xfId="0" applyNumberFormat="1" applyFont="1" applyBorder="1" applyProtection="1"/>
    <xf numFmtId="3" fontId="123" fillId="0" borderId="0" xfId="0" applyNumberFormat="1" applyFont="1" applyAlignment="1" applyProtection="1">
      <alignment horizontal="center"/>
    </xf>
    <xf numFmtId="10" fontId="31" fillId="2" borderId="0" xfId="0" applyNumberFormat="1" applyFont="1" applyFill="1" applyAlignment="1" applyProtection="1">
      <alignment vertical="top" wrapText="1"/>
      <protection locked="0"/>
    </xf>
    <xf numFmtId="174" fontId="31" fillId="75" borderId="0" xfId="4665" applyNumberFormat="1" applyFont="1" applyFill="1" applyAlignment="1"/>
    <xf numFmtId="174" fontId="166" fillId="0" borderId="0" xfId="190" applyNumberFormat="1" applyFont="1" applyFill="1" applyAlignment="1"/>
    <xf numFmtId="3" fontId="173" fillId="0" borderId="0" xfId="0" applyNumberFormat="1" applyFont="1" applyProtection="1">
      <protection locked="0"/>
    </xf>
    <xf numFmtId="43" fontId="31" fillId="0" borderId="0" xfId="4665" applyFont="1" applyFill="1" applyAlignment="1"/>
    <xf numFmtId="166" fontId="31" fillId="0" borderId="0" xfId="4665" applyNumberFormat="1" applyFont="1" applyFill="1" applyAlignment="1"/>
    <xf numFmtId="3" fontId="31" fillId="0" borderId="4" xfId="4597" applyNumberFormat="1" applyFont="1" applyBorder="1"/>
    <xf numFmtId="3" fontId="31" fillId="0" borderId="4" xfId="0" applyNumberFormat="1" applyFont="1" applyBorder="1" applyProtection="1"/>
    <xf numFmtId="0" fontId="31" fillId="0" borderId="4" xfId="0" applyNumberFormat="1" applyFont="1" applyBorder="1" applyProtection="1">
      <protection locked="0"/>
    </xf>
    <xf numFmtId="3" fontId="31" fillId="0" borderId="4" xfId="0" applyNumberFormat="1" applyFont="1" applyBorder="1" applyProtection="1">
      <protection locked="0"/>
    </xf>
    <xf numFmtId="49" fontId="31" fillId="0" borderId="4" xfId="0" applyNumberFormat="1" applyFont="1" applyBorder="1" applyProtection="1">
      <protection locked="0"/>
    </xf>
    <xf numFmtId="174" fontId="31" fillId="0" borderId="4" xfId="190" applyNumberFormat="1" applyFont="1" applyFill="1" applyBorder="1" applyAlignment="1"/>
    <xf numFmtId="3" fontId="31" fillId="0" borderId="3" xfId="0" applyNumberFormat="1" applyFont="1" applyBorder="1" applyAlignment="1" applyProtection="1">
      <alignment horizontal="center"/>
      <protection locked="0"/>
    </xf>
    <xf numFmtId="172" fontId="123" fillId="0" borderId="0" xfId="0" applyFont="1" applyAlignment="1">
      <alignment horizontal="center"/>
    </xf>
    <xf numFmtId="0" fontId="157" fillId="0" borderId="0" xfId="0" applyNumberFormat="1" applyFont="1" applyAlignment="1">
      <alignment horizontal="center"/>
    </xf>
    <xf numFmtId="0" fontId="31" fillId="0" borderId="0" xfId="4155" applyNumberFormat="1" applyFont="1" applyAlignment="1" applyProtection="1">
      <alignment horizontal="right"/>
      <protection locked="0"/>
    </xf>
    <xf numFmtId="172" fontId="10" fillId="0" borderId="0" xfId="0" applyFont="1"/>
    <xf numFmtId="172" fontId="175" fillId="0" borderId="0" xfId="0" applyFont="1"/>
    <xf numFmtId="172" fontId="10" fillId="0" borderId="0" xfId="0" applyFont="1" applyAlignment="1">
      <alignment horizontal="right"/>
    </xf>
    <xf numFmtId="172" fontId="10" fillId="0" borderId="0" xfId="0" applyFont="1" applyAlignment="1">
      <alignment vertical="top" wrapText="1"/>
    </xf>
    <xf numFmtId="172" fontId="10" fillId="3" borderId="0" xfId="0" applyFont="1" applyFill="1"/>
    <xf numFmtId="172" fontId="10" fillId="75" borderId="0" xfId="0" applyFont="1" applyFill="1"/>
    <xf numFmtId="172" fontId="10" fillId="0" borderId="0" xfId="0" applyFont="1" applyAlignment="1">
      <alignment vertical="top"/>
    </xf>
    <xf numFmtId="172" fontId="175" fillId="0" borderId="1" xfId="0" applyFont="1" applyBorder="1"/>
    <xf numFmtId="172" fontId="175" fillId="0" borderId="1" xfId="0" applyFont="1" applyBorder="1" applyAlignment="1">
      <alignment horizontal="center"/>
    </xf>
    <xf numFmtId="172" fontId="10" fillId="0" borderId="0" xfId="0" applyFont="1" applyAlignment="1">
      <alignment horizontal="center"/>
    </xf>
    <xf numFmtId="172" fontId="176" fillId="0" borderId="0" xfId="4663" applyNumberFormat="1" applyFont="1" applyFill="1" applyAlignment="1" applyProtection="1"/>
    <xf numFmtId="172" fontId="10" fillId="0" borderId="0" xfId="0" quotePrefix="1" applyFont="1" applyAlignment="1">
      <alignment horizontal="center"/>
    </xf>
    <xf numFmtId="172" fontId="10" fillId="0" borderId="0" xfId="0" applyFont="1" applyProtection="1"/>
    <xf numFmtId="172" fontId="177" fillId="0" borderId="0" xfId="0" applyFont="1"/>
    <xf numFmtId="172" fontId="10" fillId="0" borderId="0" xfId="0" quotePrefix="1" applyFont="1"/>
    <xf numFmtId="0" fontId="31" fillId="0" borderId="0" xfId="4" applyFont="1"/>
    <xf numFmtId="0" fontId="31" fillId="0" borderId="0" xfId="4" applyFont="1" applyAlignment="1">
      <alignment horizontal="right"/>
    </xf>
    <xf numFmtId="0" fontId="31" fillId="0" borderId="0" xfId="4" applyFont="1" applyAlignment="1">
      <alignment horizontal="center"/>
    </xf>
    <xf numFmtId="3" fontId="31" fillId="0" borderId="0" xfId="0" applyNumberFormat="1" applyFont="1" applyAlignment="1">
      <alignment horizontal="center"/>
    </xf>
    <xf numFmtId="3" fontId="31" fillId="0" borderId="0" xfId="0" applyNumberFormat="1" applyFont="1"/>
    <xf numFmtId="0" fontId="31" fillId="0" borderId="3" xfId="4" applyFont="1" applyBorder="1" applyAlignment="1">
      <alignment horizontal="center"/>
    </xf>
    <xf numFmtId="172" fontId="31" fillId="0" borderId="3" xfId="0" applyFont="1" applyBorder="1" applyAlignment="1">
      <alignment horizontal="center"/>
    </xf>
    <xf numFmtId="0" fontId="31" fillId="0" borderId="3" xfId="0" applyNumberFormat="1" applyFont="1" applyBorder="1" applyAlignment="1" applyProtection="1">
      <alignment horizontal="center"/>
      <protection locked="0"/>
    </xf>
    <xf numFmtId="173" fontId="166" fillId="2" borderId="0" xfId="1" applyNumberFormat="1" applyFont="1" applyFill="1" applyBorder="1"/>
    <xf numFmtId="3" fontId="31" fillId="0" borderId="0" xfId="4" applyNumberFormat="1" applyFont="1"/>
    <xf numFmtId="174" fontId="31" fillId="0" borderId="0" xfId="190" applyNumberFormat="1" applyFont="1" applyFill="1"/>
    <xf numFmtId="174" fontId="31" fillId="0" borderId="0" xfId="4" applyNumberFormat="1" applyFont="1"/>
    <xf numFmtId="173" fontId="31" fillId="0" borderId="14" xfId="1" applyNumberFormat="1" applyFont="1" applyFill="1" applyBorder="1"/>
    <xf numFmtId="44" fontId="31" fillId="0" borderId="0" xfId="4" applyNumberFormat="1" applyFont="1"/>
    <xf numFmtId="0" fontId="123" fillId="0" borderId="0" xfId="4" applyFont="1"/>
    <xf numFmtId="174" fontId="31" fillId="0" borderId="0" xfId="190" applyNumberFormat="1" applyFont="1"/>
    <xf numFmtId="174" fontId="31" fillId="0" borderId="4" xfId="190" applyNumberFormat="1" applyFont="1" applyFill="1" applyBorder="1"/>
    <xf numFmtId="174" fontId="123" fillId="0" borderId="0" xfId="190" applyNumberFormat="1" applyFont="1" applyFill="1"/>
    <xf numFmtId="173" fontId="31" fillId="0" borderId="0" xfId="1" applyNumberFormat="1" applyFont="1" applyFill="1" applyBorder="1"/>
    <xf numFmtId="0" fontId="157" fillId="0" borderId="0" xfId="4" applyFont="1"/>
    <xf numFmtId="9" fontId="31" fillId="0" borderId="0" xfId="4475" applyFont="1"/>
    <xf numFmtId="172" fontId="123" fillId="0" borderId="0" xfId="0" applyFont="1" applyAlignment="1">
      <alignment horizontal="right"/>
    </xf>
    <xf numFmtId="49" fontId="123" fillId="0" borderId="0" xfId="4598" applyNumberFormat="1" applyFont="1" applyAlignment="1">
      <alignment horizontal="center"/>
    </xf>
    <xf numFmtId="0" fontId="31" fillId="0" borderId="3" xfId="4" applyFont="1" applyBorder="1"/>
    <xf numFmtId="10" fontId="31" fillId="0" borderId="0" xfId="3" applyNumberFormat="1" applyFont="1" applyFill="1"/>
    <xf numFmtId="10" fontId="31" fillId="0" borderId="0" xfId="4" applyNumberFormat="1" applyFont="1"/>
    <xf numFmtId="49" fontId="123" fillId="0" borderId="0" xfId="4" applyNumberFormat="1" applyFont="1"/>
    <xf numFmtId="172" fontId="123" fillId="0" borderId="0" xfId="0" applyFont="1" applyAlignment="1" applyProtection="1">
      <alignment horizontal="center" wrapText="1"/>
      <protection locked="0"/>
    </xf>
    <xf numFmtId="172" fontId="123" fillId="0" borderId="3" xfId="0" applyFont="1" applyBorder="1" applyAlignment="1" applyProtection="1">
      <alignment horizontal="center"/>
      <protection locked="0"/>
    </xf>
    <xf numFmtId="172" fontId="123" fillId="0" borderId="3" xfId="0" applyFont="1" applyBorder="1" applyAlignment="1" applyProtection="1">
      <alignment horizontal="center" wrapText="1"/>
      <protection locked="0"/>
    </xf>
    <xf numFmtId="174" fontId="31" fillId="0" borderId="0" xfId="4665" applyNumberFormat="1" applyFont="1" applyBorder="1" applyAlignment="1">
      <alignment horizontal="center"/>
    </xf>
    <xf numFmtId="10" fontId="10" fillId="56" borderId="0" xfId="4352" applyNumberFormat="1" applyFont="1" applyFill="1" applyBorder="1"/>
    <xf numFmtId="307" fontId="10" fillId="56" borderId="0" xfId="0" applyNumberFormat="1" applyFont="1" applyFill="1"/>
    <xf numFmtId="10" fontId="31" fillId="0" borderId="0" xfId="4666" applyNumberFormat="1" applyFont="1" applyBorder="1" applyAlignment="1">
      <alignment horizontal="right"/>
    </xf>
    <xf numFmtId="172" fontId="31" fillId="0" borderId="0" xfId="0" applyFont="1" applyAlignment="1" applyProtection="1">
      <alignment horizontal="right"/>
    </xf>
    <xf numFmtId="174" fontId="31" fillId="0" borderId="0" xfId="0" applyNumberFormat="1" applyFont="1" applyProtection="1"/>
    <xf numFmtId="174" fontId="31" fillId="0" borderId="17" xfId="0" applyNumberFormat="1" applyFont="1" applyBorder="1" applyProtection="1"/>
    <xf numFmtId="10" fontId="31" fillId="0" borderId="0" xfId="3" applyNumberFormat="1" applyFont="1" applyFill="1" applyBorder="1"/>
    <xf numFmtId="0" fontId="31" fillId="0" borderId="0" xfId="4476" applyFont="1"/>
    <xf numFmtId="0" fontId="31" fillId="0" borderId="0" xfId="4476" applyFont="1" applyAlignment="1">
      <alignment horizontal="center"/>
    </xf>
    <xf numFmtId="0" fontId="31" fillId="0" borderId="0" xfId="4476" applyFont="1" applyAlignment="1">
      <alignment horizontal="right"/>
    </xf>
    <xf numFmtId="0" fontId="123" fillId="0" borderId="0" xfId="4476" applyFont="1" applyAlignment="1">
      <alignment horizontal="left"/>
    </xf>
    <xf numFmtId="0" fontId="31" fillId="0" borderId="0" xfId="4476" applyFont="1" applyAlignment="1">
      <alignment horizontal="left"/>
    </xf>
    <xf numFmtId="16" fontId="31" fillId="0" borderId="0" xfId="4476" applyNumberFormat="1" applyFont="1" applyAlignment="1">
      <alignment horizontal="center"/>
    </xf>
    <xf numFmtId="0" fontId="31" fillId="0" borderId="0" xfId="4476" applyFont="1" applyAlignment="1">
      <alignment horizontal="left" wrapText="1"/>
    </xf>
    <xf numFmtId="0" fontId="31" fillId="0" borderId="0" xfId="4476" applyFont="1" applyAlignment="1">
      <alignment wrapText="1"/>
    </xf>
    <xf numFmtId="0" fontId="123" fillId="0" borderId="1" xfId="4476" applyFont="1" applyBorder="1" applyAlignment="1">
      <alignment horizontal="center" wrapText="1"/>
    </xf>
    <xf numFmtId="0" fontId="178" fillId="0" borderId="0" xfId="4476" applyFont="1"/>
    <xf numFmtId="174" fontId="31" fillId="0" borderId="0" xfId="190" applyNumberFormat="1" applyFont="1" applyFill="1" applyBorder="1" applyAlignment="1" applyProtection="1">
      <alignment wrapText="1"/>
    </xf>
    <xf numFmtId="173" fontId="31" fillId="0" borderId="0" xfId="4476" applyNumberFormat="1" applyFont="1"/>
    <xf numFmtId="174" fontId="178" fillId="0" borderId="0" xfId="190" applyNumberFormat="1" applyFont="1" applyFill="1" applyProtection="1"/>
    <xf numFmtId="0" fontId="179" fillId="0" borderId="0" xfId="4476" applyFont="1" applyAlignment="1">
      <alignment horizontal="center"/>
    </xf>
    <xf numFmtId="174" fontId="178" fillId="0" borderId="0" xfId="4477" applyNumberFormat="1" applyFont="1" applyFill="1" applyProtection="1"/>
    <xf numFmtId="173" fontId="31" fillId="0" borderId="0" xfId="1" applyNumberFormat="1" applyFont="1" applyFill="1" applyProtection="1"/>
    <xf numFmtId="0" fontId="123" fillId="0" borderId="3" xfId="4476" applyFont="1" applyBorder="1" applyAlignment="1">
      <alignment horizontal="left"/>
    </xf>
    <xf numFmtId="0" fontId="31" fillId="0" borderId="3" xfId="4476" applyFont="1" applyBorder="1" applyAlignment="1">
      <alignment horizontal="center"/>
    </xf>
    <xf numFmtId="0" fontId="31" fillId="0" borderId="3" xfId="4476" applyFont="1" applyBorder="1" applyAlignment="1">
      <alignment wrapText="1"/>
    </xf>
    <xf numFmtId="0" fontId="123" fillId="0" borderId="3" xfId="4476" applyFont="1" applyBorder="1" applyAlignment="1">
      <alignment horizontal="center" wrapText="1"/>
    </xf>
    <xf numFmtId="174" fontId="31" fillId="0" borderId="0" xfId="190" applyNumberFormat="1" applyFont="1" applyFill="1" applyBorder="1" applyProtection="1"/>
    <xf numFmtId="193" fontId="31" fillId="0" borderId="4" xfId="4352" applyNumberFormat="1" applyFont="1" applyBorder="1" applyAlignment="1" applyProtection="1">
      <alignment wrapText="1"/>
    </xf>
    <xf numFmtId="174" fontId="31" fillId="0" borderId="0" xfId="190" applyNumberFormat="1" applyFont="1" applyAlignment="1" applyProtection="1">
      <alignment wrapText="1"/>
    </xf>
    <xf numFmtId="0" fontId="31" fillId="0" borderId="3" xfId="4476" applyFont="1" applyBorder="1"/>
    <xf numFmtId="0" fontId="123" fillId="0" borderId="0" xfId="4476" applyFont="1" applyAlignment="1">
      <alignment horizontal="center" wrapText="1"/>
    </xf>
    <xf numFmtId="193" fontId="166" fillId="3" borderId="0" xfId="4352" applyNumberFormat="1" applyFont="1" applyFill="1" applyAlignment="1" applyProtection="1">
      <alignment wrapText="1"/>
    </xf>
    <xf numFmtId="193" fontId="31" fillId="0" borderId="4" xfId="4476" applyNumberFormat="1" applyFont="1" applyBorder="1" applyAlignment="1">
      <alignment wrapText="1"/>
    </xf>
    <xf numFmtId="193" fontId="180" fillId="0" borderId="0" xfId="4476" applyNumberFormat="1" applyFont="1" applyAlignment="1">
      <alignment wrapText="1"/>
    </xf>
    <xf numFmtId="172" fontId="10" fillId="0" borderId="0" xfId="0" applyFont="1" applyAlignment="1" applyProtection="1">
      <alignment wrapText="1"/>
    </xf>
    <xf numFmtId="193" fontId="31" fillId="0" borderId="0" xfId="4476" applyNumberFormat="1" applyFont="1" applyAlignment="1">
      <alignment wrapText="1"/>
    </xf>
    <xf numFmtId="193" fontId="31" fillId="0" borderId="0" xfId="4352" applyNumberFormat="1" applyFont="1" applyAlignment="1" applyProtection="1">
      <alignment wrapText="1"/>
    </xf>
    <xf numFmtId="42" fontId="31" fillId="0" borderId="0" xfId="4476" applyNumberFormat="1" applyFont="1" applyAlignment="1">
      <alignment horizontal="right"/>
    </xf>
    <xf numFmtId="41" fontId="31" fillId="0" borderId="0" xfId="190" applyNumberFormat="1" applyFont="1" applyFill="1" applyAlignment="1" applyProtection="1">
      <alignment horizontal="right"/>
    </xf>
    <xf numFmtId="174" fontId="31" fillId="0" borderId="0" xfId="4476" applyNumberFormat="1" applyFont="1"/>
    <xf numFmtId="0" fontId="31" fillId="0" borderId="0" xfId="4476" applyFont="1" applyAlignment="1">
      <alignment horizontal="center" vertical="top"/>
    </xf>
    <xf numFmtId="0" fontId="10" fillId="0" borderId="0" xfId="4476" applyFont="1" applyAlignment="1">
      <alignment horizontal="center"/>
    </xf>
    <xf numFmtId="0" fontId="10" fillId="0" borderId="0" xfId="4476" applyFont="1"/>
    <xf numFmtId="172" fontId="31" fillId="0" borderId="0" xfId="4667" applyNumberFormat="1" applyFont="1" applyAlignment="1"/>
    <xf numFmtId="172" fontId="31" fillId="0" borderId="0" xfId="4667" applyNumberFormat="1" applyFont="1" applyAlignment="1">
      <alignment horizontal="right"/>
    </xf>
    <xf numFmtId="0" fontId="31" fillId="0" borderId="0" xfId="4667" applyNumberFormat="1" applyFont="1" applyAlignment="1"/>
    <xf numFmtId="172" fontId="31" fillId="0" borderId="0" xfId="4667" applyNumberFormat="1" applyFont="1" applyBorder="1" applyAlignment="1"/>
    <xf numFmtId="0" fontId="31" fillId="0" borderId="0" xfId="4667" applyNumberFormat="1" applyFont="1" applyBorder="1" applyAlignment="1"/>
    <xf numFmtId="193" fontId="31" fillId="0" borderId="0" xfId="4667" applyNumberFormat="1" applyFont="1" applyAlignment="1"/>
    <xf numFmtId="172" fontId="31" fillId="0" borderId="0" xfId="4667" applyNumberFormat="1" applyFont="1" applyFill="1" applyBorder="1" applyAlignment="1"/>
    <xf numFmtId="306" fontId="39" fillId="0" borderId="0" xfId="4667" applyNumberFormat="1" applyFont="1" applyFill="1" applyAlignment="1">
      <alignment horizontal="left"/>
    </xf>
    <xf numFmtId="41" fontId="31" fillId="78" borderId="0" xfId="1" applyNumberFormat="1" applyFont="1" applyFill="1" applyAlignment="1" applyProtection="1">
      <protection locked="0"/>
    </xf>
    <xf numFmtId="173" fontId="31" fillId="0" borderId="0" xfId="1" applyNumberFormat="1" applyFont="1" applyFill="1" applyBorder="1" applyAlignment="1"/>
    <xf numFmtId="172" fontId="31" fillId="0" borderId="38" xfId="4667" applyNumberFormat="1" applyFont="1" applyBorder="1" applyAlignment="1"/>
    <xf numFmtId="172" fontId="157" fillId="0" borderId="0" xfId="4667" applyNumberFormat="1" applyFont="1" applyBorder="1" applyAlignment="1">
      <alignment horizontal="center"/>
    </xf>
    <xf numFmtId="42" fontId="39" fillId="0" borderId="0" xfId="4667" applyNumberFormat="1" applyFont="1" applyAlignment="1"/>
    <xf numFmtId="42" fontId="39" fillId="0" borderId="0" xfId="4667" applyNumberFormat="1" applyFont="1" applyBorder="1" applyAlignment="1"/>
    <xf numFmtId="42" fontId="39" fillId="0" borderId="38" xfId="4667" applyNumberFormat="1" applyFont="1" applyBorder="1" applyAlignment="1"/>
    <xf numFmtId="42" fontId="39" fillId="0" borderId="0" xfId="1" applyNumberFormat="1" applyFont="1" applyFill="1" applyBorder="1" applyAlignment="1"/>
    <xf numFmtId="42" fontId="31" fillId="0" borderId="38" xfId="4667" applyNumberFormat="1" applyFont="1" applyBorder="1" applyAlignment="1"/>
    <xf numFmtId="42" fontId="31" fillId="0" borderId="0" xfId="4667" applyNumberFormat="1" applyFont="1" applyBorder="1" applyAlignment="1"/>
    <xf numFmtId="306" fontId="31" fillId="0" borderId="0" xfId="4667" applyNumberFormat="1" applyFont="1" applyFill="1" applyAlignment="1">
      <alignment horizontal="left"/>
    </xf>
    <xf numFmtId="170" fontId="31" fillId="0" borderId="0" xfId="4667" applyNumberFormat="1" applyFont="1" applyAlignment="1"/>
    <xf numFmtId="172" fontId="31" fillId="0" borderId="0" xfId="4667" applyNumberFormat="1" applyFont="1" applyFill="1" applyAlignment="1"/>
    <xf numFmtId="172" fontId="157" fillId="0" borderId="0" xfId="4667" applyNumberFormat="1" applyFont="1" applyAlignment="1">
      <alignment horizontal="center"/>
    </xf>
    <xf numFmtId="172" fontId="123" fillId="0" borderId="0" xfId="4667" quotePrefix="1" applyNumberFormat="1" applyFont="1" applyFill="1" applyAlignment="1"/>
    <xf numFmtId="172" fontId="31" fillId="0" borderId="0" xfId="4667" applyNumberFormat="1" applyFont="1" applyAlignment="1">
      <alignment horizontal="center" vertical="top"/>
    </xf>
    <xf numFmtId="172" fontId="31" fillId="0" borderId="0" xfId="4667" applyNumberFormat="1" applyFont="1" applyBorder="1" applyAlignment="1">
      <alignment horizontal="center"/>
    </xf>
    <xf numFmtId="172" fontId="31" fillId="0" borderId="3" xfId="4667" applyNumberFormat="1" applyFont="1" applyFill="1" applyBorder="1"/>
    <xf numFmtId="172" fontId="31" fillId="0" borderId="0" xfId="4667" applyNumberFormat="1" applyFont="1" applyFill="1"/>
    <xf numFmtId="0" fontId="31" fillId="0" borderId="0" xfId="4667" applyNumberFormat="1" applyFont="1" applyFill="1" applyAlignment="1">
      <alignment horizontal="center"/>
    </xf>
    <xf numFmtId="172" fontId="123" fillId="0" borderId="17" xfId="4667" applyNumberFormat="1" applyFont="1" applyFill="1" applyBorder="1" applyAlignment="1">
      <alignment horizontal="center" wrapText="1"/>
    </xf>
    <xf numFmtId="172" fontId="123" fillId="0" borderId="54" xfId="4667" applyNumberFormat="1" applyFont="1" applyFill="1" applyBorder="1" applyAlignment="1">
      <alignment horizontal="center" wrapText="1"/>
    </xf>
    <xf numFmtId="172" fontId="31" fillId="0" borderId="0" xfId="0" applyFont="1" applyAlignment="1">
      <alignment horizontal="left" vertical="center" wrapText="1"/>
    </xf>
    <xf numFmtId="0" fontId="31" fillId="0" borderId="0" xfId="4228" applyFont="1" applyAlignment="1">
      <alignment horizontal="left" vertical="top" wrapText="1"/>
    </xf>
    <xf numFmtId="44" fontId="31" fillId="0" borderId="0" xfId="4" applyNumberFormat="1" applyFont="1" applyAlignment="1">
      <alignment horizontal="center"/>
    </xf>
    <xf numFmtId="10" fontId="31" fillId="0" borderId="0" xfId="4665" applyNumberFormat="1" applyFont="1" applyFill="1" applyAlignment="1">
      <alignment horizontal="center"/>
    </xf>
    <xf numFmtId="10" fontId="31" fillId="0" borderId="0" xfId="3" applyNumberFormat="1" applyFont="1" applyFill="1" applyAlignment="1">
      <alignment horizontal="center"/>
    </xf>
    <xf numFmtId="0" fontId="31" fillId="0" borderId="4" xfId="4" applyFont="1" applyBorder="1"/>
    <xf numFmtId="10" fontId="31" fillId="0" borderId="4" xfId="3" applyNumberFormat="1" applyFont="1" applyFill="1" applyBorder="1" applyAlignment="1">
      <alignment horizontal="center"/>
    </xf>
    <xf numFmtId="172" fontId="181" fillId="0" borderId="0" xfId="0" applyFont="1"/>
    <xf numFmtId="172" fontId="183" fillId="0" borderId="51" xfId="0" applyFont="1" applyBorder="1"/>
    <xf numFmtId="172" fontId="181" fillId="0" borderId="37" xfId="0" applyFont="1" applyBorder="1"/>
    <xf numFmtId="172" fontId="181" fillId="0" borderId="38" xfId="0" applyFont="1" applyBorder="1"/>
    <xf numFmtId="10" fontId="181" fillId="0" borderId="0" xfId="4352" applyNumberFormat="1" applyFont="1" applyBorder="1" applyAlignment="1"/>
    <xf numFmtId="172" fontId="182" fillId="0" borderId="53" xfId="0" applyFont="1" applyBorder="1" applyAlignment="1">
      <alignment horizontal="center"/>
    </xf>
    <xf numFmtId="172" fontId="182" fillId="0" borderId="3" xfId="0" applyFont="1" applyBorder="1" applyAlignment="1">
      <alignment horizontal="center"/>
    </xf>
    <xf numFmtId="172" fontId="181" fillId="0" borderId="3" xfId="0" applyFont="1" applyBorder="1" applyAlignment="1">
      <alignment horizontal="center"/>
    </xf>
    <xf numFmtId="172" fontId="181" fillId="0" borderId="37" xfId="0" applyFont="1" applyBorder="1" applyAlignment="1">
      <alignment horizontal="center"/>
    </xf>
    <xf numFmtId="172" fontId="181" fillId="0" borderId="0" xfId="0" applyFont="1" applyAlignment="1">
      <alignment horizontal="center"/>
    </xf>
    <xf numFmtId="172" fontId="181" fillId="0" borderId="38" xfId="0" applyFont="1" applyBorder="1" applyAlignment="1">
      <alignment horizontal="center"/>
    </xf>
    <xf numFmtId="42" fontId="181" fillId="0" borderId="0" xfId="0" applyNumberFormat="1" applyFont="1"/>
    <xf numFmtId="42" fontId="181" fillId="0" borderId="0" xfId="1" applyNumberFormat="1" applyFont="1" applyBorder="1" applyAlignment="1"/>
    <xf numFmtId="42" fontId="181" fillId="0" borderId="38" xfId="1" applyNumberFormat="1" applyFont="1" applyBorder="1" applyAlignment="1"/>
    <xf numFmtId="174" fontId="181" fillId="0" borderId="52" xfId="190" applyNumberFormat="1" applyFont="1" applyBorder="1" applyAlignment="1"/>
    <xf numFmtId="174" fontId="181" fillId="0" borderId="3" xfId="190" applyNumberFormat="1" applyFont="1" applyBorder="1" applyAlignment="1"/>
    <xf numFmtId="44" fontId="181" fillId="0" borderId="52" xfId="1" applyFont="1" applyBorder="1" applyAlignment="1">
      <alignment horizontal="right"/>
    </xf>
    <xf numFmtId="173" fontId="181" fillId="0" borderId="3" xfId="1" applyNumberFormat="1" applyFont="1" applyBorder="1" applyAlignment="1"/>
    <xf numFmtId="173" fontId="181" fillId="0" borderId="53" xfId="1" applyNumberFormat="1" applyFont="1" applyBorder="1" applyAlignment="1"/>
    <xf numFmtId="174" fontId="181" fillId="0" borderId="0" xfId="190" applyNumberFormat="1" applyFont="1" applyBorder="1" applyAlignment="1"/>
    <xf numFmtId="44" fontId="181" fillId="0" borderId="0" xfId="1" applyFont="1" applyBorder="1" applyAlignment="1">
      <alignment horizontal="right"/>
    </xf>
    <xf numFmtId="173" fontId="181" fillId="0" borderId="0" xfId="1" applyNumberFormat="1" applyFont="1" applyBorder="1" applyAlignment="1"/>
    <xf numFmtId="172" fontId="181" fillId="3" borderId="4" xfId="0" applyFont="1" applyFill="1" applyBorder="1"/>
    <xf numFmtId="172" fontId="181" fillId="3" borderId="0" xfId="0" applyFont="1" applyFill="1" applyAlignment="1">
      <alignment horizontal="center"/>
    </xf>
    <xf numFmtId="10" fontId="181" fillId="3" borderId="0" xfId="4352" applyNumberFormat="1" applyFont="1" applyFill="1" applyBorder="1" applyAlignment="1"/>
    <xf numFmtId="172" fontId="181" fillId="3" borderId="4" xfId="0" applyFont="1" applyFill="1" applyBorder="1" applyAlignment="1">
      <alignment wrapText="1"/>
    </xf>
    <xf numFmtId="0" fontId="181" fillId="3" borderId="0" xfId="4352" quotePrefix="1" applyNumberFormat="1" applyFont="1" applyFill="1" applyBorder="1" applyAlignment="1">
      <alignment horizontal="right"/>
    </xf>
    <xf numFmtId="42" fontId="181" fillId="3" borderId="37" xfId="1" applyNumberFormat="1" applyFont="1" applyFill="1" applyBorder="1" applyAlignment="1">
      <alignment horizontal="right"/>
    </xf>
    <xf numFmtId="42" fontId="181" fillId="3" borderId="0" xfId="1" applyNumberFormat="1" applyFont="1" applyFill="1" applyBorder="1" applyAlignment="1"/>
    <xf numFmtId="172" fontId="182" fillId="0" borderId="0" xfId="0" applyFont="1" applyAlignment="1">
      <alignment horizontal="center"/>
    </xf>
    <xf numFmtId="0" fontId="31" fillId="0" borderId="0" xfId="4598" applyFont="1" applyAlignment="1">
      <alignment horizontal="center"/>
    </xf>
    <xf numFmtId="44" fontId="165" fillId="0" borderId="0" xfId="0" applyNumberFormat="1" applyFont="1" applyAlignment="1">
      <alignment horizontal="center"/>
    </xf>
    <xf numFmtId="0" fontId="181" fillId="0" borderId="0" xfId="0" applyNumberFormat="1" applyFont="1" applyAlignment="1">
      <alignment horizontal="center"/>
    </xf>
    <xf numFmtId="172" fontId="181" fillId="0" borderId="0" xfId="0" applyFont="1" applyAlignment="1">
      <alignment horizontal="left"/>
    </xf>
    <xf numFmtId="172" fontId="184" fillId="0" borderId="0" xfId="0" applyFont="1" applyAlignment="1">
      <alignment horizontal="center"/>
    </xf>
    <xf numFmtId="0" fontId="165" fillId="0" borderId="0" xfId="0" applyNumberFormat="1" applyFont="1" applyProtection="1">
      <protection locked="0"/>
    </xf>
    <xf numFmtId="172" fontId="123" fillId="0" borderId="0" xfId="4667" applyNumberFormat="1" applyFont="1" applyBorder="1" applyAlignment="1"/>
    <xf numFmtId="172" fontId="31" fillId="0" borderId="37" xfId="4667" applyNumberFormat="1" applyFont="1" applyFill="1" applyBorder="1" applyAlignment="1"/>
    <xf numFmtId="172" fontId="31" fillId="0" borderId="37" xfId="4667" applyNumberFormat="1" applyFont="1" applyBorder="1" applyAlignment="1"/>
    <xf numFmtId="172" fontId="157" fillId="0" borderId="37" xfId="4667" applyNumberFormat="1" applyFont="1" applyBorder="1" applyAlignment="1">
      <alignment horizontal="center"/>
    </xf>
    <xf numFmtId="172" fontId="182" fillId="0" borderId="0" xfId="0" applyFont="1" applyAlignment="1">
      <alignment horizontal="left"/>
    </xf>
    <xf numFmtId="42" fontId="181" fillId="79" borderId="0" xfId="0" applyNumberFormat="1" applyFont="1" applyFill="1"/>
    <xf numFmtId="172" fontId="182" fillId="0" borderId="37" xfId="0" applyFont="1" applyBorder="1" applyAlignment="1">
      <alignment horizontal="center"/>
    </xf>
    <xf numFmtId="172" fontId="182" fillId="0" borderId="52" xfId="0" applyFont="1" applyBorder="1" applyAlignment="1">
      <alignment horizontal="center"/>
    </xf>
    <xf numFmtId="42" fontId="39" fillId="0" borderId="37" xfId="4667" applyNumberFormat="1" applyFont="1" applyBorder="1" applyAlignment="1"/>
    <xf numFmtId="174" fontId="181" fillId="0" borderId="37" xfId="190" applyNumberFormat="1" applyFont="1" applyBorder="1" applyAlignment="1"/>
    <xf numFmtId="172" fontId="181" fillId="3" borderId="47" xfId="0" applyFont="1" applyFill="1" applyBorder="1"/>
    <xf numFmtId="172" fontId="182" fillId="0" borderId="38" xfId="0" applyFont="1" applyBorder="1" applyAlignment="1">
      <alignment horizontal="center"/>
    </xf>
    <xf numFmtId="174" fontId="181" fillId="0" borderId="38" xfId="190" applyNumberFormat="1" applyFont="1" applyBorder="1" applyAlignment="1"/>
    <xf numFmtId="174" fontId="181" fillId="0" borderId="53" xfId="190" applyNumberFormat="1" applyFont="1" applyBorder="1" applyAlignment="1"/>
    <xf numFmtId="44" fontId="181" fillId="0" borderId="37" xfId="1" applyFont="1" applyBorder="1" applyAlignment="1">
      <alignment horizontal="right"/>
    </xf>
    <xf numFmtId="173" fontId="181" fillId="0" borderId="38" xfId="1" applyNumberFormat="1" applyFont="1" applyBorder="1" applyAlignment="1"/>
    <xf numFmtId="172" fontId="181" fillId="0" borderId="35" xfId="0" applyFont="1" applyBorder="1"/>
    <xf numFmtId="172" fontId="123" fillId="0" borderId="0" xfId="4667" applyNumberFormat="1" applyFont="1" applyFill="1" applyAlignment="1">
      <alignment horizontal="center"/>
    </xf>
    <xf numFmtId="0" fontId="31" fillId="0" borderId="0" xfId="4671" applyFont="1"/>
    <xf numFmtId="0" fontId="31" fillId="0" borderId="0" xfId="4671" quotePrefix="1" applyFont="1"/>
    <xf numFmtId="0" fontId="31" fillId="0" borderId="0" xfId="4671" applyFont="1" applyAlignment="1">
      <alignment horizontal="center"/>
    </xf>
    <xf numFmtId="37" fontId="31" fillId="0" borderId="0" xfId="4671" applyNumberFormat="1" applyFont="1" applyAlignment="1">
      <alignment horizontal="right"/>
    </xf>
    <xf numFmtId="0" fontId="186" fillId="0" borderId="27" xfId="4671" applyFont="1" applyBorder="1"/>
    <xf numFmtId="37" fontId="31" fillId="0" borderId="0" xfId="4671" applyNumberFormat="1" applyFont="1"/>
    <xf numFmtId="0" fontId="31" fillId="0" borderId="0" xfId="4671" applyFont="1" applyAlignment="1">
      <alignment horizontal="left" indent="1"/>
    </xf>
    <xf numFmtId="5" fontId="31" fillId="0" borderId="0" xfId="4671" applyNumberFormat="1" applyFont="1"/>
    <xf numFmtId="0" fontId="31" fillId="0" borderId="0" xfId="4671" applyFont="1" applyAlignment="1">
      <alignment horizontal="left" indent="2"/>
    </xf>
    <xf numFmtId="0" fontId="132" fillId="0" borderId="0" xfId="4473" applyFont="1" applyAlignment="1">
      <alignment horizontal="left" indent="2"/>
    </xf>
    <xf numFmtId="0" fontId="186" fillId="0" borderId="0" xfId="4671" applyFont="1" applyAlignment="1">
      <alignment horizontal="left"/>
    </xf>
    <xf numFmtId="212" fontId="31" fillId="0" borderId="0" xfId="4671" applyNumberFormat="1" applyFont="1"/>
    <xf numFmtId="309" fontId="31" fillId="0" borderId="0" xfId="4671" applyNumberFormat="1" applyFont="1"/>
    <xf numFmtId="0" fontId="123" fillId="0" borderId="0" xfId="4671" applyFont="1"/>
    <xf numFmtId="0" fontId="157" fillId="0" borderId="0" xfId="4" applyFont="1" applyAlignment="1">
      <alignment horizontal="center"/>
    </xf>
    <xf numFmtId="174" fontId="31" fillId="0" borderId="0" xfId="4665" applyNumberFormat="1" applyFont="1" applyFill="1" applyAlignment="1" applyProtection="1">
      <alignment horizontal="center"/>
      <protection locked="0"/>
    </xf>
    <xf numFmtId="43" fontId="31" fillId="0" borderId="0" xfId="190" applyFont="1" applyFill="1" applyAlignment="1"/>
    <xf numFmtId="172" fontId="31" fillId="0" borderId="0" xfId="4667" applyNumberFormat="1" applyFont="1" applyFill="1" applyAlignment="1">
      <alignment horizontal="right"/>
    </xf>
    <xf numFmtId="172" fontId="123" fillId="0" borderId="0" xfId="4667" applyNumberFormat="1" applyFont="1" applyBorder="1"/>
    <xf numFmtId="172" fontId="123" fillId="0" borderId="0" xfId="4667" applyNumberFormat="1" applyFont="1" applyBorder="1" applyAlignment="1">
      <alignment horizontal="center"/>
    </xf>
    <xf numFmtId="172" fontId="31" fillId="0" borderId="0" xfId="4667" quotePrefix="1" applyNumberFormat="1" applyFont="1" applyAlignment="1">
      <alignment horizontal="center"/>
    </xf>
    <xf numFmtId="172" fontId="31" fillId="0" borderId="0" xfId="4667" quotePrefix="1" applyNumberFormat="1" applyFont="1" applyFill="1" applyAlignment="1">
      <alignment horizontal="center"/>
    </xf>
    <xf numFmtId="172" fontId="123" fillId="0" borderId="0" xfId="4667" applyNumberFormat="1" applyFont="1" applyAlignment="1"/>
    <xf numFmtId="172" fontId="123" fillId="0" borderId="0" xfId="4667" applyNumberFormat="1" applyFont="1" applyAlignment="1">
      <alignment horizontal="center"/>
    </xf>
    <xf numFmtId="172" fontId="123" fillId="0" borderId="1" xfId="4667" applyNumberFormat="1" applyFont="1" applyBorder="1" applyAlignment="1">
      <alignment horizontal="center"/>
    </xf>
    <xf numFmtId="172" fontId="123" fillId="0" borderId="1" xfId="4667" applyNumberFormat="1" applyFont="1" applyFill="1" applyBorder="1" applyAlignment="1">
      <alignment horizontal="center"/>
    </xf>
    <xf numFmtId="0" fontId="31" fillId="0" borderId="0" xfId="190" applyNumberFormat="1" applyFont="1" applyAlignment="1">
      <alignment horizontal="center"/>
    </xf>
    <xf numFmtId="170" fontId="31" fillId="0" borderId="0" xfId="190" applyNumberFormat="1" applyFont="1" applyFill="1" applyBorder="1" applyAlignment="1"/>
    <xf numFmtId="0" fontId="31" fillId="0" borderId="0" xfId="4667" applyNumberFormat="1" applyFont="1" applyAlignment="1">
      <alignment horizontal="center"/>
    </xf>
    <xf numFmtId="193" fontId="31" fillId="0" borderId="0" xfId="4667" applyNumberFormat="1" applyFont="1" applyFill="1" applyAlignment="1"/>
    <xf numFmtId="271" fontId="31" fillId="79" borderId="0" xfId="190" applyNumberFormat="1" applyFont="1" applyFill="1" applyAlignment="1"/>
    <xf numFmtId="41" fontId="31" fillId="0" borderId="0" xfId="4667" applyNumberFormat="1" applyFont="1" applyFill="1" applyBorder="1" applyAlignment="1"/>
    <xf numFmtId="172" fontId="31" fillId="0" borderId="4" xfId="4667" applyNumberFormat="1" applyFont="1" applyFill="1" applyBorder="1" applyAlignment="1"/>
    <xf numFmtId="173" fontId="31" fillId="0" borderId="4" xfId="1" applyNumberFormat="1" applyFont="1" applyFill="1" applyBorder="1" applyAlignment="1"/>
    <xf numFmtId="271" fontId="31" fillId="0" borderId="4" xfId="190" applyNumberFormat="1" applyFont="1" applyFill="1" applyBorder="1" applyAlignment="1"/>
    <xf numFmtId="173" fontId="31" fillId="0" borderId="0" xfId="4668" applyNumberFormat="1" applyFont="1" applyProtection="1">
      <protection locked="0"/>
    </xf>
    <xf numFmtId="0" fontId="31" fillId="0" borderId="4" xfId="4667" applyNumberFormat="1" applyFont="1" applyBorder="1" applyAlignment="1"/>
    <xf numFmtId="1" fontId="31" fillId="0" borderId="4" xfId="4668" applyNumberFormat="1" applyFont="1" applyBorder="1" applyAlignment="1" applyProtection="1">
      <alignment horizontal="left"/>
      <protection locked="0"/>
    </xf>
    <xf numFmtId="173" fontId="31" fillId="0" borderId="4" xfId="4668" applyNumberFormat="1" applyFont="1" applyBorder="1" applyProtection="1">
      <protection locked="0"/>
    </xf>
    <xf numFmtId="173" fontId="31" fillId="0" borderId="0" xfId="1" applyNumberFormat="1" applyFont="1" applyFill="1" applyAlignment="1"/>
    <xf numFmtId="172" fontId="123" fillId="0" borderId="0" xfId="4669" applyFont="1" applyAlignment="1">
      <alignment horizontal="left"/>
    </xf>
    <xf numFmtId="42" fontId="31" fillId="0" borderId="0" xfId="4667" applyNumberFormat="1" applyFont="1" applyAlignment="1"/>
    <xf numFmtId="0" fontId="31" fillId="0" borderId="0" xfId="4667" applyNumberFormat="1" applyFont="1" applyFill="1" applyBorder="1" applyAlignment="1"/>
    <xf numFmtId="41" fontId="116" fillId="0" borderId="0" xfId="4668" applyNumberFormat="1" applyFont="1" applyProtection="1">
      <protection locked="0"/>
    </xf>
    <xf numFmtId="172" fontId="31" fillId="0" borderId="0" xfId="4667" applyNumberFormat="1" applyFont="1" applyFill="1" applyBorder="1" applyAlignment="1">
      <alignment horizontal="center"/>
    </xf>
    <xf numFmtId="193" fontId="31" fillId="0" borderId="0" xfId="4667" applyNumberFormat="1" applyFont="1" applyFill="1" applyBorder="1" applyAlignment="1"/>
    <xf numFmtId="42" fontId="31" fillId="0" borderId="0" xfId="4667" applyNumberFormat="1" applyFont="1" applyFill="1" applyBorder="1" applyAlignment="1"/>
    <xf numFmtId="10" fontId="31" fillId="0" borderId="0" xfId="4667" applyNumberFormat="1" applyFont="1" applyFill="1" applyBorder="1" applyAlignment="1"/>
    <xf numFmtId="41" fontId="187" fillId="0" borderId="0" xfId="4667" applyNumberFormat="1" applyFont="1" applyFill="1" applyBorder="1" applyAlignment="1"/>
    <xf numFmtId="0" fontId="31" fillId="0" borderId="0" xfId="4670" applyFont="1"/>
    <xf numFmtId="1" fontId="166" fillId="3" borderId="0" xfId="0" applyNumberFormat="1" applyFont="1" applyFill="1" applyAlignment="1" applyProtection="1">
      <alignment horizontal="center"/>
      <protection locked="0"/>
    </xf>
    <xf numFmtId="14" fontId="31" fillId="0" borderId="0" xfId="0" applyNumberFormat="1" applyFont="1" applyProtection="1">
      <protection locked="0"/>
    </xf>
    <xf numFmtId="1" fontId="31" fillId="0" borderId="0" xfId="0" applyNumberFormat="1" applyFont="1" applyAlignment="1" applyProtection="1">
      <alignment horizontal="center"/>
      <protection locked="0"/>
    </xf>
    <xf numFmtId="0" fontId="31" fillId="0" borderId="0" xfId="4" applyFont="1" applyAlignment="1">
      <alignment horizontal="center" vertical="top"/>
    </xf>
    <xf numFmtId="42" fontId="31" fillId="0" borderId="0" xfId="0" applyNumberFormat="1" applyFont="1" applyAlignment="1" applyProtection="1">
      <alignment horizontal="right"/>
    </xf>
    <xf numFmtId="0" fontId="31" fillId="0" borderId="0" xfId="0" applyNumberFormat="1" applyFont="1"/>
    <xf numFmtId="172" fontId="123" fillId="0" borderId="0" xfId="0" applyFont="1"/>
    <xf numFmtId="0" fontId="123" fillId="0" borderId="0" xfId="4" applyFont="1" applyAlignment="1">
      <alignment horizontal="center"/>
    </xf>
    <xf numFmtId="3" fontId="31" fillId="0" borderId="1" xfId="0" applyNumberFormat="1" applyFont="1" applyBorder="1" applyAlignment="1">
      <alignment horizontal="center"/>
    </xf>
    <xf numFmtId="0" fontId="123" fillId="0" borderId="1" xfId="4" applyFont="1" applyBorder="1" applyAlignment="1">
      <alignment horizontal="center"/>
    </xf>
    <xf numFmtId="0" fontId="31" fillId="0" borderId="0" xfId="4" applyFont="1" applyAlignment="1">
      <alignment horizontal="center" vertical="center"/>
    </xf>
    <xf numFmtId="174" fontId="31" fillId="75" borderId="14" xfId="4665" applyNumberFormat="1" applyFont="1" applyFill="1" applyBorder="1" applyAlignment="1"/>
    <xf numFmtId="0" fontId="189" fillId="0" borderId="0" xfId="4671" applyFont="1" applyAlignment="1">
      <alignment horizontal="center"/>
    </xf>
    <xf numFmtId="0" fontId="186" fillId="0" borderId="0" xfId="4671" applyFont="1" applyAlignment="1">
      <alignment horizontal="center"/>
    </xf>
    <xf numFmtId="37" fontId="186" fillId="0" borderId="0" xfId="4671" applyNumberFormat="1" applyFont="1" applyAlignment="1">
      <alignment horizontal="center"/>
    </xf>
    <xf numFmtId="173" fontId="166" fillId="3" borderId="0" xfId="1" applyNumberFormat="1" applyFont="1" applyFill="1" applyAlignment="1"/>
    <xf numFmtId="173" fontId="31" fillId="0" borderId="4" xfId="1" applyNumberFormat="1" applyFont="1" applyFill="1" applyBorder="1"/>
    <xf numFmtId="0" fontId="31" fillId="0" borderId="4" xfId="4671" applyFont="1" applyBorder="1" applyAlignment="1">
      <alignment horizontal="left" indent="1"/>
    </xf>
    <xf numFmtId="42" fontId="123" fillId="0" borderId="0" xfId="1" applyNumberFormat="1" applyFont="1" applyFill="1" applyBorder="1" applyAlignment="1" applyProtection="1">
      <alignment horizontal="right"/>
    </xf>
    <xf numFmtId="42" fontId="31" fillId="0" borderId="0" xfId="0" applyNumberFormat="1" applyFont="1" applyProtection="1">
      <protection locked="0"/>
    </xf>
    <xf numFmtId="42" fontId="31" fillId="0" borderId="0" xfId="4671" applyNumberFormat="1" applyFont="1"/>
    <xf numFmtId="0" fontId="31" fillId="0" borderId="0" xfId="4671" applyFont="1" applyAlignment="1">
      <alignment horizontal="left"/>
    </xf>
    <xf numFmtId="173" fontId="31" fillId="0" borderId="0" xfId="4671" applyNumberFormat="1" applyFont="1"/>
    <xf numFmtId="173" fontId="31" fillId="0" borderId="15" xfId="4671" applyNumberFormat="1" applyFont="1" applyBorder="1"/>
    <xf numFmtId="42" fontId="31" fillId="0" borderId="15" xfId="1" applyNumberFormat="1" applyFont="1" applyFill="1" applyBorder="1" applyAlignment="1" applyProtection="1">
      <alignment horizontal="right"/>
    </xf>
    <xf numFmtId="0" fontId="31" fillId="0" borderId="0" xfId="0" applyNumberFormat="1" applyFont="1" applyAlignment="1" applyProtection="1">
      <alignment vertical="top" wrapText="1"/>
      <protection locked="0"/>
    </xf>
    <xf numFmtId="0" fontId="123" fillId="0" borderId="0" xfId="4155" applyNumberFormat="1" applyFont="1" applyAlignment="1" applyProtection="1">
      <alignment horizontal="center"/>
      <protection locked="0"/>
    </xf>
    <xf numFmtId="49" fontId="123" fillId="0" borderId="0" xfId="4597" applyNumberFormat="1" applyFont="1" applyAlignment="1">
      <alignment horizontal="center"/>
    </xf>
    <xf numFmtId="173" fontId="31" fillId="0" borderId="14" xfId="4476" applyNumberFormat="1" applyFont="1" applyBorder="1"/>
    <xf numFmtId="42" fontId="123" fillId="0" borderId="15" xfId="1" applyNumberFormat="1" applyFont="1" applyFill="1" applyBorder="1" applyAlignment="1" applyProtection="1">
      <alignment horizontal="right"/>
    </xf>
    <xf numFmtId="10" fontId="31" fillId="0" borderId="0" xfId="4352" applyNumberFormat="1" applyFont="1" applyAlignment="1" applyProtection="1">
      <alignment wrapText="1"/>
    </xf>
    <xf numFmtId="168" fontId="31" fillId="0" borderId="0" xfId="0" applyNumberFormat="1" applyFont="1" applyProtection="1">
      <protection locked="0"/>
    </xf>
    <xf numFmtId="172" fontId="123" fillId="0" borderId="0" xfId="0" applyFont="1" applyProtection="1">
      <protection locked="0"/>
    </xf>
    <xf numFmtId="172" fontId="190" fillId="0" borderId="0" xfId="0" applyFont="1" applyProtection="1">
      <protection locked="0"/>
    </xf>
    <xf numFmtId="172" fontId="123" fillId="0" borderId="3" xfId="0" applyFont="1" applyBorder="1" applyAlignment="1">
      <alignment horizontal="center"/>
    </xf>
    <xf numFmtId="172" fontId="31" fillId="0" borderId="3" xfId="0" applyFont="1" applyBorder="1"/>
    <xf numFmtId="172" fontId="31" fillId="0" borderId="0" xfId="0" applyFont="1" applyAlignment="1" applyProtection="1">
      <alignment wrapText="1"/>
      <protection locked="0"/>
    </xf>
    <xf numFmtId="0" fontId="132" fillId="0" borderId="0" xfId="4473" applyFont="1" applyAlignment="1">
      <alignment horizontal="center"/>
    </xf>
    <xf numFmtId="0" fontId="31" fillId="0" borderId="0" xfId="4472" applyNumberFormat="1" applyFont="1" applyFill="1" applyBorder="1" applyAlignment="1">
      <alignment horizontal="left"/>
    </xf>
    <xf numFmtId="174" fontId="31" fillId="0" borderId="0" xfId="4472" applyNumberFormat="1" applyFont="1" applyFill="1" applyBorder="1"/>
    <xf numFmtId="0" fontId="31" fillId="0" borderId="0" xfId="4472" applyNumberFormat="1" applyFont="1" applyFill="1" applyBorder="1" applyAlignment="1">
      <alignment horizontal="center"/>
    </xf>
    <xf numFmtId="174" fontId="166" fillId="2" borderId="0" xfId="4472" applyNumberFormat="1" applyFont="1" applyFill="1" applyBorder="1"/>
    <xf numFmtId="174" fontId="31" fillId="0" borderId="4" xfId="4472" applyNumberFormat="1" applyFont="1" applyFill="1" applyBorder="1"/>
    <xf numFmtId="172" fontId="31" fillId="0" borderId="4" xfId="0" applyFont="1" applyBorder="1"/>
    <xf numFmtId="172" fontId="123" fillId="0" borderId="0" xfId="0" applyFont="1" applyAlignment="1" applyProtection="1">
      <alignment horizontal="left"/>
      <protection locked="0"/>
    </xf>
    <xf numFmtId="172" fontId="31" fillId="0" borderId="0" xfId="0" applyFont="1" applyAlignment="1" applyProtection="1">
      <alignment horizontal="centerContinuous"/>
      <protection locked="0"/>
    </xf>
    <xf numFmtId="172" fontId="191" fillId="0" borderId="0" xfId="0" applyFont="1" applyAlignment="1">
      <alignment horizontal="left"/>
    </xf>
    <xf numFmtId="0" fontId="123" fillId="0" borderId="3" xfId="4471" applyFont="1" applyBorder="1" applyAlignment="1">
      <alignment horizontal="center"/>
    </xf>
    <xf numFmtId="172" fontId="166" fillId="2" borderId="27" xfId="0" applyFont="1" applyFill="1" applyBorder="1"/>
    <xf numFmtId="0" fontId="166" fillId="2" borderId="27" xfId="4471" applyFont="1" applyFill="1" applyBorder="1"/>
    <xf numFmtId="174" fontId="166" fillId="2" borderId="27" xfId="190" applyNumberFormat="1" applyFont="1" applyFill="1" applyBorder="1"/>
    <xf numFmtId="37" fontId="166" fillId="2" borderId="27" xfId="0" applyNumberFormat="1" applyFont="1" applyFill="1" applyBorder="1"/>
    <xf numFmtId="172" fontId="192" fillId="0" borderId="0" xfId="0" applyFont="1"/>
    <xf numFmtId="172" fontId="166" fillId="2" borderId="46" xfId="0" applyFont="1" applyFill="1" applyBorder="1"/>
    <xf numFmtId="37" fontId="166" fillId="2" borderId="46" xfId="0" applyNumberFormat="1" applyFont="1" applyFill="1" applyBorder="1"/>
    <xf numFmtId="37" fontId="31" fillId="0" borderId="4" xfId="0" applyNumberFormat="1" applyFont="1" applyBorder="1"/>
    <xf numFmtId="43" fontId="31" fillId="0" borderId="0" xfId="190" applyFont="1"/>
    <xf numFmtId="37" fontId="31" fillId="0" borderId="0" xfId="0" applyNumberFormat="1" applyFont="1"/>
    <xf numFmtId="172" fontId="186" fillId="0" borderId="0" xfId="0" applyFont="1"/>
    <xf numFmtId="174" fontId="31" fillId="0" borderId="0" xfId="0" applyNumberFormat="1" applyFont="1"/>
    <xf numFmtId="172" fontId="157" fillId="0" borderId="0" xfId="0" applyFont="1"/>
    <xf numFmtId="172" fontId="157" fillId="0" borderId="0" xfId="0" applyFont="1" applyAlignment="1">
      <alignment horizontal="center"/>
    </xf>
    <xf numFmtId="172" fontId="193" fillId="0" borderId="0" xfId="4667" applyNumberFormat="1" applyFont="1" applyAlignment="1">
      <alignment horizontal="center"/>
    </xf>
    <xf numFmtId="172" fontId="191" fillId="0" borderId="0" xfId="4667" applyNumberFormat="1" applyFont="1" applyAlignment="1">
      <alignment horizontal="center"/>
    </xf>
    <xf numFmtId="172" fontId="31" fillId="0" borderId="51" xfId="4667" applyNumberFormat="1" applyFont="1" applyBorder="1" applyAlignment="1"/>
    <xf numFmtId="172" fontId="31" fillId="0" borderId="4" xfId="4667" applyNumberFormat="1" applyFont="1" applyBorder="1" applyAlignment="1"/>
    <xf numFmtId="0" fontId="31" fillId="0" borderId="47" xfId="4667" applyNumberFormat="1" applyFont="1" applyBorder="1" applyAlignment="1"/>
    <xf numFmtId="172" fontId="31" fillId="0" borderId="37" xfId="4667" applyNumberFormat="1" applyFont="1" applyFill="1" applyBorder="1" applyAlignment="1">
      <alignment horizontal="center"/>
    </xf>
    <xf numFmtId="172" fontId="31" fillId="0" borderId="38" xfId="4667" applyNumberFormat="1" applyFont="1" applyFill="1" applyBorder="1" applyAlignment="1">
      <alignment horizontal="center"/>
    </xf>
    <xf numFmtId="172" fontId="31" fillId="0" borderId="37" xfId="4667" applyNumberFormat="1" applyFont="1" applyBorder="1" applyAlignment="1">
      <alignment horizontal="center"/>
    </xf>
    <xf numFmtId="172" fontId="31" fillId="0" borderId="38" xfId="4667" applyNumberFormat="1" applyFont="1" applyBorder="1" applyAlignment="1">
      <alignment horizontal="center"/>
    </xf>
    <xf numFmtId="172" fontId="123" fillId="0" borderId="3" xfId="4667" applyNumberFormat="1" applyFont="1" applyBorder="1" applyAlignment="1">
      <alignment horizontal="center"/>
    </xf>
    <xf numFmtId="172" fontId="31" fillId="0" borderId="56" xfId="4667" applyNumberFormat="1" applyFont="1" applyBorder="1" applyAlignment="1">
      <alignment horizontal="center"/>
    </xf>
    <xf numFmtId="172" fontId="31" fillId="0" borderId="1" xfId="4667" applyNumberFormat="1" applyFont="1" applyBorder="1" applyAlignment="1">
      <alignment horizontal="center"/>
    </xf>
    <xf numFmtId="172" fontId="31" fillId="0" borderId="57" xfId="4667" applyNumberFormat="1" applyFont="1" applyBorder="1" applyAlignment="1">
      <alignment horizontal="center"/>
    </xf>
    <xf numFmtId="164" fontId="31" fillId="0" borderId="0" xfId="4667" applyNumberFormat="1" applyFont="1" applyBorder="1" applyAlignment="1"/>
    <xf numFmtId="193" fontId="31" fillId="0" borderId="0" xfId="4352" applyNumberFormat="1" applyFont="1" applyFill="1" applyBorder="1" applyAlignment="1"/>
    <xf numFmtId="10" fontId="31" fillId="0" borderId="38" xfId="4352" quotePrefix="1" applyNumberFormat="1" applyFont="1" applyBorder="1" applyAlignment="1">
      <alignment horizontal="left"/>
    </xf>
    <xf numFmtId="193" fontId="31" fillId="0" borderId="0" xfId="4667" applyNumberFormat="1" applyFont="1" applyBorder="1" applyAlignment="1"/>
    <xf numFmtId="173" fontId="31" fillId="0" borderId="0" xfId="1" applyNumberFormat="1" applyFont="1" applyFill="1" applyBorder="1" applyAlignment="1" applyProtection="1">
      <alignment vertical="center"/>
      <protection locked="0"/>
    </xf>
    <xf numFmtId="173" fontId="31" fillId="0" borderId="0" xfId="4667" applyNumberFormat="1" applyFont="1" applyFill="1" applyBorder="1" applyAlignment="1"/>
    <xf numFmtId="42" fontId="31" fillId="56" borderId="0" xfId="4667" quotePrefix="1" applyNumberFormat="1" applyFont="1" applyFill="1" applyAlignment="1">
      <alignment horizontal="left"/>
    </xf>
    <xf numFmtId="173" fontId="116" fillId="3" borderId="37" xfId="1" applyNumberFormat="1" applyFont="1" applyFill="1" applyBorder="1" applyAlignment="1" applyProtection="1">
      <alignment vertical="center"/>
      <protection locked="0"/>
    </xf>
    <xf numFmtId="42" fontId="31" fillId="0" borderId="0" xfId="190" applyNumberFormat="1" applyFont="1" applyBorder="1" applyAlignment="1"/>
    <xf numFmtId="42" fontId="31" fillId="0" borderId="0" xfId="190" applyNumberFormat="1" applyFont="1" applyFill="1" applyBorder="1" applyAlignment="1"/>
    <xf numFmtId="42" fontId="31" fillId="0" borderId="38" xfId="190" applyNumberFormat="1" applyFont="1" applyBorder="1" applyAlignment="1"/>
    <xf numFmtId="306" fontId="31" fillId="0" borderId="0" xfId="4667" quotePrefix="1" applyNumberFormat="1" applyFont="1" applyFill="1" applyAlignment="1">
      <alignment horizontal="left"/>
    </xf>
    <xf numFmtId="170" fontId="189" fillId="0" borderId="37" xfId="4667" applyNumberFormat="1" applyFont="1" applyBorder="1" applyAlignment="1"/>
    <xf numFmtId="42" fontId="31" fillId="0" borderId="0" xfId="1" applyNumberFormat="1" applyFont="1" applyFill="1" applyBorder="1" applyAlignment="1"/>
    <xf numFmtId="172" fontId="31" fillId="0" borderId="52" xfId="4667" applyNumberFormat="1" applyFont="1" applyBorder="1" applyAlignment="1"/>
    <xf numFmtId="42" fontId="31" fillId="0" borderId="3" xfId="4667" applyNumberFormat="1" applyFont="1" applyFill="1" applyBorder="1" applyAlignment="1"/>
    <xf numFmtId="42" fontId="31" fillId="0" borderId="53" xfId="4667" applyNumberFormat="1" applyFont="1" applyBorder="1" applyAlignment="1"/>
    <xf numFmtId="41" fontId="31" fillId="0" borderId="0" xfId="4667" applyNumberFormat="1" applyFont="1" applyFill="1" applyAlignment="1"/>
    <xf numFmtId="172" fontId="192" fillId="0" borderId="0" xfId="4667" applyNumberFormat="1" applyFont="1" applyFill="1" applyAlignment="1"/>
    <xf numFmtId="172" fontId="31" fillId="0" borderId="17" xfId="4667" applyNumberFormat="1" applyFont="1" applyFill="1" applyBorder="1" applyAlignment="1">
      <alignment horizontal="center"/>
    </xf>
    <xf numFmtId="172" fontId="31" fillId="0" borderId="17" xfId="4667" quotePrefix="1" applyNumberFormat="1" applyFont="1" applyFill="1" applyBorder="1" applyAlignment="1">
      <alignment horizontal="center"/>
    </xf>
    <xf numFmtId="10" fontId="31" fillId="0" borderId="48" xfId="4352" applyNumberFormat="1" applyFont="1" applyFill="1" applyBorder="1"/>
    <xf numFmtId="10" fontId="31" fillId="56" borderId="51" xfId="4352" applyNumberFormat="1" applyFont="1" applyFill="1" applyBorder="1"/>
    <xf numFmtId="10" fontId="31" fillId="56" borderId="54" xfId="4352" applyNumberFormat="1" applyFont="1" applyFill="1" applyBorder="1"/>
    <xf numFmtId="41" fontId="116" fillId="2" borderId="49" xfId="4352" applyNumberFormat="1" applyFont="1" applyFill="1" applyBorder="1"/>
    <xf numFmtId="174" fontId="31" fillId="0" borderId="17" xfId="190" applyNumberFormat="1" applyFont="1" applyFill="1" applyBorder="1"/>
    <xf numFmtId="10" fontId="31" fillId="56" borderId="37" xfId="4352" applyNumberFormat="1" applyFont="1" applyFill="1" applyBorder="1"/>
    <xf numFmtId="10" fontId="31" fillId="56" borderId="55" xfId="4352" applyNumberFormat="1" applyFont="1" applyFill="1" applyBorder="1"/>
    <xf numFmtId="10" fontId="31" fillId="56" borderId="52" xfId="4352" applyNumberFormat="1" applyFont="1" applyFill="1" applyBorder="1"/>
    <xf numFmtId="10" fontId="31" fillId="56" borderId="58" xfId="4352" applyNumberFormat="1" applyFont="1" applyFill="1" applyBorder="1"/>
    <xf numFmtId="10" fontId="31" fillId="0" borderId="17" xfId="4352" applyNumberFormat="1" applyFont="1" applyFill="1" applyBorder="1"/>
    <xf numFmtId="10" fontId="31" fillId="0" borderId="58" xfId="4352" applyNumberFormat="1" applyFont="1" applyFill="1" applyBorder="1"/>
    <xf numFmtId="41" fontId="31" fillId="0" borderId="52" xfId="4352" applyNumberFormat="1" applyFont="1" applyFill="1" applyBorder="1"/>
    <xf numFmtId="308" fontId="31" fillId="0" borderId="52" xfId="4352" applyNumberFormat="1" applyFont="1" applyFill="1" applyBorder="1"/>
    <xf numFmtId="174" fontId="31" fillId="0" borderId="49" xfId="190" applyNumberFormat="1" applyFont="1" applyFill="1" applyBorder="1"/>
    <xf numFmtId="172" fontId="31" fillId="0" borderId="17" xfId="4667" applyNumberFormat="1" applyFont="1" applyFill="1" applyBorder="1" applyAlignment="1">
      <alignment horizontal="right"/>
    </xf>
    <xf numFmtId="174" fontId="31" fillId="0" borderId="17" xfId="4667" applyNumberFormat="1" applyFont="1" applyFill="1" applyBorder="1"/>
    <xf numFmtId="174" fontId="31" fillId="0" borderId="48" xfId="4667" applyNumberFormat="1" applyFont="1" applyFill="1" applyBorder="1"/>
    <xf numFmtId="174" fontId="31" fillId="0" borderId="49" xfId="4667" applyNumberFormat="1" applyFont="1" applyFill="1" applyBorder="1"/>
    <xf numFmtId="308" fontId="31" fillId="0" borderId="49" xfId="4667" applyNumberFormat="1" applyFont="1" applyFill="1" applyBorder="1"/>
    <xf numFmtId="172" fontId="31" fillId="0" borderId="0" xfId="4667" applyNumberFormat="1" applyFont="1" applyFill="1" applyAlignment="1">
      <alignment vertical="top"/>
    </xf>
    <xf numFmtId="172" fontId="31" fillId="0" borderId="0" xfId="4667" applyNumberFormat="1" applyFont="1" applyAlignment="1">
      <alignment horizontal="left" vertical="top"/>
    </xf>
    <xf numFmtId="172" fontId="123" fillId="0" borderId="0" xfId="4667" applyNumberFormat="1" applyFont="1" applyFill="1" applyAlignment="1"/>
    <xf numFmtId="172" fontId="116" fillId="0" borderId="0" xfId="4667" applyNumberFormat="1" applyFont="1" applyFill="1" applyAlignment="1"/>
    <xf numFmtId="172" fontId="116" fillId="0" borderId="0" xfId="4667" applyNumberFormat="1" applyFont="1" applyAlignment="1"/>
    <xf numFmtId="172" fontId="194" fillId="0" borderId="0" xfId="4667" applyNumberFormat="1" applyFont="1" applyFill="1" applyAlignment="1"/>
    <xf numFmtId="44" fontId="31" fillId="0" borderId="0" xfId="1" applyFont="1" applyFill="1" applyBorder="1" applyAlignment="1"/>
    <xf numFmtId="174" fontId="166" fillId="3" borderId="0" xfId="4665" applyNumberFormat="1" applyFont="1" applyFill="1" applyAlignment="1"/>
    <xf numFmtId="174" fontId="166" fillId="0" borderId="0" xfId="4665" applyNumberFormat="1" applyFont="1" applyFill="1" applyAlignment="1"/>
    <xf numFmtId="174" fontId="31" fillId="0" borderId="0" xfId="4665" applyNumberFormat="1" applyFont="1" applyFill="1" applyAlignment="1"/>
    <xf numFmtId="173" fontId="123" fillId="0" borderId="15" xfId="4476" applyNumberFormat="1" applyFont="1" applyBorder="1" applyAlignment="1">
      <alignment wrapText="1"/>
    </xf>
    <xf numFmtId="2" fontId="31" fillId="0" borderId="0" xfId="0" applyNumberFormat="1" applyFont="1" applyProtection="1"/>
    <xf numFmtId="165" fontId="31" fillId="0" borderId="4" xfId="0" applyNumberFormat="1" applyFont="1" applyBorder="1" applyProtection="1"/>
    <xf numFmtId="0" fontId="166" fillId="3" borderId="0" xfId="4671" applyFont="1" applyFill="1" applyAlignment="1">
      <alignment horizontal="left" indent="1"/>
    </xf>
    <xf numFmtId="0" fontId="166" fillId="3" borderId="0" xfId="4671" applyFont="1" applyFill="1" applyAlignment="1">
      <alignment horizontal="left"/>
    </xf>
    <xf numFmtId="37" fontId="166" fillId="3" borderId="0" xfId="4671" applyNumberFormat="1" applyFont="1" applyFill="1" applyAlignment="1">
      <alignment horizontal="left"/>
    </xf>
    <xf numFmtId="172" fontId="31" fillId="0" borderId="0" xfId="4667" applyNumberFormat="1" applyFont="1" applyFill="1" applyAlignment="1">
      <alignment horizontal="left" vertical="top" wrapText="1"/>
    </xf>
    <xf numFmtId="43" fontId="179" fillId="0" borderId="0" xfId="190" applyFont="1" applyBorder="1" applyAlignment="1">
      <alignment horizontal="right" vertical="center" wrapText="1"/>
    </xf>
    <xf numFmtId="43" fontId="179" fillId="0" borderId="0" xfId="190" applyFont="1" applyBorder="1" applyAlignment="1">
      <alignment vertical="center" wrapText="1"/>
    </xf>
    <xf numFmtId="174" fontId="179" fillId="0" borderId="0" xfId="190" applyNumberFormat="1" applyFont="1"/>
    <xf numFmtId="249" fontId="179" fillId="0" borderId="0" xfId="190" applyNumberFormat="1" applyFont="1"/>
    <xf numFmtId="249" fontId="179" fillId="0" borderId="0" xfId="190" applyNumberFormat="1" applyFont="1" applyBorder="1" applyAlignment="1">
      <alignment horizontal="right" vertical="center" wrapText="1"/>
    </xf>
    <xf numFmtId="49" fontId="31" fillId="0" borderId="0" xfId="4" applyNumberFormat="1" applyFont="1" applyAlignment="1">
      <alignment horizontal="center"/>
    </xf>
    <xf numFmtId="172" fontId="123" fillId="0" borderId="0" xfId="4667" applyNumberFormat="1" applyFont="1" applyFill="1" applyBorder="1" applyAlignment="1">
      <alignment horizontal="center"/>
    </xf>
    <xf numFmtId="164" fontId="116" fillId="3" borderId="37" xfId="4666" applyNumberFormat="1" applyFont="1" applyFill="1" applyBorder="1" applyAlignment="1" applyProtection="1">
      <alignment vertical="center"/>
      <protection locked="0"/>
    </xf>
    <xf numFmtId="10" fontId="31" fillId="0" borderId="52" xfId="4352" quotePrefix="1" applyNumberFormat="1" applyFont="1" applyBorder="1" applyAlignment="1">
      <alignment horizontal="center"/>
    </xf>
    <xf numFmtId="10" fontId="31" fillId="0" borderId="3" xfId="4352" quotePrefix="1" applyNumberFormat="1" applyFont="1" applyBorder="1" applyAlignment="1">
      <alignment horizontal="center"/>
    </xf>
    <xf numFmtId="172" fontId="31" fillId="0" borderId="3" xfId="4667" applyNumberFormat="1" applyFont="1" applyBorder="1" applyAlignment="1">
      <alignment horizontal="center"/>
    </xf>
    <xf numFmtId="174" fontId="31" fillId="0" borderId="4" xfId="4665" applyNumberFormat="1" applyFont="1" applyBorder="1" applyAlignment="1"/>
    <xf numFmtId="172" fontId="31" fillId="0" borderId="52" xfId="4667" applyNumberFormat="1" applyFont="1" applyBorder="1" applyAlignment="1">
      <alignment horizontal="center"/>
    </xf>
    <xf numFmtId="172" fontId="31" fillId="0" borderId="53" xfId="4667" applyNumberFormat="1" applyFont="1" applyBorder="1" applyAlignment="1">
      <alignment horizontal="center"/>
    </xf>
    <xf numFmtId="172" fontId="123" fillId="0" borderId="0" xfId="4667" applyNumberFormat="1" applyFont="1" applyFill="1" applyBorder="1" applyAlignment="1">
      <alignment horizontal="center" vertical="center"/>
    </xf>
    <xf numFmtId="172" fontId="31" fillId="0" borderId="0" xfId="4667" applyNumberFormat="1" applyFont="1" applyFill="1" applyAlignment="1">
      <alignment horizontal="center" vertical="center"/>
    </xf>
    <xf numFmtId="172" fontId="31" fillId="0" borderId="0" xfId="4667" applyNumberFormat="1" applyFont="1" applyAlignment="1">
      <alignment horizontal="center" vertical="center"/>
    </xf>
    <xf numFmtId="0" fontId="31" fillId="0" borderId="0" xfId="4667" applyNumberFormat="1" applyFont="1" applyAlignment="1">
      <alignment horizontal="center" vertical="center"/>
    </xf>
    <xf numFmtId="172" fontId="123" fillId="0" borderId="3" xfId="4667" applyNumberFormat="1" applyFont="1" applyBorder="1" applyAlignment="1">
      <alignment horizontal="center" vertical="center"/>
    </xf>
    <xf numFmtId="172" fontId="31" fillId="0" borderId="0" xfId="4667" applyNumberFormat="1" applyFont="1" applyFill="1" applyAlignment="1">
      <alignment vertical="top" wrapText="1"/>
    </xf>
    <xf numFmtId="249" fontId="179" fillId="0" borderId="0" xfId="4665" applyNumberFormat="1" applyFont="1"/>
    <xf numFmtId="172" fontId="31" fillId="0" borderId="47" xfId="4667" applyNumberFormat="1" applyFont="1" applyFill="1" applyBorder="1" applyAlignment="1">
      <alignment horizontal="center"/>
    </xf>
    <xf numFmtId="311" fontId="31" fillId="0" borderId="0" xfId="4667" applyNumberFormat="1" applyFont="1" applyAlignment="1"/>
    <xf numFmtId="172" fontId="31" fillId="3" borderId="37" xfId="4667" applyNumberFormat="1" applyFont="1" applyFill="1" applyBorder="1" applyAlignment="1">
      <alignment horizontal="right" wrapText="1"/>
    </xf>
    <xf numFmtId="44" fontId="31" fillId="0" borderId="0" xfId="1" applyFont="1" applyAlignment="1" applyProtection="1">
      <protection locked="0"/>
    </xf>
    <xf numFmtId="312" fontId="31" fillId="0" borderId="0" xfId="1" applyNumberFormat="1" applyFont="1" applyAlignment="1" applyProtection="1">
      <protection locked="0"/>
    </xf>
    <xf numFmtId="313" fontId="31" fillId="0" borderId="0" xfId="0" applyNumberFormat="1" applyFont="1" applyProtection="1">
      <protection locked="0"/>
    </xf>
    <xf numFmtId="172" fontId="31" fillId="0" borderId="51" xfId="4667" applyNumberFormat="1" applyFont="1" applyFill="1" applyBorder="1" applyAlignment="1">
      <alignment horizontal="center"/>
    </xf>
    <xf numFmtId="172" fontId="31" fillId="0" borderId="4" xfId="4667" applyNumberFormat="1" applyFont="1" applyFill="1" applyBorder="1" applyAlignment="1">
      <alignment horizontal="center"/>
    </xf>
    <xf numFmtId="14" fontId="31" fillId="0" borderId="0" xfId="0" applyNumberFormat="1" applyFont="1"/>
    <xf numFmtId="174" fontId="179" fillId="0" borderId="0" xfId="190" applyNumberFormat="1" applyFont="1" applyBorder="1" applyAlignment="1">
      <alignment vertical="center" wrapText="1"/>
    </xf>
    <xf numFmtId="41" fontId="31" fillId="78" borderId="4" xfId="1" applyNumberFormat="1" applyFont="1" applyFill="1" applyBorder="1" applyAlignment="1" applyProtection="1">
      <protection locked="0"/>
    </xf>
    <xf numFmtId="41" fontId="31" fillId="0" borderId="0" xfId="1" applyNumberFormat="1" applyFont="1" applyFill="1" applyAlignment="1" applyProtection="1">
      <protection locked="0"/>
    </xf>
    <xf numFmtId="41" fontId="31" fillId="0" borderId="4" xfId="1" applyNumberFormat="1" applyFont="1" applyFill="1" applyBorder="1" applyAlignment="1" applyProtection="1">
      <protection locked="0"/>
    </xf>
    <xf numFmtId="310" fontId="31" fillId="0" borderId="0" xfId="1" applyNumberFormat="1" applyFont="1" applyFill="1" applyAlignment="1" applyProtection="1">
      <protection locked="0"/>
    </xf>
    <xf numFmtId="172" fontId="31" fillId="0" borderId="47" xfId="4667" applyNumberFormat="1" applyFont="1" applyFill="1" applyBorder="1" applyAlignment="1"/>
    <xf numFmtId="174" fontId="31" fillId="0" borderId="4" xfId="4665" applyNumberFormat="1" applyFont="1" applyFill="1" applyBorder="1" applyAlignment="1"/>
    <xf numFmtId="3" fontId="31" fillId="0" borderId="0" xfId="0" quotePrefix="1" applyNumberFormat="1" applyFont="1" applyProtection="1"/>
    <xf numFmtId="0" fontId="31" fillId="0" borderId="0" xfId="4" quotePrefix="1" applyFont="1"/>
    <xf numFmtId="172" fontId="182" fillId="0" borderId="0" xfId="0" applyFont="1"/>
    <xf numFmtId="0" fontId="31" fillId="0" borderId="0" xfId="0" applyNumberFormat="1" applyFont="1" applyAlignment="1" applyProtection="1">
      <alignment horizontal="center" vertical="top" wrapText="1"/>
      <protection locked="0"/>
    </xf>
    <xf numFmtId="172" fontId="31" fillId="0" borderId="47" xfId="0" applyFont="1" applyBorder="1"/>
    <xf numFmtId="173" fontId="31" fillId="0" borderId="17" xfId="0" applyNumberFormat="1" applyFont="1" applyBorder="1"/>
    <xf numFmtId="174" fontId="31" fillId="0" borderId="0" xfId="190" applyNumberFormat="1" applyFont="1" applyBorder="1"/>
    <xf numFmtId="174" fontId="31" fillId="0" borderId="0" xfId="190" applyNumberFormat="1" applyFont="1" applyBorder="1" applyAlignment="1">
      <alignment horizontal="right"/>
    </xf>
    <xf numFmtId="271" fontId="31" fillId="0" borderId="0" xfId="190" applyNumberFormat="1" applyFont="1" applyBorder="1"/>
    <xf numFmtId="174" fontId="31" fillId="0" borderId="15" xfId="190" applyNumberFormat="1" applyFont="1" applyBorder="1"/>
    <xf numFmtId="41" fontId="31" fillId="0" borderId="0" xfId="4598" applyNumberFormat="1" applyFont="1"/>
    <xf numFmtId="0" fontId="123" fillId="0" borderId="49" xfId="4598" applyFont="1" applyBorder="1"/>
    <xf numFmtId="0" fontId="123" fillId="0" borderId="17" xfId="4598" applyFont="1" applyBorder="1"/>
    <xf numFmtId="0" fontId="31" fillId="0" borderId="0" xfId="4598" applyFont="1" applyAlignment="1">
      <alignment horizontal="center" wrapText="1"/>
    </xf>
    <xf numFmtId="49" fontId="123" fillId="0" borderId="0" xfId="4" applyNumberFormat="1" applyFont="1" applyAlignment="1">
      <alignment horizontal="center"/>
    </xf>
    <xf numFmtId="0" fontId="123" fillId="0" borderId="0" xfId="4690" applyFont="1"/>
    <xf numFmtId="0" fontId="179" fillId="0" borderId="0" xfId="4690" applyFont="1"/>
    <xf numFmtId="0" fontId="179" fillId="0" borderId="0" xfId="4690" applyFont="1" applyAlignment="1">
      <alignment horizontal="right"/>
    </xf>
    <xf numFmtId="0" fontId="179" fillId="0" borderId="0" xfId="4690" applyFont="1" applyAlignment="1">
      <alignment horizontal="center"/>
    </xf>
    <xf numFmtId="0" fontId="196" fillId="0" borderId="0" xfId="4690" applyFont="1"/>
    <xf numFmtId="0" fontId="196" fillId="0" borderId="0" xfId="4690" applyFont="1" applyAlignment="1">
      <alignment vertical="center"/>
    </xf>
    <xf numFmtId="0" fontId="196" fillId="0" borderId="0" xfId="4690" applyFont="1" applyAlignment="1">
      <alignment horizontal="center" vertical="center"/>
    </xf>
    <xf numFmtId="0" fontId="196" fillId="0" borderId="0" xfId="4690" applyFont="1" applyAlignment="1">
      <alignment horizontal="center" vertical="center" wrapText="1"/>
    </xf>
    <xf numFmtId="0" fontId="196" fillId="0" borderId="54" xfId="4690" applyFont="1" applyBorder="1" applyAlignment="1">
      <alignment horizontal="center" vertical="center"/>
    </xf>
    <xf numFmtId="0" fontId="179" fillId="0" borderId="58" xfId="4690" applyFont="1" applyBorder="1" applyAlignment="1">
      <alignment horizontal="center" vertical="center" wrapText="1"/>
    </xf>
    <xf numFmtId="0" fontId="179" fillId="0" borderId="0" xfId="4690" applyFont="1" applyAlignment="1">
      <alignment horizontal="center" vertical="center" wrapText="1"/>
    </xf>
    <xf numFmtId="0" fontId="179" fillId="0" borderId="0" xfId="4690" applyFont="1" applyAlignment="1">
      <alignment horizontal="left" vertical="center"/>
    </xf>
    <xf numFmtId="15" fontId="179" fillId="0" borderId="0" xfId="4690" applyNumberFormat="1" applyFont="1" applyAlignment="1">
      <alignment vertical="center" wrapText="1"/>
    </xf>
    <xf numFmtId="174" fontId="179" fillId="0" borderId="0" xfId="4691" applyNumberFormat="1" applyFont="1" applyBorder="1" applyAlignment="1">
      <alignment horizontal="right" vertical="center" wrapText="1"/>
    </xf>
    <xf numFmtId="174" fontId="179" fillId="0" borderId="0" xfId="4691" applyNumberFormat="1" applyFont="1" applyBorder="1" applyAlignment="1">
      <alignment vertical="center" wrapText="1"/>
    </xf>
    <xf numFmtId="174" fontId="179" fillId="3" borderId="0" xfId="4692" applyNumberFormat="1" applyFont="1" applyFill="1" applyBorder="1" applyAlignment="1">
      <alignment horizontal="right" vertical="center" wrapText="1"/>
    </xf>
    <xf numFmtId="174" fontId="179" fillId="0" borderId="0" xfId="4691" applyNumberFormat="1" applyFont="1" applyFill="1" applyBorder="1" applyAlignment="1">
      <alignment horizontal="center" vertical="center" wrapText="1"/>
    </xf>
    <xf numFmtId="174" fontId="179" fillId="0" borderId="0" xfId="4692" applyNumberFormat="1" applyFont="1" applyBorder="1" applyAlignment="1">
      <alignment vertical="center" wrapText="1"/>
    </xf>
    <xf numFmtId="174" fontId="179" fillId="3" borderId="0" xfId="4692" applyNumberFormat="1" applyFont="1" applyFill="1" applyBorder="1" applyAlignment="1">
      <alignment vertical="center" wrapText="1"/>
    </xf>
    <xf numFmtId="0" fontId="179" fillId="0" borderId="4" xfId="4690" applyFont="1" applyBorder="1" applyAlignment="1">
      <alignment vertical="center" wrapText="1"/>
    </xf>
    <xf numFmtId="0" fontId="179" fillId="0" borderId="4" xfId="4690" applyFont="1" applyBorder="1" applyAlignment="1">
      <alignment horizontal="right" vertical="center" wrapText="1"/>
    </xf>
    <xf numFmtId="174" fontId="179" fillId="0" borderId="4" xfId="4691" applyNumberFormat="1" applyFont="1" applyBorder="1" applyAlignment="1">
      <alignment vertical="center" wrapText="1"/>
    </xf>
    <xf numFmtId="0" fontId="179" fillId="0" borderId="0" xfId="4690" applyFont="1" applyAlignment="1">
      <alignment vertical="center" wrapText="1"/>
    </xf>
    <xf numFmtId="0" fontId="179" fillId="0" borderId="0" xfId="4690" applyFont="1" applyAlignment="1">
      <alignment horizontal="right" vertical="center" wrapText="1"/>
    </xf>
    <xf numFmtId="0" fontId="179" fillId="0" borderId="0" xfId="4690" applyFont="1" applyAlignment="1">
      <alignment horizontal="justify" vertical="center" wrapText="1"/>
    </xf>
    <xf numFmtId="174" fontId="179" fillId="0" borderId="0" xfId="4691" applyNumberFormat="1" applyFont="1" applyFill="1" applyBorder="1" applyAlignment="1">
      <alignment vertical="center" wrapText="1"/>
    </xf>
    <xf numFmtId="174" fontId="179" fillId="0" borderId="4" xfId="4691" applyNumberFormat="1" applyFont="1" applyFill="1" applyBorder="1" applyAlignment="1">
      <alignment vertical="center" wrapText="1"/>
    </xf>
    <xf numFmtId="174" fontId="196" fillId="0" borderId="0" xfId="4690" applyNumberFormat="1" applyFont="1"/>
    <xf numFmtId="0" fontId="197" fillId="0" borderId="0" xfId="4690" applyFont="1" applyAlignment="1">
      <alignment horizontal="center"/>
    </xf>
    <xf numFmtId="174" fontId="196" fillId="0" borderId="0" xfId="4691" applyNumberFormat="1" applyFont="1" applyFill="1" applyBorder="1" applyAlignment="1">
      <alignment horizontal="center" vertical="center" wrapText="1"/>
    </xf>
    <xf numFmtId="0" fontId="196" fillId="0" borderId="0" xfId="4690" applyFont="1" applyAlignment="1">
      <alignment horizontal="center"/>
    </xf>
    <xf numFmtId="0" fontId="179" fillId="0" borderId="0" xfId="4693" applyFont="1"/>
    <xf numFmtId="174" fontId="179" fillId="0" borderId="0" xfId="4693" applyNumberFormat="1" applyFont="1"/>
    <xf numFmtId="174" fontId="179" fillId="0" borderId="0" xfId="4692" applyNumberFormat="1" applyFont="1" applyBorder="1" applyAlignment="1">
      <alignment horizontal="right" vertical="center" wrapText="1"/>
    </xf>
    <xf numFmtId="174" fontId="179" fillId="0" borderId="0" xfId="4690" applyNumberFormat="1" applyFont="1" applyAlignment="1">
      <alignment horizontal="center"/>
    </xf>
    <xf numFmtId="43" fontId="179" fillId="0" borderId="0" xfId="4690" applyNumberFormat="1" applyFont="1"/>
    <xf numFmtId="174" fontId="179" fillId="0" borderId="0" xfId="4692" applyNumberFormat="1" applyFont="1" applyFill="1" applyBorder="1" applyAlignment="1">
      <alignment vertical="center" wrapText="1"/>
    </xf>
    <xf numFmtId="174" fontId="179" fillId="0" borderId="0" xfId="4690" applyNumberFormat="1" applyFont="1"/>
    <xf numFmtId="0" fontId="195" fillId="0" borderId="0" xfId="4690" applyFont="1"/>
    <xf numFmtId="174" fontId="179" fillId="0" borderId="0" xfId="4692" applyNumberFormat="1" applyFont="1" applyFill="1" applyBorder="1" applyAlignment="1">
      <alignment horizontal="right" vertical="center" wrapText="1"/>
    </xf>
    <xf numFmtId="44" fontId="31" fillId="0" borderId="3" xfId="4667" applyNumberFormat="1" applyFont="1" applyBorder="1" applyAlignment="1"/>
    <xf numFmtId="9" fontId="179" fillId="0" borderId="0" xfId="4690" applyNumberFormat="1" applyFont="1"/>
    <xf numFmtId="174" fontId="179" fillId="0" borderId="0" xfId="4665" applyNumberFormat="1" applyFont="1"/>
    <xf numFmtId="174" fontId="179" fillId="0" borderId="0" xfId="4690" applyNumberFormat="1" applyFont="1" applyAlignment="1">
      <alignment horizontal="justify" vertical="center" wrapText="1"/>
    </xf>
    <xf numFmtId="165" fontId="31" fillId="3" borderId="0" xfId="0" applyNumberFormat="1" applyFont="1" applyFill="1" applyProtection="1"/>
    <xf numFmtId="174" fontId="196" fillId="0" borderId="4" xfId="4690" applyNumberFormat="1" applyFont="1" applyBorder="1"/>
    <xf numFmtId="0" fontId="31" fillId="0" borderId="0" xfId="4" applyFont="1" applyAlignment="1">
      <alignment horizontal="left"/>
    </xf>
    <xf numFmtId="9" fontId="166" fillId="3" borderId="0" xfId="4666" applyFont="1" applyFill="1" applyAlignment="1"/>
    <xf numFmtId="0" fontId="157" fillId="0" borderId="0" xfId="4476" applyFont="1" applyAlignment="1">
      <alignment horizontal="center"/>
    </xf>
    <xf numFmtId="173" fontId="166" fillId="81" borderId="0" xfId="1" applyNumberFormat="1" applyFont="1" applyFill="1" applyAlignment="1" applyProtection="1">
      <protection locked="0"/>
    </xf>
    <xf numFmtId="173" fontId="31" fillId="0" borderId="4" xfId="1" applyNumberFormat="1" applyFont="1" applyBorder="1"/>
    <xf numFmtId="173" fontId="31" fillId="0" borderId="17" xfId="1" applyNumberFormat="1" applyFont="1" applyBorder="1"/>
    <xf numFmtId="174" fontId="166" fillId="81" borderId="0" xfId="4665" applyNumberFormat="1" applyFont="1" applyFill="1" applyAlignment="1" applyProtection="1">
      <protection locked="0"/>
    </xf>
    <xf numFmtId="173" fontId="31" fillId="0" borderId="47" xfId="1" applyNumberFormat="1" applyFont="1" applyBorder="1"/>
    <xf numFmtId="173" fontId="31" fillId="0" borderId="0" xfId="1" applyNumberFormat="1" applyFont="1" applyFill="1" applyAlignment="1" applyProtection="1">
      <protection locked="0"/>
    </xf>
    <xf numFmtId="174" fontId="31" fillId="0" borderId="0" xfId="4665" applyNumberFormat="1" applyFont="1" applyFill="1" applyAlignment="1" applyProtection="1">
      <protection locked="0"/>
    </xf>
    <xf numFmtId="173" fontId="31" fillId="0" borderId="17" xfId="1" applyNumberFormat="1" applyFont="1" applyFill="1" applyBorder="1"/>
    <xf numFmtId="174" fontId="31" fillId="0" borderId="17" xfId="190" applyNumberFormat="1" applyFont="1" applyFill="1" applyBorder="1" applyAlignment="1"/>
    <xf numFmtId="14" fontId="31" fillId="0" borderId="0" xfId="0" applyNumberFormat="1" applyFont="1" applyAlignment="1" applyProtection="1">
      <alignment horizontal="center"/>
      <protection locked="0"/>
    </xf>
    <xf numFmtId="271" fontId="31" fillId="0" borderId="0" xfId="4665" applyNumberFormat="1" applyFont="1" applyFill="1" applyAlignment="1" applyProtection="1">
      <protection locked="0"/>
    </xf>
    <xf numFmtId="305" fontId="31" fillId="0" borderId="0" xfId="4665" applyNumberFormat="1" applyFont="1" applyFill="1" applyAlignment="1" applyProtection="1">
      <protection locked="0"/>
    </xf>
    <xf numFmtId="174" fontId="31" fillId="0" borderId="14" xfId="190" applyNumberFormat="1" applyFont="1" applyFill="1" applyBorder="1"/>
    <xf numFmtId="0" fontId="31" fillId="0" borderId="0" xfId="4476" applyFont="1" applyAlignment="1">
      <alignment vertical="top"/>
    </xf>
    <xf numFmtId="172" fontId="181" fillId="0" borderId="3" xfId="0" applyFont="1" applyBorder="1" applyAlignment="1">
      <alignment horizontal="center" wrapText="1"/>
    </xf>
    <xf numFmtId="42" fontId="181" fillId="0" borderId="0" xfId="1" applyNumberFormat="1" applyFont="1" applyFill="1" applyBorder="1" applyAlignment="1"/>
    <xf numFmtId="271" fontId="166" fillId="3" borderId="0" xfId="190" applyNumberFormat="1" applyFont="1" applyFill="1" applyAlignment="1"/>
    <xf numFmtId="172" fontId="123" fillId="0" borderId="17" xfId="0" applyFont="1" applyBorder="1" applyAlignment="1">
      <alignment horizontal="center"/>
    </xf>
    <xf numFmtId="173" fontId="31" fillId="0" borderId="0" xfId="1" applyNumberFormat="1" applyFont="1" applyBorder="1"/>
    <xf numFmtId="10" fontId="31" fillId="0" borderId="0" xfId="3" applyNumberFormat="1" applyFont="1" applyFill="1" applyBorder="1" applyAlignment="1">
      <alignment horizontal="center"/>
    </xf>
    <xf numFmtId="3" fontId="31" fillId="3" borderId="0" xfId="0" applyNumberFormat="1" applyFont="1" applyFill="1" applyProtection="1"/>
    <xf numFmtId="10" fontId="31" fillId="0" borderId="53" xfId="4352" quotePrefix="1" applyNumberFormat="1" applyFont="1" applyBorder="1" applyAlignment="1">
      <alignment horizontal="center"/>
    </xf>
    <xf numFmtId="172" fontId="31" fillId="0" borderId="38" xfId="4667" applyNumberFormat="1" applyFont="1" applyFill="1" applyBorder="1" applyAlignment="1"/>
    <xf numFmtId="42" fontId="31" fillId="0" borderId="37" xfId="190" applyNumberFormat="1" applyFont="1" applyBorder="1" applyAlignment="1"/>
    <xf numFmtId="172" fontId="31" fillId="80" borderId="38" xfId="4667" applyNumberFormat="1" applyFont="1" applyFill="1" applyBorder="1" applyAlignment="1"/>
    <xf numFmtId="172" fontId="31" fillId="80" borderId="0" xfId="4667" applyNumberFormat="1" applyFont="1" applyFill="1" applyBorder="1" applyAlignment="1"/>
    <xf numFmtId="42" fontId="31" fillId="0" borderId="37" xfId="4667" applyNumberFormat="1" applyFont="1" applyBorder="1" applyAlignment="1"/>
    <xf numFmtId="174" fontId="31" fillId="0" borderId="47" xfId="4665" applyNumberFormat="1" applyFont="1" applyFill="1" applyBorder="1" applyAlignment="1"/>
    <xf numFmtId="42" fontId="31" fillId="0" borderId="52" xfId="4667" applyNumberFormat="1" applyFont="1" applyBorder="1" applyAlignment="1"/>
    <xf numFmtId="42" fontId="31" fillId="0" borderId="3" xfId="4667" applyNumberFormat="1" applyFont="1" applyBorder="1" applyAlignment="1"/>
    <xf numFmtId="173" fontId="31" fillId="0" borderId="3" xfId="1" applyNumberFormat="1" applyFont="1" applyFill="1" applyBorder="1" applyAlignment="1"/>
    <xf numFmtId="172" fontId="31" fillId="0" borderId="3" xfId="4667" applyNumberFormat="1" applyFont="1" applyBorder="1" applyAlignment="1"/>
    <xf numFmtId="173" fontId="31" fillId="0" borderId="53" xfId="1" applyNumberFormat="1" applyFont="1" applyFill="1" applyBorder="1" applyAlignment="1"/>
    <xf numFmtId="170" fontId="31" fillId="0" borderId="37" xfId="4667" applyNumberFormat="1" applyFont="1" applyBorder="1" applyAlignment="1"/>
    <xf numFmtId="174" fontId="31" fillId="0" borderId="0" xfId="4665" applyNumberFormat="1" applyFont="1" applyBorder="1" applyAlignment="1"/>
    <xf numFmtId="237" fontId="31" fillId="0" borderId="0" xfId="4666" applyNumberFormat="1" applyFont="1" applyBorder="1" applyAlignment="1"/>
    <xf numFmtId="174" fontId="31" fillId="0" borderId="38" xfId="4665" applyNumberFormat="1" applyFont="1" applyBorder="1" applyAlignment="1"/>
    <xf numFmtId="172" fontId="31" fillId="80" borderId="37" xfId="4667" applyNumberFormat="1" applyFont="1" applyFill="1" applyBorder="1" applyAlignment="1"/>
    <xf numFmtId="174" fontId="31" fillId="0" borderId="51" xfId="4665" applyNumberFormat="1" applyFont="1" applyBorder="1" applyAlignment="1"/>
    <xf numFmtId="174" fontId="31" fillId="0" borderId="47" xfId="4665" applyNumberFormat="1" applyFont="1" applyBorder="1" applyAlignment="1"/>
    <xf numFmtId="172" fontId="31" fillId="0" borderId="53" xfId="4667" applyNumberFormat="1" applyFont="1" applyBorder="1" applyAlignment="1"/>
    <xf numFmtId="174" fontId="31" fillId="0" borderId="37" xfId="4665" applyNumberFormat="1" applyFont="1" applyBorder="1" applyAlignment="1"/>
    <xf numFmtId="172" fontId="181" fillId="0" borderId="0" xfId="0" applyFont="1" applyAlignment="1">
      <alignment horizontal="center" wrapText="1"/>
    </xf>
    <xf numFmtId="172" fontId="181" fillId="0" borderId="38" xfId="0" applyFont="1" applyBorder="1" applyAlignment="1">
      <alignment horizontal="center" wrapText="1"/>
    </xf>
    <xf numFmtId="172" fontId="181" fillId="0" borderId="53" xfId="0" applyFont="1" applyBorder="1" applyAlignment="1">
      <alignment horizontal="center" wrapText="1"/>
    </xf>
    <xf numFmtId="164" fontId="31" fillId="0" borderId="0" xfId="4597" applyNumberFormat="1" applyFont="1" applyAlignment="1">
      <alignment horizontal="left"/>
    </xf>
    <xf numFmtId="0" fontId="123" fillId="0" borderId="0" xfId="0" applyNumberFormat="1" applyFont="1"/>
    <xf numFmtId="44" fontId="31" fillId="0" borderId="3" xfId="4" applyNumberFormat="1" applyFont="1" applyBorder="1" applyAlignment="1">
      <alignment horizontal="center"/>
    </xf>
    <xf numFmtId="43" fontId="31" fillId="0" borderId="0" xfId="4665" applyFont="1" applyFill="1"/>
    <xf numFmtId="43" fontId="31" fillId="0" borderId="0" xfId="4665" applyFont="1" applyFill="1" applyAlignment="1">
      <alignment horizontal="right"/>
    </xf>
    <xf numFmtId="10" fontId="31" fillId="0" borderId="4" xfId="4665" applyNumberFormat="1" applyFont="1" applyFill="1" applyBorder="1" applyAlignment="1">
      <alignment horizontal="center"/>
    </xf>
    <xf numFmtId="10" fontId="31" fillId="0" borderId="0" xfId="4665" applyNumberFormat="1" applyFont="1" applyFill="1" applyBorder="1" applyAlignment="1">
      <alignment horizontal="center"/>
    </xf>
    <xf numFmtId="174" fontId="181" fillId="0" borderId="37" xfId="190" applyNumberFormat="1" applyFont="1" applyFill="1" applyBorder="1" applyAlignment="1"/>
    <xf numFmtId="174" fontId="181" fillId="0" borderId="0" xfId="190" applyNumberFormat="1" applyFont="1" applyFill="1" applyBorder="1" applyAlignment="1"/>
    <xf numFmtId="44" fontId="181" fillId="0" borderId="37" xfId="1" applyFont="1" applyFill="1" applyBorder="1" applyAlignment="1">
      <alignment horizontal="right"/>
    </xf>
    <xf numFmtId="174" fontId="181" fillId="0" borderId="38" xfId="190" applyNumberFormat="1" applyFont="1" applyFill="1" applyBorder="1" applyAlignment="1"/>
    <xf numFmtId="174" fontId="179" fillId="0" borderId="0" xfId="4665" applyNumberFormat="1" applyFont="1" applyFill="1" applyBorder="1" applyAlignment="1">
      <alignment horizontal="center" vertical="center" wrapText="1"/>
    </xf>
    <xf numFmtId="41" fontId="31" fillId="3" borderId="0" xfId="4598" applyNumberFormat="1" applyFont="1" applyFill="1"/>
    <xf numFmtId="174" fontId="31" fillId="3" borderId="0" xfId="4665" applyNumberFormat="1" applyFont="1" applyFill="1" applyAlignment="1"/>
    <xf numFmtId="3" fontId="166" fillId="3" borderId="0" xfId="0" applyNumberFormat="1" applyFont="1" applyFill="1" applyProtection="1">
      <protection locked="0"/>
    </xf>
    <xf numFmtId="311" fontId="31" fillId="0" borderId="0" xfId="4667" applyNumberFormat="1" applyFont="1" applyFill="1" applyAlignment="1">
      <alignment horizontal="center" vertical="center"/>
    </xf>
    <xf numFmtId="311" fontId="31" fillId="0" borderId="0" xfId="4667" applyNumberFormat="1" applyFont="1" applyFill="1" applyBorder="1" applyAlignment="1">
      <alignment horizontal="center"/>
    </xf>
    <xf numFmtId="311" fontId="31" fillId="0" borderId="37" xfId="4667" applyNumberFormat="1" applyFont="1" applyFill="1" applyBorder="1" applyAlignment="1">
      <alignment horizontal="center"/>
    </xf>
    <xf numFmtId="311" fontId="31" fillId="0" borderId="38" xfId="4667" applyNumberFormat="1" applyFont="1" applyFill="1" applyBorder="1" applyAlignment="1">
      <alignment horizontal="center"/>
    </xf>
    <xf numFmtId="0" fontId="31" fillId="0" borderId="0" xfId="4667" applyNumberFormat="1" applyFont="1" applyFill="1" applyBorder="1" applyAlignment="1">
      <alignment horizontal="center"/>
    </xf>
    <xf numFmtId="0" fontId="31" fillId="0" borderId="38" xfId="4667" applyNumberFormat="1" applyFont="1" applyFill="1" applyBorder="1" applyAlignment="1">
      <alignment horizontal="center"/>
    </xf>
    <xf numFmtId="0" fontId="31" fillId="0" borderId="0" xfId="4667" applyNumberFormat="1" applyFont="1" applyFill="1" applyAlignment="1"/>
    <xf numFmtId="0" fontId="179" fillId="3" borderId="0" xfId="4680" applyFont="1" applyFill="1" applyAlignment="1">
      <alignment horizontal="center"/>
    </xf>
    <xf numFmtId="174" fontId="179" fillId="3" borderId="0" xfId="4684" applyNumberFormat="1" applyFont="1" applyFill="1" applyAlignment="1">
      <alignment horizontal="right" vertical="center" wrapText="1"/>
    </xf>
    <xf numFmtId="173" fontId="166" fillId="3" borderId="0" xfId="1" applyNumberFormat="1" applyFont="1" applyFill="1"/>
    <xf numFmtId="192" fontId="188" fillId="3" borderId="0" xfId="0" applyNumberFormat="1" applyFont="1" applyFill="1" applyAlignment="1">
      <alignment horizontal="center"/>
    </xf>
    <xf numFmtId="0" fontId="31" fillId="0" borderId="4" xfId="4671" applyFont="1" applyBorder="1" applyAlignment="1">
      <alignment horizontal="left"/>
    </xf>
    <xf numFmtId="164" fontId="198" fillId="0" borderId="0" xfId="4597" applyNumberFormat="1" applyFont="1" applyAlignment="1">
      <alignment horizontal="left"/>
    </xf>
    <xf numFmtId="174" fontId="123" fillId="0" borderId="0" xfId="4696" applyNumberFormat="1" applyFont="1" applyFill="1" applyBorder="1" applyAlignment="1">
      <alignment horizontal="center"/>
    </xf>
    <xf numFmtId="174" fontId="123" fillId="0" borderId="0" xfId="4696" applyNumberFormat="1" applyFont="1" applyFill="1" applyBorder="1" applyAlignment="1"/>
    <xf numFmtId="3" fontId="123" fillId="0" borderId="0" xfId="4695" applyNumberFormat="1" applyFont="1"/>
    <xf numFmtId="174" fontId="123" fillId="0" borderId="3" xfId="4696" applyNumberFormat="1" applyFont="1" applyFill="1" applyBorder="1" applyAlignment="1"/>
    <xf numFmtId="164" fontId="123" fillId="0" borderId="0" xfId="4697" applyNumberFormat="1" applyFont="1" applyFill="1"/>
    <xf numFmtId="172" fontId="123" fillId="0" borderId="0" xfId="4695" applyNumberFormat="1" applyFont="1"/>
    <xf numFmtId="3" fontId="31" fillId="0" borderId="0" xfId="4695" applyNumberFormat="1" applyFont="1"/>
    <xf numFmtId="174" fontId="31" fillId="3" borderId="0" xfId="4696" applyNumberFormat="1" applyFont="1" applyFill="1" applyBorder="1" applyAlignment="1">
      <alignment horizontal="center"/>
    </xf>
    <xf numFmtId="174" fontId="31" fillId="0" borderId="3" xfId="4696" applyNumberFormat="1" applyFont="1" applyFill="1" applyBorder="1" applyAlignment="1"/>
    <xf numFmtId="174" fontId="31" fillId="3" borderId="3" xfId="4696" applyNumberFormat="1" applyFont="1" applyFill="1" applyBorder="1" applyAlignment="1">
      <alignment horizontal="center"/>
    </xf>
    <xf numFmtId="174" fontId="31" fillId="3" borderId="3" xfId="4696" applyNumberFormat="1" applyFont="1" applyFill="1" applyBorder="1" applyAlignment="1"/>
    <xf numFmtId="3" fontId="31" fillId="3" borderId="3" xfId="4695" applyNumberFormat="1" applyFont="1" applyFill="1" applyBorder="1" applyAlignment="1">
      <alignment horizontal="right"/>
    </xf>
    <xf numFmtId="3" fontId="31" fillId="3" borderId="0" xfId="4695" applyNumberFormat="1" applyFont="1" applyFill="1" applyAlignment="1">
      <alignment horizontal="right"/>
    </xf>
    <xf numFmtId="3" fontId="31" fillId="3" borderId="0" xfId="4695" applyNumberFormat="1" applyFont="1" applyFill="1"/>
    <xf numFmtId="174" fontId="31" fillId="0" borderId="0" xfId="4696" applyNumberFormat="1" applyFont="1" applyFill="1" applyBorder="1" applyAlignment="1"/>
    <xf numFmtId="3" fontId="31" fillId="0" borderId="0" xfId="4695" applyNumberFormat="1" applyFont="1" applyAlignment="1">
      <alignment horizontal="center"/>
    </xf>
    <xf numFmtId="174" fontId="31" fillId="3" borderId="0" xfId="4696" applyNumberFormat="1" applyFont="1" applyFill="1" applyAlignment="1"/>
    <xf numFmtId="3" fontId="31" fillId="3" borderId="0" xfId="4695" quotePrefix="1" applyNumberFormat="1" applyFont="1" applyFill="1" applyAlignment="1">
      <alignment horizontal="right"/>
    </xf>
    <xf numFmtId="174" fontId="123" fillId="0" borderId="4" xfId="4696" applyNumberFormat="1" applyFont="1" applyFill="1" applyBorder="1" applyAlignment="1"/>
    <xf numFmtId="164" fontId="31" fillId="3" borderId="3" xfId="4697" applyNumberFormat="1" applyFont="1" applyFill="1" applyBorder="1" applyAlignment="1">
      <alignment horizontal="center"/>
    </xf>
    <xf numFmtId="3" fontId="31" fillId="0" borderId="0" xfId="4698" applyNumberFormat="1" applyFont="1"/>
    <xf numFmtId="174" fontId="31" fillId="0" borderId="0" xfId="4696" applyNumberFormat="1" applyFont="1" applyFill="1" applyBorder="1" applyAlignment="1">
      <alignment horizontal="center"/>
    </xf>
    <xf numFmtId="172" fontId="123" fillId="0" borderId="0" xfId="4695" applyNumberFormat="1" applyFont="1" applyAlignment="1">
      <alignment horizontal="center" wrapText="1"/>
    </xf>
    <xf numFmtId="172" fontId="123" fillId="0" borderId="0" xfId="4695" applyNumberFormat="1" applyFont="1" applyAlignment="1">
      <alignment horizontal="center"/>
    </xf>
    <xf numFmtId="172" fontId="123" fillId="0" borderId="17" xfId="4695" applyNumberFormat="1" applyFont="1" applyBorder="1" applyAlignment="1">
      <alignment horizontal="center" wrapText="1"/>
    </xf>
    <xf numFmtId="172" fontId="123" fillId="0" borderId="17" xfId="4695" applyNumberFormat="1" applyFont="1" applyBorder="1"/>
    <xf numFmtId="172" fontId="31" fillId="0" borderId="0" xfId="4695" applyNumberFormat="1" applyFont="1"/>
    <xf numFmtId="172" fontId="31" fillId="0" borderId="0" xfId="4695" applyNumberFormat="1" applyFont="1" applyAlignment="1">
      <alignment horizontal="center"/>
    </xf>
    <xf numFmtId="192" fontId="123" fillId="0" borderId="0" xfId="4695" applyNumberFormat="1" applyFont="1" applyAlignment="1">
      <alignment horizontal="center"/>
    </xf>
    <xf numFmtId="192" fontId="123" fillId="0" borderId="0" xfId="4695" quotePrefix="1" applyNumberFormat="1" applyFont="1" applyAlignment="1">
      <alignment horizontal="center"/>
    </xf>
    <xf numFmtId="164" fontId="31" fillId="0" borderId="0" xfId="4697" applyNumberFormat="1" applyFont="1" applyAlignment="1">
      <alignment horizontal="center"/>
    </xf>
    <xf numFmtId="172" fontId="123" fillId="0" borderId="0" xfId="4695" applyNumberFormat="1" applyFont="1" applyAlignment="1">
      <alignment horizontal="right"/>
    </xf>
    <xf numFmtId="192" fontId="123" fillId="3" borderId="0" xfId="4695" applyNumberFormat="1" applyFont="1" applyFill="1" applyAlignment="1">
      <alignment horizontal="center"/>
    </xf>
    <xf numFmtId="192" fontId="123" fillId="3" borderId="0" xfId="4695" quotePrefix="1" applyNumberFormat="1" applyFont="1" applyFill="1" applyAlignment="1">
      <alignment horizontal="center"/>
    </xf>
    <xf numFmtId="164" fontId="123" fillId="0" borderId="0" xfId="4697" applyNumberFormat="1" applyFont="1" applyFill="1" applyAlignment="1">
      <alignment horizontal="center"/>
    </xf>
    <xf numFmtId="43" fontId="200" fillId="0" borderId="0" xfId="4696" applyFont="1" applyAlignment="1">
      <alignment horizontal="left" vertical="top"/>
    </xf>
    <xf numFmtId="44" fontId="31" fillId="0" borderId="0" xfId="1" applyFont="1" applyFill="1" applyAlignment="1" applyProtection="1">
      <protection locked="0"/>
    </xf>
    <xf numFmtId="312" fontId="31" fillId="0" borderId="0" xfId="1" applyNumberFormat="1" applyFont="1" applyFill="1" applyAlignment="1" applyProtection="1">
      <protection locked="0"/>
    </xf>
    <xf numFmtId="192" fontId="31" fillId="3" borderId="0" xfId="4667" quotePrefix="1" applyNumberFormat="1" applyFont="1" applyFill="1" applyAlignment="1">
      <alignment horizontal="left"/>
    </xf>
    <xf numFmtId="0" fontId="195" fillId="0" borderId="0" xfId="4" applyFont="1"/>
    <xf numFmtId="14" fontId="179" fillId="0" borderId="0" xfId="0" applyNumberFormat="1" applyFont="1" applyProtection="1">
      <protection locked="0"/>
    </xf>
    <xf numFmtId="10" fontId="31" fillId="0" borderId="3" xfId="4" applyNumberFormat="1" applyFont="1" applyBorder="1"/>
    <xf numFmtId="10" fontId="31" fillId="0" borderId="3" xfId="4665" applyNumberFormat="1" applyFont="1" applyFill="1" applyBorder="1" applyAlignment="1">
      <alignment horizontal="center"/>
    </xf>
    <xf numFmtId="0" fontId="181" fillId="3" borderId="0" xfId="4155" applyNumberFormat="1" applyFont="1" applyFill="1" applyAlignment="1">
      <alignment horizontal="center"/>
    </xf>
    <xf numFmtId="192" fontId="31" fillId="78" borderId="0" xfId="1" applyNumberFormat="1" applyFont="1" applyFill="1" applyAlignment="1" applyProtection="1">
      <alignment horizontal="left"/>
      <protection locked="0"/>
    </xf>
    <xf numFmtId="37" fontId="166" fillId="3" borderId="0" xfId="0" applyNumberFormat="1" applyFont="1" applyFill="1"/>
    <xf numFmtId="0" fontId="31" fillId="0" borderId="1" xfId="0" applyNumberFormat="1" applyFont="1" applyBorder="1" applyAlignment="1" applyProtection="1">
      <alignment wrapText="1"/>
      <protection locked="0"/>
    </xf>
    <xf numFmtId="0" fontId="201" fillId="0" borderId="0" xfId="4" applyFont="1"/>
    <xf numFmtId="0" fontId="123" fillId="0" borderId="0" xfId="4155" applyNumberFormat="1" applyFont="1" applyProtection="1">
      <protection locked="0"/>
    </xf>
    <xf numFmtId="0" fontId="31" fillId="0" borderId="0" xfId="123" applyFont="1" applyAlignment="1">
      <alignment horizontal="center"/>
    </xf>
    <xf numFmtId="0" fontId="31" fillId="0" borderId="0" xfId="123" applyFont="1"/>
    <xf numFmtId="0" fontId="189" fillId="0" borderId="0" xfId="123" applyFont="1"/>
    <xf numFmtId="171" fontId="31" fillId="3" borderId="0" xfId="4695" quotePrefix="1" applyNumberFormat="1" applyFont="1" applyFill="1" applyAlignment="1">
      <alignment horizontal="right"/>
    </xf>
    <xf numFmtId="173" fontId="202" fillId="3" borderId="0" xfId="1" applyNumberFormat="1" applyFont="1" applyFill="1" applyBorder="1" applyAlignment="1" applyProtection="1">
      <protection locked="0"/>
    </xf>
    <xf numFmtId="173" fontId="202" fillId="3" borderId="38" xfId="1" applyNumberFormat="1" applyFont="1" applyFill="1" applyBorder="1" applyAlignment="1" applyProtection="1">
      <protection locked="0"/>
    </xf>
    <xf numFmtId="173" fontId="31" fillId="78" borderId="0" xfId="1" applyNumberFormat="1" applyFont="1" applyFill="1" applyBorder="1" applyAlignment="1" applyProtection="1">
      <protection locked="0"/>
    </xf>
    <xf numFmtId="173" fontId="31" fillId="78" borderId="38" xfId="1" applyNumberFormat="1" applyFont="1" applyFill="1" applyBorder="1" applyAlignment="1" applyProtection="1">
      <protection locked="0"/>
    </xf>
    <xf numFmtId="271" fontId="31" fillId="75" borderId="0" xfId="4665" applyNumberFormat="1" applyFont="1" applyFill="1" applyAlignment="1"/>
    <xf numFmtId="3" fontId="123" fillId="0" borderId="0" xfId="4695" applyNumberFormat="1" applyFont="1" applyAlignment="1">
      <alignment wrapText="1"/>
    </xf>
    <xf numFmtId="0" fontId="31" fillId="0" borderId="0" xfId="4" applyFont="1" applyAlignment="1">
      <alignment vertical="top" wrapText="1"/>
    </xf>
    <xf numFmtId="3" fontId="31" fillId="0" borderId="1" xfId="4695" applyNumberFormat="1" applyFont="1" applyBorder="1" applyAlignment="1">
      <alignment horizontal="center"/>
    </xf>
    <xf numFmtId="0" fontId="199" fillId="0" borderId="0" xfId="4695" applyFont="1"/>
    <xf numFmtId="0" fontId="179" fillId="0" borderId="0" xfId="4695" applyFont="1"/>
    <xf numFmtId="43" fontId="203" fillId="0" borderId="0" xfId="4696" applyFont="1" applyFill="1" applyBorder="1" applyAlignment="1">
      <alignment horizontal="left"/>
    </xf>
    <xf numFmtId="43" fontId="203" fillId="0" borderId="3" xfId="4696" applyFont="1" applyFill="1" applyBorder="1" applyAlignment="1">
      <alignment horizontal="left"/>
    </xf>
    <xf numFmtId="0" fontId="39" fillId="0" borderId="0" xfId="4695" applyFont="1" applyAlignment="1">
      <alignment wrapText="1"/>
    </xf>
    <xf numFmtId="0" fontId="199" fillId="0" borderId="0" xfId="4695" applyFont="1" applyAlignment="1">
      <alignment wrapText="1"/>
    </xf>
    <xf numFmtId="0" fontId="199" fillId="0" borderId="0" xfId="4695" applyFont="1" applyAlignment="1">
      <alignment vertical="top" wrapText="1"/>
    </xf>
    <xf numFmtId="0" fontId="200" fillId="0" borderId="0" xfId="4698" applyAlignment="1">
      <alignment horizontal="left" vertical="top"/>
    </xf>
    <xf numFmtId="0" fontId="200" fillId="0" borderId="0" xfId="4698" applyAlignment="1">
      <alignment horizontal="center" vertical="top"/>
    </xf>
    <xf numFmtId="0" fontId="200" fillId="0" borderId="0" xfId="4698" applyAlignment="1">
      <alignment vertical="top" wrapText="1"/>
    </xf>
    <xf numFmtId="0" fontId="200" fillId="0" borderId="0" xfId="4698" applyAlignment="1">
      <alignment horizontal="center" wrapText="1"/>
    </xf>
    <xf numFmtId="0" fontId="200" fillId="0" borderId="0" xfId="4698" applyAlignment="1">
      <alignment wrapText="1"/>
    </xf>
    <xf numFmtId="0" fontId="200" fillId="0" borderId="0" xfId="4698" applyAlignment="1">
      <alignment horizontal="left" wrapText="1"/>
    </xf>
    <xf numFmtId="0" fontId="200" fillId="0" borderId="0" xfId="4698" applyAlignment="1">
      <alignment vertical="center" wrapText="1"/>
    </xf>
    <xf numFmtId="0" fontId="200" fillId="0" borderId="60" xfId="4698" applyBorder="1" applyAlignment="1">
      <alignment vertical="center" wrapText="1"/>
    </xf>
    <xf numFmtId="0" fontId="200" fillId="0" borderId="0" xfId="4698" applyAlignment="1">
      <alignment horizontal="left" vertical="center"/>
    </xf>
    <xf numFmtId="0" fontId="200" fillId="0" borderId="61" xfId="4698" applyBorder="1" applyAlignment="1">
      <alignment horizontal="left" wrapText="1"/>
    </xf>
    <xf numFmtId="0" fontId="200" fillId="0" borderId="0" xfId="4698" applyAlignment="1">
      <alignment horizontal="left" vertical="center" wrapText="1"/>
    </xf>
    <xf numFmtId="174" fontId="200" fillId="0" borderId="0" xfId="4696" applyNumberFormat="1" applyFont="1" applyAlignment="1">
      <alignment vertical="center" wrapText="1"/>
    </xf>
    <xf numFmtId="174" fontId="200" fillId="0" borderId="0" xfId="4698" applyNumberFormat="1" applyAlignment="1">
      <alignment horizontal="left" vertical="top"/>
    </xf>
    <xf numFmtId="174" fontId="200" fillId="0" borderId="0" xfId="4696" applyNumberFormat="1" applyFont="1" applyBorder="1" applyAlignment="1">
      <alignment horizontal="left" vertical="top"/>
    </xf>
    <xf numFmtId="174" fontId="200" fillId="0" borderId="0" xfId="4696" applyNumberFormat="1" applyFont="1" applyBorder="1" applyAlignment="1">
      <alignment vertical="center" wrapText="1"/>
    </xf>
    <xf numFmtId="174" fontId="200" fillId="0" borderId="59" xfId="4696" applyNumberFormat="1" applyFont="1" applyBorder="1" applyAlignment="1">
      <alignment wrapText="1"/>
    </xf>
    <xf numFmtId="0" fontId="123" fillId="0" borderId="0" xfId="4698" applyFont="1" applyAlignment="1">
      <alignment vertical="top" wrapText="1"/>
    </xf>
    <xf numFmtId="0" fontId="123" fillId="0" borderId="0" xfId="4698" applyFont="1" applyAlignment="1">
      <alignment horizontal="center" vertical="center" wrapText="1"/>
    </xf>
    <xf numFmtId="0" fontId="123" fillId="0" borderId="63" xfId="4698" applyFont="1" applyBorder="1" applyAlignment="1">
      <alignment horizontal="center" vertical="center" wrapText="1"/>
    </xf>
    <xf numFmtId="0" fontId="204" fillId="0" borderId="35" xfId="4698" quotePrefix="1" applyFont="1" applyBorder="1" applyAlignment="1">
      <alignment horizontal="center" vertical="center" wrapText="1"/>
    </xf>
    <xf numFmtId="0" fontId="123" fillId="0" borderId="35" xfId="4698" quotePrefix="1" applyFont="1" applyBorder="1" applyAlignment="1">
      <alignment horizontal="center" vertical="center"/>
    </xf>
    <xf numFmtId="1" fontId="204" fillId="0" borderId="0" xfId="4698" applyNumberFormat="1" applyFont="1" applyAlignment="1">
      <alignment horizontal="center" vertical="top" shrinkToFit="1"/>
    </xf>
    <xf numFmtId="0" fontId="186" fillId="0" borderId="0" xfId="4698" applyFont="1" applyAlignment="1">
      <alignment vertical="top" wrapText="1"/>
    </xf>
    <xf numFmtId="0" fontId="31" fillId="0" borderId="0" xfId="4698" applyFont="1" applyAlignment="1">
      <alignment vertical="center" wrapText="1"/>
    </xf>
    <xf numFmtId="174" fontId="200" fillId="0" borderId="0" xfId="4696" applyNumberFormat="1" applyFont="1" applyAlignment="1">
      <alignment vertical="top" shrinkToFit="1"/>
    </xf>
    <xf numFmtId="174" fontId="200" fillId="0" borderId="0" xfId="4696" applyNumberFormat="1" applyFont="1" applyAlignment="1">
      <alignment horizontal="left" vertical="top"/>
    </xf>
    <xf numFmtId="174" fontId="200" fillId="0" borderId="0" xfId="4696" applyNumberFormat="1" applyFont="1" applyBorder="1" applyAlignment="1">
      <alignment vertical="top" shrinkToFit="1"/>
    </xf>
    <xf numFmtId="174" fontId="200" fillId="0" borderId="3" xfId="4696" applyNumberFormat="1" applyFont="1" applyBorder="1" applyAlignment="1">
      <alignment vertical="top" shrinkToFit="1"/>
    </xf>
    <xf numFmtId="174" fontId="200" fillId="0" borderId="3" xfId="4696" applyNumberFormat="1" applyFont="1" applyBorder="1" applyAlignment="1">
      <alignment horizontal="left" vertical="top"/>
    </xf>
    <xf numFmtId="174" fontId="200" fillId="0" borderId="3" xfId="4698" applyNumberFormat="1" applyBorder="1" applyAlignment="1">
      <alignment horizontal="left" vertical="top"/>
    </xf>
    <xf numFmtId="174" fontId="200" fillId="0" borderId="2" xfId="4696" applyNumberFormat="1" applyFont="1" applyBorder="1" applyAlignment="1">
      <alignment vertical="top" shrinkToFit="1"/>
    </xf>
    <xf numFmtId="0" fontId="123" fillId="0" borderId="0" xfId="4698" applyFont="1" applyAlignment="1">
      <alignment horizontal="left" vertical="top" wrapText="1"/>
    </xf>
    <xf numFmtId="1" fontId="204" fillId="0" borderId="0" xfId="4698" applyNumberFormat="1" applyFont="1" applyAlignment="1">
      <alignment horizontal="center" vertical="center" shrinkToFit="1"/>
    </xf>
    <xf numFmtId="0" fontId="186" fillId="0" borderId="0" xfId="4698" applyFont="1" applyAlignment="1">
      <alignment vertical="center" wrapText="1"/>
    </xf>
    <xf numFmtId="0" fontId="123" fillId="0" borderId="0" xfId="4698" applyFont="1" applyAlignment="1">
      <alignment vertical="center" wrapText="1"/>
    </xf>
    <xf numFmtId="174" fontId="200" fillId="0" borderId="0" xfId="4696" applyNumberFormat="1" applyFont="1" applyFill="1" applyAlignment="1">
      <alignment horizontal="left" vertical="top"/>
    </xf>
    <xf numFmtId="174" fontId="200" fillId="0" borderId="59" xfId="4696" applyNumberFormat="1" applyFont="1" applyBorder="1" applyAlignment="1">
      <alignment vertical="top" shrinkToFit="1"/>
    </xf>
    <xf numFmtId="174" fontId="200" fillId="0" borderId="60" xfId="4696" applyNumberFormat="1" applyFont="1" applyBorder="1" applyAlignment="1">
      <alignment vertical="top" shrinkToFit="1"/>
    </xf>
    <xf numFmtId="174" fontId="200" fillId="0" borderId="59" xfId="4696" applyNumberFormat="1" applyFont="1" applyFill="1" applyBorder="1" applyAlignment="1">
      <alignment vertical="top" shrinkToFit="1"/>
    </xf>
    <xf numFmtId="174" fontId="189" fillId="0" borderId="0" xfId="4698" applyNumberFormat="1" applyFont="1" applyAlignment="1">
      <alignment horizontal="left" vertical="top"/>
    </xf>
    <xf numFmtId="39" fontId="179" fillId="0" borderId="0" xfId="4695" applyNumberFormat="1" applyFont="1"/>
    <xf numFmtId="0" fontId="31" fillId="0" borderId="0" xfId="4698" applyFont="1" applyAlignment="1">
      <alignment horizontal="center" vertical="top" wrapText="1"/>
    </xf>
    <xf numFmtId="0" fontId="199" fillId="0" borderId="0" xfId="4695" applyFont="1" applyAlignment="1">
      <alignment vertical="top"/>
    </xf>
    <xf numFmtId="14" fontId="31" fillId="0" borderId="0" xfId="0" applyNumberFormat="1" applyFont="1" applyAlignment="1" applyProtection="1">
      <alignment vertical="top" wrapText="1"/>
      <protection locked="0"/>
    </xf>
    <xf numFmtId="14" fontId="31" fillId="0" borderId="0" xfId="0" applyNumberFormat="1" applyFont="1" applyAlignment="1" applyProtection="1">
      <alignment horizontal="center" vertical="top"/>
      <protection locked="0"/>
    </xf>
    <xf numFmtId="271" fontId="31" fillId="0" borderId="0" xfId="4665" applyNumberFormat="1" applyFont="1" applyFill="1" applyAlignment="1" applyProtection="1">
      <alignment vertical="top"/>
      <protection locked="0"/>
    </xf>
    <xf numFmtId="173" fontId="31" fillId="0" borderId="0" xfId="1" applyNumberFormat="1" applyFont="1" applyFill="1" applyAlignment="1" applyProtection="1">
      <alignment vertical="top"/>
      <protection locked="0"/>
    </xf>
    <xf numFmtId="174" fontId="31" fillId="0" borderId="0" xfId="4665" applyNumberFormat="1" applyFont="1" applyFill="1" applyAlignment="1" applyProtection="1">
      <alignment vertical="top"/>
      <protection locked="0"/>
    </xf>
    <xf numFmtId="41" fontId="166" fillId="3" borderId="0" xfId="0" applyNumberFormat="1" applyFont="1" applyFill="1" applyProtection="1">
      <protection locked="0"/>
    </xf>
    <xf numFmtId="172" fontId="31" fillId="0" borderId="0" xfId="4667" applyNumberFormat="1" applyFont="1" applyAlignment="1">
      <alignment horizontal="center"/>
    </xf>
    <xf numFmtId="164" fontId="179" fillId="0" borderId="0" xfId="4697" applyNumberFormat="1" applyFont="1" applyFill="1" applyBorder="1" applyAlignment="1">
      <alignment horizontal="center"/>
    </xf>
    <xf numFmtId="0" fontId="31" fillId="0" borderId="0" xfId="0" applyNumberFormat="1" applyFont="1" applyAlignment="1" applyProtection="1">
      <alignment vertical="top"/>
      <protection locked="0"/>
    </xf>
    <xf numFmtId="3" fontId="166" fillId="2" borderId="0" xfId="0" applyNumberFormat="1" applyFont="1" applyFill="1" applyAlignment="1" applyProtection="1">
      <alignment vertical="top"/>
      <protection locked="0"/>
    </xf>
    <xf numFmtId="9" fontId="31" fillId="0" borderId="0" xfId="0" applyNumberFormat="1" applyFont="1" applyAlignment="1" applyProtection="1">
      <alignment vertical="top"/>
    </xf>
    <xf numFmtId="169" fontId="31" fillId="0" borderId="0" xfId="0" applyNumberFormat="1" applyFont="1" applyAlignment="1" applyProtection="1">
      <alignment vertical="top"/>
      <protection locked="0"/>
    </xf>
    <xf numFmtId="169" fontId="31" fillId="0" borderId="0" xfId="0" applyNumberFormat="1" applyFont="1" applyAlignment="1" applyProtection="1">
      <alignment vertical="top"/>
    </xf>
    <xf numFmtId="172" fontId="31" fillId="0" borderId="0" xfId="0" applyFont="1" applyAlignment="1" applyProtection="1">
      <alignment vertical="top"/>
      <protection locked="0"/>
    </xf>
    <xf numFmtId="3" fontId="31" fillId="0" borderId="0" xfId="0" quotePrefix="1" applyNumberFormat="1" applyFont="1" applyAlignment="1" applyProtection="1">
      <alignment vertical="top"/>
      <protection locked="0"/>
    </xf>
    <xf numFmtId="172" fontId="206" fillId="0" borderId="0" xfId="0" applyFont="1" applyProtection="1"/>
    <xf numFmtId="172" fontId="206" fillId="0" borderId="0" xfId="0" applyFont="1"/>
    <xf numFmtId="172" fontId="206" fillId="0" borderId="0" xfId="0" quotePrefix="1" applyFont="1" applyAlignment="1">
      <alignment horizontal="center"/>
    </xf>
    <xf numFmtId="3" fontId="179" fillId="0" borderId="0" xfId="4597" applyNumberFormat="1" applyFont="1" applyAlignment="1">
      <alignment horizontal="left"/>
    </xf>
    <xf numFmtId="173" fontId="166" fillId="3" borderId="0" xfId="1" applyNumberFormat="1" applyFont="1" applyFill="1" applyProtection="1">
      <protection locked="0"/>
    </xf>
    <xf numFmtId="0" fontId="31" fillId="0" borderId="0" xfId="4698" applyFont="1" applyAlignment="1">
      <alignment horizontal="left" vertical="top" wrapText="1"/>
    </xf>
    <xf numFmtId="174" fontId="31" fillId="75" borderId="1" xfId="4665" applyNumberFormat="1" applyFont="1" applyFill="1" applyBorder="1" applyAlignment="1"/>
    <xf numFmtId="174" fontId="31" fillId="3" borderId="0" xfId="190" applyNumberFormat="1" applyFont="1" applyFill="1" applyAlignment="1"/>
    <xf numFmtId="0" fontId="31" fillId="0" borderId="0" xfId="4597" applyNumberFormat="1" applyFont="1" applyAlignment="1">
      <alignment wrapText="1"/>
    </xf>
    <xf numFmtId="0" fontId="39" fillId="0" borderId="0" xfId="4695" applyFont="1"/>
    <xf numFmtId="164" fontId="123" fillId="0" borderId="0" xfId="3" applyNumberFormat="1" applyFont="1" applyFill="1" applyBorder="1" applyAlignment="1">
      <alignment horizontal="center"/>
    </xf>
    <xf numFmtId="0" fontId="123" fillId="3" borderId="0" xfId="4698" applyFont="1" applyFill="1" applyAlignment="1">
      <alignment horizontal="center" vertical="top" wrapText="1"/>
    </xf>
    <xf numFmtId="10" fontId="200" fillId="3" borderId="0" xfId="4698" applyNumberFormat="1" applyFill="1" applyAlignment="1">
      <alignment horizontal="center" vertical="top" shrinkToFit="1"/>
    </xf>
    <xf numFmtId="10" fontId="200" fillId="3" borderId="0" xfId="4697" applyNumberFormat="1" applyFont="1" applyFill="1" applyAlignment="1">
      <alignment horizontal="center" vertical="top"/>
    </xf>
    <xf numFmtId="0" fontId="123" fillId="0" borderId="62" xfId="4698" applyFont="1" applyBorder="1" applyAlignment="1">
      <alignment horizontal="center" vertical="center" wrapText="1"/>
    </xf>
    <xf numFmtId="0" fontId="204" fillId="0" borderId="35" xfId="4698" applyFont="1" applyBorder="1" applyAlignment="1">
      <alignment horizontal="center" vertical="center" wrapText="1"/>
    </xf>
    <xf numFmtId="1" fontId="200" fillId="3" borderId="0" xfId="4698" applyNumberFormat="1" applyFill="1" applyAlignment="1">
      <alignment vertical="top" shrinkToFit="1"/>
    </xf>
    <xf numFmtId="174" fontId="200" fillId="3" borderId="0" xfId="4696" applyNumberFormat="1" applyFont="1" applyFill="1" applyAlignment="1">
      <alignment vertical="top" shrinkToFit="1"/>
    </xf>
    <xf numFmtId="174" fontId="200" fillId="3" borderId="0" xfId="4696" applyNumberFormat="1" applyFont="1" applyFill="1" applyBorder="1" applyAlignment="1">
      <alignment vertical="top" shrinkToFit="1"/>
    </xf>
    <xf numFmtId="0" fontId="200" fillId="3" borderId="0" xfId="4698" applyFill="1" applyAlignment="1">
      <alignment wrapText="1"/>
    </xf>
    <xf numFmtId="174" fontId="200" fillId="3" borderId="3" xfId="4696" applyNumberFormat="1" applyFont="1" applyFill="1" applyBorder="1" applyAlignment="1">
      <alignment wrapText="1"/>
    </xf>
    <xf numFmtId="174" fontId="200" fillId="3" borderId="3" xfId="4696" applyNumberFormat="1" applyFont="1" applyFill="1" applyBorder="1" applyAlignment="1">
      <alignment vertical="top" shrinkToFit="1"/>
    </xf>
    <xf numFmtId="0" fontId="31" fillId="3" borderId="0" xfId="4698" applyFont="1" applyFill="1" applyAlignment="1">
      <alignment vertical="top" wrapText="1"/>
    </xf>
    <xf numFmtId="174" fontId="31" fillId="3" borderId="0" xfId="4696" applyNumberFormat="1" applyFont="1" applyFill="1" applyAlignment="1">
      <alignment vertical="top" wrapText="1"/>
    </xf>
    <xf numFmtId="173" fontId="31" fillId="81" borderId="0" xfId="1" applyNumberFormat="1" applyFont="1" applyFill="1" applyAlignment="1" applyProtection="1">
      <alignment vertical="top"/>
      <protection locked="0"/>
    </xf>
    <xf numFmtId="174" fontId="31" fillId="81" borderId="0" xfId="4665" applyNumberFormat="1" applyFont="1" applyFill="1" applyAlignment="1" applyProtection="1">
      <alignment vertical="top"/>
      <protection locked="0"/>
    </xf>
    <xf numFmtId="0" fontId="133" fillId="0" borderId="0" xfId="4698" applyFont="1" applyAlignment="1">
      <alignment vertical="top" wrapText="1"/>
    </xf>
    <xf numFmtId="0" fontId="73" fillId="0" borderId="0" xfId="4698" applyFont="1" applyAlignment="1">
      <alignment vertical="center" wrapText="1"/>
    </xf>
    <xf numFmtId="0" fontId="196" fillId="0" borderId="0" xfId="4598" applyFont="1" applyAlignment="1">
      <alignment horizontal="center" wrapText="1"/>
    </xf>
    <xf numFmtId="0" fontId="179" fillId="0" borderId="0" xfId="123" applyFont="1" applyAlignment="1">
      <alignment horizontal="center"/>
    </xf>
    <xf numFmtId="0" fontId="179" fillId="0" borderId="0" xfId="123" applyFont="1"/>
    <xf numFmtId="0" fontId="179" fillId="0" borderId="0" xfId="4598" applyFont="1" applyAlignment="1">
      <alignment horizontal="center" wrapText="1"/>
    </xf>
    <xf numFmtId="172" fontId="179" fillId="0" borderId="0" xfId="0" applyFont="1"/>
    <xf numFmtId="0" fontId="196" fillId="0" borderId="0" xfId="4598" applyFont="1" applyAlignment="1">
      <alignment horizontal="center"/>
    </xf>
    <xf numFmtId="0" fontId="179" fillId="0" borderId="0" xfId="4595" applyFont="1" applyAlignment="1">
      <alignment horizontal="center" wrapText="1"/>
    </xf>
    <xf numFmtId="0" fontId="179" fillId="0" borderId="0" xfId="4598" applyFont="1" applyAlignment="1">
      <alignment horizontal="left"/>
    </xf>
    <xf numFmtId="0" fontId="179" fillId="0" borderId="0" xfId="4598" applyFont="1"/>
    <xf numFmtId="41" fontId="179" fillId="2" borderId="0" xfId="4598" applyNumberFormat="1" applyFont="1" applyFill="1"/>
    <xf numFmtId="174" fontId="179" fillId="0" borderId="14" xfId="190" applyNumberFormat="1" applyFont="1" applyBorder="1"/>
    <xf numFmtId="0" fontId="179" fillId="0" borderId="0" xfId="4476" applyFont="1" applyAlignment="1">
      <alignment horizontal="left"/>
    </xf>
    <xf numFmtId="0" fontId="205" fillId="0" borderId="0" xfId="4690" applyFont="1"/>
    <xf numFmtId="0" fontId="207" fillId="0" borderId="0" xfId="4690" applyFont="1"/>
    <xf numFmtId="164" fontId="31" fillId="75" borderId="0" xfId="4666" applyNumberFormat="1" applyFont="1" applyFill="1" applyAlignment="1"/>
    <xf numFmtId="305" fontId="31" fillId="75" borderId="0" xfId="4665" applyNumberFormat="1" applyFont="1" applyFill="1" applyAlignment="1"/>
    <xf numFmtId="0" fontId="179" fillId="0" borderId="0" xfId="0" applyNumberFormat="1" applyFont="1" applyAlignment="1" applyProtection="1">
      <alignment horizontal="center"/>
      <protection locked="0"/>
    </xf>
    <xf numFmtId="0" fontId="179" fillId="0" borderId="0" xfId="0" applyNumberFormat="1" applyFont="1" applyProtection="1">
      <protection locked="0"/>
    </xf>
    <xf numFmtId="3" fontId="179" fillId="0" borderId="0" xfId="4228" applyNumberFormat="1" applyFont="1"/>
    <xf numFmtId="3" fontId="179" fillId="0" borderId="4" xfId="4597" applyNumberFormat="1" applyFont="1" applyBorder="1"/>
    <xf numFmtId="41" fontId="179" fillId="78" borderId="0" xfId="1" applyNumberFormat="1" applyFont="1" applyFill="1" applyAlignment="1" applyProtection="1">
      <protection locked="0"/>
    </xf>
    <xf numFmtId="3" fontId="179" fillId="0" borderId="0" xfId="0" applyNumberFormat="1" applyFont="1" applyProtection="1">
      <protection locked="0"/>
    </xf>
    <xf numFmtId="165" fontId="179" fillId="0" borderId="0" xfId="0" applyNumberFormat="1" applyFont="1" applyProtection="1"/>
    <xf numFmtId="174" fontId="179" fillId="0" borderId="0" xfId="190" applyNumberFormat="1" applyFont="1" applyFill="1" applyAlignment="1"/>
    <xf numFmtId="174" fontId="179" fillId="0" borderId="4" xfId="190" applyNumberFormat="1" applyFont="1" applyFill="1" applyBorder="1" applyAlignment="1"/>
    <xf numFmtId="0" fontId="179" fillId="0" borderId="0" xfId="0" applyNumberFormat="1" applyFont="1" applyProtection="1"/>
    <xf numFmtId="3" fontId="179" fillId="0" borderId="0" xfId="0" applyNumberFormat="1" applyFont="1" applyProtection="1"/>
    <xf numFmtId="41" fontId="179" fillId="78" borderId="4" xfId="1" applyNumberFormat="1" applyFont="1" applyFill="1" applyBorder="1" applyAlignment="1" applyProtection="1">
      <protection locked="0"/>
    </xf>
    <xf numFmtId="3" fontId="179" fillId="0" borderId="0" xfId="4597" applyNumberFormat="1" applyFont="1"/>
    <xf numFmtId="41" fontId="179" fillId="0" borderId="0" xfId="1" applyNumberFormat="1" applyFont="1" applyFill="1" applyAlignment="1" applyProtection="1">
      <protection locked="0"/>
    </xf>
    <xf numFmtId="41" fontId="179" fillId="0" borderId="4" xfId="1" applyNumberFormat="1" applyFont="1" applyFill="1" applyBorder="1" applyAlignment="1" applyProtection="1">
      <protection locked="0"/>
    </xf>
    <xf numFmtId="172" fontId="179" fillId="0" borderId="0" xfId="0" applyFont="1" applyProtection="1">
      <protection locked="0"/>
    </xf>
    <xf numFmtId="271" fontId="31" fillId="75" borderId="38" xfId="4665" applyNumberFormat="1" applyFont="1" applyFill="1" applyBorder="1" applyAlignment="1"/>
    <xf numFmtId="173" fontId="31" fillId="0" borderId="38" xfId="1" applyNumberFormat="1" applyFont="1" applyFill="1" applyBorder="1" applyAlignment="1" applyProtection="1">
      <protection locked="0"/>
    </xf>
    <xf numFmtId="172" fontId="31" fillId="0" borderId="27" xfId="0" applyFont="1" applyBorder="1"/>
    <xf numFmtId="0" fontId="31" fillId="0" borderId="27" xfId="4471" applyFont="1" applyBorder="1"/>
    <xf numFmtId="172" fontId="27" fillId="0" borderId="0" xfId="0" applyFont="1"/>
    <xf numFmtId="0" fontId="189" fillId="0" borderId="0" xfId="4690" applyFont="1"/>
    <xf numFmtId="43" fontId="189" fillId="0" borderId="0" xfId="4690" applyNumberFormat="1" applyFont="1"/>
    <xf numFmtId="41" fontId="189" fillId="0" borderId="0" xfId="4690" applyNumberFormat="1" applyFont="1"/>
    <xf numFmtId="0" fontId="189" fillId="0" borderId="0" xfId="4693" applyFont="1"/>
    <xf numFmtId="1" fontId="200" fillId="0" borderId="0" xfId="4698" applyNumberFormat="1" applyAlignment="1">
      <alignment horizontal="left" vertical="top"/>
    </xf>
    <xf numFmtId="0" fontId="166" fillId="3" borderId="0" xfId="5162" applyFont="1" applyFill="1" applyAlignment="1">
      <alignment horizontal="left"/>
    </xf>
    <xf numFmtId="37" fontId="166" fillId="3" borderId="0" xfId="5162" applyNumberFormat="1" applyFont="1" applyFill="1" applyAlignment="1">
      <alignment horizontal="left"/>
    </xf>
    <xf numFmtId="172" fontId="209" fillId="0" borderId="0" xfId="0" applyFont="1"/>
    <xf numFmtId="0" fontId="196" fillId="0" borderId="0" xfId="4155" applyNumberFormat="1" applyFont="1" applyProtection="1">
      <protection locked="0"/>
    </xf>
    <xf numFmtId="172" fontId="196" fillId="0" borderId="0" xfId="0" applyFont="1"/>
    <xf numFmtId="172" fontId="196" fillId="0" borderId="0" xfId="0" applyFont="1" applyAlignment="1">
      <alignment horizontal="center"/>
    </xf>
    <xf numFmtId="172" fontId="179" fillId="0" borderId="0" xfId="0" applyFont="1" applyAlignment="1">
      <alignment horizontal="center"/>
    </xf>
    <xf numFmtId="43" fontId="179" fillId="0" borderId="0" xfId="190" applyFont="1"/>
    <xf numFmtId="0" fontId="196" fillId="0" borderId="0" xfId="4" applyFont="1" applyAlignment="1">
      <alignment horizontal="right"/>
    </xf>
    <xf numFmtId="0" fontId="179" fillId="0" borderId="0" xfId="4" applyFont="1"/>
    <xf numFmtId="0" fontId="196" fillId="0" borderId="0" xfId="4" applyFont="1"/>
    <xf numFmtId="172" fontId="179" fillId="0" borderId="0" xfId="0" applyFont="1" applyAlignment="1">
      <alignment wrapText="1"/>
    </xf>
    <xf numFmtId="0" fontId="179" fillId="0" borderId="0" xfId="3438" applyFont="1"/>
    <xf numFmtId="0" fontId="179" fillId="0" borderId="0" xfId="4157" applyFont="1"/>
    <xf numFmtId="172" fontId="179" fillId="0" borderId="0" xfId="0" applyFont="1" applyAlignment="1">
      <alignment horizontal="left" vertical="center" wrapText="1"/>
    </xf>
    <xf numFmtId="172" fontId="179" fillId="0" borderId="0" xfId="0" applyFont="1" applyAlignment="1">
      <alignment vertical="center" wrapText="1"/>
    </xf>
    <xf numFmtId="0" fontId="179" fillId="0" borderId="0" xfId="4228" applyFont="1" applyAlignment="1">
      <alignment horizontal="left" vertical="top" wrapText="1"/>
    </xf>
    <xf numFmtId="0" fontId="179" fillId="0" borderId="0" xfId="4228" applyFont="1" applyAlignment="1">
      <alignment vertical="top"/>
    </xf>
    <xf numFmtId="0" fontId="179" fillId="0" borderId="0" xfId="4698" applyFont="1" applyAlignment="1">
      <alignment horizontal="left" vertical="top"/>
    </xf>
    <xf numFmtId="0" fontId="179" fillId="0" borderId="0" xfId="4698" applyFont="1" applyAlignment="1">
      <alignment horizontal="left" vertical="center"/>
    </xf>
    <xf numFmtId="10" fontId="179" fillId="0" borderId="0" xfId="3" applyNumberFormat="1" applyFont="1" applyFill="1"/>
    <xf numFmtId="0" fontId="179" fillId="0" borderId="0" xfId="4476" applyFont="1"/>
    <xf numFmtId="0" fontId="179" fillId="0" borderId="0" xfId="4476" applyFont="1" applyAlignment="1">
      <alignment wrapText="1"/>
    </xf>
    <xf numFmtId="174" fontId="179" fillId="0" borderId="0" xfId="190" applyNumberFormat="1" applyFont="1" applyFill="1" applyBorder="1" applyProtection="1"/>
    <xf numFmtId="172" fontId="206" fillId="0" borderId="0" xfId="0" applyFont="1" applyAlignment="1" applyProtection="1">
      <alignment wrapText="1"/>
    </xf>
    <xf numFmtId="0" fontId="179" fillId="0" borderId="0" xfId="4476" applyFont="1" applyAlignment="1">
      <alignment vertical="top"/>
    </xf>
    <xf numFmtId="172" fontId="179" fillId="0" borderId="0" xfId="4667" applyNumberFormat="1" applyFont="1" applyAlignment="1"/>
    <xf numFmtId="172" fontId="179" fillId="0" borderId="0" xfId="4667" applyNumberFormat="1" applyFont="1" applyBorder="1" applyAlignment="1"/>
    <xf numFmtId="173" fontId="179" fillId="0" borderId="0" xfId="1" applyNumberFormat="1" applyFont="1" applyFill="1" applyBorder="1" applyAlignment="1"/>
    <xf numFmtId="41" fontId="179" fillId="0" borderId="0" xfId="4668" applyNumberFormat="1" applyFont="1" applyProtection="1">
      <protection locked="0"/>
    </xf>
    <xf numFmtId="170" fontId="179" fillId="0" borderId="0" xfId="4667" applyNumberFormat="1" applyFont="1" applyBorder="1" applyAlignment="1"/>
    <xf numFmtId="42" fontId="179" fillId="0" borderId="0" xfId="4667" applyNumberFormat="1" applyFont="1" applyAlignment="1"/>
    <xf numFmtId="42" fontId="179" fillId="0" borderId="0" xfId="4667" applyNumberFormat="1" applyFont="1" applyFill="1" applyBorder="1" applyAlignment="1"/>
    <xf numFmtId="172" fontId="179" fillId="0" borderId="0" xfId="4667" applyNumberFormat="1" applyFont="1" applyFill="1" applyBorder="1" applyAlignment="1"/>
    <xf numFmtId="41" fontId="179" fillId="0" borderId="0" xfId="4667" applyNumberFormat="1" applyFont="1" applyFill="1" applyAlignment="1"/>
    <xf numFmtId="172" fontId="179" fillId="0" borderId="0" xfId="4667" applyNumberFormat="1" applyFont="1" applyAlignment="1">
      <alignment horizontal="left" vertical="top"/>
    </xf>
    <xf numFmtId="174" fontId="179" fillId="0" borderId="0" xfId="190" applyNumberFormat="1" applyFont="1" applyFill="1" applyAlignment="1">
      <alignment horizontal="center"/>
    </xf>
    <xf numFmtId="49" fontId="196" fillId="0" borderId="0" xfId="4" applyNumberFormat="1" applyFont="1"/>
    <xf numFmtId="0" fontId="179" fillId="0" borderId="0" xfId="4671" applyFont="1"/>
    <xf numFmtId="0" fontId="179" fillId="0" borderId="0" xfId="4671" applyFont="1" applyAlignment="1">
      <alignment horizontal="center"/>
    </xf>
    <xf numFmtId="172" fontId="10" fillId="0" borderId="0" xfId="0" applyFont="1" applyAlignment="1">
      <alignment vertical="top" wrapText="1"/>
    </xf>
    <xf numFmtId="172" fontId="10" fillId="0" borderId="0" xfId="0" applyFont="1" applyAlignment="1">
      <alignment horizontal="left" vertical="top" wrapText="1"/>
    </xf>
    <xf numFmtId="172" fontId="174" fillId="0" borderId="0" xfId="0" applyFont="1" applyAlignment="1">
      <alignment horizontal="center"/>
    </xf>
    <xf numFmtId="172" fontId="31" fillId="0" borderId="0" xfId="0" applyFont="1" applyAlignment="1" applyProtection="1">
      <alignment horizontal="left" vertical="top" wrapText="1"/>
      <protection locked="0"/>
    </xf>
    <xf numFmtId="172" fontId="31" fillId="0" borderId="0" xfId="0" applyFont="1" applyAlignment="1">
      <alignment horizontal="left" vertical="top" wrapText="1"/>
    </xf>
    <xf numFmtId="172" fontId="31" fillId="0" borderId="0" xfId="0" applyFont="1" applyAlignment="1">
      <alignment horizontal="left" wrapText="1"/>
    </xf>
    <xf numFmtId="172" fontId="31" fillId="0" borderId="0" xfId="0" applyFont="1" applyAlignment="1">
      <alignment horizontal="left"/>
    </xf>
    <xf numFmtId="0" fontId="31" fillId="0" borderId="0" xfId="0" applyNumberFormat="1" applyFont="1" applyAlignment="1" applyProtection="1">
      <alignment horizontal="right"/>
      <protection locked="0"/>
    </xf>
    <xf numFmtId="0" fontId="123" fillId="0" borderId="0" xfId="0" applyNumberFormat="1" applyFont="1" applyAlignment="1" applyProtection="1">
      <alignment horizontal="right"/>
      <protection locked="0"/>
    </xf>
    <xf numFmtId="0" fontId="31" fillId="0" borderId="0" xfId="0" applyNumberFormat="1" applyFont="1" applyAlignment="1" applyProtection="1">
      <alignment vertical="top" wrapText="1"/>
      <protection locked="0"/>
    </xf>
    <xf numFmtId="0" fontId="31" fillId="0" borderId="0" xfId="4597" applyNumberFormat="1" applyFont="1" applyAlignment="1" applyProtection="1">
      <alignment horizontal="left" vertical="top" wrapText="1"/>
      <protection locked="0"/>
    </xf>
    <xf numFmtId="0" fontId="31" fillId="0" borderId="0" xfId="0" applyNumberFormat="1" applyFont="1" applyAlignment="1" applyProtection="1">
      <alignment horizontal="left" vertical="top" wrapText="1"/>
      <protection locked="0"/>
    </xf>
    <xf numFmtId="0" fontId="31" fillId="0" borderId="0" xfId="4664" applyNumberFormat="1" applyFont="1" applyAlignment="1">
      <alignment horizontal="left" vertical="top" wrapText="1"/>
    </xf>
    <xf numFmtId="0" fontId="31" fillId="0" borderId="0" xfId="0" applyNumberFormat="1" applyFont="1" applyAlignment="1" applyProtection="1">
      <alignment horizontal="right" vertical="top"/>
    </xf>
    <xf numFmtId="0" fontId="31" fillId="0" borderId="0" xfId="0" applyNumberFormat="1" applyFont="1" applyAlignment="1" applyProtection="1">
      <alignment horizontal="center"/>
      <protection locked="0"/>
    </xf>
    <xf numFmtId="3" fontId="31" fillId="0" borderId="0" xfId="0" applyNumberFormat="1" applyFont="1" applyAlignment="1" applyProtection="1">
      <alignment horizontal="right"/>
      <protection locked="0"/>
    </xf>
    <xf numFmtId="0" fontId="31" fillId="0" borderId="1" xfId="0" applyNumberFormat="1" applyFont="1" applyBorder="1" applyAlignment="1" applyProtection="1">
      <alignment horizontal="center"/>
      <protection locked="0"/>
    </xf>
    <xf numFmtId="172" fontId="167" fillId="0" borderId="0" xfId="4597" applyFont="1" applyAlignment="1">
      <alignment horizontal="left" vertical="top" wrapText="1"/>
    </xf>
    <xf numFmtId="0" fontId="31" fillId="0" borderId="0" xfId="0" applyNumberFormat="1" applyFont="1" applyAlignment="1">
      <alignment horizontal="left" vertical="top" wrapText="1"/>
    </xf>
    <xf numFmtId="172" fontId="167" fillId="0" borderId="0" xfId="0" applyFont="1" applyAlignment="1">
      <alignment horizontal="left" vertical="top" wrapText="1"/>
    </xf>
    <xf numFmtId="0" fontId="31" fillId="0" borderId="0" xfId="4595" applyFont="1" applyAlignment="1">
      <alignment vertical="top" wrapText="1"/>
    </xf>
    <xf numFmtId="0" fontId="31" fillId="0" borderId="0" xfId="4597" quotePrefix="1" applyNumberFormat="1" applyFont="1" applyAlignment="1">
      <alignment horizontal="left" vertical="top" wrapText="1"/>
    </xf>
    <xf numFmtId="0" fontId="31" fillId="0" borderId="0" xfId="2138" applyFont="1" applyFill="1" applyAlignment="1">
      <alignment horizontal="left" vertical="top" wrapText="1"/>
    </xf>
    <xf numFmtId="0" fontId="132" fillId="0" borderId="4" xfId="4473" applyFont="1" applyBorder="1" applyAlignment="1">
      <alignment horizontal="center"/>
    </xf>
    <xf numFmtId="172" fontId="123" fillId="0" borderId="3" xfId="0" applyFont="1" applyBorder="1" applyAlignment="1">
      <alignment horizontal="center"/>
    </xf>
    <xf numFmtId="0" fontId="123" fillId="0" borderId="0" xfId="4155" applyNumberFormat="1" applyFont="1" applyAlignment="1" applyProtection="1">
      <alignment horizontal="center"/>
      <protection locked="0"/>
    </xf>
    <xf numFmtId="172" fontId="123" fillId="0" borderId="0" xfId="0" applyFont="1" applyAlignment="1">
      <alignment horizontal="center"/>
    </xf>
    <xf numFmtId="0" fontId="31" fillId="0" borderId="0" xfId="4" applyFont="1" applyAlignment="1">
      <alignment vertical="top" wrapText="1"/>
    </xf>
    <xf numFmtId="0" fontId="123" fillId="0" borderId="0" xfId="4" applyFont="1" applyAlignment="1">
      <alignment horizontal="center"/>
    </xf>
    <xf numFmtId="49" fontId="123" fillId="0" borderId="0" xfId="4" applyNumberFormat="1" applyFont="1" applyAlignment="1">
      <alignment horizontal="center"/>
    </xf>
    <xf numFmtId="172" fontId="31" fillId="0" borderId="0" xfId="0" applyFont="1" applyAlignment="1">
      <alignment horizontal="left" vertical="top"/>
    </xf>
    <xf numFmtId="172" fontId="31" fillId="0" borderId="0" xfId="0" applyFont="1" applyAlignment="1">
      <alignment horizontal="left" vertical="center"/>
    </xf>
    <xf numFmtId="3" fontId="31" fillId="0" borderId="1" xfId="4695" applyNumberFormat="1" applyFont="1" applyBorder="1" applyAlignment="1">
      <alignment horizontal="center"/>
    </xf>
    <xf numFmtId="3" fontId="123" fillId="0" borderId="48" xfId="4695" applyNumberFormat="1" applyFont="1" applyBorder="1" applyAlignment="1">
      <alignment horizontal="center"/>
    </xf>
    <xf numFmtId="3" fontId="123" fillId="0" borderId="15" xfId="4695" applyNumberFormat="1" applyFont="1" applyBorder="1" applyAlignment="1">
      <alignment horizontal="center"/>
    </xf>
    <xf numFmtId="0" fontId="196" fillId="0" borderId="0" xfId="4695" applyFont="1" applyAlignment="1">
      <alignment horizontal="center"/>
    </xf>
    <xf numFmtId="172" fontId="123" fillId="0" borderId="17" xfId="4695" applyNumberFormat="1" applyFont="1" applyBorder="1" applyAlignment="1">
      <alignment horizontal="center"/>
    </xf>
    <xf numFmtId="0" fontId="39" fillId="0" borderId="0" xfId="4695" applyFont="1" applyAlignment="1">
      <alignment horizontal="left" vertical="top" wrapText="1"/>
    </xf>
    <xf numFmtId="0" fontId="199" fillId="0" borderId="0" xfId="4695" applyFont="1" applyAlignment="1">
      <alignment horizontal="left" vertical="top" wrapText="1"/>
    </xf>
    <xf numFmtId="0" fontId="123" fillId="0" borderId="48" xfId="4598" applyFont="1" applyBorder="1" applyAlignment="1">
      <alignment horizontal="center"/>
    </xf>
    <xf numFmtId="0" fontId="123" fillId="0" borderId="15" xfId="4598" applyFont="1" applyBorder="1" applyAlignment="1">
      <alignment horizontal="center"/>
    </xf>
    <xf numFmtId="0" fontId="123" fillId="0" borderId="49" xfId="4598" applyFont="1" applyBorder="1" applyAlignment="1">
      <alignment horizontal="center"/>
    </xf>
    <xf numFmtId="172" fontId="123" fillId="0" borderId="48" xfId="0" applyFont="1" applyBorder="1" applyAlignment="1">
      <alignment horizontal="center"/>
    </xf>
    <xf numFmtId="172" fontId="123" fillId="0" borderId="15" xfId="0" applyFont="1" applyBorder="1" applyAlignment="1">
      <alignment horizontal="center"/>
    </xf>
    <xf numFmtId="172" fontId="123" fillId="0" borderId="49" xfId="0" applyFont="1" applyBorder="1" applyAlignment="1">
      <alignment horizontal="center"/>
    </xf>
    <xf numFmtId="0" fontId="31" fillId="0" borderId="0" xfId="4228" applyFont="1" applyAlignment="1">
      <alignment horizontal="left" vertical="top" wrapText="1"/>
    </xf>
    <xf numFmtId="0" fontId="123" fillId="0" borderId="0" xfId="4" applyFont="1" applyAlignment="1">
      <alignment horizontal="center" vertical="center"/>
    </xf>
    <xf numFmtId="0" fontId="123" fillId="0" borderId="0" xfId="4698" applyFont="1" applyAlignment="1">
      <alignment horizontal="center" vertical="center"/>
    </xf>
    <xf numFmtId="0" fontId="31" fillId="0" borderId="0" xfId="4698" applyFont="1" applyAlignment="1">
      <alignment horizontal="left" vertical="top" wrapText="1"/>
    </xf>
    <xf numFmtId="0" fontId="123" fillId="0" borderId="63" xfId="4698" applyFont="1" applyBorder="1" applyAlignment="1">
      <alignment horizontal="center" vertical="center" wrapText="1"/>
    </xf>
    <xf numFmtId="0" fontId="123" fillId="0" borderId="21" xfId="4698" applyFont="1" applyBorder="1" applyAlignment="1">
      <alignment horizontal="center" vertical="center" wrapText="1"/>
    </xf>
    <xf numFmtId="0" fontId="123" fillId="0" borderId="64" xfId="4698" applyFont="1" applyBorder="1" applyAlignment="1">
      <alignment horizontal="center" vertical="center" wrapText="1"/>
    </xf>
    <xf numFmtId="49" fontId="123" fillId="0" borderId="0" xfId="4" applyNumberFormat="1" applyFont="1" applyAlignment="1">
      <alignment horizontal="center" vertical="center"/>
    </xf>
    <xf numFmtId="0" fontId="31" fillId="0" borderId="0" xfId="4" applyFont="1" applyAlignment="1">
      <alignment horizontal="left" vertical="top" wrapText="1"/>
    </xf>
    <xf numFmtId="172" fontId="182" fillId="0" borderId="3" xfId="0" applyFont="1" applyBorder="1" applyAlignment="1">
      <alignment horizontal="center"/>
    </xf>
    <xf numFmtId="0" fontId="123" fillId="0" borderId="0" xfId="4598" applyFont="1" applyAlignment="1">
      <alignment horizontal="center"/>
    </xf>
    <xf numFmtId="49" fontId="123" fillId="0" borderId="0" xfId="4597" applyNumberFormat="1" applyFont="1" applyAlignment="1">
      <alignment horizontal="center"/>
    </xf>
    <xf numFmtId="172" fontId="181" fillId="0" borderId="0" xfId="0" applyFont="1" applyAlignment="1">
      <alignment horizontal="left"/>
    </xf>
    <xf numFmtId="0" fontId="31" fillId="0" borderId="0" xfId="4476" applyFont="1" applyAlignment="1">
      <alignment horizontal="left" vertical="top" wrapText="1"/>
    </xf>
    <xf numFmtId="0" fontId="179" fillId="0" borderId="0" xfId="4476" applyFont="1" applyAlignment="1">
      <alignment horizontal="left" vertical="top"/>
    </xf>
    <xf numFmtId="0" fontId="31" fillId="0" borderId="0" xfId="4476" applyFont="1" applyAlignment="1">
      <alignment horizontal="left" vertical="top"/>
    </xf>
    <xf numFmtId="0" fontId="31" fillId="0" borderId="0" xfId="0" applyNumberFormat="1" applyFont="1" applyAlignment="1" applyProtection="1">
      <alignment horizontal="right"/>
    </xf>
    <xf numFmtId="0" fontId="167" fillId="0" borderId="0" xfId="0" applyNumberFormat="1" applyFont="1" applyAlignment="1">
      <alignment horizontal="left" vertical="top" wrapText="1"/>
    </xf>
    <xf numFmtId="0" fontId="31" fillId="0" borderId="0" xfId="0" applyNumberFormat="1" applyFont="1" applyAlignment="1">
      <alignment horizontal="left"/>
    </xf>
    <xf numFmtId="172" fontId="31" fillId="0" borderId="0" xfId="0" applyFont="1" applyAlignment="1" applyProtection="1">
      <alignment horizontal="left"/>
      <protection locked="0"/>
    </xf>
    <xf numFmtId="172" fontId="123" fillId="0" borderId="0" xfId="4667" applyNumberFormat="1" applyFont="1" applyAlignment="1">
      <alignment horizontal="center"/>
    </xf>
    <xf numFmtId="172" fontId="123" fillId="0" borderId="0" xfId="4667" applyNumberFormat="1" applyFont="1" applyBorder="1" applyAlignment="1">
      <alignment horizontal="center"/>
    </xf>
    <xf numFmtId="172" fontId="123" fillId="0" borderId="3" xfId="4667" applyNumberFormat="1" applyFont="1" applyBorder="1" applyAlignment="1">
      <alignment horizontal="center"/>
    </xf>
    <xf numFmtId="172" fontId="123" fillId="0" borderId="52" xfId="4667" applyNumberFormat="1" applyFont="1" applyFill="1" applyBorder="1" applyAlignment="1">
      <alignment horizontal="center"/>
    </xf>
    <xf numFmtId="172" fontId="123" fillId="0" borderId="3" xfId="4667" applyNumberFormat="1" applyFont="1" applyFill="1" applyBorder="1" applyAlignment="1">
      <alignment horizontal="center"/>
    </xf>
    <xf numFmtId="172" fontId="123" fillId="0" borderId="53" xfId="4667" applyNumberFormat="1" applyFont="1" applyFill="1" applyBorder="1" applyAlignment="1">
      <alignment horizontal="center"/>
    </xf>
    <xf numFmtId="172" fontId="193" fillId="0" borderId="0" xfId="4667" applyNumberFormat="1" applyFont="1" applyAlignment="1">
      <alignment horizontal="center"/>
    </xf>
    <xf numFmtId="172" fontId="31" fillId="0" borderId="0" xfId="4667" applyNumberFormat="1" applyFont="1" applyBorder="1" applyAlignment="1">
      <alignment horizontal="center"/>
    </xf>
    <xf numFmtId="172" fontId="31" fillId="0" borderId="0" xfId="4667" applyNumberFormat="1" applyFont="1" applyFill="1" applyBorder="1" applyAlignment="1">
      <alignment horizontal="center"/>
    </xf>
    <xf numFmtId="172" fontId="31" fillId="0" borderId="38" xfId="4667" applyNumberFormat="1" applyFont="1" applyFill="1" applyBorder="1" applyAlignment="1">
      <alignment horizontal="center"/>
    </xf>
    <xf numFmtId="0" fontId="31" fillId="0" borderId="51" xfId="4352" quotePrefix="1" applyNumberFormat="1" applyFont="1" applyBorder="1" applyAlignment="1">
      <alignment horizontal="center"/>
    </xf>
    <xf numFmtId="0" fontId="31" fillId="0" borderId="4" xfId="4352" quotePrefix="1" applyNumberFormat="1" applyFont="1" applyBorder="1" applyAlignment="1">
      <alignment horizontal="center"/>
    </xf>
    <xf numFmtId="0" fontId="31" fillId="0" borderId="47" xfId="4352" quotePrefix="1" applyNumberFormat="1" applyFont="1" applyBorder="1" applyAlignment="1">
      <alignment horizontal="center"/>
    </xf>
    <xf numFmtId="172" fontId="31" fillId="0" borderId="0" xfId="4667" quotePrefix="1" applyNumberFormat="1" applyFont="1" applyFill="1" applyAlignment="1">
      <alignment horizontal="left" vertical="top" wrapText="1"/>
    </xf>
    <xf numFmtId="172" fontId="123" fillId="0" borderId="0" xfId="4667" applyNumberFormat="1" applyFont="1" applyFill="1" applyAlignment="1">
      <alignment horizontal="center"/>
    </xf>
    <xf numFmtId="172" fontId="123" fillId="0" borderId="0" xfId="4667" applyNumberFormat="1" applyFont="1" applyFill="1" applyAlignment="1">
      <alignment horizontal="left" vertical="top" wrapText="1"/>
    </xf>
    <xf numFmtId="172" fontId="31" fillId="0" borderId="0" xfId="4667" applyNumberFormat="1" applyFont="1" applyFill="1" applyAlignment="1">
      <alignment horizontal="left" vertical="top" wrapText="1"/>
    </xf>
    <xf numFmtId="172" fontId="123" fillId="0" borderId="0" xfId="4667" applyNumberFormat="1" applyFont="1" applyFill="1" applyAlignment="1">
      <alignment wrapText="1"/>
    </xf>
    <xf numFmtId="172" fontId="31" fillId="0" borderId="0" xfId="4667" applyNumberFormat="1" applyFont="1" applyFill="1" applyAlignment="1">
      <alignment wrapText="1"/>
    </xf>
    <xf numFmtId="172" fontId="182" fillId="0" borderId="0" xfId="0" applyFont="1" applyAlignment="1">
      <alignment horizontal="center"/>
    </xf>
    <xf numFmtId="0" fontId="196" fillId="0" borderId="0" xfId="4690" applyFont="1" applyAlignment="1">
      <alignment horizontal="center"/>
    </xf>
    <xf numFmtId="0" fontId="196" fillId="0" borderId="48" xfId="4690" applyFont="1" applyBorder="1" applyAlignment="1">
      <alignment horizontal="center" vertical="center"/>
    </xf>
    <xf numFmtId="0" fontId="196" fillId="0" borderId="15" xfId="4690" applyFont="1" applyBorder="1" applyAlignment="1">
      <alignment horizontal="center" vertical="center"/>
    </xf>
    <xf numFmtId="0" fontId="196" fillId="0" borderId="49" xfId="4690" applyFont="1" applyBorder="1" applyAlignment="1">
      <alignment horizontal="center" vertical="center"/>
    </xf>
    <xf numFmtId="49" fontId="196" fillId="0" borderId="0" xfId="4690" applyNumberFormat="1" applyFont="1" applyAlignment="1">
      <alignment horizontal="center"/>
    </xf>
    <xf numFmtId="0" fontId="196" fillId="0" borderId="51" xfId="4690" applyFont="1" applyBorder="1" applyAlignment="1">
      <alignment horizontal="center" vertical="center"/>
    </xf>
    <xf numFmtId="0" fontId="196" fillId="0" borderId="4" xfId="4690" applyFont="1" applyBorder="1" applyAlignment="1">
      <alignment horizontal="center" vertical="center"/>
    </xf>
    <xf numFmtId="0" fontId="196" fillId="0" borderId="47" xfId="4690" applyFont="1" applyBorder="1" applyAlignment="1">
      <alignment horizontal="center" vertical="center"/>
    </xf>
    <xf numFmtId="0" fontId="166" fillId="3" borderId="0" xfId="4671" applyFont="1" applyFill="1" applyAlignment="1">
      <alignment horizontal="center"/>
    </xf>
    <xf numFmtId="0" fontId="31" fillId="0" borderId="0" xfId="4671" applyFont="1" applyAlignment="1">
      <alignment horizontal="left"/>
    </xf>
    <xf numFmtId="0" fontId="166" fillId="3" borderId="0" xfId="5162" applyFont="1" applyFill="1" applyAlignment="1">
      <alignment horizontal="left"/>
    </xf>
    <xf numFmtId="0" fontId="31" fillId="0" borderId="0" xfId="0" applyNumberFormat="1" applyFont="1" applyAlignment="1" applyProtection="1">
      <protection locked="0"/>
    </xf>
  </cellXfs>
  <cellStyles count="518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85946F76-3ED3-48CC-AB49-8115A4F41EC9}"/>
    <cellStyle name="20% - Accent1 19 2 3" xfId="4702" xr:uid="{724909CE-8B0F-4278-9383-47FC1F1D7AE6}"/>
    <cellStyle name="20% - Accent1 19 3" xfId="217" xr:uid="{00000000-0005-0000-0000-00002F000000}"/>
    <cellStyle name="20% - Accent1 19 3 2" xfId="4704" xr:uid="{43491492-F5A2-4E5C-A036-53DC3BA59088}"/>
    <cellStyle name="20% - Accent1 19 4" xfId="4701" xr:uid="{B80B616D-8DCA-4D39-80A4-9A076AB975FD}"/>
    <cellStyle name="20% - Accent1 2" xfId="16" xr:uid="{00000000-0005-0000-0000-000030000000}"/>
    <cellStyle name="20% - Accent1 2 10" xfId="218" xr:uid="{00000000-0005-0000-0000-000031000000}"/>
    <cellStyle name="20% - Accent1 2 10 2" xfId="4705" xr:uid="{437909A2-7111-4990-95C8-31CED5B3A27F}"/>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F6E0E881-9D50-4B58-AA13-7D118D5ECE80}"/>
    <cellStyle name="20% - Accent1 2 2 2 3" xfId="4707" xr:uid="{F197A1ED-A499-4E6C-89BF-8B26AD6D49AE}"/>
    <cellStyle name="20% - Accent1 2 2 3" xfId="222" xr:uid="{00000000-0005-0000-0000-000035000000}"/>
    <cellStyle name="20% - Accent1 2 2 3 2" xfId="4709" xr:uid="{348F6FB7-231F-4EEE-949E-61044AB3084A}"/>
    <cellStyle name="20% - Accent1 2 2 4" xfId="4706" xr:uid="{A79FFF82-1EB9-4BB6-8CB8-9E1FCF3F9A7A}"/>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7F15DA20-4229-4150-AB9D-BC750F725FB6}"/>
    <cellStyle name="20% - Accent1 2 3 2 3" xfId="4711" xr:uid="{23B36E32-70CB-4447-9A2F-0D1B57F94D01}"/>
    <cellStyle name="20% - Accent1 2 3 3" xfId="226" xr:uid="{00000000-0005-0000-0000-000039000000}"/>
    <cellStyle name="20% - Accent1 2 3 3 2" xfId="4713" xr:uid="{A36E268C-DAC5-436F-AA88-E23BA1155B60}"/>
    <cellStyle name="20% - Accent1 2 3 4" xfId="4710" xr:uid="{1BE59EA1-5F25-4362-9B66-D3114EC4A1F3}"/>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8D877807-E29D-4966-A888-193C9814232E}"/>
    <cellStyle name="20% - Accent1 2 4 2 3" xfId="4715" xr:uid="{4CC23ED6-E9D8-445E-A440-F25818B24242}"/>
    <cellStyle name="20% - Accent1 2 4 3" xfId="230" xr:uid="{00000000-0005-0000-0000-00003D000000}"/>
    <cellStyle name="20% - Accent1 2 4 3 2" xfId="4717" xr:uid="{A225127E-2118-4B13-953C-00E89CE3140F}"/>
    <cellStyle name="20% - Accent1 2 4 4" xfId="4714" xr:uid="{969D5F81-A6F4-41A8-BFD0-55D7C407B604}"/>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84D89122-A0A5-4C15-A633-0874960668DE}"/>
    <cellStyle name="20% - Accent1 2 5 2 3" xfId="4719" xr:uid="{6051B89F-5210-4052-A925-4A278B70C447}"/>
    <cellStyle name="20% - Accent1 2 5 3" xfId="234" xr:uid="{00000000-0005-0000-0000-000041000000}"/>
    <cellStyle name="20% - Accent1 2 5 3 2" xfId="4721" xr:uid="{C9363C64-2EF9-4386-8FB6-86E515436C5C}"/>
    <cellStyle name="20% - Accent1 2 5 4" xfId="4718" xr:uid="{3B3C2C7E-E4F4-4686-8907-D5419D4A9751}"/>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A02F7D4C-649F-4A1C-8F56-13B56A0B8F3A}"/>
    <cellStyle name="20% - Accent1 2 6 2 3" xfId="4723" xr:uid="{9D5A190D-AB63-43AD-91DE-F994BFEB17B2}"/>
    <cellStyle name="20% - Accent1 2 6 3" xfId="238" xr:uid="{00000000-0005-0000-0000-000045000000}"/>
    <cellStyle name="20% - Accent1 2 6 3 2" xfId="4725" xr:uid="{D8B51228-20AA-4798-913E-D4E76ECC91A8}"/>
    <cellStyle name="20% - Accent1 2 6 4" xfId="4722" xr:uid="{FBD532E9-0081-4EB2-B074-FCC8156F4E2B}"/>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AD032760-C055-4C19-8004-A6C0C89202EB}"/>
    <cellStyle name="20% - Accent1 2 7 2 3" xfId="4727" xr:uid="{A38C1761-BCD3-4CDC-B710-A6636E318697}"/>
    <cellStyle name="20% - Accent1 2 7 3" xfId="242" xr:uid="{00000000-0005-0000-0000-000049000000}"/>
    <cellStyle name="20% - Accent1 2 7 3 2" xfId="4729" xr:uid="{31DE21E9-D75E-435C-B8AB-19BB34980568}"/>
    <cellStyle name="20% - Accent1 2 7 4" xfId="4726" xr:uid="{67BBEDD2-469F-4457-A7B3-15B52F841A36}"/>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3996D4F9-C3EB-4B1B-A6D9-F6623643CD7A}"/>
    <cellStyle name="20% - Accent1 2 8 2 3" xfId="4731" xr:uid="{896B2716-CBAE-474D-9B03-B942425BB1F3}"/>
    <cellStyle name="20% - Accent1 2 8 3" xfId="246" xr:uid="{00000000-0005-0000-0000-00004D000000}"/>
    <cellStyle name="20% - Accent1 2 8 3 2" xfId="4733" xr:uid="{84FFD27C-2620-4009-BF0D-799F87138D5E}"/>
    <cellStyle name="20% - Accent1 2 8 4" xfId="4730" xr:uid="{1C90D8A7-33B3-4EF4-823F-E4087D3C6D56}"/>
    <cellStyle name="20% - Accent1 2 9" xfId="247" xr:uid="{00000000-0005-0000-0000-00004E000000}"/>
    <cellStyle name="20% - Accent1 2 9 2" xfId="248" xr:uid="{00000000-0005-0000-0000-00004F000000}"/>
    <cellStyle name="20% - Accent1 2 9 2 2" xfId="4735" xr:uid="{6A4D56D9-C582-48C2-BD9F-F4974B01D4FD}"/>
    <cellStyle name="20% - Accent1 2 9 3" xfId="4734" xr:uid="{63D71693-04C0-488C-8E2C-40E9F1EEBB07}"/>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69695ACF-F31E-4F0B-AFF1-534287989DE7}"/>
    <cellStyle name="20% - Accent2 19 2 3" xfId="4737" xr:uid="{B7B8B24E-3508-47FE-BC94-3E38492F8AAC}"/>
    <cellStyle name="20% - Accent2 19 3" xfId="268" xr:uid="{00000000-0005-0000-0000-000063000000}"/>
    <cellStyle name="20% - Accent2 19 3 2" xfId="4739" xr:uid="{140A2223-C01D-4BC8-830E-B270176FB29D}"/>
    <cellStyle name="20% - Accent2 19 4" xfId="4736" xr:uid="{5127CF32-B2C8-4F6B-BD1E-2817780025C4}"/>
    <cellStyle name="20% - Accent2 2" xfId="17" xr:uid="{00000000-0005-0000-0000-000064000000}"/>
    <cellStyle name="20% - Accent2 2 10" xfId="269" xr:uid="{00000000-0005-0000-0000-000065000000}"/>
    <cellStyle name="20% - Accent2 2 10 2" xfId="4740" xr:uid="{D8D3F515-7700-4904-8ED5-871D9CE57370}"/>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BF6D7E00-824B-4F84-AC89-2AAD03B414D8}"/>
    <cellStyle name="20% - Accent2 2 2 2 3" xfId="4742" xr:uid="{2DA3E2B6-7E9F-4696-8155-1C8D8E3A477C}"/>
    <cellStyle name="20% - Accent2 2 2 3" xfId="273" xr:uid="{00000000-0005-0000-0000-000069000000}"/>
    <cellStyle name="20% - Accent2 2 2 3 2" xfId="4744" xr:uid="{7092A384-D417-47EB-B976-6CE55800C42E}"/>
    <cellStyle name="20% - Accent2 2 2 4" xfId="4741" xr:uid="{A9240343-C545-4E84-B215-14A69B3415B4}"/>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4F62578D-1841-4AC2-A882-0BF047EE5323}"/>
    <cellStyle name="20% - Accent2 2 3 2 3" xfId="4746" xr:uid="{6FB6F072-18A0-48B5-9CC1-D5ABFF5F4AD1}"/>
    <cellStyle name="20% - Accent2 2 3 3" xfId="277" xr:uid="{00000000-0005-0000-0000-00006D000000}"/>
    <cellStyle name="20% - Accent2 2 3 3 2" xfId="4748" xr:uid="{3E7C4F46-7FCF-4EA7-AD33-E63B530641CA}"/>
    <cellStyle name="20% - Accent2 2 3 4" xfId="4745" xr:uid="{22522E15-FA43-411D-99EA-762D82D3F8C6}"/>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BA45000F-C18E-4C8A-8ABF-BE9110293CCF}"/>
    <cellStyle name="20% - Accent2 2 4 2 3" xfId="4750" xr:uid="{37633C10-6C79-44A3-84A5-9EB8C7AAA18B}"/>
    <cellStyle name="20% - Accent2 2 4 3" xfId="281" xr:uid="{00000000-0005-0000-0000-000071000000}"/>
    <cellStyle name="20% - Accent2 2 4 3 2" xfId="4752" xr:uid="{B03E03D4-BA77-45FB-A96B-4FD290A9286F}"/>
    <cellStyle name="20% - Accent2 2 4 4" xfId="4749" xr:uid="{59323224-2DA0-4664-AD28-013735F47624}"/>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7616D59-0061-4943-BBF9-7C850D468897}"/>
    <cellStyle name="20% - Accent2 2 5 2 3" xfId="4754" xr:uid="{6C087E6C-0914-4748-B151-C8EAF401BA68}"/>
    <cellStyle name="20% - Accent2 2 5 3" xfId="285" xr:uid="{00000000-0005-0000-0000-000075000000}"/>
    <cellStyle name="20% - Accent2 2 5 3 2" xfId="4756" xr:uid="{F461AAA1-48B5-4123-B4BD-8E96B720CE37}"/>
    <cellStyle name="20% - Accent2 2 5 4" xfId="4753" xr:uid="{C5B22D8D-DA62-46DE-B41A-AC02427A9193}"/>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D8A8F99C-3E5C-4849-88B4-0510C6F33DDA}"/>
    <cellStyle name="20% - Accent2 2 6 2 3" xfId="4758" xr:uid="{055C637A-6AFD-4DE1-8A07-52BBB78362BB}"/>
    <cellStyle name="20% - Accent2 2 6 3" xfId="289" xr:uid="{00000000-0005-0000-0000-000079000000}"/>
    <cellStyle name="20% - Accent2 2 6 3 2" xfId="4760" xr:uid="{D17C2E0B-4410-4D10-A2CC-0352A4EA0732}"/>
    <cellStyle name="20% - Accent2 2 6 4" xfId="4757" xr:uid="{E85D8347-5C6C-4537-9D3A-995D3ED90D2D}"/>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1128328F-8AB8-4289-93EF-75A769EDB618}"/>
    <cellStyle name="20% - Accent2 2 7 2 3" xfId="4762" xr:uid="{6C8CD7E0-DF2D-4163-A9C9-0C64FBC9BBF5}"/>
    <cellStyle name="20% - Accent2 2 7 3" xfId="293" xr:uid="{00000000-0005-0000-0000-00007D000000}"/>
    <cellStyle name="20% - Accent2 2 7 3 2" xfId="4764" xr:uid="{B7795469-C7EE-4796-BA93-EA4B71E1FAF5}"/>
    <cellStyle name="20% - Accent2 2 7 4" xfId="4761" xr:uid="{0FB71D96-2D28-423C-85F8-7F82E7EDCB6D}"/>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3A973280-F6EA-468E-9E65-9A480A78826F}"/>
    <cellStyle name="20% - Accent2 2 8 2 3" xfId="4766" xr:uid="{B1F87DB7-A2E3-46EE-B2B5-1BFDE16DB45A}"/>
    <cellStyle name="20% - Accent2 2 8 3" xfId="297" xr:uid="{00000000-0005-0000-0000-000081000000}"/>
    <cellStyle name="20% - Accent2 2 8 3 2" xfId="4768" xr:uid="{530D54D9-CD39-405F-92E7-7F934174FAC4}"/>
    <cellStyle name="20% - Accent2 2 8 4" xfId="4765" xr:uid="{1ADDF328-7882-402C-B36B-1CAF051C44FF}"/>
    <cellStyle name="20% - Accent2 2 9" xfId="298" xr:uid="{00000000-0005-0000-0000-000082000000}"/>
    <cellStyle name="20% - Accent2 2 9 2" xfId="299" xr:uid="{00000000-0005-0000-0000-000083000000}"/>
    <cellStyle name="20% - Accent2 2 9 2 2" xfId="4770" xr:uid="{61C04F95-208B-4F76-B877-2DC0AFE6059C}"/>
    <cellStyle name="20% - Accent2 2 9 3" xfId="4769" xr:uid="{3A982FC5-34A4-4E7D-9CDE-8F7832033FDD}"/>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50BC50D5-32DA-4FE5-940F-C12DB6F74904}"/>
    <cellStyle name="20% - Accent3 2 2 2 3" xfId="4772" xr:uid="{9DBB3CD9-4D05-4EBA-B34A-550E1981BF0E}"/>
    <cellStyle name="20% - Accent3 2 2 3" xfId="319" xr:uid="{00000000-0005-0000-0000-000098000000}"/>
    <cellStyle name="20% - Accent3 2 2 3 2" xfId="4774" xr:uid="{3E44D564-4AC9-4674-B9BA-C3F6655E4B03}"/>
    <cellStyle name="20% - Accent3 2 2 4" xfId="4771" xr:uid="{248B3E91-6E54-4A0D-893A-0EBAFE932832}"/>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BF097AF-7EA4-4E50-BDE5-C88867950F8B}"/>
    <cellStyle name="20% - Accent3 2 3 2 3" xfId="4776" xr:uid="{F6E100B9-4DA8-4A48-870D-AEE3E967AC65}"/>
    <cellStyle name="20% - Accent3 2 3 3" xfId="323" xr:uid="{00000000-0005-0000-0000-00009C000000}"/>
    <cellStyle name="20% - Accent3 2 3 3 2" xfId="4778" xr:uid="{9B7B9CF5-929F-41BE-9E3E-7678E1F9E6BC}"/>
    <cellStyle name="20% - Accent3 2 3 4" xfId="4775" xr:uid="{2FCEAE5E-615B-4E90-A977-ACD767F906F2}"/>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60F3D917-CC36-470E-BCFE-EA01C9590860}"/>
    <cellStyle name="20% - Accent3 2 4 2 3" xfId="4780" xr:uid="{4DBC2570-8266-4ADB-B250-3175D3345FC6}"/>
    <cellStyle name="20% - Accent3 2 4 3" xfId="327" xr:uid="{00000000-0005-0000-0000-0000A0000000}"/>
    <cellStyle name="20% - Accent3 2 4 3 2" xfId="4782" xr:uid="{1597D91A-8256-4D66-8D20-4BD64EB438D5}"/>
    <cellStyle name="20% - Accent3 2 4 4" xfId="4779" xr:uid="{9A7F36AB-A856-4472-9BE7-20CCA4988F6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6138AA75-9A08-477B-B53A-978B16EC6E71}"/>
    <cellStyle name="20% - Accent3 2 5 2 3" xfId="4784" xr:uid="{896F20C3-8061-4EEE-9CEB-1D7D0DE0479B}"/>
    <cellStyle name="20% - Accent3 2 5 3" xfId="331" xr:uid="{00000000-0005-0000-0000-0000A4000000}"/>
    <cellStyle name="20% - Accent3 2 5 3 2" xfId="4786" xr:uid="{15F6BE7D-C6B8-4F18-9BB0-51DB002E0AE5}"/>
    <cellStyle name="20% - Accent3 2 5 4" xfId="4783" xr:uid="{6F930B64-73CA-47FE-9B2B-97100629680D}"/>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CD2B050E-7259-4E62-BCEE-DB4CE3511CFB}"/>
    <cellStyle name="20% - Accent3 2 6 2 3" xfId="4788" xr:uid="{36624E44-F13B-4DA5-B263-8232D5C6CB34}"/>
    <cellStyle name="20% - Accent3 2 6 3" xfId="335" xr:uid="{00000000-0005-0000-0000-0000A8000000}"/>
    <cellStyle name="20% - Accent3 2 6 3 2" xfId="4790" xr:uid="{D3BC3C82-0D45-4380-8173-B9B0634FB01F}"/>
    <cellStyle name="20% - Accent3 2 6 4" xfId="4787" xr:uid="{7F5BA790-B6BD-4A4F-8E2A-C7E1032A352A}"/>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EA4A5F92-2DB4-4E22-A185-98DE07860587}"/>
    <cellStyle name="20% - Accent3 2 7 2 3" xfId="4792" xr:uid="{FCC6258F-92DA-4C0D-8701-D69F95C388A9}"/>
    <cellStyle name="20% - Accent3 2 7 3" xfId="339" xr:uid="{00000000-0005-0000-0000-0000AC000000}"/>
    <cellStyle name="20% - Accent3 2 7 3 2" xfId="4794" xr:uid="{EA22A8E8-6A5F-4DFE-A2C6-84109CC6F9CC}"/>
    <cellStyle name="20% - Accent3 2 7 4" xfId="4791" xr:uid="{BD0A883A-19A3-458F-BBA8-1AFC1B410448}"/>
    <cellStyle name="20% - Accent3 2 8" xfId="340" xr:uid="{00000000-0005-0000-0000-0000AD000000}"/>
    <cellStyle name="20% - Accent3 2 8 2" xfId="341" xr:uid="{00000000-0005-0000-0000-0000AE000000}"/>
    <cellStyle name="20% - Accent3 2 8 2 2" xfId="4796" xr:uid="{6A783D1A-E0F6-40FA-B901-8025F81EA862}"/>
    <cellStyle name="20% - Accent3 2 8 3" xfId="4795" xr:uid="{EF7E4D2D-DB1D-43C8-8510-D11545EE7608}"/>
    <cellStyle name="20% - Accent3 2 9" xfId="342" xr:uid="{00000000-0005-0000-0000-0000AF000000}"/>
    <cellStyle name="20% - Accent3 2 9 2" xfId="4797" xr:uid="{4529ABE1-AD4C-4BF5-9F2E-187FF7C20A0F}"/>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6530449F-BDE9-4A6B-A43E-91771A790666}"/>
    <cellStyle name="20% - Accent4 2 2 2 3" xfId="4799" xr:uid="{A675BBC9-8BB5-49FD-9388-5CD8536BA11D}"/>
    <cellStyle name="20% - Accent4 2 2 3" xfId="362" xr:uid="{00000000-0005-0000-0000-0000C4000000}"/>
    <cellStyle name="20% - Accent4 2 2 3 2" xfId="4801" xr:uid="{BA1D2E6E-D853-446D-85BB-DB604C6FF033}"/>
    <cellStyle name="20% - Accent4 2 2 4" xfId="4798" xr:uid="{E0BBE167-9E42-43A6-A913-89F5D8AC8432}"/>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E7B73D7B-A365-41E1-A2D4-7429E4797895}"/>
    <cellStyle name="20% - Accent4 2 3 2 3" xfId="4803" xr:uid="{B389C8DA-BDA7-4197-8CD6-4EC1C76581E4}"/>
    <cellStyle name="20% - Accent4 2 3 3" xfId="366" xr:uid="{00000000-0005-0000-0000-0000C8000000}"/>
    <cellStyle name="20% - Accent4 2 3 3 2" xfId="4805" xr:uid="{A9C9C06D-4623-4693-B514-F94A743ABF1C}"/>
    <cellStyle name="20% - Accent4 2 3 4" xfId="4802" xr:uid="{2D835BCA-3CB6-4380-B255-7420CE4C2795}"/>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F0A19D02-E7AB-4842-BCF6-D90B2ADCC6F0}"/>
    <cellStyle name="20% - Accent4 2 4 2 3" xfId="4807" xr:uid="{00372D5A-1ED4-4D5F-A282-AF4E6B23FA40}"/>
    <cellStyle name="20% - Accent4 2 4 3" xfId="370" xr:uid="{00000000-0005-0000-0000-0000CC000000}"/>
    <cellStyle name="20% - Accent4 2 4 3 2" xfId="4809" xr:uid="{EA0D5610-E151-4DF8-8FC7-05A8A03D5682}"/>
    <cellStyle name="20% - Accent4 2 4 4" xfId="4806" xr:uid="{F6B22A2D-129F-483D-958B-D830E3D7F33D}"/>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52962977-1352-463C-8571-AC4614689282}"/>
    <cellStyle name="20% - Accent4 2 5 2 3" xfId="4811" xr:uid="{88C99350-5028-41FD-938E-0E7B5F883A73}"/>
    <cellStyle name="20% - Accent4 2 5 3" xfId="374" xr:uid="{00000000-0005-0000-0000-0000D0000000}"/>
    <cellStyle name="20% - Accent4 2 5 3 2" xfId="4813" xr:uid="{586B5DBF-AE67-43EA-85C2-E1ABB4767310}"/>
    <cellStyle name="20% - Accent4 2 5 4" xfId="4810" xr:uid="{04D81973-2048-4DD3-92EC-128F6849A072}"/>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58154072-EF22-450F-8158-BD905BF04937}"/>
    <cellStyle name="20% - Accent4 2 6 2 3" xfId="4815" xr:uid="{AFB21A5D-630D-42E4-84F7-6B6297212F6C}"/>
    <cellStyle name="20% - Accent4 2 6 3" xfId="378" xr:uid="{00000000-0005-0000-0000-0000D4000000}"/>
    <cellStyle name="20% - Accent4 2 6 3 2" xfId="4817" xr:uid="{1907B7F4-1E41-41EA-9AA7-D07FBC4F0DCD}"/>
    <cellStyle name="20% - Accent4 2 6 4" xfId="4814" xr:uid="{5B52D382-4F45-40A2-8611-35B01F72047C}"/>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BBF99857-2D66-4D42-B660-6F1884E69027}"/>
    <cellStyle name="20% - Accent4 2 7 2 3" xfId="4819" xr:uid="{DA48E59C-F34A-4FC6-9F39-152BAE5CBC3D}"/>
    <cellStyle name="20% - Accent4 2 7 3" xfId="382" xr:uid="{00000000-0005-0000-0000-0000D8000000}"/>
    <cellStyle name="20% - Accent4 2 7 3 2" xfId="4821" xr:uid="{5AFB4B1C-07AE-4B25-9A98-E68F7AE83AB9}"/>
    <cellStyle name="20% - Accent4 2 7 4" xfId="4818" xr:uid="{96CD29C8-F99D-4DB5-8CF5-0A4B01DEDF59}"/>
    <cellStyle name="20% - Accent4 2 8" xfId="383" xr:uid="{00000000-0005-0000-0000-0000D9000000}"/>
    <cellStyle name="20% - Accent4 2 8 2" xfId="384" xr:uid="{00000000-0005-0000-0000-0000DA000000}"/>
    <cellStyle name="20% - Accent4 2 8 2 2" xfId="4823" xr:uid="{FE932C3B-F01F-4D8B-B32C-76DDBEDF7BBE}"/>
    <cellStyle name="20% - Accent4 2 8 3" xfId="4822" xr:uid="{660088B2-E498-4555-9B3D-D51CE69E7441}"/>
    <cellStyle name="20% - Accent4 2 9" xfId="385" xr:uid="{00000000-0005-0000-0000-0000DB000000}"/>
    <cellStyle name="20% - Accent4 2 9 2" xfId="4824" xr:uid="{3B38D1F5-5072-4C6F-B4BB-E387C229C21F}"/>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37BDB5D7-6763-4C18-A99D-5E57625EE046}"/>
    <cellStyle name="20% - Accent5 2 2 2 3" xfId="4826" xr:uid="{D48A923A-6A13-4780-8BE2-F10A1AACAD97}"/>
    <cellStyle name="20% - Accent5 2 2 3" xfId="405" xr:uid="{00000000-0005-0000-0000-0000F0000000}"/>
    <cellStyle name="20% - Accent5 2 2 3 2" xfId="4828" xr:uid="{F52895AB-F82D-4E3C-8BEA-DB288E1D18D9}"/>
    <cellStyle name="20% - Accent5 2 2 4" xfId="4825" xr:uid="{92A39902-166F-461A-A5B3-749C667C7C03}"/>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3957F1CA-56CE-4F76-87FF-F48D585BD06E}"/>
    <cellStyle name="20% - Accent5 2 3 2 3" xfId="4830" xr:uid="{0B0B4C80-D71B-40CD-9D66-E4BF6438AB06}"/>
    <cellStyle name="20% - Accent5 2 3 3" xfId="409" xr:uid="{00000000-0005-0000-0000-0000F4000000}"/>
    <cellStyle name="20% - Accent5 2 3 3 2" xfId="4832" xr:uid="{C3C12FDD-CE9D-42A9-93BB-29D722896D45}"/>
    <cellStyle name="20% - Accent5 2 3 4" xfId="4829" xr:uid="{2B4AD027-2614-40EF-9756-D6CDB3665F7A}"/>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62DF7E49-A08A-4376-8E0B-BF8D2CEEF9AD}"/>
    <cellStyle name="20% - Accent5 2 4 2 3" xfId="4834" xr:uid="{5AC56937-C2EF-4063-9726-8DE7235DEE85}"/>
    <cellStyle name="20% - Accent5 2 4 3" xfId="413" xr:uid="{00000000-0005-0000-0000-0000F8000000}"/>
    <cellStyle name="20% - Accent5 2 4 3 2" xfId="4836" xr:uid="{845D9029-061F-46C1-AFA0-AA53DB191C6C}"/>
    <cellStyle name="20% - Accent5 2 4 4" xfId="4833" xr:uid="{074240AF-0AEA-4C70-87E9-4569D8396F9D}"/>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2045B261-51FA-409E-BF2B-1D0638ACC3B6}"/>
    <cellStyle name="20% - Accent5 2 5 2 3" xfId="4838" xr:uid="{43E7F002-6B92-4200-8C93-A0EC151E2668}"/>
    <cellStyle name="20% - Accent5 2 5 3" xfId="417" xr:uid="{00000000-0005-0000-0000-0000FC000000}"/>
    <cellStyle name="20% - Accent5 2 5 3 2" xfId="4840" xr:uid="{73371364-BE1B-4DC1-ACF3-39EE6C589F40}"/>
    <cellStyle name="20% - Accent5 2 5 4" xfId="4837" xr:uid="{89E86BC6-CF45-4A32-A40E-97669A2629E6}"/>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949E4C19-EE63-4FBB-93FE-BB2BC761EC19}"/>
    <cellStyle name="20% - Accent5 2 6 2 3" xfId="4842" xr:uid="{DEC44CC0-85AD-4913-872C-3407E1FDC8A7}"/>
    <cellStyle name="20% - Accent5 2 6 3" xfId="421" xr:uid="{00000000-0005-0000-0000-000000010000}"/>
    <cellStyle name="20% - Accent5 2 6 3 2" xfId="4844" xr:uid="{5A5A1BEC-B06C-4477-A9BA-CC9E40A45406}"/>
    <cellStyle name="20% - Accent5 2 6 4" xfId="4841" xr:uid="{6799D40F-7E00-49F0-8394-858939B9FA11}"/>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4A6DA917-E105-4819-A459-2BCBCE055E6F}"/>
    <cellStyle name="20% - Accent5 2 7 2 3" xfId="4846" xr:uid="{B3CE0A23-76B8-4819-8561-7C0F4C3C3F30}"/>
    <cellStyle name="20% - Accent5 2 7 3" xfId="425" xr:uid="{00000000-0005-0000-0000-000004010000}"/>
    <cellStyle name="20% - Accent5 2 7 3 2" xfId="4848" xr:uid="{940462B3-8F73-4DFA-95C3-EDDF188B25ED}"/>
    <cellStyle name="20% - Accent5 2 7 4" xfId="4845" xr:uid="{4325E40D-5027-44AE-9171-CA175F5CD06D}"/>
    <cellStyle name="20% - Accent5 2 8" xfId="426" xr:uid="{00000000-0005-0000-0000-000005010000}"/>
    <cellStyle name="20% - Accent5 2 8 2" xfId="427" xr:uid="{00000000-0005-0000-0000-000006010000}"/>
    <cellStyle name="20% - Accent5 2 8 2 2" xfId="4850" xr:uid="{FFC7A269-1C23-4E7A-8DAB-0EC4ACA4649D}"/>
    <cellStyle name="20% - Accent5 2 8 3" xfId="4849" xr:uid="{B416421D-64D5-4334-8F61-E7A6F47BCE85}"/>
    <cellStyle name="20% - Accent5 2 9" xfId="428" xr:uid="{00000000-0005-0000-0000-000007010000}"/>
    <cellStyle name="20% - Accent5 2 9 2" xfId="4851" xr:uid="{DDA94009-68F6-447C-A2BB-A096F6A6E027}"/>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0CE44917-10D3-42DA-9DD4-F80133960DB6}"/>
    <cellStyle name="20% - Accent6 2 2 2 3" xfId="4853" xr:uid="{04B14022-AA3B-40FE-A3FE-73950FE12610}"/>
    <cellStyle name="20% - Accent6 2 2 3" xfId="448" xr:uid="{00000000-0005-0000-0000-00001C010000}"/>
    <cellStyle name="20% - Accent6 2 2 3 2" xfId="4855" xr:uid="{07F3F0DD-256F-441A-8F9D-E4B4D415A160}"/>
    <cellStyle name="20% - Accent6 2 2 4" xfId="4852" xr:uid="{E963383C-5D3B-4402-BBEA-F46BA5DED8E0}"/>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A5532090-0058-446D-9D1A-1A619D264E25}"/>
    <cellStyle name="20% - Accent6 2 3 2 3" xfId="4857" xr:uid="{EF558C40-4ECC-4675-93C9-CB679A3BCFFB}"/>
    <cellStyle name="20% - Accent6 2 3 3" xfId="452" xr:uid="{00000000-0005-0000-0000-000020010000}"/>
    <cellStyle name="20% - Accent6 2 3 3 2" xfId="4859" xr:uid="{732CE40A-5F43-4F9F-B21D-C362E2560138}"/>
    <cellStyle name="20% - Accent6 2 3 4" xfId="4856" xr:uid="{22758D2B-B4E2-4030-A365-C5CBB80C1992}"/>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EFFCF9C3-8BE1-4D49-B0A2-18156FBF5677}"/>
    <cellStyle name="20% - Accent6 2 4 2 3" xfId="4861" xr:uid="{5ECE9B23-9186-443B-B27C-BD0B0B35437F}"/>
    <cellStyle name="20% - Accent6 2 4 3" xfId="456" xr:uid="{00000000-0005-0000-0000-000024010000}"/>
    <cellStyle name="20% - Accent6 2 4 3 2" xfId="4863" xr:uid="{255554CB-1F81-4AC7-BA11-399B877A0316}"/>
    <cellStyle name="20% - Accent6 2 4 4" xfId="4860" xr:uid="{E4B5A96D-EEEF-4591-B164-235DF989903C}"/>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7A09FDC8-DC65-4BF6-B838-9F2B7A107A17}"/>
    <cellStyle name="20% - Accent6 2 5 2 3" xfId="4865" xr:uid="{51615C7C-7F26-4D1D-9FD0-9E733AEC43D7}"/>
    <cellStyle name="20% - Accent6 2 5 3" xfId="460" xr:uid="{00000000-0005-0000-0000-000028010000}"/>
    <cellStyle name="20% - Accent6 2 5 3 2" xfId="4867" xr:uid="{04003BE4-A5A5-48D1-BE61-17BE6688037F}"/>
    <cellStyle name="20% - Accent6 2 5 4" xfId="4864" xr:uid="{06446BA7-F14E-40D0-82A5-1B37C18E9E6C}"/>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6821F091-C242-46A9-A0CF-A788C055A9AE}"/>
    <cellStyle name="20% - Accent6 2 6 2 3" xfId="4869" xr:uid="{9B54CBF9-A08C-4AA9-B5D4-D6C06B76E7B8}"/>
    <cellStyle name="20% - Accent6 2 6 3" xfId="464" xr:uid="{00000000-0005-0000-0000-00002C010000}"/>
    <cellStyle name="20% - Accent6 2 6 3 2" xfId="4871" xr:uid="{AFC900B8-86A5-4E48-9740-626E0DD0903B}"/>
    <cellStyle name="20% - Accent6 2 6 4" xfId="4868" xr:uid="{B2E90EB9-BEF0-49F9-ACE4-F47194371ABC}"/>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AF1A68D1-6657-4697-95D3-A9DA9F4437C6}"/>
    <cellStyle name="20% - Accent6 2 7 2 3" xfId="4873" xr:uid="{6E646F07-706A-4403-9717-8055E9C17166}"/>
    <cellStyle name="20% - Accent6 2 7 3" xfId="468" xr:uid="{00000000-0005-0000-0000-000030010000}"/>
    <cellStyle name="20% - Accent6 2 7 3 2" xfId="4875" xr:uid="{3FBD57EB-671B-47D0-9CA4-35A99ACDD557}"/>
    <cellStyle name="20% - Accent6 2 7 4" xfId="4872" xr:uid="{6A60BAAC-1F5F-44E6-AD58-9D006BB9AF96}"/>
    <cellStyle name="20% - Accent6 2 8" xfId="469" xr:uid="{00000000-0005-0000-0000-000031010000}"/>
    <cellStyle name="20% - Accent6 2 8 2" xfId="470" xr:uid="{00000000-0005-0000-0000-000032010000}"/>
    <cellStyle name="20% - Accent6 2 8 2 2" xfId="4877" xr:uid="{156CFBAE-826C-440F-8BB1-E38F82E3D0BD}"/>
    <cellStyle name="20% - Accent6 2 8 3" xfId="4876" xr:uid="{93CBAD9D-D8AC-4A47-9957-A25BC2CC85D2}"/>
    <cellStyle name="20% - Accent6 2 9" xfId="471" xr:uid="{00000000-0005-0000-0000-000033010000}"/>
    <cellStyle name="20% - Accent6 2 9 2" xfId="4878" xr:uid="{E153714D-D5A3-4512-BA42-C94CE27C9BCB}"/>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C4F3065B-B5C2-4788-8C11-12BC14530EED}"/>
    <cellStyle name="40% - Accent1 2 2 2 3" xfId="4880" xr:uid="{460C3BE4-553E-4837-9491-0F8C0716BE14}"/>
    <cellStyle name="40% - Accent1 2 2 3" xfId="491" xr:uid="{00000000-0005-0000-0000-000048010000}"/>
    <cellStyle name="40% - Accent1 2 2 3 2" xfId="4882" xr:uid="{28BB71C3-B886-43E0-AC69-FA516FB05494}"/>
    <cellStyle name="40% - Accent1 2 2 4" xfId="4879" xr:uid="{7653035C-C8A4-4E78-90EF-20DAD091A799}"/>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5BE4CE43-B5CF-4498-8D10-DDA248875721}"/>
    <cellStyle name="40% - Accent1 2 3 2 3" xfId="4884" xr:uid="{9A78F4BC-18E3-427D-84CB-DA1BF8D94A55}"/>
    <cellStyle name="40% - Accent1 2 3 3" xfId="495" xr:uid="{00000000-0005-0000-0000-00004C010000}"/>
    <cellStyle name="40% - Accent1 2 3 3 2" xfId="4886" xr:uid="{E9A87C54-80EB-48AE-9096-E64F00B9330A}"/>
    <cellStyle name="40% - Accent1 2 3 4" xfId="4883" xr:uid="{EBC09606-6E49-40E6-9082-0D93C0DA49B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21DC47C7-4D20-49FD-8599-0304F6038176}"/>
    <cellStyle name="40% - Accent1 2 4 2 3" xfId="4888" xr:uid="{A5BB366D-29CD-4588-9F10-AA1B785943F6}"/>
    <cellStyle name="40% - Accent1 2 4 3" xfId="499" xr:uid="{00000000-0005-0000-0000-000050010000}"/>
    <cellStyle name="40% - Accent1 2 4 3 2" xfId="4890" xr:uid="{B33C86B6-35D0-45C5-A559-CA2B38AF7298}"/>
    <cellStyle name="40% - Accent1 2 4 4" xfId="4887" xr:uid="{23C1B0C3-ED09-4C36-85E4-8204813AA108}"/>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B6E293F1-F24E-4376-992F-D96CA679A905}"/>
    <cellStyle name="40% - Accent1 2 5 2 3" xfId="4892" xr:uid="{128E00AD-BA6B-4729-8941-099AFDB76A0C}"/>
    <cellStyle name="40% - Accent1 2 5 3" xfId="503" xr:uid="{00000000-0005-0000-0000-000054010000}"/>
    <cellStyle name="40% - Accent1 2 5 3 2" xfId="4894" xr:uid="{8A5F4C78-663F-4712-847B-312D0AEDA656}"/>
    <cellStyle name="40% - Accent1 2 5 4" xfId="4891" xr:uid="{4317FB7A-D08F-471F-A40D-4372FE23C9CD}"/>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C6C73FB6-A33C-4E8F-952B-2B23BB73693B}"/>
    <cellStyle name="40% - Accent1 2 6 2 3" xfId="4896" xr:uid="{950BBDFE-EF5A-4B8D-B08F-E3F485B69C4A}"/>
    <cellStyle name="40% - Accent1 2 6 3" xfId="507" xr:uid="{00000000-0005-0000-0000-000058010000}"/>
    <cellStyle name="40% - Accent1 2 6 3 2" xfId="4898" xr:uid="{C5438585-3059-4621-B726-6A202D3E4BCD}"/>
    <cellStyle name="40% - Accent1 2 6 4" xfId="4895" xr:uid="{CA108C66-5589-4F32-BA06-08EF5C404FC8}"/>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8F19D88-F1B3-4BBD-B331-ABD1693DF77D}"/>
    <cellStyle name="40% - Accent1 2 7 2 3" xfId="4900" xr:uid="{D7F3E3FD-269C-4EAA-8109-1E6C527CE7B3}"/>
    <cellStyle name="40% - Accent1 2 7 3" xfId="511" xr:uid="{00000000-0005-0000-0000-00005C010000}"/>
    <cellStyle name="40% - Accent1 2 7 3 2" xfId="4902" xr:uid="{199C869E-3347-4DED-A20B-5E54805023F8}"/>
    <cellStyle name="40% - Accent1 2 7 4" xfId="4899" xr:uid="{7734CF53-D37E-4583-8FE8-903627D52123}"/>
    <cellStyle name="40% - Accent1 2 8" xfId="512" xr:uid="{00000000-0005-0000-0000-00005D010000}"/>
    <cellStyle name="40% - Accent1 2 8 2" xfId="513" xr:uid="{00000000-0005-0000-0000-00005E010000}"/>
    <cellStyle name="40% - Accent1 2 8 2 2" xfId="4904" xr:uid="{5A9FE670-9434-4EE5-8DAC-59B32EDD7DF5}"/>
    <cellStyle name="40% - Accent1 2 8 3" xfId="4903" xr:uid="{9372A356-6D34-43A0-8CAA-430417BD0D00}"/>
    <cellStyle name="40% - Accent1 2 9" xfId="514" xr:uid="{00000000-0005-0000-0000-00005F010000}"/>
    <cellStyle name="40% - Accent1 2 9 2" xfId="4905" xr:uid="{457A3A5D-684D-4ECF-B158-D54350B8D48D}"/>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90057C7A-F5EF-4031-A456-5A99B89D69BA}"/>
    <cellStyle name="40% - Accent2 2 2 2 3" xfId="4907" xr:uid="{946A01A9-1BE3-4874-9EA4-D9D3EC54132E}"/>
    <cellStyle name="40% - Accent2 2 2 3" xfId="534" xr:uid="{00000000-0005-0000-0000-000074010000}"/>
    <cellStyle name="40% - Accent2 2 2 3 2" xfId="4909" xr:uid="{9F93411C-D5A6-4A11-A292-64FDD13E8EC9}"/>
    <cellStyle name="40% - Accent2 2 2 4" xfId="4906" xr:uid="{7A29301A-BFF0-4405-BA48-8A9228E84E8D}"/>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E839D467-DEF8-4ACD-AC63-1A81CAD27560}"/>
    <cellStyle name="40% - Accent2 2 3 2 3" xfId="4911" xr:uid="{36EAC3A9-DC95-44B0-A6F2-44BD90699C46}"/>
    <cellStyle name="40% - Accent2 2 3 3" xfId="538" xr:uid="{00000000-0005-0000-0000-000078010000}"/>
    <cellStyle name="40% - Accent2 2 3 3 2" xfId="4913" xr:uid="{2243DDCC-2CC8-4ABC-A4EE-1A3EDA3F4633}"/>
    <cellStyle name="40% - Accent2 2 3 4" xfId="4910" xr:uid="{DA15847C-ECCB-4DE1-A44A-FBDA8FB7648B}"/>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842CAE32-6FC2-41CD-99DA-CC1B8A964B28}"/>
    <cellStyle name="40% - Accent2 2 4 2 3" xfId="4915" xr:uid="{35BE8109-154F-4894-AFA4-747647220D84}"/>
    <cellStyle name="40% - Accent2 2 4 3" xfId="542" xr:uid="{00000000-0005-0000-0000-00007C010000}"/>
    <cellStyle name="40% - Accent2 2 4 3 2" xfId="4917" xr:uid="{AD8A68DB-2976-4EA5-9A04-452CA351C26E}"/>
    <cellStyle name="40% - Accent2 2 4 4" xfId="4914" xr:uid="{C935C4CB-B55F-4F60-8082-A462137DC49A}"/>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63E6A9E1-5AAE-4459-831F-4F3FDB969ACB}"/>
    <cellStyle name="40% - Accent2 2 5 2 3" xfId="4919" xr:uid="{F97D6651-EAED-4B00-8E28-A0D8B24CB422}"/>
    <cellStyle name="40% - Accent2 2 5 3" xfId="546" xr:uid="{00000000-0005-0000-0000-000080010000}"/>
    <cellStyle name="40% - Accent2 2 5 3 2" xfId="4921" xr:uid="{DB802D20-A40F-4315-8087-F01EDC6E7FD8}"/>
    <cellStyle name="40% - Accent2 2 5 4" xfId="4918" xr:uid="{EDE471EC-571C-4D83-BDF0-0F1904B8BDB4}"/>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CEAC9515-407B-409A-B26C-84C345CCE20A}"/>
    <cellStyle name="40% - Accent2 2 6 2 3" xfId="4923" xr:uid="{283C8003-0FCB-4A95-926A-1C94CAC1082B}"/>
    <cellStyle name="40% - Accent2 2 6 3" xfId="550" xr:uid="{00000000-0005-0000-0000-000084010000}"/>
    <cellStyle name="40% - Accent2 2 6 3 2" xfId="4925" xr:uid="{87C3CE10-4488-45A8-AB8D-F5C9A6F63F8E}"/>
    <cellStyle name="40% - Accent2 2 6 4" xfId="4922" xr:uid="{67603086-4DF5-4249-B238-557EDE40AF3F}"/>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4347CFBB-97AB-4C3F-9A36-FC31473BE8B5}"/>
    <cellStyle name="40% - Accent2 2 7 2 3" xfId="4927" xr:uid="{1834D104-373A-48B5-9097-5E9E61CEB619}"/>
    <cellStyle name="40% - Accent2 2 7 3" xfId="554" xr:uid="{00000000-0005-0000-0000-000088010000}"/>
    <cellStyle name="40% - Accent2 2 7 3 2" xfId="4929" xr:uid="{CCCD7E4B-FF54-4889-B62F-6617DF2386A2}"/>
    <cellStyle name="40% - Accent2 2 7 4" xfId="4926" xr:uid="{CA944BF9-CFDB-4946-82CA-3275F531A414}"/>
    <cellStyle name="40% - Accent2 2 8" xfId="555" xr:uid="{00000000-0005-0000-0000-000089010000}"/>
    <cellStyle name="40% - Accent2 2 8 2" xfId="556" xr:uid="{00000000-0005-0000-0000-00008A010000}"/>
    <cellStyle name="40% - Accent2 2 8 2 2" xfId="4931" xr:uid="{E46636A4-E075-4B31-8CB7-923DAFA2EFCC}"/>
    <cellStyle name="40% - Accent2 2 8 3" xfId="4930" xr:uid="{FB5AA89F-A9E0-4518-A306-BCF29669F286}"/>
    <cellStyle name="40% - Accent2 2 9" xfId="557" xr:uid="{00000000-0005-0000-0000-00008B010000}"/>
    <cellStyle name="40% - Accent2 2 9 2" xfId="4932" xr:uid="{8B4A4B4D-7940-4E56-8353-5E70FA281F92}"/>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446E227C-0AFF-413C-A272-20EAA91E27EF}"/>
    <cellStyle name="40% - Accent3 2 2 2 3" xfId="4934" xr:uid="{B9B541DF-0958-4BB1-8CF8-19B770C896AA}"/>
    <cellStyle name="40% - Accent3 2 2 3" xfId="577" xr:uid="{00000000-0005-0000-0000-0000A0010000}"/>
    <cellStyle name="40% - Accent3 2 2 3 2" xfId="4936" xr:uid="{0523F4DB-0911-4424-8543-189EDB5A66B3}"/>
    <cellStyle name="40% - Accent3 2 2 4" xfId="4933" xr:uid="{8B9F3FD2-0B3D-4084-830E-9E86A04240DF}"/>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DB442664-6256-474A-9946-8140798F5ABE}"/>
    <cellStyle name="40% - Accent3 2 3 2 3" xfId="4938" xr:uid="{8AAC31F0-9EEF-43F9-A182-112F0E2E65AF}"/>
    <cellStyle name="40% - Accent3 2 3 3" xfId="581" xr:uid="{00000000-0005-0000-0000-0000A4010000}"/>
    <cellStyle name="40% - Accent3 2 3 3 2" xfId="4940" xr:uid="{C7BBCC15-15EA-4177-A22E-F009EEB65029}"/>
    <cellStyle name="40% - Accent3 2 3 4" xfId="4937" xr:uid="{693DDA0A-2F0C-4541-95D9-8D6597320830}"/>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5C72A436-1CF0-4DB0-9D89-9B78A568F296}"/>
    <cellStyle name="40% - Accent3 2 4 2 3" xfId="4942" xr:uid="{0F1BCDF8-11A3-4398-BA55-A50FA46022F6}"/>
    <cellStyle name="40% - Accent3 2 4 3" xfId="585" xr:uid="{00000000-0005-0000-0000-0000A8010000}"/>
    <cellStyle name="40% - Accent3 2 4 3 2" xfId="4944" xr:uid="{1AE81E4A-6955-4310-A469-90F2D1137FED}"/>
    <cellStyle name="40% - Accent3 2 4 4" xfId="4941" xr:uid="{8E1340CF-B74E-4D14-BEAA-CDB8E931CA3E}"/>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5A963013-92B5-4F21-A203-40DE1D141B48}"/>
    <cellStyle name="40% - Accent3 2 5 2 3" xfId="4946" xr:uid="{542AC401-7D53-499F-95DC-E3FC9008E8EE}"/>
    <cellStyle name="40% - Accent3 2 5 3" xfId="589" xr:uid="{00000000-0005-0000-0000-0000AC010000}"/>
    <cellStyle name="40% - Accent3 2 5 3 2" xfId="4948" xr:uid="{D20F950F-D868-4F0C-A1CB-9651F4B07862}"/>
    <cellStyle name="40% - Accent3 2 5 4" xfId="4945" xr:uid="{FADB7E76-73A1-45E3-83E8-49D2ABD41DEB}"/>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8324395C-0B84-4EA7-81A9-4F1300479188}"/>
    <cellStyle name="40% - Accent3 2 6 2 3" xfId="4950" xr:uid="{07DDD2FC-22FC-4EC4-8A4B-EB997E9E8E3F}"/>
    <cellStyle name="40% - Accent3 2 6 3" xfId="593" xr:uid="{00000000-0005-0000-0000-0000B0010000}"/>
    <cellStyle name="40% - Accent3 2 6 3 2" xfId="4952" xr:uid="{E9A81568-3A39-4F64-A843-602354AD5C89}"/>
    <cellStyle name="40% - Accent3 2 6 4" xfId="4949" xr:uid="{4AF18DEF-9585-405D-BD33-E3F48AE41597}"/>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78883292-514F-4D4C-9CA6-FE7D3BC03498}"/>
    <cellStyle name="40% - Accent3 2 7 2 3" xfId="4954" xr:uid="{FFFD8CAE-0230-43A8-AD65-E681B5B164DE}"/>
    <cellStyle name="40% - Accent3 2 7 3" xfId="597" xr:uid="{00000000-0005-0000-0000-0000B4010000}"/>
    <cellStyle name="40% - Accent3 2 7 3 2" xfId="4956" xr:uid="{12638C65-E52A-436F-AF0C-87B72F6CF6FD}"/>
    <cellStyle name="40% - Accent3 2 7 4" xfId="4953" xr:uid="{5BC9D023-123E-4902-8C85-E4BDB07BF912}"/>
    <cellStyle name="40% - Accent3 2 8" xfId="598" xr:uid="{00000000-0005-0000-0000-0000B5010000}"/>
    <cellStyle name="40% - Accent3 2 8 2" xfId="599" xr:uid="{00000000-0005-0000-0000-0000B6010000}"/>
    <cellStyle name="40% - Accent3 2 8 2 2" xfId="4958" xr:uid="{A69FEBDF-515B-4204-AABF-D181DA07434E}"/>
    <cellStyle name="40% - Accent3 2 8 3" xfId="4957" xr:uid="{F3D25492-3533-4D6D-BE40-BA01021B4FEA}"/>
    <cellStyle name="40% - Accent3 2 9" xfId="600" xr:uid="{00000000-0005-0000-0000-0000B7010000}"/>
    <cellStyle name="40% - Accent3 2 9 2" xfId="4959" xr:uid="{EC127998-BE5F-4B1D-A1E0-2B0FD0F059DB}"/>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F24BDCE2-25E0-40F8-BE35-1B7EE2428D3E}"/>
    <cellStyle name="40% - Accent4 2 2 2 3" xfId="4961" xr:uid="{792DE1E7-DCAC-45E7-85CE-D68A42FC23AC}"/>
    <cellStyle name="40% - Accent4 2 2 3" xfId="620" xr:uid="{00000000-0005-0000-0000-0000CC010000}"/>
    <cellStyle name="40% - Accent4 2 2 3 2" xfId="4963" xr:uid="{EABDE47F-73C7-4291-85AF-AC672C67D65D}"/>
    <cellStyle name="40% - Accent4 2 2 4" xfId="4960" xr:uid="{4AA8CF08-909C-40D0-9D88-B392CD73978C}"/>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822D17FF-C7E3-4FDC-91AF-20A7C9E19597}"/>
    <cellStyle name="40% - Accent4 2 3 2 3" xfId="4965" xr:uid="{2CDF706E-5C8A-48DF-A2D4-CBFE66B2640D}"/>
    <cellStyle name="40% - Accent4 2 3 3" xfId="624" xr:uid="{00000000-0005-0000-0000-0000D0010000}"/>
    <cellStyle name="40% - Accent4 2 3 3 2" xfId="4967" xr:uid="{2B26B6FD-B10D-499F-8DBB-E1F7E4403EAA}"/>
    <cellStyle name="40% - Accent4 2 3 4" xfId="4964" xr:uid="{B7554C4B-A0CD-4484-BFF6-EAAD12C13AAE}"/>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A3A520E7-CFA0-4E03-A14E-FF203EAA3442}"/>
    <cellStyle name="40% - Accent4 2 4 2 3" xfId="4969" xr:uid="{CA2AE9DC-8F76-4CAD-8599-A75194DF895F}"/>
    <cellStyle name="40% - Accent4 2 4 3" xfId="628" xr:uid="{00000000-0005-0000-0000-0000D4010000}"/>
    <cellStyle name="40% - Accent4 2 4 3 2" xfId="4971" xr:uid="{8AA8B825-6DCC-4029-9A09-758274C468D8}"/>
    <cellStyle name="40% - Accent4 2 4 4" xfId="4968" xr:uid="{8AE5692D-049C-412F-8810-A6B20323B1B6}"/>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0ED15F0E-5D0D-4FEA-A78A-F267208054B8}"/>
    <cellStyle name="40% - Accent4 2 5 2 3" xfId="4973" xr:uid="{454E83F8-9FBC-499D-BED1-033DB74A5E01}"/>
    <cellStyle name="40% - Accent4 2 5 3" xfId="632" xr:uid="{00000000-0005-0000-0000-0000D8010000}"/>
    <cellStyle name="40% - Accent4 2 5 3 2" xfId="4975" xr:uid="{2D7A42B1-6412-43D6-BE6A-E980F9B0A130}"/>
    <cellStyle name="40% - Accent4 2 5 4" xfId="4972" xr:uid="{048FF1D8-B5F6-4ABB-8D07-E24405B69B08}"/>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D618C472-81B4-4C27-A297-7B1F50D86288}"/>
    <cellStyle name="40% - Accent4 2 6 2 3" xfId="4977" xr:uid="{BA6BC225-C19C-4D31-B3F5-F8C74A376541}"/>
    <cellStyle name="40% - Accent4 2 6 3" xfId="636" xr:uid="{00000000-0005-0000-0000-0000DC010000}"/>
    <cellStyle name="40% - Accent4 2 6 3 2" xfId="4979" xr:uid="{3DD00EE5-52D4-4BE0-88AF-923950AFEFCA}"/>
    <cellStyle name="40% - Accent4 2 6 4" xfId="4976" xr:uid="{2A29BA66-AC72-484D-848F-69CDF403890D}"/>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E6BEB94D-ADF2-46D2-A32B-E68E8FA9625E}"/>
    <cellStyle name="40% - Accent4 2 7 2 3" xfId="4981" xr:uid="{150B9997-B54D-42A8-A199-D67188ED3793}"/>
    <cellStyle name="40% - Accent4 2 7 3" xfId="640" xr:uid="{00000000-0005-0000-0000-0000E0010000}"/>
    <cellStyle name="40% - Accent4 2 7 3 2" xfId="4983" xr:uid="{1B86F634-7599-44D7-88F8-0C429418C70C}"/>
    <cellStyle name="40% - Accent4 2 7 4" xfId="4980" xr:uid="{1439EEAC-397A-46AB-A0E3-FECE434ECA0E}"/>
    <cellStyle name="40% - Accent4 2 8" xfId="641" xr:uid="{00000000-0005-0000-0000-0000E1010000}"/>
    <cellStyle name="40% - Accent4 2 8 2" xfId="642" xr:uid="{00000000-0005-0000-0000-0000E2010000}"/>
    <cellStyle name="40% - Accent4 2 8 2 2" xfId="4985" xr:uid="{91231DDA-BEEB-4F98-A26A-09F6F718F945}"/>
    <cellStyle name="40% - Accent4 2 8 3" xfId="4984" xr:uid="{528848A8-BA05-4864-BF16-AE500EA97BD9}"/>
    <cellStyle name="40% - Accent4 2 9" xfId="643" xr:uid="{00000000-0005-0000-0000-0000E3010000}"/>
    <cellStyle name="40% - Accent4 2 9 2" xfId="4986" xr:uid="{F10615AD-C5E8-4F05-82ED-4A1A2DEBD076}"/>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47A7FE1E-4B96-43B2-B040-D8342F31500D}"/>
    <cellStyle name="40% - Accent5 2 2 2 3" xfId="4988" xr:uid="{A7D3FD9D-19DB-4A7B-A365-0168DFC43883}"/>
    <cellStyle name="40% - Accent5 2 2 3" xfId="663" xr:uid="{00000000-0005-0000-0000-0000F8010000}"/>
    <cellStyle name="40% - Accent5 2 2 3 2" xfId="4990" xr:uid="{28A1B4A7-02FC-46AC-A4CE-811EB40EBCBF}"/>
    <cellStyle name="40% - Accent5 2 2 4" xfId="4987" xr:uid="{36A1B310-01E1-46B1-9528-862E6217FC3D}"/>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2274B8FB-92EE-4218-BB84-E350AB624889}"/>
    <cellStyle name="40% - Accent5 2 3 2 3" xfId="4992" xr:uid="{FF775520-01F6-44E4-B6CB-1ABB902A07E9}"/>
    <cellStyle name="40% - Accent5 2 3 3" xfId="667" xr:uid="{00000000-0005-0000-0000-0000FC010000}"/>
    <cellStyle name="40% - Accent5 2 3 3 2" xfId="4994" xr:uid="{D64FBC3F-66CB-40B7-9C71-45E84DDEA733}"/>
    <cellStyle name="40% - Accent5 2 3 4" xfId="4991" xr:uid="{EE6ABA97-477B-414C-AFC3-25B6B6212C88}"/>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A4E95432-72D6-4A32-9870-8FE4504E22E6}"/>
    <cellStyle name="40% - Accent5 2 4 2 3" xfId="4996" xr:uid="{C7383320-C8F6-42BB-82DB-5EE53897BF6D}"/>
    <cellStyle name="40% - Accent5 2 4 3" xfId="671" xr:uid="{00000000-0005-0000-0000-000000020000}"/>
    <cellStyle name="40% - Accent5 2 4 3 2" xfId="4998" xr:uid="{F2A6054A-E94B-4CEA-8F10-8BC7F123394F}"/>
    <cellStyle name="40% - Accent5 2 4 4" xfId="4995" xr:uid="{606377E6-D695-4BF1-8E70-AB952499D129}"/>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00C2975A-B477-465C-A462-B6A7C2745BD5}"/>
    <cellStyle name="40% - Accent5 2 5 2 3" xfId="5000" xr:uid="{56C36F8E-60C8-4259-964A-B55E7BB8DC3A}"/>
    <cellStyle name="40% - Accent5 2 5 3" xfId="675" xr:uid="{00000000-0005-0000-0000-000004020000}"/>
    <cellStyle name="40% - Accent5 2 5 3 2" xfId="5002" xr:uid="{0AC3DAAA-72C3-45E2-8C97-C96EA6E4DAC6}"/>
    <cellStyle name="40% - Accent5 2 5 4" xfId="4999" xr:uid="{2DD97770-A9DC-48C0-939A-18EA3CA22318}"/>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62CD563B-4E57-4353-AEE2-73CCFDA2338E}"/>
    <cellStyle name="40% - Accent5 2 6 2 3" xfId="5004" xr:uid="{817D07B0-8D33-4306-AC09-6A71410070BD}"/>
    <cellStyle name="40% - Accent5 2 6 3" xfId="679" xr:uid="{00000000-0005-0000-0000-000008020000}"/>
    <cellStyle name="40% - Accent5 2 6 3 2" xfId="5006" xr:uid="{94A6E9E4-388C-44B2-AA2E-D2A6BB82A0FF}"/>
    <cellStyle name="40% - Accent5 2 6 4" xfId="5003" xr:uid="{25B5A77A-3B9E-48E1-9CA5-C67BF82443F2}"/>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FB239C9D-8D57-4495-A45A-A7BDF4DCE40D}"/>
    <cellStyle name="40% - Accent5 2 7 2 3" xfId="5008" xr:uid="{1E74045D-E1F0-4BB0-A248-EF279191C75B}"/>
    <cellStyle name="40% - Accent5 2 7 3" xfId="683" xr:uid="{00000000-0005-0000-0000-00000C020000}"/>
    <cellStyle name="40% - Accent5 2 7 3 2" xfId="5010" xr:uid="{E940C8EE-AA82-47E8-AE3D-8BE300B4880F}"/>
    <cellStyle name="40% - Accent5 2 7 4" xfId="5007" xr:uid="{2B3B1A12-3562-43AC-8A09-546DBF4A6782}"/>
    <cellStyle name="40% - Accent5 2 8" xfId="684" xr:uid="{00000000-0005-0000-0000-00000D020000}"/>
    <cellStyle name="40% - Accent5 2 8 2" xfId="685" xr:uid="{00000000-0005-0000-0000-00000E020000}"/>
    <cellStyle name="40% - Accent5 2 8 2 2" xfId="5012" xr:uid="{11C1BF68-F7A9-4E92-BAFA-B6D9148284D1}"/>
    <cellStyle name="40% - Accent5 2 8 3" xfId="5011" xr:uid="{EC58F826-68E4-4F9B-B11A-A58C7360D3C9}"/>
    <cellStyle name="40% - Accent5 2 9" xfId="686" xr:uid="{00000000-0005-0000-0000-00000F020000}"/>
    <cellStyle name="40% - Accent5 2 9 2" xfId="5013" xr:uid="{E04BA819-1009-4D54-9C63-ABFB16BDC64C}"/>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2E466FE6-73E1-4194-9522-2AACFAE9C100}"/>
    <cellStyle name="40% - Accent6 2 2 2 3" xfId="5015" xr:uid="{2F7A2310-C813-4B8C-8987-47A51AC3CF6F}"/>
    <cellStyle name="40% - Accent6 2 2 3" xfId="706" xr:uid="{00000000-0005-0000-0000-000024020000}"/>
    <cellStyle name="40% - Accent6 2 2 3 2" xfId="5017" xr:uid="{6B852C6A-89BD-4C6F-90D3-B61C698886FF}"/>
    <cellStyle name="40% - Accent6 2 2 4" xfId="5014" xr:uid="{C77A63EF-3BEF-40E7-9D5D-0DBDB82A2F08}"/>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542AA327-6885-4678-8505-9A7DDCB6C2F9}"/>
    <cellStyle name="40% - Accent6 2 3 2 3" xfId="5019" xr:uid="{0DEF94A8-67CA-4B72-A098-AE02A039CA59}"/>
    <cellStyle name="40% - Accent6 2 3 3" xfId="710" xr:uid="{00000000-0005-0000-0000-000028020000}"/>
    <cellStyle name="40% - Accent6 2 3 3 2" xfId="5021" xr:uid="{2A13D765-073C-446E-80F4-FAA2C6614051}"/>
    <cellStyle name="40% - Accent6 2 3 4" xfId="5018" xr:uid="{97C1E5E7-3CB7-4FB3-9D6D-0DBECDD5D31D}"/>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268EBCB3-40E5-4991-9589-7424EE388A99}"/>
    <cellStyle name="40% - Accent6 2 4 2 3" xfId="5023" xr:uid="{3248B135-9DB1-4DD7-BCAB-E7CEC0C92D97}"/>
    <cellStyle name="40% - Accent6 2 4 3" xfId="714" xr:uid="{00000000-0005-0000-0000-00002C020000}"/>
    <cellStyle name="40% - Accent6 2 4 3 2" xfId="5025" xr:uid="{AD70496A-6800-4A7F-B197-404E74301259}"/>
    <cellStyle name="40% - Accent6 2 4 4" xfId="5022" xr:uid="{0EAE1633-0079-4E61-B26E-CBD8656D9C6E}"/>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770B060D-580F-408E-AB14-4673CBE2C954}"/>
    <cellStyle name="40% - Accent6 2 5 2 3" xfId="5027" xr:uid="{0A0BFF90-A49F-4830-8F1E-775CD282447A}"/>
    <cellStyle name="40% - Accent6 2 5 3" xfId="718" xr:uid="{00000000-0005-0000-0000-000030020000}"/>
    <cellStyle name="40% - Accent6 2 5 3 2" xfId="5029" xr:uid="{E5E90893-D282-4E40-B186-69CE50DA5DDF}"/>
    <cellStyle name="40% - Accent6 2 5 4" xfId="5026" xr:uid="{80FC3447-17CA-4C1C-A9B1-62E8A66A91EF}"/>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5394DB25-B8A8-49E7-8D57-99B5F6ADD90F}"/>
    <cellStyle name="40% - Accent6 2 6 2 3" xfId="5031" xr:uid="{966A4708-123D-4186-92FF-B941FC332832}"/>
    <cellStyle name="40% - Accent6 2 6 3" xfId="722" xr:uid="{00000000-0005-0000-0000-000034020000}"/>
    <cellStyle name="40% - Accent6 2 6 3 2" xfId="5033" xr:uid="{409888BC-19EE-4D73-B2C2-9E4F509269B5}"/>
    <cellStyle name="40% - Accent6 2 6 4" xfId="5030" xr:uid="{B7C07600-3064-4F33-8FDD-392DC679BE4F}"/>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43AB4A1D-14B9-46E8-80EC-C5DC3D56D3F8}"/>
    <cellStyle name="40% - Accent6 2 7 2 3" xfId="5035" xr:uid="{29B541D7-CC15-43C4-9B90-7D7070F786E3}"/>
    <cellStyle name="40% - Accent6 2 7 3" xfId="726" xr:uid="{00000000-0005-0000-0000-000038020000}"/>
    <cellStyle name="40% - Accent6 2 7 3 2" xfId="5037" xr:uid="{3A0E73C5-EB4A-4CA8-A7A4-1DC80568B89E}"/>
    <cellStyle name="40% - Accent6 2 7 4" xfId="5034" xr:uid="{5E537AAE-0E7D-4D93-B7B8-0B8F7AE1D485}"/>
    <cellStyle name="40% - Accent6 2 8" xfId="727" xr:uid="{00000000-0005-0000-0000-000039020000}"/>
    <cellStyle name="40% - Accent6 2 8 2" xfId="728" xr:uid="{00000000-0005-0000-0000-00003A020000}"/>
    <cellStyle name="40% - Accent6 2 8 2 2" xfId="5039" xr:uid="{88BBA64D-6250-4CC9-BB22-F9DA740A130A}"/>
    <cellStyle name="40% - Accent6 2 8 3" xfId="5038" xr:uid="{D99B0374-F29D-4399-8523-B821EC649EB7}"/>
    <cellStyle name="40% - Accent6 2 9" xfId="729" xr:uid="{00000000-0005-0000-0000-00003B020000}"/>
    <cellStyle name="40% - Accent6 2 9 2" xfId="5040" xr:uid="{797582A1-473C-4843-ADA6-AA745DD1F862}"/>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5D2840B2-F26E-4B99-A9D7-A027F7E09209}"/>
    <cellStyle name="Comma [0] 4" xfId="4174" xr:uid="{00000000-0005-0000-0000-0000CC030000}"/>
    <cellStyle name="Comma [0] 4 2" xfId="5065" xr:uid="{06805515-ED83-434F-A60D-7BC3A5B60574}"/>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164309DB-B38D-40BB-9784-7873E436D952}"/>
    <cellStyle name="Comma 10 5" xfId="4499" xr:uid="{00000000-0005-0000-0000-0000DA030000}"/>
    <cellStyle name="Comma 10 5 2" xfId="5086" xr:uid="{450F4E89-6AD0-4ADE-9736-96DE3B9F0158}"/>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23CBF975-7987-41EE-9D57-4DBDCE9D2A18}"/>
    <cellStyle name="Comma 12 2 3" xfId="5171" xr:uid="{7CBE03AF-F10A-442A-B620-512341853015}"/>
    <cellStyle name="Comma 12 3" xfId="4678" xr:uid="{00000000-0005-0000-0000-0000E0030000}"/>
    <cellStyle name="Comma 12 3 2" xfId="5166" xr:uid="{64FD3DED-4A0B-4BED-B93B-41B0A3E01486}"/>
    <cellStyle name="Comma 13" xfId="1043" xr:uid="{00000000-0005-0000-0000-0000E1030000}"/>
    <cellStyle name="Comma 13 2" xfId="4681" xr:uid="{00000000-0005-0000-0000-0000E2030000}"/>
    <cellStyle name="Comma 13 2 2" xfId="4691" xr:uid="{00000000-0005-0000-0000-0000E3030000}"/>
    <cellStyle name="Comma 13 2 2 2" xfId="5178" xr:uid="{4402C38D-1163-476A-AAD1-9D486C97B1D8}"/>
    <cellStyle name="Comma 13 2 3" xfId="5168" xr:uid="{496C30C2-6E14-4FC6-86CB-48E65E23EDC3}"/>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87725C10-70B8-4433-B181-DB31754AAB76}"/>
    <cellStyle name="Comma 2 3" xfId="1051" xr:uid="{00000000-0005-0000-0000-0000ED030000}"/>
    <cellStyle name="Comma 2 3 2" xfId="1052" xr:uid="{00000000-0005-0000-0000-0000EE030000}"/>
    <cellStyle name="Comma 2 3 2 2" xfId="1053" xr:uid="{00000000-0005-0000-0000-0000EF030000}"/>
    <cellStyle name="Comma 2 3 2 2 2" xfId="5043" xr:uid="{EAF556F1-8D45-4737-B883-33FA1937FB6B}"/>
    <cellStyle name="Comma 2 3 2 3" xfId="5042" xr:uid="{74B04B05-BC6B-4C84-B5E2-829179E2F179}"/>
    <cellStyle name="Comma 2 3 3" xfId="1054" xr:uid="{00000000-0005-0000-0000-0000F0030000}"/>
    <cellStyle name="Comma 2 3 3 2" xfId="5044" xr:uid="{CB72D776-715C-45E5-B40F-171F5B083F15}"/>
    <cellStyle name="Comma 2 3 4" xfId="5041" xr:uid="{4B24A036-5E8E-4EFC-A2A2-9EE35AA1EEB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970991AA-0F8F-4FD7-B53F-42A9DA1F19AB}"/>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FEEAD419-EE47-4ADE-898C-B4BB933EC530}"/>
    <cellStyle name="Comma 8 2 4" xfId="4502" xr:uid="{00000000-0005-0000-0000-000058040000}"/>
    <cellStyle name="Comma 8 2 4 2" xfId="5088" xr:uid="{3D1CE08E-3A33-494F-8A5D-DDA913679A05}"/>
    <cellStyle name="Comma 8 2 5" xfId="4503" xr:uid="{00000000-0005-0000-0000-000059040000}"/>
    <cellStyle name="Comma 8 2 5 2" xfId="5089" xr:uid="{0D132A55-7AE0-4BF9-93A2-5B8CDF9460BD}"/>
    <cellStyle name="Comma 8 3" xfId="4504" xr:uid="{00000000-0005-0000-0000-00005A040000}"/>
    <cellStyle name="Comma 8 4" xfId="4505" xr:uid="{00000000-0005-0000-0000-00005B040000}"/>
    <cellStyle name="Comma 8 4 2" xfId="5090" xr:uid="{1DFED015-676D-49A4-99D6-AE09A7BB8D40}"/>
    <cellStyle name="Comma 8 5" xfId="4506" xr:uid="{00000000-0005-0000-0000-00005C040000}"/>
    <cellStyle name="Comma 8 5 2" xfId="5091" xr:uid="{AB444933-A2CF-458D-BD35-928CB7530FFC}"/>
    <cellStyle name="Comma 8 6" xfId="4507" xr:uid="{00000000-0005-0000-0000-00005D040000}"/>
    <cellStyle name="Comma 8 6 2" xfId="5092" xr:uid="{B260C8E1-A805-4CDB-8B53-E6A1BF9E15E1}"/>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71B1E020-B907-4FBF-A279-FB60742263AC}"/>
    <cellStyle name="Comma 96" xfId="4696" xr:uid="{B2BEB86B-46E3-411E-8261-E06CDF5055CF}"/>
    <cellStyle name="Comma 96 2" xfId="5183" xr:uid="{20966ED3-DAAF-4E1A-891A-A0B6CD611167}"/>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4FFAD62-34D7-4BBD-8C7D-243143622C23}"/>
    <cellStyle name="Currency 2 3 2 3" xfId="5045" xr:uid="{ACE73114-A996-494B-B7BB-899D9C88F685}"/>
    <cellStyle name="Currency 2 3 3" xfId="1328" xr:uid="{00000000-0005-0000-0000-00002B050000}"/>
    <cellStyle name="Currency 2 3 3 2" xfId="1329" xr:uid="{00000000-0005-0000-0000-00002C050000}"/>
    <cellStyle name="Currency 2 3 3 2 2" xfId="5048" xr:uid="{69171C5A-AB36-4D64-861D-331B215DA1BE}"/>
    <cellStyle name="Currency 2 3 3 3" xfId="5047" xr:uid="{C3AD8C5B-9A8F-4AFE-88CA-84654921EADA}"/>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81F9B284-59D8-4036-B437-B8E6C7F6D8B8}"/>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8EE03FB0-8EEA-4DC7-8290-F22255ED32FC}"/>
    <cellStyle name="Normal 12 2 4 3" xfId="5164" xr:uid="{08EE62EE-5B71-4446-849D-6623171E8B8C}"/>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B26ECFF2-F046-481D-B6B5-52043E09CBA0}"/>
    <cellStyle name="Normal 13 2 2 3" xfId="5167" xr:uid="{D34A6A84-C4ED-40DB-8B83-C95FF369CA95}"/>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197D50ED-BD08-41CF-A024-26239BED307C}"/>
    <cellStyle name="Normal 15 2 3" xfId="5173" xr:uid="{45A7F07B-5695-4317-923F-A601962A318A}"/>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CBB0445D-7227-42BD-963A-7DC9808D1A04}"/>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9A6A7089-1A81-4898-AE7A-A2A4CB58753C}"/>
    <cellStyle name="Normal 17 2 2 2 3" xfId="5051" xr:uid="{E8E89598-40AA-4C6F-BDED-8C3413DAD55D}"/>
    <cellStyle name="Normal 17 2 2 3" xfId="2284" xr:uid="{00000000-0005-0000-0000-000067090000}"/>
    <cellStyle name="Normal 17 2 2 3 2" xfId="5053" xr:uid="{EF569523-64AA-486F-AEDD-CADAADA87525}"/>
    <cellStyle name="Normal 17 2 2 4" xfId="5050" xr:uid="{D78BA5C6-C1B9-4C03-BDD2-E2B9E33B4AE7}"/>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B832694A-5E85-4910-BEEC-73035CA2E07B}"/>
    <cellStyle name="Normal 17 2 3 2 3" xfId="5055" xr:uid="{D754F0F4-1EAB-4420-B17F-6C1C66BD1DED}"/>
    <cellStyle name="Normal 17 2 3 3" xfId="2288" xr:uid="{00000000-0005-0000-0000-00006B090000}"/>
    <cellStyle name="Normal 17 2 3 3 2" xfId="5057" xr:uid="{1EFAF4A4-0A56-4884-A027-BEB67391DCF5}"/>
    <cellStyle name="Normal 17 2 3 4" xfId="5054" xr:uid="{399C67B7-0D38-42C2-9E3F-482DB87EAF80}"/>
    <cellStyle name="Normal 17 2 4" xfId="2289" xr:uid="{00000000-0005-0000-0000-00006C090000}"/>
    <cellStyle name="Normal 17 2 4 2" xfId="2290" xr:uid="{00000000-0005-0000-0000-00006D090000}"/>
    <cellStyle name="Normal 17 2 4 2 2" xfId="5059" xr:uid="{A056B8D9-D07D-4472-AD34-3D5DC02F5067}"/>
    <cellStyle name="Normal 17 2 4 3" xfId="5058" xr:uid="{66422459-E212-4DBC-9596-260D7A0E9123}"/>
    <cellStyle name="Normal 17 2 5" xfId="2291" xr:uid="{00000000-0005-0000-0000-00006E090000}"/>
    <cellStyle name="Normal 17 2 5 2" xfId="5060" xr:uid="{7EB747D6-4980-467E-B08B-BD7059E09EDA}"/>
    <cellStyle name="Normal 17 2 6" xfId="5049" xr:uid="{C0971F09-EC25-4103-A2FA-C63AA3A3625E}"/>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F652A1B8-7C6F-4B35-AC7D-5EBD5E386FB2}"/>
    <cellStyle name="Normal 2 19 2 3" xfId="5062" xr:uid="{A14AA831-A506-4585-AC06-283FBF01B0F0}"/>
    <cellStyle name="Normal 2 19 3" xfId="2474" xr:uid="{00000000-0005-0000-0000-0000260A0000}"/>
    <cellStyle name="Normal 2 19 3 2" xfId="5064" xr:uid="{1970A157-79F3-42FF-A68B-BDF779184F8E}"/>
    <cellStyle name="Normal 2 19 4" xfId="5061" xr:uid="{B2869F5D-C326-46AB-B2D7-5EFD3ED64B5C}"/>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F282FECE-DCFA-4B68-B031-D3F81DBF8CEC}"/>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E64603A5-206E-4C61-95FD-157DFF2DA299}"/>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DCE0A504-1CD7-49B3-82BD-9E62DB51EE76}"/>
    <cellStyle name="Normal 51" xfId="4328" xr:uid="{00000000-0005-0000-0000-0000A50E0000}"/>
    <cellStyle name="Normal 51 2" xfId="5069" xr:uid="{7399D449-FB69-4732-957A-5F004001FE92}"/>
    <cellStyle name="Normal 52" xfId="4329" xr:uid="{00000000-0005-0000-0000-0000A60E0000}"/>
    <cellStyle name="Normal 52 2" xfId="5070" xr:uid="{3AD6B228-62F1-4E41-8D92-A7750C7AC8D9}"/>
    <cellStyle name="Normal 53" xfId="4330" xr:uid="{00000000-0005-0000-0000-0000A70E0000}"/>
    <cellStyle name="Normal 53 2" xfId="5071" xr:uid="{6E0F4086-4807-40DE-B80A-C293EC0205C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86143D05-4871-4D7E-A083-0BEF1291B5F2}"/>
    <cellStyle name="Normal 59" xfId="4338" xr:uid="{00000000-0005-0000-0000-0000AF0E0000}"/>
    <cellStyle name="Normal 59 2" xfId="5073" xr:uid="{C98E3983-A40F-4CAF-8F05-F938662A986B}"/>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E3FF8D71-42D5-4607-B220-A89CC641D50E}"/>
    <cellStyle name="Normal 6 2 2 2 2 3" xfId="4533" xr:uid="{00000000-0005-0000-0000-0000B60E0000}"/>
    <cellStyle name="Normal 6 2 2 2 2 3 2" xfId="5097" xr:uid="{206CDAC4-12BC-4A37-BE48-8F0E60CF1B26}"/>
    <cellStyle name="Normal 6 2 2 2 2 4" xfId="4534" xr:uid="{00000000-0005-0000-0000-0000B70E0000}"/>
    <cellStyle name="Normal 6 2 2 2 2 4 2" xfId="5098" xr:uid="{E22CD583-09C3-4AC4-B4E8-3B8EBE878BC4}"/>
    <cellStyle name="Normal 6 2 2 2 2 5" xfId="5095" xr:uid="{3F739559-BA72-4562-BE20-4147619E7E4C}"/>
    <cellStyle name="Normal 6 2 2 2 3" xfId="4535" xr:uid="{00000000-0005-0000-0000-0000B80E0000}"/>
    <cellStyle name="Normal 6 2 2 2 3 2" xfId="5099" xr:uid="{55AB931B-148C-4CF7-984E-03AC70787E19}"/>
    <cellStyle name="Normal 6 2 2 2 4" xfId="4536" xr:uid="{00000000-0005-0000-0000-0000B90E0000}"/>
    <cellStyle name="Normal 6 2 2 2 4 2" xfId="5100" xr:uid="{C7B732B3-94DC-487A-A710-326155A19B60}"/>
    <cellStyle name="Normal 6 2 2 2 5" xfId="4537" xr:uid="{00000000-0005-0000-0000-0000BA0E0000}"/>
    <cellStyle name="Normal 6 2 2 2 5 2" xfId="5101" xr:uid="{F562F2BC-3716-4EDF-B175-AEA471B758A6}"/>
    <cellStyle name="Normal 6 2 2 2 6" xfId="5094" xr:uid="{6631A5AE-B76E-42D1-995F-5D1A3B8C4EDD}"/>
    <cellStyle name="Normal 6 2 2 3" xfId="4538" xr:uid="{00000000-0005-0000-0000-0000BB0E0000}"/>
    <cellStyle name="Normal 6 2 2 3 2" xfId="4539" xr:uid="{00000000-0005-0000-0000-0000BC0E0000}"/>
    <cellStyle name="Normal 6 2 2 3 2 2" xfId="5103" xr:uid="{9F4771EA-A006-4C80-8195-6F8AC2964E55}"/>
    <cellStyle name="Normal 6 2 2 3 3" xfId="4540" xr:uid="{00000000-0005-0000-0000-0000BD0E0000}"/>
    <cellStyle name="Normal 6 2 2 3 3 2" xfId="5104" xr:uid="{9D8821D2-E586-49CA-9E84-97FF57F3E2A1}"/>
    <cellStyle name="Normal 6 2 2 3 4" xfId="4541" xr:uid="{00000000-0005-0000-0000-0000BE0E0000}"/>
    <cellStyle name="Normal 6 2 2 3 4 2" xfId="5105" xr:uid="{4DF6BBEC-262A-4653-BD0B-E87901EC3F21}"/>
    <cellStyle name="Normal 6 2 2 3 5" xfId="5102" xr:uid="{AED91D3E-9E86-46EF-B489-78701F85001E}"/>
    <cellStyle name="Normal 6 2 2 4" xfId="4542" xr:uid="{00000000-0005-0000-0000-0000BF0E0000}"/>
    <cellStyle name="Normal 6 2 2 4 2" xfId="5106" xr:uid="{87961220-8696-49BC-99AC-AC028303CEBC}"/>
    <cellStyle name="Normal 6 2 2 5" xfId="4543" xr:uid="{00000000-0005-0000-0000-0000C00E0000}"/>
    <cellStyle name="Normal 6 2 2 5 2" xfId="5107" xr:uid="{43A75EC5-DAAF-44C7-9F8A-C7F606ACA20E}"/>
    <cellStyle name="Normal 6 2 2 6" xfId="4544" xr:uid="{00000000-0005-0000-0000-0000C10E0000}"/>
    <cellStyle name="Normal 6 2 2 6 2" xfId="5108" xr:uid="{7E491780-E735-47C2-8A2E-1BA1B4C75E90}"/>
    <cellStyle name="Normal 6 2 3" xfId="4545" xr:uid="{00000000-0005-0000-0000-0000C20E0000}"/>
    <cellStyle name="Normal 6 2 3 2" xfId="4546" xr:uid="{00000000-0005-0000-0000-0000C30E0000}"/>
    <cellStyle name="Normal 6 2 3 2 2" xfId="4547" xr:uid="{00000000-0005-0000-0000-0000C40E0000}"/>
    <cellStyle name="Normal 6 2 3 2 2 2" xfId="5111" xr:uid="{344A36DF-EC45-4243-B587-61C7AA5AC930}"/>
    <cellStyle name="Normal 6 2 3 2 3" xfId="4548" xr:uid="{00000000-0005-0000-0000-0000C50E0000}"/>
    <cellStyle name="Normal 6 2 3 2 3 2" xfId="5112" xr:uid="{07D60632-696B-4C0C-BE1F-25B98664FAFA}"/>
    <cellStyle name="Normal 6 2 3 2 4" xfId="4549" xr:uid="{00000000-0005-0000-0000-0000C60E0000}"/>
    <cellStyle name="Normal 6 2 3 2 4 2" xfId="5113" xr:uid="{C31FC810-F60C-4E07-B0DE-A7E9FAB36A68}"/>
    <cellStyle name="Normal 6 2 3 2 5" xfId="5110" xr:uid="{C9265043-DAF5-4CA4-94B6-E5F2EF239042}"/>
    <cellStyle name="Normal 6 2 3 3" xfId="4550" xr:uid="{00000000-0005-0000-0000-0000C70E0000}"/>
    <cellStyle name="Normal 6 2 3 3 2" xfId="5114" xr:uid="{2C65A7CA-39B3-44FB-BC97-B58159B83EF2}"/>
    <cellStyle name="Normal 6 2 3 4" xfId="4551" xr:uid="{00000000-0005-0000-0000-0000C80E0000}"/>
    <cellStyle name="Normal 6 2 3 4 2" xfId="5115" xr:uid="{E7FECA3C-BBD1-46E2-83A4-4C4C5E858B6E}"/>
    <cellStyle name="Normal 6 2 3 5" xfId="4552" xr:uid="{00000000-0005-0000-0000-0000C90E0000}"/>
    <cellStyle name="Normal 6 2 3 5 2" xfId="5116" xr:uid="{49CD96A9-E943-49A9-B05F-5B996988B747}"/>
    <cellStyle name="Normal 6 2 3 6" xfId="5109" xr:uid="{9E4E3BE7-2378-4089-91F1-1B8C2A0EB2CA}"/>
    <cellStyle name="Normal 6 2 4" xfId="4553" xr:uid="{00000000-0005-0000-0000-0000CA0E0000}"/>
    <cellStyle name="Normal 6 2 4 2" xfId="4554" xr:uid="{00000000-0005-0000-0000-0000CB0E0000}"/>
    <cellStyle name="Normal 6 2 4 2 2" xfId="5118" xr:uid="{D62CA8CE-0AC6-4A8E-8637-B6912B8E81F5}"/>
    <cellStyle name="Normal 6 2 4 3" xfId="4555" xr:uid="{00000000-0005-0000-0000-0000CC0E0000}"/>
    <cellStyle name="Normal 6 2 4 3 2" xfId="5119" xr:uid="{C71DAB1F-8F72-42F5-8627-13F07E4BF587}"/>
    <cellStyle name="Normal 6 2 4 4" xfId="4556" xr:uid="{00000000-0005-0000-0000-0000CD0E0000}"/>
    <cellStyle name="Normal 6 2 4 4 2" xfId="5120" xr:uid="{03BCCE70-EB71-4679-8948-C2B45DDB6FF3}"/>
    <cellStyle name="Normal 6 2 4 5" xfId="5117" xr:uid="{B9AA7AF7-933B-4480-86A5-BF36771DB350}"/>
    <cellStyle name="Normal 6 2 5" xfId="4557" xr:uid="{00000000-0005-0000-0000-0000CE0E0000}"/>
    <cellStyle name="Normal 6 2 5 2" xfId="5121" xr:uid="{626E8EA5-9F0A-42E0-863E-C9B603D140FE}"/>
    <cellStyle name="Normal 6 2 6" xfId="4558" xr:uid="{00000000-0005-0000-0000-0000CF0E0000}"/>
    <cellStyle name="Normal 6 2 6 2" xfId="5122" xr:uid="{EA09E97E-0BD9-49C6-B570-8B9F47C036DB}"/>
    <cellStyle name="Normal 6 2 7" xfId="4559" xr:uid="{00000000-0005-0000-0000-0000D00E0000}"/>
    <cellStyle name="Normal 6 2 7 2" xfId="5123" xr:uid="{9A3B1215-F80C-4D99-9FB3-92169F6C2967}"/>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3E701D5C-1264-44BC-814E-C979CB81E42A}"/>
    <cellStyle name="Normal 6 3 2 2 3" xfId="4562" xr:uid="{00000000-0005-0000-0000-0000D50E0000}"/>
    <cellStyle name="Normal 6 3 2 2 3 2" xfId="5126" xr:uid="{7689C5C2-BB5B-4CD0-B600-53C7CA3CFCE1}"/>
    <cellStyle name="Normal 6 3 2 2 4" xfId="4563" xr:uid="{00000000-0005-0000-0000-0000D60E0000}"/>
    <cellStyle name="Normal 6 3 2 2 4 2" xfId="5127" xr:uid="{8F1942D6-417A-4DDA-BAA5-E9916726F012}"/>
    <cellStyle name="Normal 6 3 2 2 5" xfId="5124" xr:uid="{74CBED73-4B4A-4D7A-8E50-4BD8DF2CBC84}"/>
    <cellStyle name="Normal 6 3 2 3" xfId="4564" xr:uid="{00000000-0005-0000-0000-0000D70E0000}"/>
    <cellStyle name="Normal 6 3 2 3 2" xfId="5128" xr:uid="{FE3CDEDC-F1D7-41B9-9243-ABE06D524C87}"/>
    <cellStyle name="Normal 6 3 2 4" xfId="4565" xr:uid="{00000000-0005-0000-0000-0000D80E0000}"/>
    <cellStyle name="Normal 6 3 2 4 2" xfId="5129" xr:uid="{AB168C02-533B-443F-9D6C-358626CF010E}"/>
    <cellStyle name="Normal 6 3 2 5" xfId="4566" xr:uid="{00000000-0005-0000-0000-0000D90E0000}"/>
    <cellStyle name="Normal 6 3 2 5 2" xfId="5130" xr:uid="{441EBF02-62D6-48E7-ADC2-09F7579F9DD4}"/>
    <cellStyle name="Normal 6 3 3" xfId="4567" xr:uid="{00000000-0005-0000-0000-0000DA0E0000}"/>
    <cellStyle name="Normal 6 3 3 2" xfId="4568" xr:uid="{00000000-0005-0000-0000-0000DB0E0000}"/>
    <cellStyle name="Normal 6 3 3 2 2" xfId="5132" xr:uid="{4BB345C9-6B9E-403D-9E86-DA7C44C4BC4F}"/>
    <cellStyle name="Normal 6 3 3 3" xfId="4569" xr:uid="{00000000-0005-0000-0000-0000DC0E0000}"/>
    <cellStyle name="Normal 6 3 3 3 2" xfId="5133" xr:uid="{C2EEBBBF-54BF-49CB-B6F2-6799831D6914}"/>
    <cellStyle name="Normal 6 3 3 4" xfId="4570" xr:uid="{00000000-0005-0000-0000-0000DD0E0000}"/>
    <cellStyle name="Normal 6 3 3 4 2" xfId="5134" xr:uid="{A305461D-745F-4C7E-A00E-7BBEE57E1514}"/>
    <cellStyle name="Normal 6 3 3 5" xfId="5131" xr:uid="{349F6B79-9A72-4CF3-8901-6AF3ACE5DD92}"/>
    <cellStyle name="Normal 6 3 4" xfId="4571" xr:uid="{00000000-0005-0000-0000-0000DE0E0000}"/>
    <cellStyle name="Normal 6 3 4 2" xfId="5135" xr:uid="{C830375C-F59D-47A8-8A7E-180EC53E14D3}"/>
    <cellStyle name="Normal 6 3 5" xfId="4572" xr:uid="{00000000-0005-0000-0000-0000DF0E0000}"/>
    <cellStyle name="Normal 6 3 5 2" xfId="5136" xr:uid="{55A8CB5C-4116-4E74-941D-A02B02C7BA57}"/>
    <cellStyle name="Normal 6 3 6" xfId="4573" xr:uid="{00000000-0005-0000-0000-0000E00E0000}"/>
    <cellStyle name="Normal 6 3 6 2" xfId="5137" xr:uid="{36B6EE26-C9CA-4E43-B265-5A36852C3200}"/>
    <cellStyle name="Normal 6 4" xfId="3621" xr:uid="{00000000-0005-0000-0000-0000E10E0000}"/>
    <cellStyle name="Normal 6 4 2" xfId="3622" xr:uid="{00000000-0005-0000-0000-0000E20E0000}"/>
    <cellStyle name="Normal 6 4 2 2" xfId="4574" xr:uid="{00000000-0005-0000-0000-0000E30E0000}"/>
    <cellStyle name="Normal 6 4 2 2 2" xfId="5138" xr:uid="{54023F34-AA63-4860-88C3-94BA4D30B4EC}"/>
    <cellStyle name="Normal 6 4 2 3" xfId="4575" xr:uid="{00000000-0005-0000-0000-0000E40E0000}"/>
    <cellStyle name="Normal 6 4 2 3 2" xfId="5139" xr:uid="{F827B8CC-BEF8-4D9F-918E-66EE1F5AC4DF}"/>
    <cellStyle name="Normal 6 4 2 4" xfId="4576" xr:uid="{00000000-0005-0000-0000-0000E50E0000}"/>
    <cellStyle name="Normal 6 4 2 4 2" xfId="5140" xr:uid="{10AD2A8A-4EC0-4D2D-BDD6-0B194676C95F}"/>
    <cellStyle name="Normal 6 4 3" xfId="4577" xr:uid="{00000000-0005-0000-0000-0000E60E0000}"/>
    <cellStyle name="Normal 6 4 3 2" xfId="5141" xr:uid="{3538307B-A832-4C13-BAEC-4F561016B1B4}"/>
    <cellStyle name="Normal 6 4 4" xfId="4578" xr:uid="{00000000-0005-0000-0000-0000E70E0000}"/>
    <cellStyle name="Normal 6 4 4 2" xfId="5142" xr:uid="{13A8FAB8-EC26-48FB-BB8F-FFC96A2819BF}"/>
    <cellStyle name="Normal 6 4 5" xfId="4579" xr:uid="{00000000-0005-0000-0000-0000E80E0000}"/>
    <cellStyle name="Normal 6 4 5 2" xfId="5143" xr:uid="{9C6D7400-5D8F-49FD-868D-B7D07A93C093}"/>
    <cellStyle name="Normal 6 5" xfId="3623" xr:uid="{00000000-0005-0000-0000-0000E90E0000}"/>
    <cellStyle name="Normal 6 5 2" xfId="3624" xr:uid="{00000000-0005-0000-0000-0000EA0E0000}"/>
    <cellStyle name="Normal 6 5 3" xfId="4580" xr:uid="{00000000-0005-0000-0000-0000EB0E0000}"/>
    <cellStyle name="Normal 6 5 3 2" xfId="5144" xr:uid="{48607F99-C52E-42BD-90D2-4E6733D80B8D}"/>
    <cellStyle name="Normal 6 5 4" xfId="4581" xr:uid="{00000000-0005-0000-0000-0000EC0E0000}"/>
    <cellStyle name="Normal 6 5 4 2" xfId="5145" xr:uid="{65276FE0-123B-463B-913F-07AB77863266}"/>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CE7D388B-639A-4BE2-9216-52848D2C0AA2}"/>
    <cellStyle name="Normal 60" xfId="4339" xr:uid="{00000000-0005-0000-0000-0000F10E0000}"/>
    <cellStyle name="Normal 60 2" xfId="5074" xr:uid="{919652F2-614E-440A-8451-24AF302496FD}"/>
    <cellStyle name="Normal 61" xfId="4340" xr:uid="{00000000-0005-0000-0000-0000F20E0000}"/>
    <cellStyle name="Normal 61 2" xfId="5075" xr:uid="{EBDA2116-5B82-4505-8AB0-A3B0B1D2EDAE}"/>
    <cellStyle name="Normal 62" xfId="4341" xr:uid="{00000000-0005-0000-0000-0000F30E0000}"/>
    <cellStyle name="Normal 62 2" xfId="5076" xr:uid="{2967BFF2-0118-429B-B2E0-FEEC595116A5}"/>
    <cellStyle name="Normal 63" xfId="4342" xr:uid="{00000000-0005-0000-0000-0000F40E0000}"/>
    <cellStyle name="Normal 63 2" xfId="5077" xr:uid="{408DE687-EC65-4C6A-A68B-99D907EFA66F}"/>
    <cellStyle name="Normal 64" xfId="4343" xr:uid="{00000000-0005-0000-0000-0000F50E0000}"/>
    <cellStyle name="Normal 64 2" xfId="5078" xr:uid="{10796AC0-19ED-4BA4-BCED-3909207E11C9}"/>
    <cellStyle name="Normal 65" xfId="4470" xr:uid="{00000000-0005-0000-0000-0000F60E0000}"/>
    <cellStyle name="Normal 65 2" xfId="5082" xr:uid="{9304A7A7-3E7E-487B-98C8-89746ACB4C84}"/>
    <cellStyle name="Normal 66" xfId="4667" xr:uid="{00000000-0005-0000-0000-0000F70E0000}"/>
    <cellStyle name="Normal 67" xfId="4671" xr:uid="{00000000-0005-0000-0000-0000F80E0000}"/>
    <cellStyle name="Normal 67 2" xfId="5162" xr:uid="{C4FB9154-DFE0-449A-821F-8FDF0386A096}"/>
    <cellStyle name="Normal 68" xfId="4695" xr:uid="{930C09BD-5977-4784-89E7-46D7EC3F37FF}"/>
    <cellStyle name="Normal 68 2" xfId="5182" xr:uid="{C7EBD77E-5A0C-43B1-9BF5-F6E735C418CD}"/>
    <cellStyle name="Normal 69" xfId="4344" xr:uid="{00000000-0005-0000-0000-0000F90E0000}"/>
    <cellStyle name="Normal 69 2" xfId="5079" xr:uid="{02AFA76C-36E8-476A-AC79-512A93253656}"/>
    <cellStyle name="Normal 69 3" xfId="4345" xr:uid="{00000000-0005-0000-0000-0000FA0E0000}"/>
    <cellStyle name="Normal 69 3 2" xfId="5080" xr:uid="{A54E4C0B-74D1-4956-94A3-49FD35E5F168}"/>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25965043-12D4-4E1C-8A78-68C675EA537F}"/>
    <cellStyle name="Normal 8 2" xfId="3639" xr:uid="{00000000-0005-0000-0000-0000090F0000}"/>
    <cellStyle name="Normal 8 2 2" xfId="3640" xr:uid="{00000000-0005-0000-0000-00000A0F0000}"/>
    <cellStyle name="Normal 8 2 2 2" xfId="4582" xr:uid="{00000000-0005-0000-0000-00000B0F0000}"/>
    <cellStyle name="Normal 8 2 2 2 2" xfId="5146" xr:uid="{436FA350-4A0A-42E3-A93B-88B0B8A339CF}"/>
    <cellStyle name="Normal 8 2 2 3" xfId="4583" xr:uid="{00000000-0005-0000-0000-00000C0F0000}"/>
    <cellStyle name="Normal 8 2 2 3 2" xfId="5147" xr:uid="{111D2EFE-ABDC-4F9E-951B-9B083590CB9C}"/>
    <cellStyle name="Normal 8 2 2 4" xfId="4584" xr:uid="{00000000-0005-0000-0000-00000D0F0000}"/>
    <cellStyle name="Normal 8 2 2 4 2" xfId="5148" xr:uid="{F09625D9-8BD8-4205-9CA1-E49369048A40}"/>
    <cellStyle name="Normal 8 2 3" xfId="4585" xr:uid="{00000000-0005-0000-0000-00000E0F0000}"/>
    <cellStyle name="Normal 8 2 3 2" xfId="5149" xr:uid="{A2BE971B-8E02-4D35-AC81-E7ACD589B350}"/>
    <cellStyle name="Normal 8 2 4" xfId="4586" xr:uid="{00000000-0005-0000-0000-00000F0F0000}"/>
    <cellStyle name="Normal 8 2 4 2" xfId="5150" xr:uid="{9EC01661-DF36-46F6-A8E2-C30FD7E80038}"/>
    <cellStyle name="Normal 8 2 5" xfId="4587" xr:uid="{00000000-0005-0000-0000-0000100F0000}"/>
    <cellStyle name="Normal 8 2 5 2" xfId="5151" xr:uid="{D0464704-0CFA-45FB-948A-B2C7F197E83C}"/>
    <cellStyle name="Normal 8 3" xfId="3641" xr:uid="{00000000-0005-0000-0000-0000110F0000}"/>
    <cellStyle name="Normal 8 3 2" xfId="3642" xr:uid="{00000000-0005-0000-0000-0000120F0000}"/>
    <cellStyle name="Normal 8 3 3" xfId="4588" xr:uid="{00000000-0005-0000-0000-0000130F0000}"/>
    <cellStyle name="Normal 8 3 3 2" xfId="5152" xr:uid="{3F24F0E7-F51A-450C-842E-F6F6E505964F}"/>
    <cellStyle name="Normal 8 3 4" xfId="4589" xr:uid="{00000000-0005-0000-0000-0000140F0000}"/>
    <cellStyle name="Normal 8 3 4 2" xfId="5153" xr:uid="{5E135F79-F350-4DC2-B9CF-35729B09D714}"/>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43779EFC-B804-48EE-A6F9-31D32E1669BC}"/>
    <cellStyle name="Normal 9 2 2 4" xfId="4591" xr:uid="{00000000-0005-0000-0000-00003A0F0000}"/>
    <cellStyle name="Normal 9 2 2 4 2" xfId="5155" xr:uid="{7777743F-8B94-4B5B-9112-8D975C290108}"/>
    <cellStyle name="Normal 9 2 3" xfId="3679" xr:uid="{00000000-0005-0000-0000-00003B0F0000}"/>
    <cellStyle name="Normal 9 2 4" xfId="4592" xr:uid="{00000000-0005-0000-0000-00003C0F0000}"/>
    <cellStyle name="Normal 9 2 4 2" xfId="5156" xr:uid="{2FF96D0B-C036-407E-9DD8-F21D9E1EA1EA}"/>
    <cellStyle name="Normal 9 2 5" xfId="4593" xr:uid="{00000000-0005-0000-0000-00003D0F0000}"/>
    <cellStyle name="Normal 9 2 5 2" xfId="5157" xr:uid="{0E6588C9-A573-4DD2-BA77-D6317D20CD17}"/>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34F0884A-BA0A-48B7-9F3E-735BB50019FB}"/>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B45F1B66-A17F-49A0-98E0-D681D7FC2703}"/>
    <cellStyle name="Percent 6 4" xfId="4652" xr:uid="{00000000-0005-0000-0000-000068110000}"/>
    <cellStyle name="Percent 6 4 2" xfId="5160" xr:uid="{CBC6CA34-3709-4915-B841-C330D9CF7511}"/>
    <cellStyle name="Percent 6 5" xfId="4653" xr:uid="{00000000-0005-0000-0000-000069110000}"/>
    <cellStyle name="Percent 6 5 2" xfId="5161" xr:uid="{0B2C4CDE-B8D7-4803-A43C-B0EE58517DBA}"/>
    <cellStyle name="Percent 60" xfId="4405" xr:uid="{00000000-0005-0000-0000-00006A110000}"/>
    <cellStyle name="Percent 60 2" xfId="4475" xr:uid="{00000000-0005-0000-0000-00006B110000}"/>
    <cellStyle name="Percent 60 2 2" xfId="5084" xr:uid="{1B57939F-0D74-4C89-B0D2-45EC969BBECE}"/>
    <cellStyle name="Percent 61" xfId="4406" xr:uid="{00000000-0005-0000-0000-00006C110000}"/>
    <cellStyle name="Percent 62" xfId="4407" xr:uid="{00000000-0005-0000-0000-00006D110000}"/>
    <cellStyle name="Percent 63" xfId="4697" xr:uid="{63099E72-3016-40D8-835C-DB8915A59847}"/>
    <cellStyle name="Percent 63 2" xfId="5184" xr:uid="{E44F9375-F4C5-4F46-9C98-82B6E66012FB}"/>
    <cellStyle name="Percent 7" xfId="4247" xr:uid="{00000000-0005-0000-0000-00006E110000}"/>
    <cellStyle name="Percent 7 2" xfId="4654" xr:uid="{00000000-0005-0000-0000-00006F110000}"/>
    <cellStyle name="Percent 7 3" xfId="5066" xr:uid="{ACEEE74D-68BD-479E-8411-047A48586BA7}"/>
    <cellStyle name="Percent 70" xfId="4408" xr:uid="{00000000-0005-0000-0000-000070110000}"/>
    <cellStyle name="Percent 70 2" xfId="5081" xr:uid="{98FFCE3E-42F6-4C62-9D1B-3FD040896FF4}"/>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7F238FB7-54A8-47C2-A2C0-53AB1F62DB38}"/>
    <cellStyle name="Percent 9 2 3" xfId="5175" xr:uid="{7674DD33-86EC-4BB3-90E1-E581C68C9CCA}"/>
    <cellStyle name="Percent 9 3" xfId="4689" xr:uid="{00000000-0005-0000-0000-000075110000}"/>
    <cellStyle name="Percent 9 3 2" xfId="5176" xr:uid="{0FDC6124-864A-4296-A3DA-81A9F13CBF89}"/>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99FF"/>
      <color rgb="FFFFFF99"/>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8"/>
  <sheetViews>
    <sheetView topLeftCell="A28" zoomScale="90" zoomScaleNormal="90" workbookViewId="0">
      <selection activeCell="C14" sqref="C14"/>
    </sheetView>
  </sheetViews>
  <sheetFormatPr defaultColWidth="8.6640625" defaultRowHeight="15.75"/>
  <cols>
    <col min="1" max="1" width="23.6640625" style="189" customWidth="1"/>
    <col min="2" max="2" width="36.6640625" style="189" customWidth="1"/>
    <col min="3" max="3" width="67" style="189" bestFit="1" customWidth="1"/>
    <col min="4" max="4" width="18.6640625" style="189" customWidth="1"/>
    <col min="5" max="16384" width="8.6640625" style="189"/>
  </cols>
  <sheetData>
    <row r="1" spans="1:5" ht="20.25">
      <c r="A1" s="964" t="s">
        <v>0</v>
      </c>
      <c r="B1" s="964"/>
      <c r="C1" s="964"/>
      <c r="D1" s="964"/>
      <c r="E1" s="964"/>
    </row>
    <row r="2" spans="1:5" ht="20.25">
      <c r="A2" s="964" t="s">
        <v>1</v>
      </c>
      <c r="B2" s="964"/>
      <c r="C2" s="964"/>
      <c r="D2" s="964"/>
      <c r="E2" s="964"/>
    </row>
    <row r="3" spans="1:5">
      <c r="A3" s="190"/>
    </row>
    <row r="4" spans="1:5" ht="20.25">
      <c r="A4" s="964" t="s">
        <v>2</v>
      </c>
      <c r="B4" s="964"/>
      <c r="C4" s="964"/>
      <c r="D4" s="964"/>
      <c r="E4" s="964"/>
    </row>
    <row r="5" spans="1:5">
      <c r="A5" s="190"/>
      <c r="E5" s="191" t="s">
        <v>3</v>
      </c>
    </row>
    <row r="6" spans="1:5">
      <c r="A6" s="190" t="s">
        <v>4</v>
      </c>
    </row>
    <row r="7" spans="1:5" ht="47.25" customHeight="1">
      <c r="A7" s="962" t="s">
        <v>5</v>
      </c>
      <c r="B7" s="962"/>
      <c r="C7" s="962"/>
      <c r="D7" s="962"/>
      <c r="E7" s="962"/>
    </row>
    <row r="8" spans="1:5">
      <c r="A8" s="192"/>
      <c r="B8" s="192"/>
      <c r="C8" s="192"/>
      <c r="D8" s="192"/>
      <c r="E8" s="192"/>
    </row>
    <row r="9" spans="1:5" ht="36.75" customHeight="1">
      <c r="A9" s="962" t="s">
        <v>6</v>
      </c>
      <c r="B9" s="962"/>
      <c r="C9" s="962"/>
      <c r="D9" s="962"/>
      <c r="E9" s="962"/>
    </row>
    <row r="10" spans="1:5">
      <c r="A10" s="190"/>
    </row>
    <row r="11" spans="1:5" ht="51.75" customHeight="1">
      <c r="A11" s="962" t="s">
        <v>7</v>
      </c>
      <c r="B11" s="962"/>
      <c r="C11" s="962"/>
      <c r="D11" s="962"/>
      <c r="E11" s="962"/>
    </row>
    <row r="12" spans="1:5" ht="32.25" customHeight="1">
      <c r="A12" s="193"/>
      <c r="B12" s="963" t="s">
        <v>8</v>
      </c>
      <c r="C12" s="963"/>
      <c r="D12" s="963"/>
      <c r="E12" s="963"/>
    </row>
    <row r="13" spans="1:5" ht="19.5" customHeight="1">
      <c r="A13" s="194"/>
      <c r="B13" s="195" t="s">
        <v>9</v>
      </c>
      <c r="C13" s="195"/>
      <c r="D13" s="195"/>
      <c r="E13" s="195"/>
    </row>
    <row r="14" spans="1:5">
      <c r="A14" s="190"/>
      <c r="C14" s="189" t="s">
        <v>10</v>
      </c>
    </row>
    <row r="16" spans="1:5" ht="16.5" thickBot="1">
      <c r="A16" s="196" t="s">
        <v>11</v>
      </c>
      <c r="B16" s="196" t="s">
        <v>12</v>
      </c>
      <c r="C16" s="196" t="s">
        <v>13</v>
      </c>
      <c r="D16" s="197" t="s">
        <v>14</v>
      </c>
      <c r="E16" s="196"/>
    </row>
    <row r="17" spans="1:4">
      <c r="D17" s="198"/>
    </row>
    <row r="18" spans="1:4">
      <c r="A18" s="199"/>
      <c r="D18" s="200"/>
    </row>
    <row r="19" spans="1:4">
      <c r="D19" s="198"/>
    </row>
    <row r="20" spans="1:4">
      <c r="A20" s="201" t="s">
        <v>15</v>
      </c>
      <c r="B20" s="189" t="s">
        <v>16</v>
      </c>
      <c r="C20" s="189" t="s">
        <v>17</v>
      </c>
      <c r="D20" s="200" t="s">
        <v>18</v>
      </c>
    </row>
    <row r="21" spans="1:4" ht="17.25" customHeight="1">
      <c r="D21" s="198"/>
    </row>
    <row r="22" spans="1:4">
      <c r="A22" s="201" t="s">
        <v>19</v>
      </c>
      <c r="B22" s="189" t="s">
        <v>20</v>
      </c>
      <c r="C22" s="189" t="s">
        <v>21</v>
      </c>
      <c r="D22" s="200" t="s">
        <v>18</v>
      </c>
    </row>
    <row r="23" spans="1:4">
      <c r="D23" s="200"/>
    </row>
    <row r="24" spans="1:4">
      <c r="A24" s="201" t="s">
        <v>22</v>
      </c>
      <c r="B24" s="189" t="s">
        <v>23</v>
      </c>
      <c r="C24" s="189" t="s">
        <v>24</v>
      </c>
      <c r="D24" s="200" t="s">
        <v>18</v>
      </c>
    </row>
    <row r="25" spans="1:4">
      <c r="D25" s="200"/>
    </row>
    <row r="26" spans="1:4">
      <c r="A26" s="201" t="s">
        <v>25</v>
      </c>
      <c r="B26" s="189" t="s">
        <v>26</v>
      </c>
      <c r="C26" s="189" t="s">
        <v>27</v>
      </c>
      <c r="D26" s="200" t="s">
        <v>18</v>
      </c>
    </row>
    <row r="27" spans="1:4">
      <c r="A27" s="201"/>
      <c r="D27" s="200"/>
    </row>
    <row r="28" spans="1:4">
      <c r="A28" s="852" t="s">
        <v>28</v>
      </c>
      <c r="B28" s="853" t="s">
        <v>29</v>
      </c>
      <c r="C28" s="853" t="s">
        <v>30</v>
      </c>
      <c r="D28" s="854" t="s">
        <v>18</v>
      </c>
    </row>
    <row r="29" spans="1:4">
      <c r="A29" s="852"/>
      <c r="B29" s="853"/>
      <c r="C29" s="853"/>
      <c r="D29" s="854"/>
    </row>
    <row r="30" spans="1:4">
      <c r="A30" s="852" t="s">
        <v>31</v>
      </c>
      <c r="B30" s="853" t="s">
        <v>32</v>
      </c>
      <c r="C30" s="853" t="s">
        <v>33</v>
      </c>
      <c r="D30" s="854" t="s">
        <v>34</v>
      </c>
    </row>
    <row r="31" spans="1:4">
      <c r="D31" s="200"/>
    </row>
    <row r="32" spans="1:4">
      <c r="A32" s="201" t="s">
        <v>35</v>
      </c>
      <c r="B32" s="189" t="s">
        <v>36</v>
      </c>
      <c r="C32" s="189" t="s">
        <v>37</v>
      </c>
      <c r="D32" s="200" t="s">
        <v>18</v>
      </c>
    </row>
    <row r="33" spans="1:4">
      <c r="D33" s="200"/>
    </row>
    <row r="34" spans="1:4">
      <c r="A34" s="201" t="s">
        <v>38</v>
      </c>
      <c r="B34" s="189" t="s">
        <v>39</v>
      </c>
      <c r="C34" s="189" t="s">
        <v>40</v>
      </c>
      <c r="D34" s="200" t="s">
        <v>18</v>
      </c>
    </row>
    <row r="35" spans="1:4">
      <c r="D35" s="200"/>
    </row>
    <row r="36" spans="1:4">
      <c r="A36" s="201" t="s">
        <v>41</v>
      </c>
      <c r="B36" s="189" t="s">
        <v>42</v>
      </c>
      <c r="C36" s="189" t="s">
        <v>43</v>
      </c>
      <c r="D36" s="200" t="s">
        <v>18</v>
      </c>
    </row>
    <row r="37" spans="1:4">
      <c r="D37" s="200"/>
    </row>
    <row r="38" spans="1:4">
      <c r="A38" s="189" t="s">
        <v>44</v>
      </c>
      <c r="B38" s="189" t="s">
        <v>45</v>
      </c>
      <c r="C38" s="189" t="s">
        <v>46</v>
      </c>
      <c r="D38" s="200" t="s">
        <v>18</v>
      </c>
    </row>
    <row r="39" spans="1:4">
      <c r="D39" s="200"/>
    </row>
    <row r="40" spans="1:4">
      <c r="A40" s="189" t="s">
        <v>47</v>
      </c>
      <c r="B40" s="189" t="s">
        <v>48</v>
      </c>
      <c r="C40" s="189" t="s">
        <v>49</v>
      </c>
      <c r="D40" s="200" t="s">
        <v>18</v>
      </c>
    </row>
    <row r="41" spans="1:4">
      <c r="D41" s="200"/>
    </row>
    <row r="42" spans="1:4">
      <c r="A42" s="189" t="s">
        <v>50</v>
      </c>
      <c r="B42" s="189" t="s">
        <v>51</v>
      </c>
      <c r="C42" s="189" t="s">
        <v>52</v>
      </c>
      <c r="D42" s="200" t="s">
        <v>18</v>
      </c>
    </row>
    <row r="43" spans="1:4">
      <c r="D43" s="200"/>
    </row>
    <row r="44" spans="1:4">
      <c r="A44" s="201" t="s">
        <v>53</v>
      </c>
      <c r="B44" s="189" t="s">
        <v>54</v>
      </c>
      <c r="C44" s="189" t="s">
        <v>55</v>
      </c>
      <c r="D44" s="200" t="s">
        <v>34</v>
      </c>
    </row>
    <row r="45" spans="1:4">
      <c r="D45" s="200"/>
    </row>
    <row r="46" spans="1:4">
      <c r="A46" s="201" t="s">
        <v>56</v>
      </c>
      <c r="B46" s="189" t="s">
        <v>57</v>
      </c>
      <c r="C46" s="189" t="s">
        <v>58</v>
      </c>
      <c r="D46" s="200" t="s">
        <v>59</v>
      </c>
    </row>
    <row r="47" spans="1:4">
      <c r="D47" s="200"/>
    </row>
    <row r="48" spans="1:4">
      <c r="A48" s="201" t="s">
        <v>60</v>
      </c>
      <c r="B48" s="189" t="s">
        <v>61</v>
      </c>
      <c r="C48" s="189" t="s">
        <v>62</v>
      </c>
      <c r="D48" s="200" t="s">
        <v>59</v>
      </c>
    </row>
    <row r="49" spans="1:4">
      <c r="D49" s="200"/>
    </row>
    <row r="50" spans="1:4">
      <c r="A50" s="201" t="s">
        <v>63</v>
      </c>
      <c r="B50" s="189" t="s">
        <v>64</v>
      </c>
      <c r="C50" s="189" t="s">
        <v>65</v>
      </c>
      <c r="D50" s="200" t="s">
        <v>59</v>
      </c>
    </row>
    <row r="51" spans="1:4">
      <c r="D51" s="200"/>
    </row>
    <row r="52" spans="1:4">
      <c r="A52" s="201" t="s">
        <v>66</v>
      </c>
      <c r="B52" s="189" t="s">
        <v>67</v>
      </c>
      <c r="C52" s="189" t="s">
        <v>68</v>
      </c>
      <c r="D52" s="200" t="s">
        <v>59</v>
      </c>
    </row>
    <row r="53" spans="1:4">
      <c r="A53" s="202"/>
      <c r="B53" s="202"/>
      <c r="C53" s="202"/>
      <c r="D53" s="203"/>
    </row>
    <row r="54" spans="1:4">
      <c r="A54" s="201" t="s">
        <v>69</v>
      </c>
      <c r="B54" s="189" t="s">
        <v>70</v>
      </c>
      <c r="C54" s="189" t="s">
        <v>71</v>
      </c>
      <c r="D54" s="200" t="s">
        <v>59</v>
      </c>
    </row>
    <row r="55" spans="1:4">
      <c r="A55" s="202"/>
      <c r="B55" s="202"/>
      <c r="C55" s="202"/>
      <c r="D55" s="203"/>
    </row>
    <row r="56" spans="1:4">
      <c r="A56" s="201" t="s">
        <v>72</v>
      </c>
      <c r="B56" s="189" t="s">
        <v>73</v>
      </c>
      <c r="C56" s="189" t="s">
        <v>74</v>
      </c>
      <c r="D56" s="200" t="s">
        <v>59</v>
      </c>
    </row>
    <row r="57" spans="1:4">
      <c r="A57" s="202"/>
      <c r="B57" s="202"/>
      <c r="C57" s="202"/>
      <c r="D57" s="203"/>
    </row>
    <row r="58" spans="1:4">
      <c r="A58" s="201" t="s">
        <v>75</v>
      </c>
      <c r="B58" s="189" t="s">
        <v>75</v>
      </c>
      <c r="C58" s="189" t="s">
        <v>76</v>
      </c>
      <c r="D58" s="200" t="s">
        <v>34</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oddHeader>&amp;RDocket No. ER22-___-000
Exhibit No. BHCOE-206</oddHeader>
    <firstHeader>&amp;RDocket No. ER22-___-000
Exhibit No. BHCOE-206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4" workbookViewId="0">
      <selection activeCell="J25" sqref="J25"/>
    </sheetView>
  </sheetViews>
  <sheetFormatPr defaultColWidth="7.109375" defaultRowHeight="12.75"/>
  <cols>
    <col min="1" max="1" width="2.109375" style="204" customWidth="1"/>
    <col min="2" max="2" width="4.6640625" style="204" customWidth="1"/>
    <col min="3" max="3" width="11.21875" style="204" customWidth="1"/>
    <col min="4" max="4" width="9.44140625" style="204" bestFit="1" customWidth="1"/>
    <col min="5" max="5" width="11.21875" style="204" customWidth="1"/>
    <col min="6" max="6" width="13" style="204" customWidth="1"/>
    <col min="7" max="7" width="13.88671875" style="204" customWidth="1"/>
    <col min="8" max="8" width="8.21875" style="217" customWidth="1"/>
    <col min="9" max="9" width="8.21875" style="931" customWidth="1"/>
    <col min="10" max="256" width="7.109375" style="204"/>
    <col min="257" max="257" width="10.21875" style="204" customWidth="1"/>
    <col min="258" max="258" width="3.5546875" style="204" customWidth="1"/>
    <col min="259" max="260" width="1.6640625" style="204" customWidth="1"/>
    <col min="261" max="261" width="4" style="204" customWidth="1"/>
    <col min="262" max="262" width="24.21875" style="204" customWidth="1"/>
    <col min="263" max="263" width="1.6640625" style="204" customWidth="1"/>
    <col min="264" max="265" width="8.21875" style="204" customWidth="1"/>
    <col min="266" max="512" width="7.109375" style="204"/>
    <col min="513" max="513" width="10.21875" style="204" customWidth="1"/>
    <col min="514" max="514" width="3.5546875" style="204" customWidth="1"/>
    <col min="515" max="516" width="1.6640625" style="204" customWidth="1"/>
    <col min="517" max="517" width="4" style="204" customWidth="1"/>
    <col min="518" max="518" width="24.21875" style="204" customWidth="1"/>
    <col min="519" max="519" width="1.6640625" style="204" customWidth="1"/>
    <col min="520" max="521" width="8.21875" style="204" customWidth="1"/>
    <col min="522" max="768" width="7.109375" style="204"/>
    <col min="769" max="769" width="10.21875" style="204" customWidth="1"/>
    <col min="770" max="770" width="3.5546875" style="204" customWidth="1"/>
    <col min="771" max="772" width="1.6640625" style="204" customWidth="1"/>
    <col min="773" max="773" width="4" style="204" customWidth="1"/>
    <col min="774" max="774" width="24.21875" style="204" customWidth="1"/>
    <col min="775" max="775" width="1.6640625" style="204" customWidth="1"/>
    <col min="776" max="777" width="8.21875" style="204" customWidth="1"/>
    <col min="778" max="1024" width="7.109375" style="204"/>
    <col min="1025" max="1025" width="10.21875" style="204" customWidth="1"/>
    <col min="1026" max="1026" width="3.5546875" style="204" customWidth="1"/>
    <col min="1027" max="1028" width="1.6640625" style="204" customWidth="1"/>
    <col min="1029" max="1029" width="4" style="204" customWidth="1"/>
    <col min="1030" max="1030" width="24.21875" style="204" customWidth="1"/>
    <col min="1031" max="1031" width="1.6640625" style="204" customWidth="1"/>
    <col min="1032" max="1033" width="8.21875" style="204" customWidth="1"/>
    <col min="1034" max="1280" width="7.109375" style="204"/>
    <col min="1281" max="1281" width="10.21875" style="204" customWidth="1"/>
    <col min="1282" max="1282" width="3.5546875" style="204" customWidth="1"/>
    <col min="1283" max="1284" width="1.6640625" style="204" customWidth="1"/>
    <col min="1285" max="1285" width="4" style="204" customWidth="1"/>
    <col min="1286" max="1286" width="24.21875" style="204" customWidth="1"/>
    <col min="1287" max="1287" width="1.6640625" style="204" customWidth="1"/>
    <col min="1288" max="1289" width="8.21875" style="204" customWidth="1"/>
    <col min="1290" max="1536" width="7.109375" style="204"/>
    <col min="1537" max="1537" width="10.21875" style="204" customWidth="1"/>
    <col min="1538" max="1538" width="3.5546875" style="204" customWidth="1"/>
    <col min="1539" max="1540" width="1.6640625" style="204" customWidth="1"/>
    <col min="1541" max="1541" width="4" style="204" customWidth="1"/>
    <col min="1542" max="1542" width="24.21875" style="204" customWidth="1"/>
    <col min="1543" max="1543" width="1.6640625" style="204" customWidth="1"/>
    <col min="1544" max="1545" width="8.21875" style="204" customWidth="1"/>
    <col min="1546" max="1792" width="7.109375" style="204"/>
    <col min="1793" max="1793" width="10.21875" style="204" customWidth="1"/>
    <col min="1794" max="1794" width="3.5546875" style="204" customWidth="1"/>
    <col min="1795" max="1796" width="1.6640625" style="204" customWidth="1"/>
    <col min="1797" max="1797" width="4" style="204" customWidth="1"/>
    <col min="1798" max="1798" width="24.21875" style="204" customWidth="1"/>
    <col min="1799" max="1799" width="1.6640625" style="204" customWidth="1"/>
    <col min="1800" max="1801" width="8.21875" style="204" customWidth="1"/>
    <col min="1802" max="2048" width="7.109375" style="204"/>
    <col min="2049" max="2049" width="10.21875" style="204" customWidth="1"/>
    <col min="2050" max="2050" width="3.5546875" style="204" customWidth="1"/>
    <col min="2051" max="2052" width="1.6640625" style="204" customWidth="1"/>
    <col min="2053" max="2053" width="4" style="204" customWidth="1"/>
    <col min="2054" max="2054" width="24.21875" style="204" customWidth="1"/>
    <col min="2055" max="2055" width="1.6640625" style="204" customWidth="1"/>
    <col min="2056" max="2057" width="8.21875" style="204" customWidth="1"/>
    <col min="2058" max="2304" width="7.109375" style="204"/>
    <col min="2305" max="2305" width="10.21875" style="204" customWidth="1"/>
    <col min="2306" max="2306" width="3.5546875" style="204" customWidth="1"/>
    <col min="2307" max="2308" width="1.6640625" style="204" customWidth="1"/>
    <col min="2309" max="2309" width="4" style="204" customWidth="1"/>
    <col min="2310" max="2310" width="24.21875" style="204" customWidth="1"/>
    <col min="2311" max="2311" width="1.6640625" style="204" customWidth="1"/>
    <col min="2312" max="2313" width="8.21875" style="204" customWidth="1"/>
    <col min="2314" max="2560" width="7.109375" style="204"/>
    <col min="2561" max="2561" width="10.21875" style="204" customWidth="1"/>
    <col min="2562" max="2562" width="3.5546875" style="204" customWidth="1"/>
    <col min="2563" max="2564" width="1.6640625" style="204" customWidth="1"/>
    <col min="2565" max="2565" width="4" style="204" customWidth="1"/>
    <col min="2566" max="2566" width="24.21875" style="204" customWidth="1"/>
    <col min="2567" max="2567" width="1.6640625" style="204" customWidth="1"/>
    <col min="2568" max="2569" width="8.21875" style="204" customWidth="1"/>
    <col min="2570" max="2816" width="7.109375" style="204"/>
    <col min="2817" max="2817" width="10.21875" style="204" customWidth="1"/>
    <col min="2818" max="2818" width="3.5546875" style="204" customWidth="1"/>
    <col min="2819" max="2820" width="1.6640625" style="204" customWidth="1"/>
    <col min="2821" max="2821" width="4" style="204" customWidth="1"/>
    <col min="2822" max="2822" width="24.21875" style="204" customWidth="1"/>
    <col min="2823" max="2823" width="1.6640625" style="204" customWidth="1"/>
    <col min="2824" max="2825" width="8.21875" style="204" customWidth="1"/>
    <col min="2826" max="3072" width="7.109375" style="204"/>
    <col min="3073" max="3073" width="10.21875" style="204" customWidth="1"/>
    <col min="3074" max="3074" width="3.5546875" style="204" customWidth="1"/>
    <col min="3075" max="3076" width="1.6640625" style="204" customWidth="1"/>
    <col min="3077" max="3077" width="4" style="204" customWidth="1"/>
    <col min="3078" max="3078" width="24.21875" style="204" customWidth="1"/>
    <col min="3079" max="3079" width="1.6640625" style="204" customWidth="1"/>
    <col min="3080" max="3081" width="8.21875" style="204" customWidth="1"/>
    <col min="3082" max="3328" width="7.109375" style="204"/>
    <col min="3329" max="3329" width="10.21875" style="204" customWidth="1"/>
    <col min="3330" max="3330" width="3.5546875" style="204" customWidth="1"/>
    <col min="3331" max="3332" width="1.6640625" style="204" customWidth="1"/>
    <col min="3333" max="3333" width="4" style="204" customWidth="1"/>
    <col min="3334" max="3334" width="24.21875" style="204" customWidth="1"/>
    <col min="3335" max="3335" width="1.6640625" style="204" customWidth="1"/>
    <col min="3336" max="3337" width="8.21875" style="204" customWidth="1"/>
    <col min="3338" max="3584" width="7.109375" style="204"/>
    <col min="3585" max="3585" width="10.21875" style="204" customWidth="1"/>
    <col min="3586" max="3586" width="3.5546875" style="204" customWidth="1"/>
    <col min="3587" max="3588" width="1.6640625" style="204" customWidth="1"/>
    <col min="3589" max="3589" width="4" style="204" customWidth="1"/>
    <col min="3590" max="3590" width="24.21875" style="204" customWidth="1"/>
    <col min="3591" max="3591" width="1.6640625" style="204" customWidth="1"/>
    <col min="3592" max="3593" width="8.21875" style="204" customWidth="1"/>
    <col min="3594" max="3840" width="7.109375" style="204"/>
    <col min="3841" max="3841" width="10.21875" style="204" customWidth="1"/>
    <col min="3842" max="3842" width="3.5546875" style="204" customWidth="1"/>
    <col min="3843" max="3844" width="1.6640625" style="204" customWidth="1"/>
    <col min="3845" max="3845" width="4" style="204" customWidth="1"/>
    <col min="3846" max="3846" width="24.21875" style="204" customWidth="1"/>
    <col min="3847" max="3847" width="1.6640625" style="204" customWidth="1"/>
    <col min="3848" max="3849" width="8.21875" style="204" customWidth="1"/>
    <col min="3850" max="4096" width="7.109375" style="204"/>
    <col min="4097" max="4097" width="10.21875" style="204" customWidth="1"/>
    <col min="4098" max="4098" width="3.5546875" style="204" customWidth="1"/>
    <col min="4099" max="4100" width="1.6640625" style="204" customWidth="1"/>
    <col min="4101" max="4101" width="4" style="204" customWidth="1"/>
    <col min="4102" max="4102" width="24.21875" style="204" customWidth="1"/>
    <col min="4103" max="4103" width="1.6640625" style="204" customWidth="1"/>
    <col min="4104" max="4105" width="8.21875" style="204" customWidth="1"/>
    <col min="4106" max="4352" width="7.109375" style="204"/>
    <col min="4353" max="4353" width="10.21875" style="204" customWidth="1"/>
    <col min="4354" max="4354" width="3.5546875" style="204" customWidth="1"/>
    <col min="4355" max="4356" width="1.6640625" style="204" customWidth="1"/>
    <col min="4357" max="4357" width="4" style="204" customWidth="1"/>
    <col min="4358" max="4358" width="24.21875" style="204" customWidth="1"/>
    <col min="4359" max="4359" width="1.6640625" style="204" customWidth="1"/>
    <col min="4360" max="4361" width="8.21875" style="204" customWidth="1"/>
    <col min="4362" max="4608" width="7.109375" style="204"/>
    <col min="4609" max="4609" width="10.21875" style="204" customWidth="1"/>
    <col min="4610" max="4610" width="3.5546875" style="204" customWidth="1"/>
    <col min="4611" max="4612" width="1.6640625" style="204" customWidth="1"/>
    <col min="4613" max="4613" width="4" style="204" customWidth="1"/>
    <col min="4614" max="4614" width="24.21875" style="204" customWidth="1"/>
    <col min="4615" max="4615" width="1.6640625" style="204" customWidth="1"/>
    <col min="4616" max="4617" width="8.21875" style="204" customWidth="1"/>
    <col min="4618" max="4864" width="7.109375" style="204"/>
    <col min="4865" max="4865" width="10.21875" style="204" customWidth="1"/>
    <col min="4866" max="4866" width="3.5546875" style="204" customWidth="1"/>
    <col min="4867" max="4868" width="1.6640625" style="204" customWidth="1"/>
    <col min="4869" max="4869" width="4" style="204" customWidth="1"/>
    <col min="4870" max="4870" width="24.21875" style="204" customWidth="1"/>
    <col min="4871" max="4871" width="1.6640625" style="204" customWidth="1"/>
    <col min="4872" max="4873" width="8.21875" style="204" customWidth="1"/>
    <col min="4874" max="5120" width="7.109375" style="204"/>
    <col min="5121" max="5121" width="10.21875" style="204" customWidth="1"/>
    <col min="5122" max="5122" width="3.5546875" style="204" customWidth="1"/>
    <col min="5123" max="5124" width="1.6640625" style="204" customWidth="1"/>
    <col min="5125" max="5125" width="4" style="204" customWidth="1"/>
    <col min="5126" max="5126" width="24.21875" style="204" customWidth="1"/>
    <col min="5127" max="5127" width="1.6640625" style="204" customWidth="1"/>
    <col min="5128" max="5129" width="8.21875" style="204" customWidth="1"/>
    <col min="5130" max="5376" width="7.109375" style="204"/>
    <col min="5377" max="5377" width="10.21875" style="204" customWidth="1"/>
    <col min="5378" max="5378" width="3.5546875" style="204" customWidth="1"/>
    <col min="5379" max="5380" width="1.6640625" style="204" customWidth="1"/>
    <col min="5381" max="5381" width="4" style="204" customWidth="1"/>
    <col min="5382" max="5382" width="24.21875" style="204" customWidth="1"/>
    <col min="5383" max="5383" width="1.6640625" style="204" customWidth="1"/>
    <col min="5384" max="5385" width="8.21875" style="204" customWidth="1"/>
    <col min="5386" max="5632" width="7.109375" style="204"/>
    <col min="5633" max="5633" width="10.21875" style="204" customWidth="1"/>
    <col min="5634" max="5634" width="3.5546875" style="204" customWidth="1"/>
    <col min="5635" max="5636" width="1.6640625" style="204" customWidth="1"/>
    <col min="5637" max="5637" width="4" style="204" customWidth="1"/>
    <col min="5638" max="5638" width="24.21875" style="204" customWidth="1"/>
    <col min="5639" max="5639" width="1.6640625" style="204" customWidth="1"/>
    <col min="5640" max="5641" width="8.21875" style="204" customWidth="1"/>
    <col min="5642" max="5888" width="7.109375" style="204"/>
    <col min="5889" max="5889" width="10.21875" style="204" customWidth="1"/>
    <col min="5890" max="5890" width="3.5546875" style="204" customWidth="1"/>
    <col min="5891" max="5892" width="1.6640625" style="204" customWidth="1"/>
    <col min="5893" max="5893" width="4" style="204" customWidth="1"/>
    <col min="5894" max="5894" width="24.21875" style="204" customWidth="1"/>
    <col min="5895" max="5895" width="1.6640625" style="204" customWidth="1"/>
    <col min="5896" max="5897" width="8.21875" style="204" customWidth="1"/>
    <col min="5898" max="6144" width="7.109375" style="204"/>
    <col min="6145" max="6145" width="10.21875" style="204" customWidth="1"/>
    <col min="6146" max="6146" width="3.5546875" style="204" customWidth="1"/>
    <col min="6147" max="6148" width="1.6640625" style="204" customWidth="1"/>
    <col min="6149" max="6149" width="4" style="204" customWidth="1"/>
    <col min="6150" max="6150" width="24.21875" style="204" customWidth="1"/>
    <col min="6151" max="6151" width="1.6640625" style="204" customWidth="1"/>
    <col min="6152" max="6153" width="8.21875" style="204" customWidth="1"/>
    <col min="6154" max="6400" width="7.109375" style="204"/>
    <col min="6401" max="6401" width="10.21875" style="204" customWidth="1"/>
    <col min="6402" max="6402" width="3.5546875" style="204" customWidth="1"/>
    <col min="6403" max="6404" width="1.6640625" style="204" customWidth="1"/>
    <col min="6405" max="6405" width="4" style="204" customWidth="1"/>
    <col min="6406" max="6406" width="24.21875" style="204" customWidth="1"/>
    <col min="6407" max="6407" width="1.6640625" style="204" customWidth="1"/>
    <col min="6408" max="6409" width="8.21875" style="204" customWidth="1"/>
    <col min="6410" max="6656" width="7.109375" style="204"/>
    <col min="6657" max="6657" width="10.21875" style="204" customWidth="1"/>
    <col min="6658" max="6658" width="3.5546875" style="204" customWidth="1"/>
    <col min="6659" max="6660" width="1.6640625" style="204" customWidth="1"/>
    <col min="6661" max="6661" width="4" style="204" customWidth="1"/>
    <col min="6662" max="6662" width="24.21875" style="204" customWidth="1"/>
    <col min="6663" max="6663" width="1.6640625" style="204" customWidth="1"/>
    <col min="6664" max="6665" width="8.21875" style="204" customWidth="1"/>
    <col min="6666" max="6912" width="7.109375" style="204"/>
    <col min="6913" max="6913" width="10.21875" style="204" customWidth="1"/>
    <col min="6914" max="6914" width="3.5546875" style="204" customWidth="1"/>
    <col min="6915" max="6916" width="1.6640625" style="204" customWidth="1"/>
    <col min="6917" max="6917" width="4" style="204" customWidth="1"/>
    <col min="6918" max="6918" width="24.21875" style="204" customWidth="1"/>
    <col min="6919" max="6919" width="1.6640625" style="204" customWidth="1"/>
    <col min="6920" max="6921" width="8.21875" style="204" customWidth="1"/>
    <col min="6922" max="7168" width="7.109375" style="204"/>
    <col min="7169" max="7169" width="10.21875" style="204" customWidth="1"/>
    <col min="7170" max="7170" width="3.5546875" style="204" customWidth="1"/>
    <col min="7171" max="7172" width="1.6640625" style="204" customWidth="1"/>
    <col min="7173" max="7173" width="4" style="204" customWidth="1"/>
    <col min="7174" max="7174" width="24.21875" style="204" customWidth="1"/>
    <col min="7175" max="7175" width="1.6640625" style="204" customWidth="1"/>
    <col min="7176" max="7177" width="8.21875" style="204" customWidth="1"/>
    <col min="7178" max="7424" width="7.109375" style="204"/>
    <col min="7425" max="7425" width="10.21875" style="204" customWidth="1"/>
    <col min="7426" max="7426" width="3.5546875" style="204" customWidth="1"/>
    <col min="7427" max="7428" width="1.6640625" style="204" customWidth="1"/>
    <col min="7429" max="7429" width="4" style="204" customWidth="1"/>
    <col min="7430" max="7430" width="24.21875" style="204" customWidth="1"/>
    <col min="7431" max="7431" width="1.6640625" style="204" customWidth="1"/>
    <col min="7432" max="7433" width="8.21875" style="204" customWidth="1"/>
    <col min="7434" max="7680" width="7.109375" style="204"/>
    <col min="7681" max="7681" width="10.21875" style="204" customWidth="1"/>
    <col min="7682" max="7682" width="3.5546875" style="204" customWidth="1"/>
    <col min="7683" max="7684" width="1.6640625" style="204" customWidth="1"/>
    <col min="7685" max="7685" width="4" style="204" customWidth="1"/>
    <col min="7686" max="7686" width="24.21875" style="204" customWidth="1"/>
    <col min="7687" max="7687" width="1.6640625" style="204" customWidth="1"/>
    <col min="7688" max="7689" width="8.21875" style="204" customWidth="1"/>
    <col min="7690" max="7936" width="7.109375" style="204"/>
    <col min="7937" max="7937" width="10.21875" style="204" customWidth="1"/>
    <col min="7938" max="7938" width="3.5546875" style="204" customWidth="1"/>
    <col min="7939" max="7940" width="1.6640625" style="204" customWidth="1"/>
    <col min="7941" max="7941" width="4" style="204" customWidth="1"/>
    <col min="7942" max="7942" width="24.21875" style="204" customWidth="1"/>
    <col min="7943" max="7943" width="1.6640625" style="204" customWidth="1"/>
    <col min="7944" max="7945" width="8.21875" style="204" customWidth="1"/>
    <col min="7946" max="8192" width="7.109375" style="204"/>
    <col min="8193" max="8193" width="10.21875" style="204" customWidth="1"/>
    <col min="8194" max="8194" width="3.5546875" style="204" customWidth="1"/>
    <col min="8195" max="8196" width="1.6640625" style="204" customWidth="1"/>
    <col min="8197" max="8197" width="4" style="204" customWidth="1"/>
    <col min="8198" max="8198" width="24.21875" style="204" customWidth="1"/>
    <col min="8199" max="8199" width="1.6640625" style="204" customWidth="1"/>
    <col min="8200" max="8201" width="8.21875" style="204" customWidth="1"/>
    <col min="8202" max="8448" width="7.109375" style="204"/>
    <col min="8449" max="8449" width="10.21875" style="204" customWidth="1"/>
    <col min="8450" max="8450" width="3.5546875" style="204" customWidth="1"/>
    <col min="8451" max="8452" width="1.6640625" style="204" customWidth="1"/>
    <col min="8453" max="8453" width="4" style="204" customWidth="1"/>
    <col min="8454" max="8454" width="24.21875" style="204" customWidth="1"/>
    <col min="8455" max="8455" width="1.6640625" style="204" customWidth="1"/>
    <col min="8456" max="8457" width="8.21875" style="204" customWidth="1"/>
    <col min="8458" max="8704" width="7.109375" style="204"/>
    <col min="8705" max="8705" width="10.21875" style="204" customWidth="1"/>
    <col min="8706" max="8706" width="3.5546875" style="204" customWidth="1"/>
    <col min="8707" max="8708" width="1.6640625" style="204" customWidth="1"/>
    <col min="8709" max="8709" width="4" style="204" customWidth="1"/>
    <col min="8710" max="8710" width="24.21875" style="204" customWidth="1"/>
    <col min="8711" max="8711" width="1.6640625" style="204" customWidth="1"/>
    <col min="8712" max="8713" width="8.21875" style="204" customWidth="1"/>
    <col min="8714" max="8960" width="7.109375" style="204"/>
    <col min="8961" max="8961" width="10.21875" style="204" customWidth="1"/>
    <col min="8962" max="8962" width="3.5546875" style="204" customWidth="1"/>
    <col min="8963" max="8964" width="1.6640625" style="204" customWidth="1"/>
    <col min="8965" max="8965" width="4" style="204" customWidth="1"/>
    <col min="8966" max="8966" width="24.21875" style="204" customWidth="1"/>
    <col min="8967" max="8967" width="1.6640625" style="204" customWidth="1"/>
    <col min="8968" max="8969" width="8.21875" style="204" customWidth="1"/>
    <col min="8970" max="9216" width="7.109375" style="204"/>
    <col min="9217" max="9217" width="10.21875" style="204" customWidth="1"/>
    <col min="9218" max="9218" width="3.5546875" style="204" customWidth="1"/>
    <col min="9219" max="9220" width="1.6640625" style="204" customWidth="1"/>
    <col min="9221" max="9221" width="4" style="204" customWidth="1"/>
    <col min="9222" max="9222" width="24.21875" style="204" customWidth="1"/>
    <col min="9223" max="9223" width="1.6640625" style="204" customWidth="1"/>
    <col min="9224" max="9225" width="8.21875" style="204" customWidth="1"/>
    <col min="9226" max="9472" width="7.109375" style="204"/>
    <col min="9473" max="9473" width="10.21875" style="204" customWidth="1"/>
    <col min="9474" max="9474" width="3.5546875" style="204" customWidth="1"/>
    <col min="9475" max="9476" width="1.6640625" style="204" customWidth="1"/>
    <col min="9477" max="9477" width="4" style="204" customWidth="1"/>
    <col min="9478" max="9478" width="24.21875" style="204" customWidth="1"/>
    <col min="9479" max="9479" width="1.6640625" style="204" customWidth="1"/>
    <col min="9480" max="9481" width="8.21875" style="204" customWidth="1"/>
    <col min="9482" max="9728" width="7.109375" style="204"/>
    <col min="9729" max="9729" width="10.21875" style="204" customWidth="1"/>
    <col min="9730" max="9730" width="3.5546875" style="204" customWidth="1"/>
    <col min="9731" max="9732" width="1.6640625" style="204" customWidth="1"/>
    <col min="9733" max="9733" width="4" style="204" customWidth="1"/>
    <col min="9734" max="9734" width="24.21875" style="204" customWidth="1"/>
    <col min="9735" max="9735" width="1.6640625" style="204" customWidth="1"/>
    <col min="9736" max="9737" width="8.21875" style="204" customWidth="1"/>
    <col min="9738" max="9984" width="7.109375" style="204"/>
    <col min="9985" max="9985" width="10.21875" style="204" customWidth="1"/>
    <col min="9986" max="9986" width="3.5546875" style="204" customWidth="1"/>
    <col min="9987" max="9988" width="1.6640625" style="204" customWidth="1"/>
    <col min="9989" max="9989" width="4" style="204" customWidth="1"/>
    <col min="9990" max="9990" width="24.21875" style="204" customWidth="1"/>
    <col min="9991" max="9991" width="1.6640625" style="204" customWidth="1"/>
    <col min="9992" max="9993" width="8.21875" style="204" customWidth="1"/>
    <col min="9994" max="10240" width="7.109375" style="204"/>
    <col min="10241" max="10241" width="10.21875" style="204" customWidth="1"/>
    <col min="10242" max="10242" width="3.5546875" style="204" customWidth="1"/>
    <col min="10243" max="10244" width="1.6640625" style="204" customWidth="1"/>
    <col min="10245" max="10245" width="4" style="204" customWidth="1"/>
    <col min="10246" max="10246" width="24.21875" style="204" customWidth="1"/>
    <col min="10247" max="10247" width="1.6640625" style="204" customWidth="1"/>
    <col min="10248" max="10249" width="8.21875" style="204" customWidth="1"/>
    <col min="10250" max="10496" width="7.109375" style="204"/>
    <col min="10497" max="10497" width="10.21875" style="204" customWidth="1"/>
    <col min="10498" max="10498" width="3.5546875" style="204" customWidth="1"/>
    <col min="10499" max="10500" width="1.6640625" style="204" customWidth="1"/>
    <col min="10501" max="10501" width="4" style="204" customWidth="1"/>
    <col min="10502" max="10502" width="24.21875" style="204" customWidth="1"/>
    <col min="10503" max="10503" width="1.6640625" style="204" customWidth="1"/>
    <col min="10504" max="10505" width="8.21875" style="204" customWidth="1"/>
    <col min="10506" max="10752" width="7.109375" style="204"/>
    <col min="10753" max="10753" width="10.21875" style="204" customWidth="1"/>
    <col min="10754" max="10754" width="3.5546875" style="204" customWidth="1"/>
    <col min="10755" max="10756" width="1.6640625" style="204" customWidth="1"/>
    <col min="10757" max="10757" width="4" style="204" customWidth="1"/>
    <col min="10758" max="10758" width="24.21875" style="204" customWidth="1"/>
    <col min="10759" max="10759" width="1.6640625" style="204" customWidth="1"/>
    <col min="10760" max="10761" width="8.21875" style="204" customWidth="1"/>
    <col min="10762" max="11008" width="7.109375" style="204"/>
    <col min="11009" max="11009" width="10.21875" style="204" customWidth="1"/>
    <col min="11010" max="11010" width="3.5546875" style="204" customWidth="1"/>
    <col min="11011" max="11012" width="1.6640625" style="204" customWidth="1"/>
    <col min="11013" max="11013" width="4" style="204" customWidth="1"/>
    <col min="11014" max="11014" width="24.21875" style="204" customWidth="1"/>
    <col min="11015" max="11015" width="1.6640625" style="204" customWidth="1"/>
    <col min="11016" max="11017" width="8.21875" style="204" customWidth="1"/>
    <col min="11018" max="11264" width="7.109375" style="204"/>
    <col min="11265" max="11265" width="10.21875" style="204" customWidth="1"/>
    <col min="11266" max="11266" width="3.5546875" style="204" customWidth="1"/>
    <col min="11267" max="11268" width="1.6640625" style="204" customWidth="1"/>
    <col min="11269" max="11269" width="4" style="204" customWidth="1"/>
    <col min="11270" max="11270" width="24.21875" style="204" customWidth="1"/>
    <col min="11271" max="11271" width="1.6640625" style="204" customWidth="1"/>
    <col min="11272" max="11273" width="8.21875" style="204" customWidth="1"/>
    <col min="11274" max="11520" width="7.109375" style="204"/>
    <col min="11521" max="11521" width="10.21875" style="204" customWidth="1"/>
    <col min="11522" max="11522" width="3.5546875" style="204" customWidth="1"/>
    <col min="11523" max="11524" width="1.6640625" style="204" customWidth="1"/>
    <col min="11525" max="11525" width="4" style="204" customWidth="1"/>
    <col min="11526" max="11526" width="24.21875" style="204" customWidth="1"/>
    <col min="11527" max="11527" width="1.6640625" style="204" customWidth="1"/>
    <col min="11528" max="11529" width="8.21875" style="204" customWidth="1"/>
    <col min="11530" max="11776" width="7.109375" style="204"/>
    <col min="11777" max="11777" width="10.21875" style="204" customWidth="1"/>
    <col min="11778" max="11778" width="3.5546875" style="204" customWidth="1"/>
    <col min="11779" max="11780" width="1.6640625" style="204" customWidth="1"/>
    <col min="11781" max="11781" width="4" style="204" customWidth="1"/>
    <col min="11782" max="11782" width="24.21875" style="204" customWidth="1"/>
    <col min="11783" max="11783" width="1.6640625" style="204" customWidth="1"/>
    <col min="11784" max="11785" width="8.21875" style="204" customWidth="1"/>
    <col min="11786" max="12032" width="7.109375" style="204"/>
    <col min="12033" max="12033" width="10.21875" style="204" customWidth="1"/>
    <col min="12034" max="12034" width="3.5546875" style="204" customWidth="1"/>
    <col min="12035" max="12036" width="1.6640625" style="204" customWidth="1"/>
    <col min="12037" max="12037" width="4" style="204" customWidth="1"/>
    <col min="12038" max="12038" width="24.21875" style="204" customWidth="1"/>
    <col min="12039" max="12039" width="1.6640625" style="204" customWidth="1"/>
    <col min="12040" max="12041" width="8.21875" style="204" customWidth="1"/>
    <col min="12042" max="12288" width="7.109375" style="204"/>
    <col min="12289" max="12289" width="10.21875" style="204" customWidth="1"/>
    <col min="12290" max="12290" width="3.5546875" style="204" customWidth="1"/>
    <col min="12291" max="12292" width="1.6640625" style="204" customWidth="1"/>
    <col min="12293" max="12293" width="4" style="204" customWidth="1"/>
    <col min="12294" max="12294" width="24.21875" style="204" customWidth="1"/>
    <col min="12295" max="12295" width="1.6640625" style="204" customWidth="1"/>
    <col min="12296" max="12297" width="8.21875" style="204" customWidth="1"/>
    <col min="12298" max="12544" width="7.109375" style="204"/>
    <col min="12545" max="12545" width="10.21875" style="204" customWidth="1"/>
    <col min="12546" max="12546" width="3.5546875" style="204" customWidth="1"/>
    <col min="12547" max="12548" width="1.6640625" style="204" customWidth="1"/>
    <col min="12549" max="12549" width="4" style="204" customWidth="1"/>
    <col min="12550" max="12550" width="24.21875" style="204" customWidth="1"/>
    <col min="12551" max="12551" width="1.6640625" style="204" customWidth="1"/>
    <col min="12552" max="12553" width="8.21875" style="204" customWidth="1"/>
    <col min="12554" max="12800" width="7.109375" style="204"/>
    <col min="12801" max="12801" width="10.21875" style="204" customWidth="1"/>
    <col min="12802" max="12802" width="3.5546875" style="204" customWidth="1"/>
    <col min="12803" max="12804" width="1.6640625" style="204" customWidth="1"/>
    <col min="12805" max="12805" width="4" style="204" customWidth="1"/>
    <col min="12806" max="12806" width="24.21875" style="204" customWidth="1"/>
    <col min="12807" max="12807" width="1.6640625" style="204" customWidth="1"/>
    <col min="12808" max="12809" width="8.21875" style="204" customWidth="1"/>
    <col min="12810" max="13056" width="7.109375" style="204"/>
    <col min="13057" max="13057" width="10.21875" style="204" customWidth="1"/>
    <col min="13058" max="13058" width="3.5546875" style="204" customWidth="1"/>
    <col min="13059" max="13060" width="1.6640625" style="204" customWidth="1"/>
    <col min="13061" max="13061" width="4" style="204" customWidth="1"/>
    <col min="13062" max="13062" width="24.21875" style="204" customWidth="1"/>
    <col min="13063" max="13063" width="1.6640625" style="204" customWidth="1"/>
    <col min="13064" max="13065" width="8.21875" style="204" customWidth="1"/>
    <col min="13066" max="13312" width="7.109375" style="204"/>
    <col min="13313" max="13313" width="10.21875" style="204" customWidth="1"/>
    <col min="13314" max="13314" width="3.5546875" style="204" customWidth="1"/>
    <col min="13315" max="13316" width="1.6640625" style="204" customWidth="1"/>
    <col min="13317" max="13317" width="4" style="204" customWidth="1"/>
    <col min="13318" max="13318" width="24.21875" style="204" customWidth="1"/>
    <col min="13319" max="13319" width="1.6640625" style="204" customWidth="1"/>
    <col min="13320" max="13321" width="8.21875" style="204" customWidth="1"/>
    <col min="13322" max="13568" width="7.109375" style="204"/>
    <col min="13569" max="13569" width="10.21875" style="204" customWidth="1"/>
    <col min="13570" max="13570" width="3.5546875" style="204" customWidth="1"/>
    <col min="13571" max="13572" width="1.6640625" style="204" customWidth="1"/>
    <col min="13573" max="13573" width="4" style="204" customWidth="1"/>
    <col min="13574" max="13574" width="24.21875" style="204" customWidth="1"/>
    <col min="13575" max="13575" width="1.6640625" style="204" customWidth="1"/>
    <col min="13576" max="13577" width="8.21875" style="204" customWidth="1"/>
    <col min="13578" max="13824" width="7.109375" style="204"/>
    <col min="13825" max="13825" width="10.21875" style="204" customWidth="1"/>
    <col min="13826" max="13826" width="3.5546875" style="204" customWidth="1"/>
    <col min="13827" max="13828" width="1.6640625" style="204" customWidth="1"/>
    <col min="13829" max="13829" width="4" style="204" customWidth="1"/>
    <col min="13830" max="13830" width="24.21875" style="204" customWidth="1"/>
    <col min="13831" max="13831" width="1.6640625" style="204" customWidth="1"/>
    <col min="13832" max="13833" width="8.21875" style="204" customWidth="1"/>
    <col min="13834" max="14080" width="7.109375" style="204"/>
    <col min="14081" max="14081" width="10.21875" style="204" customWidth="1"/>
    <col min="14082" max="14082" width="3.5546875" style="204" customWidth="1"/>
    <col min="14083" max="14084" width="1.6640625" style="204" customWidth="1"/>
    <col min="14085" max="14085" width="4" style="204" customWidth="1"/>
    <col min="14086" max="14086" width="24.21875" style="204" customWidth="1"/>
    <col min="14087" max="14087" width="1.6640625" style="204" customWidth="1"/>
    <col min="14088" max="14089" width="8.21875" style="204" customWidth="1"/>
    <col min="14090" max="14336" width="7.109375" style="204"/>
    <col min="14337" max="14337" width="10.21875" style="204" customWidth="1"/>
    <col min="14338" max="14338" width="3.5546875" style="204" customWidth="1"/>
    <col min="14339" max="14340" width="1.6640625" style="204" customWidth="1"/>
    <col min="14341" max="14341" width="4" style="204" customWidth="1"/>
    <col min="14342" max="14342" width="24.21875" style="204" customWidth="1"/>
    <col min="14343" max="14343" width="1.6640625" style="204" customWidth="1"/>
    <col min="14344" max="14345" width="8.21875" style="204" customWidth="1"/>
    <col min="14346" max="14592" width="7.109375" style="204"/>
    <col min="14593" max="14593" width="10.21875" style="204" customWidth="1"/>
    <col min="14594" max="14594" width="3.5546875" style="204" customWidth="1"/>
    <col min="14595" max="14596" width="1.6640625" style="204" customWidth="1"/>
    <col min="14597" max="14597" width="4" style="204" customWidth="1"/>
    <col min="14598" max="14598" width="24.21875" style="204" customWidth="1"/>
    <col min="14599" max="14599" width="1.6640625" style="204" customWidth="1"/>
    <col min="14600" max="14601" width="8.21875" style="204" customWidth="1"/>
    <col min="14602" max="14848" width="7.109375" style="204"/>
    <col min="14849" max="14849" width="10.21875" style="204" customWidth="1"/>
    <col min="14850" max="14850" width="3.5546875" style="204" customWidth="1"/>
    <col min="14851" max="14852" width="1.6640625" style="204" customWidth="1"/>
    <col min="14853" max="14853" width="4" style="204" customWidth="1"/>
    <col min="14854" max="14854" width="24.21875" style="204" customWidth="1"/>
    <col min="14855" max="14855" width="1.6640625" style="204" customWidth="1"/>
    <col min="14856" max="14857" width="8.21875" style="204" customWidth="1"/>
    <col min="14858" max="15104" width="7.109375" style="204"/>
    <col min="15105" max="15105" width="10.21875" style="204" customWidth="1"/>
    <col min="15106" max="15106" width="3.5546875" style="204" customWidth="1"/>
    <col min="15107" max="15108" width="1.6640625" style="204" customWidth="1"/>
    <col min="15109" max="15109" width="4" style="204" customWidth="1"/>
    <col min="15110" max="15110" width="24.21875" style="204" customWidth="1"/>
    <col min="15111" max="15111" width="1.6640625" style="204" customWidth="1"/>
    <col min="15112" max="15113" width="8.21875" style="204" customWidth="1"/>
    <col min="15114" max="15360" width="7.109375" style="204"/>
    <col min="15361" max="15361" width="10.21875" style="204" customWidth="1"/>
    <col min="15362" max="15362" width="3.5546875" style="204" customWidth="1"/>
    <col min="15363" max="15364" width="1.6640625" style="204" customWidth="1"/>
    <col min="15365" max="15365" width="4" style="204" customWidth="1"/>
    <col min="15366" max="15366" width="24.21875" style="204" customWidth="1"/>
    <col min="15367" max="15367" width="1.6640625" style="204" customWidth="1"/>
    <col min="15368" max="15369" width="8.21875" style="204" customWidth="1"/>
    <col min="15370" max="15616" width="7.109375" style="204"/>
    <col min="15617" max="15617" width="10.21875" style="204" customWidth="1"/>
    <col min="15618" max="15618" width="3.5546875" style="204" customWidth="1"/>
    <col min="15619" max="15620" width="1.6640625" style="204" customWidth="1"/>
    <col min="15621" max="15621" width="4" style="204" customWidth="1"/>
    <col min="15622" max="15622" width="24.21875" style="204" customWidth="1"/>
    <col min="15623" max="15623" width="1.6640625" style="204" customWidth="1"/>
    <col min="15624" max="15625" width="8.21875" style="204" customWidth="1"/>
    <col min="15626" max="15872" width="7.109375" style="204"/>
    <col min="15873" max="15873" width="10.21875" style="204" customWidth="1"/>
    <col min="15874" max="15874" width="3.5546875" style="204" customWidth="1"/>
    <col min="15875" max="15876" width="1.6640625" style="204" customWidth="1"/>
    <col min="15877" max="15877" width="4" style="204" customWidth="1"/>
    <col min="15878" max="15878" width="24.21875" style="204" customWidth="1"/>
    <col min="15879" max="15879" width="1.6640625" style="204" customWidth="1"/>
    <col min="15880" max="15881" width="8.21875" style="204" customWidth="1"/>
    <col min="15882" max="16128" width="7.109375" style="204"/>
    <col min="16129" max="16129" width="10.21875" style="204" customWidth="1"/>
    <col min="16130" max="16130" width="3.5546875" style="204" customWidth="1"/>
    <col min="16131" max="16132" width="1.6640625" style="204" customWidth="1"/>
    <col min="16133" max="16133" width="4" style="204" customWidth="1"/>
    <col min="16134" max="16134" width="24.21875" style="204" customWidth="1"/>
    <col min="16135" max="16135" width="1.6640625" style="204" customWidth="1"/>
    <col min="16136" max="16137" width="8.21875" style="204" customWidth="1"/>
    <col min="16138" max="16384" width="7.109375" style="204"/>
  </cols>
  <sheetData>
    <row r="1" spans="1:8" ht="14.25" customHeight="1">
      <c r="A1" s="990" t="s">
        <v>42</v>
      </c>
      <c r="B1" s="990"/>
      <c r="C1" s="990"/>
      <c r="D1" s="990"/>
      <c r="E1" s="990"/>
      <c r="F1" s="990"/>
      <c r="G1" s="990"/>
      <c r="H1" s="218"/>
    </row>
    <row r="2" spans="1:8">
      <c r="A2" s="990" t="s">
        <v>824</v>
      </c>
      <c r="B2" s="990"/>
      <c r="C2" s="990"/>
      <c r="D2" s="990"/>
      <c r="E2" s="990"/>
      <c r="F2" s="990"/>
      <c r="G2" s="990"/>
      <c r="H2" s="218"/>
    </row>
    <row r="3" spans="1:8">
      <c r="A3" s="991" t="str">
        <f>'Act Att-H'!C7</f>
        <v>Black Hills Colorado Electric, LLC</v>
      </c>
      <c r="B3" s="991"/>
      <c r="C3" s="991"/>
      <c r="D3" s="991"/>
      <c r="E3" s="991"/>
      <c r="F3" s="991"/>
      <c r="G3" s="991"/>
      <c r="H3" s="230"/>
    </row>
    <row r="4" spans="1:8">
      <c r="F4" s="2"/>
      <c r="G4" s="205" t="s">
        <v>3</v>
      </c>
    </row>
    <row r="5" spans="1:8">
      <c r="A5" s="218"/>
      <c r="B5" s="218"/>
      <c r="C5" s="218"/>
      <c r="D5" s="218"/>
      <c r="E5" s="218"/>
      <c r="F5" s="218"/>
      <c r="G5" s="218"/>
      <c r="H5" s="218"/>
    </row>
    <row r="6" spans="1:8" ht="60.75" customHeight="1">
      <c r="B6" s="128" t="s">
        <v>82</v>
      </c>
      <c r="C6" s="128" t="s">
        <v>635</v>
      </c>
      <c r="D6" s="231" t="s">
        <v>825</v>
      </c>
      <c r="E6" s="231" t="s">
        <v>826</v>
      </c>
      <c r="F6" s="231" t="s">
        <v>827</v>
      </c>
      <c r="G6" s="231" t="s">
        <v>828</v>
      </c>
      <c r="H6" s="204"/>
    </row>
    <row r="7" spans="1:8" ht="15" customHeight="1">
      <c r="B7" s="227"/>
      <c r="C7" s="232" t="s">
        <v>458</v>
      </c>
      <c r="D7" s="233" t="s">
        <v>459</v>
      </c>
      <c r="E7" s="233" t="s">
        <v>460</v>
      </c>
      <c r="F7" s="233" t="s">
        <v>461</v>
      </c>
      <c r="G7" s="233" t="s">
        <v>479</v>
      </c>
      <c r="H7" s="204"/>
    </row>
    <row r="8" spans="1:8" ht="15" customHeight="1">
      <c r="B8" s="206">
        <v>1</v>
      </c>
      <c r="C8" s="421" t="s">
        <v>651</v>
      </c>
      <c r="D8" s="420">
        <v>2021</v>
      </c>
      <c r="E8" s="712">
        <f>(273+15+5)*1000</f>
        <v>293000</v>
      </c>
      <c r="F8" s="234">
        <f>E8</f>
        <v>293000</v>
      </c>
      <c r="G8" s="235"/>
      <c r="H8" s="204"/>
    </row>
    <row r="9" spans="1:8" ht="15" customHeight="1">
      <c r="B9" s="206">
        <v>2</v>
      </c>
      <c r="C9" s="421" t="s">
        <v>652</v>
      </c>
      <c r="D9" s="422">
        <f>D8</f>
        <v>2021</v>
      </c>
      <c r="E9" s="712">
        <f>(296+19+5)*1000</f>
        <v>320000</v>
      </c>
      <c r="F9" s="234">
        <f t="shared" ref="F9:F15" si="0">E9</f>
        <v>320000</v>
      </c>
      <c r="G9" s="235"/>
      <c r="H9" s="204"/>
    </row>
    <row r="10" spans="1:8" ht="15" customHeight="1">
      <c r="B10" s="206">
        <v>3</v>
      </c>
      <c r="C10" s="421" t="s">
        <v>829</v>
      </c>
      <c r="D10" s="422">
        <f t="shared" ref="D10:D19" si="1">D9</f>
        <v>2021</v>
      </c>
      <c r="E10" s="712">
        <f>(265+14+5)*1000</f>
        <v>284000</v>
      </c>
      <c r="F10" s="234">
        <f t="shared" si="0"/>
        <v>284000</v>
      </c>
      <c r="G10" s="235"/>
      <c r="H10" s="204"/>
    </row>
    <row r="11" spans="1:8" ht="15" customHeight="1">
      <c r="B11" s="206">
        <v>4</v>
      </c>
      <c r="C11" s="421" t="s">
        <v>654</v>
      </c>
      <c r="D11" s="422">
        <f t="shared" si="1"/>
        <v>2021</v>
      </c>
      <c r="E11" s="712">
        <f>(255+11+5)*1000</f>
        <v>271000</v>
      </c>
      <c r="F11" s="234">
        <f t="shared" si="0"/>
        <v>271000</v>
      </c>
      <c r="G11" s="235"/>
      <c r="H11" s="204"/>
    </row>
    <row r="12" spans="1:8" ht="15" customHeight="1">
      <c r="B12" s="206">
        <v>5</v>
      </c>
      <c r="C12" s="421" t="s">
        <v>655</v>
      </c>
      <c r="D12" s="422">
        <f t="shared" si="1"/>
        <v>2021</v>
      </c>
      <c r="E12" s="712">
        <f>(275+7+5)*1000</f>
        <v>287000</v>
      </c>
      <c r="F12" s="234">
        <f t="shared" si="0"/>
        <v>287000</v>
      </c>
      <c r="G12" s="235"/>
      <c r="H12" s="204"/>
    </row>
    <row r="13" spans="1:8" ht="15" customHeight="1">
      <c r="B13" s="206">
        <v>6</v>
      </c>
      <c r="C13" s="421" t="s">
        <v>18</v>
      </c>
      <c r="D13" s="422">
        <f t="shared" si="1"/>
        <v>2021</v>
      </c>
      <c r="E13" s="712">
        <f>(395+8+5)*1000</f>
        <v>408000</v>
      </c>
      <c r="F13" s="234">
        <f t="shared" si="0"/>
        <v>408000</v>
      </c>
      <c r="G13" s="235"/>
      <c r="H13" s="204"/>
    </row>
    <row r="14" spans="1:8" ht="15" customHeight="1">
      <c r="B14" s="206">
        <v>7</v>
      </c>
      <c r="C14" s="421" t="s">
        <v>656</v>
      </c>
      <c r="D14" s="422">
        <f t="shared" si="1"/>
        <v>2021</v>
      </c>
      <c r="E14" s="712">
        <f>(407+9+5)*1000</f>
        <v>421000</v>
      </c>
      <c r="F14" s="234">
        <f t="shared" si="0"/>
        <v>421000</v>
      </c>
      <c r="G14" s="235"/>
      <c r="H14" s="204"/>
    </row>
    <row r="15" spans="1:8" ht="15" customHeight="1">
      <c r="B15" s="206">
        <v>8</v>
      </c>
      <c r="C15" s="421" t="s">
        <v>830</v>
      </c>
      <c r="D15" s="422">
        <f t="shared" si="1"/>
        <v>2021</v>
      </c>
      <c r="E15" s="712">
        <f>(401+9+5)*1000</f>
        <v>415000</v>
      </c>
      <c r="F15" s="234">
        <f t="shared" si="0"/>
        <v>415000</v>
      </c>
      <c r="G15" s="235"/>
      <c r="H15" s="204"/>
    </row>
    <row r="16" spans="1:8" ht="15" customHeight="1">
      <c r="B16" s="206">
        <v>9</v>
      </c>
      <c r="C16" s="421" t="s">
        <v>658</v>
      </c>
      <c r="D16" s="422">
        <f t="shared" si="1"/>
        <v>2021</v>
      </c>
      <c r="E16" s="712">
        <f>(393+9+5)*1000</f>
        <v>407000</v>
      </c>
      <c r="F16" s="236"/>
      <c r="G16" s="237">
        <f>E16/F22</f>
        <v>1.2063727306409782</v>
      </c>
      <c r="H16" s="204"/>
    </row>
    <row r="17" spans="2:9" ht="15.75">
      <c r="B17" s="206">
        <v>10</v>
      </c>
      <c r="C17" s="421" t="s">
        <v>659</v>
      </c>
      <c r="D17" s="422">
        <f t="shared" si="1"/>
        <v>2021</v>
      </c>
      <c r="E17" s="712">
        <f>(275+7+5)*1000</f>
        <v>287000</v>
      </c>
      <c r="F17" s="236"/>
      <c r="G17" s="237">
        <f>E17/F22</f>
        <v>0.85068543905150051</v>
      </c>
      <c r="H17" s="204"/>
    </row>
    <row r="18" spans="2:9" ht="15.75">
      <c r="B18" s="206">
        <v>11</v>
      </c>
      <c r="C18" s="421" t="s">
        <v>660</v>
      </c>
      <c r="D18" s="422">
        <f t="shared" si="1"/>
        <v>2021</v>
      </c>
      <c r="E18" s="712">
        <f>(267+13+5)*1000</f>
        <v>285000</v>
      </c>
      <c r="F18" s="236"/>
      <c r="G18" s="237">
        <f>E18/F22</f>
        <v>0.84475731752500927</v>
      </c>
      <c r="H18" s="204"/>
    </row>
    <row r="19" spans="2:9" ht="15.75">
      <c r="B19" s="206">
        <v>12</v>
      </c>
      <c r="C19" s="421" t="s">
        <v>831</v>
      </c>
      <c r="D19" s="422">
        <f t="shared" si="1"/>
        <v>2021</v>
      </c>
      <c r="E19" s="712">
        <f>(278+15+5)*1000</f>
        <v>298000</v>
      </c>
      <c r="F19" s="236"/>
      <c r="G19" s="237">
        <f>E19/F22</f>
        <v>0.88329010744720271</v>
      </c>
      <c r="H19" s="204"/>
    </row>
    <row r="20" spans="2:9">
      <c r="B20" s="206">
        <v>13</v>
      </c>
      <c r="C20" s="238" t="s">
        <v>90</v>
      </c>
      <c r="D20" s="238"/>
      <c r="E20" s="239">
        <f t="shared" ref="E20" si="2">SUM(E8:E19)</f>
        <v>3976000</v>
      </c>
      <c r="G20" s="237"/>
      <c r="H20" s="204"/>
    </row>
    <row r="21" spans="2:9">
      <c r="B21" s="206">
        <v>14</v>
      </c>
      <c r="C21" s="238" t="s">
        <v>832</v>
      </c>
      <c r="D21" s="238"/>
      <c r="E21" s="240">
        <f t="shared" ref="E21" si="3">E20/12</f>
        <v>331333.33333333331</v>
      </c>
      <c r="G21" s="241"/>
      <c r="H21" s="204"/>
    </row>
    <row r="22" spans="2:9">
      <c r="B22" s="206">
        <v>15</v>
      </c>
      <c r="C22" s="205" t="s">
        <v>833</v>
      </c>
      <c r="F22" s="234">
        <f>AVERAGE(F8:F15)</f>
        <v>337375</v>
      </c>
      <c r="G22" s="229"/>
      <c r="H22" s="204"/>
      <c r="I22" s="942"/>
    </row>
    <row r="23" spans="2:9">
      <c r="B23" s="206"/>
      <c r="H23" s="228"/>
    </row>
    <row r="24" spans="2:9">
      <c r="B24" s="206" t="s">
        <v>496</v>
      </c>
      <c r="H24" s="228"/>
    </row>
    <row r="25" spans="2:9">
      <c r="B25" s="206" t="s">
        <v>387</v>
      </c>
      <c r="C25" s="204" t="s">
        <v>834</v>
      </c>
      <c r="H25" s="228"/>
    </row>
    <row r="26" spans="2:9">
      <c r="B26" s="206" t="s">
        <v>389</v>
      </c>
      <c r="C26" s="590" t="s">
        <v>835</v>
      </c>
      <c r="H26" s="228"/>
    </row>
    <row r="27" spans="2:9">
      <c r="B27" s="206"/>
      <c r="H27" s="228"/>
    </row>
    <row r="28" spans="2:9">
      <c r="B28" s="206"/>
      <c r="H28" s="228"/>
    </row>
    <row r="29" spans="2:9">
      <c r="B29" s="206"/>
      <c r="H29" s="228"/>
    </row>
    <row r="30" spans="2:9">
      <c r="B30" s="206"/>
      <c r="H30" s="228"/>
    </row>
    <row r="31" spans="2:9">
      <c r="B31" s="206"/>
      <c r="H31" s="228"/>
    </row>
    <row r="32" spans="2:9">
      <c r="B32" s="206"/>
      <c r="H32" s="228"/>
    </row>
    <row r="33" spans="2:5">
      <c r="B33" s="206"/>
    </row>
    <row r="34" spans="2:5">
      <c r="B34" s="206"/>
      <c r="E34" s="205"/>
    </row>
  </sheetData>
  <mergeCells count="3">
    <mergeCell ref="A1:G1"/>
    <mergeCell ref="A2:G2"/>
    <mergeCell ref="A3:G3"/>
  </mergeCells>
  <printOptions horizontalCentered="1"/>
  <pageMargins left="0.75" right="0.75" top="1" bottom="1" header="0.5" footer="0.5"/>
  <pageSetup scale="84" orientation="portrait" r:id="rId1"/>
  <headerFooter alignWithMargins="0"/>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25" workbookViewId="0">
      <selection activeCell="O45" sqref="O45"/>
    </sheetView>
  </sheetViews>
  <sheetFormatPr defaultColWidth="8.6640625" defaultRowHeight="15"/>
  <cols>
    <col min="1" max="1" width="5" style="1" bestFit="1" customWidth="1"/>
    <col min="2" max="2" width="6.109375" style="28" customWidth="1"/>
    <col min="3" max="6" width="12.6640625" style="2" customWidth="1"/>
    <col min="7" max="7" width="1.6640625" style="28" customWidth="1"/>
    <col min="8" max="15" width="12.6640625" style="2" customWidth="1"/>
    <col min="16" max="16" width="10.6640625" style="2" customWidth="1"/>
    <col min="17" max="17" width="8.6640625" style="4"/>
    <col min="18" max="16384" width="8.6640625" style="2"/>
  </cols>
  <sheetData>
    <row r="1" spans="1:19">
      <c r="A1" s="987" t="s">
        <v>45</v>
      </c>
      <c r="B1" s="987"/>
      <c r="C1" s="987"/>
      <c r="D1" s="987"/>
      <c r="E1" s="987"/>
      <c r="F1" s="987"/>
      <c r="G1" s="987"/>
      <c r="H1" s="987"/>
      <c r="I1" s="987"/>
      <c r="J1" s="987"/>
      <c r="K1" s="987"/>
      <c r="L1" s="987"/>
      <c r="M1" s="987"/>
      <c r="N1" s="987"/>
      <c r="O1" s="987"/>
    </row>
    <row r="2" spans="1:19">
      <c r="A2" s="1017" t="s">
        <v>836</v>
      </c>
      <c r="B2" s="1017"/>
      <c r="C2" s="1017"/>
      <c r="D2" s="1017"/>
      <c r="E2" s="1017"/>
      <c r="F2" s="1017"/>
      <c r="G2" s="1017"/>
      <c r="H2" s="1017"/>
      <c r="I2" s="1017"/>
      <c r="J2" s="1017"/>
      <c r="K2" s="1017"/>
      <c r="L2" s="1017"/>
      <c r="M2" s="1017"/>
      <c r="N2" s="1017"/>
      <c r="O2" s="1017"/>
    </row>
    <row r="3" spans="1:19">
      <c r="A3" s="1018" t="str">
        <f>'Act Att-H'!C7</f>
        <v>Black Hills Colorado Electric, LLC</v>
      </c>
      <c r="B3" s="1018"/>
      <c r="C3" s="1018"/>
      <c r="D3" s="1018"/>
      <c r="E3" s="1018"/>
      <c r="F3" s="1018"/>
      <c r="G3" s="1018"/>
      <c r="H3" s="1018"/>
      <c r="I3" s="1018"/>
      <c r="J3" s="1018"/>
      <c r="K3" s="1018"/>
      <c r="L3" s="1018"/>
      <c r="M3" s="1018"/>
      <c r="N3" s="1018"/>
      <c r="O3" s="1018"/>
    </row>
    <row r="4" spans="1:19">
      <c r="A4" s="5"/>
      <c r="C4" s="3"/>
      <c r="D4" s="3"/>
      <c r="E4" s="3"/>
      <c r="F4" s="3"/>
      <c r="G4" s="346"/>
      <c r="H4" s="3"/>
      <c r="I4" s="3"/>
      <c r="O4" s="188" t="s">
        <v>3</v>
      </c>
    </row>
    <row r="5" spans="1:19" ht="15" customHeight="1">
      <c r="A5" s="46"/>
      <c r="C5" s="48"/>
      <c r="D5" s="48"/>
      <c r="E5" s="48"/>
      <c r="F5" s="48"/>
      <c r="G5" s="347"/>
    </row>
    <row r="6" spans="1:19" s="316" customFormat="1">
      <c r="A6" s="350" t="s">
        <v>82</v>
      </c>
      <c r="G6" s="325"/>
      <c r="H6" s="356" t="s">
        <v>837</v>
      </c>
      <c r="I6" s="591" t="s">
        <v>838</v>
      </c>
      <c r="P6" s="2"/>
      <c r="Q6" s="4"/>
      <c r="R6" s="2"/>
      <c r="S6" s="2"/>
    </row>
    <row r="7" spans="1:19" s="316" customFormat="1">
      <c r="A7" s="348">
        <v>1</v>
      </c>
      <c r="B7" s="325"/>
      <c r="G7" s="325"/>
      <c r="H7" s="317" t="s">
        <v>839</v>
      </c>
      <c r="I7" s="338" t="s">
        <v>840</v>
      </c>
      <c r="J7" s="338"/>
      <c r="K7" s="341"/>
      <c r="L7" s="317" t="s">
        <v>839</v>
      </c>
      <c r="M7" s="338" t="s">
        <v>841</v>
      </c>
      <c r="N7" s="338"/>
      <c r="O7" s="362"/>
      <c r="P7" s="2"/>
      <c r="Q7" s="4"/>
      <c r="R7" s="2"/>
      <c r="S7" s="2"/>
    </row>
    <row r="8" spans="1:19" s="316" customFormat="1">
      <c r="A8" s="348">
        <f>A7+1</f>
        <v>2</v>
      </c>
      <c r="B8" s="325"/>
      <c r="G8" s="325"/>
      <c r="H8" s="318" t="s">
        <v>842</v>
      </c>
      <c r="I8" s="339" t="s">
        <v>843</v>
      </c>
      <c r="L8" s="318" t="s">
        <v>842</v>
      </c>
      <c r="M8" s="339" t="s">
        <v>843</v>
      </c>
      <c r="O8" s="319"/>
      <c r="P8" s="2"/>
      <c r="Q8" s="4"/>
      <c r="R8" s="2"/>
      <c r="S8" s="2"/>
    </row>
    <row r="9" spans="1:19" s="316" customFormat="1">
      <c r="A9" s="348">
        <f t="shared" ref="A9:A14" si="0">A8+1</f>
        <v>3</v>
      </c>
      <c r="B9" s="325"/>
      <c r="G9" s="325"/>
      <c r="H9" s="318" t="s">
        <v>844</v>
      </c>
      <c r="I9" s="340">
        <v>0</v>
      </c>
      <c r="J9" s="316" t="s">
        <v>534</v>
      </c>
      <c r="L9" s="318" t="s">
        <v>844</v>
      </c>
      <c r="M9" s="340">
        <v>0</v>
      </c>
      <c r="N9" s="316" t="s">
        <v>534</v>
      </c>
      <c r="O9" s="319"/>
      <c r="P9" s="2"/>
      <c r="Q9" s="4"/>
      <c r="R9" s="2"/>
      <c r="S9" s="2"/>
    </row>
    <row r="10" spans="1:19" s="316" customFormat="1">
      <c r="A10" s="348">
        <f t="shared" si="0"/>
        <v>4</v>
      </c>
      <c r="B10" s="325"/>
      <c r="G10" s="325"/>
      <c r="H10" s="318" t="s">
        <v>845</v>
      </c>
      <c r="I10" s="340">
        <v>0</v>
      </c>
      <c r="J10" s="316" t="s">
        <v>535</v>
      </c>
      <c r="L10" s="318" t="s">
        <v>845</v>
      </c>
      <c r="M10" s="340">
        <v>0</v>
      </c>
      <c r="N10" s="316" t="s">
        <v>535</v>
      </c>
      <c r="O10" s="319"/>
      <c r="P10" s="2"/>
      <c r="Q10" s="4"/>
      <c r="R10" s="2"/>
      <c r="S10" s="2"/>
    </row>
    <row r="11" spans="1:19" s="316" customFormat="1">
      <c r="A11" s="348">
        <f t="shared" si="0"/>
        <v>5</v>
      </c>
      <c r="B11" s="325"/>
      <c r="G11" s="325"/>
      <c r="H11" s="318" t="s">
        <v>846</v>
      </c>
      <c r="I11" s="320">
        <f>I10*'Act Att-H'!E214</f>
        <v>0</v>
      </c>
      <c r="L11" s="318" t="s">
        <v>846</v>
      </c>
      <c r="M11" s="320">
        <f>M10*'Act Att-H'!E214</f>
        <v>0</v>
      </c>
      <c r="O11" s="319"/>
      <c r="P11" s="2"/>
      <c r="Q11" s="4"/>
      <c r="R11" s="2"/>
      <c r="S11" s="2"/>
    </row>
    <row r="12" spans="1:19" s="316" customFormat="1">
      <c r="A12" s="348">
        <f t="shared" si="0"/>
        <v>6</v>
      </c>
      <c r="B12" s="325"/>
      <c r="G12" s="325"/>
      <c r="H12" s="318" t="s">
        <v>847</v>
      </c>
      <c r="I12" s="342"/>
      <c r="L12" s="318" t="s">
        <v>847</v>
      </c>
      <c r="M12" s="342"/>
      <c r="O12" s="319"/>
      <c r="P12" s="2"/>
      <c r="Q12" s="4"/>
      <c r="R12" s="2"/>
      <c r="S12" s="2"/>
    </row>
    <row r="13" spans="1:19" s="316" customFormat="1">
      <c r="A13" s="348">
        <f t="shared" si="0"/>
        <v>7</v>
      </c>
      <c r="G13" s="325"/>
      <c r="H13" s="318"/>
      <c r="L13" s="318"/>
      <c r="O13" s="319"/>
      <c r="P13" s="2"/>
      <c r="Q13" s="4"/>
      <c r="R13" s="2"/>
      <c r="S13" s="2"/>
    </row>
    <row r="14" spans="1:19" s="316" customFormat="1">
      <c r="A14" s="348">
        <f t="shared" si="0"/>
        <v>8</v>
      </c>
      <c r="B14" s="325"/>
      <c r="C14" s="1016" t="s">
        <v>90</v>
      </c>
      <c r="D14" s="1016"/>
      <c r="E14" s="1016"/>
      <c r="F14" s="1016"/>
      <c r="G14" s="325"/>
      <c r="H14" s="318"/>
      <c r="L14" s="318"/>
      <c r="O14" s="319"/>
      <c r="P14" s="2"/>
      <c r="Q14" s="4"/>
      <c r="R14" s="2"/>
      <c r="S14" s="2"/>
    </row>
    <row r="15" spans="1:19" s="316" customFormat="1">
      <c r="A15" s="325"/>
      <c r="B15" s="325"/>
      <c r="G15" s="325"/>
      <c r="H15" s="318"/>
      <c r="K15" s="316" t="s">
        <v>686</v>
      </c>
      <c r="L15" s="318"/>
      <c r="O15" s="319" t="s">
        <v>686</v>
      </c>
      <c r="P15" s="2"/>
      <c r="Q15" s="4"/>
      <c r="R15" s="2"/>
      <c r="S15" s="2"/>
    </row>
    <row r="16" spans="1:19" s="316" customFormat="1" ht="57" customHeight="1">
      <c r="A16" s="325"/>
      <c r="B16" s="345" t="s">
        <v>825</v>
      </c>
      <c r="C16" s="345" t="s">
        <v>848</v>
      </c>
      <c r="D16" s="345" t="s">
        <v>849</v>
      </c>
      <c r="E16" s="345" t="s">
        <v>850</v>
      </c>
      <c r="F16" s="345" t="s">
        <v>851</v>
      </c>
      <c r="G16" s="363"/>
      <c r="H16" s="324" t="s">
        <v>848</v>
      </c>
      <c r="I16" s="695" t="s">
        <v>852</v>
      </c>
      <c r="J16" s="325" t="s">
        <v>850</v>
      </c>
      <c r="K16" s="695" t="s">
        <v>853</v>
      </c>
      <c r="L16" s="324" t="s">
        <v>848</v>
      </c>
      <c r="M16" s="695" t="s">
        <v>852</v>
      </c>
      <c r="N16" s="325" t="s">
        <v>850</v>
      </c>
      <c r="O16" s="696" t="s">
        <v>853</v>
      </c>
      <c r="P16" s="2"/>
      <c r="Q16" s="4"/>
      <c r="R16" s="2"/>
      <c r="S16" s="2"/>
    </row>
    <row r="17" spans="1:19" s="316" customFormat="1">
      <c r="A17" s="325"/>
      <c r="B17" s="323" t="s">
        <v>458</v>
      </c>
      <c r="C17" s="323" t="s">
        <v>459</v>
      </c>
      <c r="D17" s="323" t="s">
        <v>460</v>
      </c>
      <c r="E17" s="323" t="s">
        <v>461</v>
      </c>
      <c r="F17" s="323" t="s">
        <v>479</v>
      </c>
      <c r="G17" s="321"/>
      <c r="H17" s="323" t="s">
        <v>480</v>
      </c>
      <c r="I17" s="667" t="s">
        <v>565</v>
      </c>
      <c r="J17" s="323" t="s">
        <v>566</v>
      </c>
      <c r="K17" s="697" t="s">
        <v>567</v>
      </c>
      <c r="L17" s="323" t="s">
        <v>568</v>
      </c>
      <c r="M17" s="667" t="s">
        <v>569</v>
      </c>
      <c r="N17" s="323" t="s">
        <v>570</v>
      </c>
      <c r="O17" s="697" t="s">
        <v>854</v>
      </c>
      <c r="P17" s="2"/>
      <c r="Q17" s="4"/>
      <c r="R17" s="2"/>
      <c r="S17" s="2"/>
    </row>
    <row r="18" spans="1:19" s="316" customFormat="1">
      <c r="A18" s="325"/>
      <c r="B18" s="325"/>
      <c r="G18" s="325"/>
      <c r="H18" s="324"/>
      <c r="I18" s="325"/>
      <c r="J18" s="325"/>
      <c r="K18" s="325"/>
      <c r="L18" s="324"/>
      <c r="M18" s="325"/>
      <c r="N18" s="325"/>
      <c r="O18" s="326"/>
      <c r="P18" s="2"/>
      <c r="Q18" s="4"/>
      <c r="R18" s="2"/>
      <c r="S18" s="2"/>
    </row>
    <row r="19" spans="1:19" s="316" customFormat="1">
      <c r="A19" s="348">
        <f>A14+1</f>
        <v>9</v>
      </c>
      <c r="B19" s="769" t="s">
        <v>855</v>
      </c>
      <c r="C19" s="327">
        <f>+H19+L19</f>
        <v>0</v>
      </c>
      <c r="D19" s="327">
        <f>+I19+M19</f>
        <v>0</v>
      </c>
      <c r="E19" s="327">
        <f>+J19+N19</f>
        <v>0</v>
      </c>
      <c r="F19" s="327">
        <f>+K19+O19</f>
        <v>0</v>
      </c>
      <c r="G19" s="348"/>
      <c r="H19" s="343">
        <v>0</v>
      </c>
      <c r="I19" s="344">
        <v>0</v>
      </c>
      <c r="J19" s="668">
        <f>+H19-I19</f>
        <v>0</v>
      </c>
      <c r="K19" s="328">
        <f>ROUND(J19*I$11,2)</f>
        <v>0</v>
      </c>
      <c r="L19" s="343">
        <v>0</v>
      </c>
      <c r="M19" s="344">
        <v>0</v>
      </c>
      <c r="N19" s="668">
        <f>+L19-M19</f>
        <v>0</v>
      </c>
      <c r="O19" s="329">
        <f>ROUND(N19*M$11,2)</f>
        <v>0</v>
      </c>
      <c r="P19" s="2"/>
      <c r="Q19" s="4"/>
      <c r="R19" s="2"/>
      <c r="S19" s="2"/>
    </row>
    <row r="20" spans="1:19" s="316" customFormat="1">
      <c r="A20" s="348">
        <f t="shared" ref="A20:A42" si="1">A19+1</f>
        <v>10</v>
      </c>
      <c r="B20" s="769" t="s">
        <v>855</v>
      </c>
      <c r="C20" s="327">
        <f t="shared" ref="C20:C42" si="2">+H20+L20</f>
        <v>0</v>
      </c>
      <c r="D20" s="327">
        <f t="shared" ref="D20:D42" si="3">+I20+M20</f>
        <v>0</v>
      </c>
      <c r="E20" s="327">
        <f t="shared" ref="E20:E42" si="4">+J20+N20</f>
        <v>0</v>
      </c>
      <c r="F20" s="327">
        <f t="shared" ref="F20:F42" si="5">+K20+O20</f>
        <v>0</v>
      </c>
      <c r="G20" s="348"/>
      <c r="H20" s="343">
        <v>0</v>
      </c>
      <c r="I20" s="668">
        <f>(H20*$I$9)+I19</f>
        <v>0</v>
      </c>
      <c r="J20" s="328">
        <f>+H20-I20</f>
        <v>0</v>
      </c>
      <c r="K20" s="328">
        <f t="shared" ref="K20:K42" si="6">ROUND(J20*I$11,2)</f>
        <v>0</v>
      </c>
      <c r="L20" s="343">
        <v>0</v>
      </c>
      <c r="M20" s="668">
        <f>(L20*$M$9)+M19</f>
        <v>0</v>
      </c>
      <c r="N20" s="328">
        <f>+L20-M20</f>
        <v>0</v>
      </c>
      <c r="O20" s="329">
        <f t="shared" ref="O20:O42" si="7">ROUND(N20*M$11,2)</f>
        <v>0</v>
      </c>
      <c r="P20" s="2"/>
      <c r="Q20" s="4"/>
      <c r="R20" s="2"/>
      <c r="S20" s="2"/>
    </row>
    <row r="21" spans="1:19" s="316" customFormat="1">
      <c r="A21" s="348">
        <f t="shared" si="1"/>
        <v>11</v>
      </c>
      <c r="B21" s="769" t="s">
        <v>855</v>
      </c>
      <c r="C21" s="327">
        <f t="shared" si="2"/>
        <v>0</v>
      </c>
      <c r="D21" s="327">
        <f t="shared" si="3"/>
        <v>0</v>
      </c>
      <c r="E21" s="327">
        <f t="shared" si="4"/>
        <v>0</v>
      </c>
      <c r="F21" s="327">
        <f t="shared" si="5"/>
        <v>0</v>
      </c>
      <c r="G21" s="348"/>
      <c r="H21" s="343">
        <v>0</v>
      </c>
      <c r="I21" s="668">
        <f t="shared" ref="I21:I42" si="8">(H21*$I$9)+I20</f>
        <v>0</v>
      </c>
      <c r="J21" s="328">
        <f>+H21-I21</f>
        <v>0</v>
      </c>
      <c r="K21" s="328">
        <f t="shared" si="6"/>
        <v>0</v>
      </c>
      <c r="L21" s="343">
        <v>0</v>
      </c>
      <c r="M21" s="668">
        <f t="shared" ref="M21:M42" si="9">(L21*$M$9)+M20</f>
        <v>0</v>
      </c>
      <c r="N21" s="328">
        <f>+L21-M21</f>
        <v>0</v>
      </c>
      <c r="O21" s="329">
        <f t="shared" si="7"/>
        <v>0</v>
      </c>
      <c r="P21" s="2"/>
      <c r="Q21" s="4"/>
      <c r="R21" s="2"/>
      <c r="S21" s="2"/>
    </row>
    <row r="22" spans="1:19" s="316" customFormat="1">
      <c r="A22" s="348">
        <f t="shared" si="1"/>
        <v>12</v>
      </c>
      <c r="B22" s="769" t="s">
        <v>855</v>
      </c>
      <c r="C22" s="327">
        <f t="shared" si="2"/>
        <v>0</v>
      </c>
      <c r="D22" s="327">
        <f t="shared" si="3"/>
        <v>0</v>
      </c>
      <c r="E22" s="327">
        <f t="shared" si="4"/>
        <v>0</v>
      </c>
      <c r="F22" s="327">
        <f t="shared" si="5"/>
        <v>0</v>
      </c>
      <c r="G22" s="348"/>
      <c r="H22" s="343">
        <v>0</v>
      </c>
      <c r="I22" s="668">
        <f t="shared" si="8"/>
        <v>0</v>
      </c>
      <c r="J22" s="328">
        <f>+H22-I22</f>
        <v>0</v>
      </c>
      <c r="K22" s="328">
        <f t="shared" si="6"/>
        <v>0</v>
      </c>
      <c r="L22" s="343">
        <v>0</v>
      </c>
      <c r="M22" s="668">
        <f t="shared" si="9"/>
        <v>0</v>
      </c>
      <c r="N22" s="328">
        <f>+L22-M22</f>
        <v>0</v>
      </c>
      <c r="O22" s="329">
        <f t="shared" si="7"/>
        <v>0</v>
      </c>
      <c r="P22" s="2"/>
      <c r="Q22" s="4"/>
      <c r="R22" s="2"/>
      <c r="S22" s="2"/>
    </row>
    <row r="23" spans="1:19" s="316" customFormat="1">
      <c r="A23" s="348">
        <f t="shared" si="1"/>
        <v>13</v>
      </c>
      <c r="B23" s="769" t="s">
        <v>855</v>
      </c>
      <c r="C23" s="327">
        <f t="shared" si="2"/>
        <v>0</v>
      </c>
      <c r="D23" s="327">
        <f t="shared" si="3"/>
        <v>0</v>
      </c>
      <c r="E23" s="327">
        <f t="shared" si="4"/>
        <v>0</v>
      </c>
      <c r="F23" s="327">
        <f t="shared" si="5"/>
        <v>0</v>
      </c>
      <c r="G23" s="348"/>
      <c r="H23" s="343">
        <v>0</v>
      </c>
      <c r="I23" s="668">
        <f t="shared" si="8"/>
        <v>0</v>
      </c>
      <c r="J23" s="328">
        <f t="shared" ref="J23:J42" si="10">+H23-I23</f>
        <v>0</v>
      </c>
      <c r="K23" s="328">
        <f t="shared" si="6"/>
        <v>0</v>
      </c>
      <c r="L23" s="343">
        <v>0</v>
      </c>
      <c r="M23" s="668">
        <f t="shared" si="9"/>
        <v>0</v>
      </c>
      <c r="N23" s="328">
        <f t="shared" ref="N23:N42" si="11">+L23-M23</f>
        <v>0</v>
      </c>
      <c r="O23" s="329">
        <f t="shared" si="7"/>
        <v>0</v>
      </c>
      <c r="P23" s="2"/>
      <c r="Q23" s="4"/>
      <c r="R23" s="2"/>
      <c r="S23" s="2"/>
    </row>
    <row r="24" spans="1:19" s="316" customFormat="1">
      <c r="A24" s="348">
        <f t="shared" si="1"/>
        <v>14</v>
      </c>
      <c r="B24" s="769" t="s">
        <v>855</v>
      </c>
      <c r="C24" s="327">
        <f t="shared" si="2"/>
        <v>0</v>
      </c>
      <c r="D24" s="327">
        <f t="shared" si="3"/>
        <v>0</v>
      </c>
      <c r="E24" s="327">
        <f t="shared" si="4"/>
        <v>0</v>
      </c>
      <c r="F24" s="327">
        <f t="shared" si="5"/>
        <v>0</v>
      </c>
      <c r="G24" s="348"/>
      <c r="H24" s="343">
        <v>0</v>
      </c>
      <c r="I24" s="668">
        <f t="shared" si="8"/>
        <v>0</v>
      </c>
      <c r="J24" s="328">
        <f t="shared" si="10"/>
        <v>0</v>
      </c>
      <c r="K24" s="328">
        <f t="shared" si="6"/>
        <v>0</v>
      </c>
      <c r="L24" s="343">
        <v>0</v>
      </c>
      <c r="M24" s="668">
        <f t="shared" si="9"/>
        <v>0</v>
      </c>
      <c r="N24" s="328">
        <f t="shared" si="11"/>
        <v>0</v>
      </c>
      <c r="O24" s="329">
        <f t="shared" si="7"/>
        <v>0</v>
      </c>
      <c r="P24" s="2"/>
      <c r="Q24" s="4"/>
      <c r="R24" s="2"/>
      <c r="S24" s="2"/>
    </row>
    <row r="25" spans="1:19" s="316" customFormat="1">
      <c r="A25" s="348">
        <f t="shared" si="1"/>
        <v>15</v>
      </c>
      <c r="B25" s="769" t="s">
        <v>855</v>
      </c>
      <c r="C25" s="327">
        <f t="shared" si="2"/>
        <v>0</v>
      </c>
      <c r="D25" s="327">
        <f t="shared" si="3"/>
        <v>0</v>
      </c>
      <c r="E25" s="327">
        <f t="shared" si="4"/>
        <v>0</v>
      </c>
      <c r="F25" s="327">
        <f t="shared" si="5"/>
        <v>0</v>
      </c>
      <c r="G25" s="348"/>
      <c r="H25" s="343">
        <v>0</v>
      </c>
      <c r="I25" s="668">
        <f t="shared" si="8"/>
        <v>0</v>
      </c>
      <c r="J25" s="328">
        <f t="shared" si="10"/>
        <v>0</v>
      </c>
      <c r="K25" s="328">
        <f t="shared" si="6"/>
        <v>0</v>
      </c>
      <c r="L25" s="343">
        <v>0</v>
      </c>
      <c r="M25" s="668">
        <f t="shared" si="9"/>
        <v>0</v>
      </c>
      <c r="N25" s="328">
        <f t="shared" si="11"/>
        <v>0</v>
      </c>
      <c r="O25" s="329">
        <f t="shared" si="7"/>
        <v>0</v>
      </c>
      <c r="P25" s="2"/>
      <c r="Q25" s="4"/>
      <c r="R25" s="2"/>
      <c r="S25" s="2"/>
    </row>
    <row r="26" spans="1:19" s="316" customFormat="1">
      <c r="A26" s="348">
        <f t="shared" si="1"/>
        <v>16</v>
      </c>
      <c r="B26" s="769" t="s">
        <v>855</v>
      </c>
      <c r="C26" s="327">
        <f t="shared" si="2"/>
        <v>0</v>
      </c>
      <c r="D26" s="327">
        <f t="shared" si="3"/>
        <v>0</v>
      </c>
      <c r="E26" s="327">
        <f t="shared" si="4"/>
        <v>0</v>
      </c>
      <c r="F26" s="327">
        <f t="shared" si="5"/>
        <v>0</v>
      </c>
      <c r="G26" s="348"/>
      <c r="H26" s="343">
        <v>0</v>
      </c>
      <c r="I26" s="668">
        <f t="shared" si="8"/>
        <v>0</v>
      </c>
      <c r="J26" s="328">
        <f t="shared" si="10"/>
        <v>0</v>
      </c>
      <c r="K26" s="328">
        <f t="shared" si="6"/>
        <v>0</v>
      </c>
      <c r="L26" s="343">
        <v>0</v>
      </c>
      <c r="M26" s="668">
        <f t="shared" si="9"/>
        <v>0</v>
      </c>
      <c r="N26" s="328">
        <f t="shared" si="11"/>
        <v>0</v>
      </c>
      <c r="O26" s="329">
        <f t="shared" si="7"/>
        <v>0</v>
      </c>
      <c r="P26" s="2"/>
      <c r="Q26" s="4"/>
      <c r="R26" s="2"/>
      <c r="S26" s="2"/>
    </row>
    <row r="27" spans="1:19" s="316" customFormat="1">
      <c r="A27" s="348">
        <f t="shared" si="1"/>
        <v>17</v>
      </c>
      <c r="B27" s="769" t="s">
        <v>855</v>
      </c>
      <c r="C27" s="327">
        <f t="shared" si="2"/>
        <v>0</v>
      </c>
      <c r="D27" s="327">
        <f t="shared" si="3"/>
        <v>0</v>
      </c>
      <c r="E27" s="327">
        <f t="shared" si="4"/>
        <v>0</v>
      </c>
      <c r="F27" s="327">
        <f t="shared" si="5"/>
        <v>0</v>
      </c>
      <c r="G27" s="348"/>
      <c r="H27" s="343">
        <v>0</v>
      </c>
      <c r="I27" s="668">
        <f t="shared" si="8"/>
        <v>0</v>
      </c>
      <c r="J27" s="328">
        <f t="shared" si="10"/>
        <v>0</v>
      </c>
      <c r="K27" s="328">
        <f t="shared" si="6"/>
        <v>0</v>
      </c>
      <c r="L27" s="343">
        <v>0</v>
      </c>
      <c r="M27" s="668">
        <f t="shared" si="9"/>
        <v>0</v>
      </c>
      <c r="N27" s="328">
        <f t="shared" si="11"/>
        <v>0</v>
      </c>
      <c r="O27" s="329">
        <f t="shared" si="7"/>
        <v>0</v>
      </c>
      <c r="P27" s="2"/>
      <c r="Q27" s="4"/>
      <c r="R27" s="2"/>
      <c r="S27" s="2"/>
    </row>
    <row r="28" spans="1:19" s="316" customFormat="1">
      <c r="A28" s="348">
        <f t="shared" si="1"/>
        <v>18</v>
      </c>
      <c r="B28" s="769" t="s">
        <v>855</v>
      </c>
      <c r="C28" s="327">
        <f t="shared" si="2"/>
        <v>0</v>
      </c>
      <c r="D28" s="327">
        <f t="shared" si="3"/>
        <v>0</v>
      </c>
      <c r="E28" s="327">
        <f t="shared" si="4"/>
        <v>0</v>
      </c>
      <c r="F28" s="327">
        <f t="shared" si="5"/>
        <v>0</v>
      </c>
      <c r="G28" s="348"/>
      <c r="H28" s="343">
        <v>0</v>
      </c>
      <c r="I28" s="668">
        <f t="shared" si="8"/>
        <v>0</v>
      </c>
      <c r="J28" s="328">
        <f t="shared" si="10"/>
        <v>0</v>
      </c>
      <c r="K28" s="328">
        <f t="shared" si="6"/>
        <v>0</v>
      </c>
      <c r="L28" s="343">
        <v>0</v>
      </c>
      <c r="M28" s="668">
        <f t="shared" si="9"/>
        <v>0</v>
      </c>
      <c r="N28" s="328">
        <f t="shared" si="11"/>
        <v>0</v>
      </c>
      <c r="O28" s="329">
        <f t="shared" si="7"/>
        <v>0</v>
      </c>
      <c r="P28" s="2"/>
      <c r="Q28" s="4"/>
      <c r="R28" s="2"/>
      <c r="S28" s="2"/>
    </row>
    <row r="29" spans="1:19" s="316" customFormat="1">
      <c r="A29" s="348">
        <f t="shared" si="1"/>
        <v>19</v>
      </c>
      <c r="B29" s="769" t="s">
        <v>855</v>
      </c>
      <c r="C29" s="327">
        <f t="shared" si="2"/>
        <v>0</v>
      </c>
      <c r="D29" s="327">
        <f t="shared" si="3"/>
        <v>0</v>
      </c>
      <c r="E29" s="327">
        <f t="shared" si="4"/>
        <v>0</v>
      </c>
      <c r="F29" s="327">
        <f t="shared" si="5"/>
        <v>0</v>
      </c>
      <c r="G29" s="348"/>
      <c r="H29" s="343">
        <v>0</v>
      </c>
      <c r="I29" s="668">
        <f t="shared" si="8"/>
        <v>0</v>
      </c>
      <c r="J29" s="328">
        <f t="shared" si="10"/>
        <v>0</v>
      </c>
      <c r="K29" s="328">
        <f t="shared" si="6"/>
        <v>0</v>
      </c>
      <c r="L29" s="343">
        <v>0</v>
      </c>
      <c r="M29" s="668">
        <f t="shared" si="9"/>
        <v>0</v>
      </c>
      <c r="N29" s="328">
        <f t="shared" si="11"/>
        <v>0</v>
      </c>
      <c r="O29" s="329">
        <f t="shared" si="7"/>
        <v>0</v>
      </c>
      <c r="P29" s="2"/>
      <c r="Q29" s="4"/>
      <c r="R29" s="2"/>
      <c r="S29" s="2"/>
    </row>
    <row r="30" spans="1:19" s="316" customFormat="1">
      <c r="A30" s="348">
        <f t="shared" si="1"/>
        <v>20</v>
      </c>
      <c r="B30" s="769" t="s">
        <v>855</v>
      </c>
      <c r="C30" s="327">
        <f t="shared" si="2"/>
        <v>0</v>
      </c>
      <c r="D30" s="327">
        <f t="shared" si="3"/>
        <v>0</v>
      </c>
      <c r="E30" s="327">
        <f t="shared" si="4"/>
        <v>0</v>
      </c>
      <c r="F30" s="327">
        <f t="shared" si="5"/>
        <v>0</v>
      </c>
      <c r="G30" s="348"/>
      <c r="H30" s="343">
        <v>0</v>
      </c>
      <c r="I30" s="668">
        <f t="shared" si="8"/>
        <v>0</v>
      </c>
      <c r="J30" s="328">
        <f t="shared" si="10"/>
        <v>0</v>
      </c>
      <c r="K30" s="328">
        <f t="shared" si="6"/>
        <v>0</v>
      </c>
      <c r="L30" s="343">
        <v>0</v>
      </c>
      <c r="M30" s="668">
        <f t="shared" si="9"/>
        <v>0</v>
      </c>
      <c r="N30" s="328">
        <f t="shared" si="11"/>
        <v>0</v>
      </c>
      <c r="O30" s="329">
        <f t="shared" si="7"/>
        <v>0</v>
      </c>
      <c r="P30" s="2"/>
      <c r="Q30" s="4"/>
      <c r="R30" s="2"/>
      <c r="S30" s="2"/>
    </row>
    <row r="31" spans="1:19" s="316" customFormat="1">
      <c r="A31" s="348">
        <f t="shared" si="1"/>
        <v>21</v>
      </c>
      <c r="B31" s="769" t="s">
        <v>855</v>
      </c>
      <c r="C31" s="327">
        <f t="shared" si="2"/>
        <v>0</v>
      </c>
      <c r="D31" s="327">
        <f t="shared" si="3"/>
        <v>0</v>
      </c>
      <c r="E31" s="327">
        <f t="shared" si="4"/>
        <v>0</v>
      </c>
      <c r="F31" s="327">
        <f t="shared" si="5"/>
        <v>0</v>
      </c>
      <c r="G31" s="348"/>
      <c r="H31" s="343">
        <v>0</v>
      </c>
      <c r="I31" s="668">
        <f t="shared" si="8"/>
        <v>0</v>
      </c>
      <c r="J31" s="328">
        <f t="shared" si="10"/>
        <v>0</v>
      </c>
      <c r="K31" s="328">
        <f t="shared" si="6"/>
        <v>0</v>
      </c>
      <c r="L31" s="343">
        <v>0</v>
      </c>
      <c r="M31" s="668">
        <f t="shared" si="9"/>
        <v>0</v>
      </c>
      <c r="N31" s="328">
        <f t="shared" si="11"/>
        <v>0</v>
      </c>
      <c r="O31" s="329">
        <f t="shared" si="7"/>
        <v>0</v>
      </c>
      <c r="P31" s="2"/>
      <c r="Q31" s="4"/>
      <c r="R31" s="2"/>
      <c r="S31" s="2"/>
    </row>
    <row r="32" spans="1:19" s="316" customFormat="1">
      <c r="A32" s="348">
        <f t="shared" si="1"/>
        <v>22</v>
      </c>
      <c r="B32" s="769" t="s">
        <v>855</v>
      </c>
      <c r="C32" s="327">
        <f t="shared" si="2"/>
        <v>0</v>
      </c>
      <c r="D32" s="327">
        <f t="shared" si="3"/>
        <v>0</v>
      </c>
      <c r="E32" s="327">
        <f t="shared" si="4"/>
        <v>0</v>
      </c>
      <c r="F32" s="327">
        <f t="shared" si="5"/>
        <v>0</v>
      </c>
      <c r="G32" s="348"/>
      <c r="H32" s="343">
        <v>0</v>
      </c>
      <c r="I32" s="668">
        <f t="shared" si="8"/>
        <v>0</v>
      </c>
      <c r="J32" s="328">
        <f t="shared" si="10"/>
        <v>0</v>
      </c>
      <c r="K32" s="328">
        <f t="shared" si="6"/>
        <v>0</v>
      </c>
      <c r="L32" s="343">
        <v>0</v>
      </c>
      <c r="M32" s="668">
        <f t="shared" si="9"/>
        <v>0</v>
      </c>
      <c r="N32" s="328">
        <f t="shared" si="11"/>
        <v>0</v>
      </c>
      <c r="O32" s="329">
        <f t="shared" si="7"/>
        <v>0</v>
      </c>
      <c r="P32" s="2"/>
      <c r="Q32" s="4"/>
      <c r="R32" s="2"/>
      <c r="S32" s="2"/>
    </row>
    <row r="33" spans="1:19" s="316" customFormat="1">
      <c r="A33" s="348">
        <f t="shared" si="1"/>
        <v>23</v>
      </c>
      <c r="B33" s="769" t="s">
        <v>855</v>
      </c>
      <c r="C33" s="327">
        <f t="shared" si="2"/>
        <v>0</v>
      </c>
      <c r="D33" s="327">
        <f t="shared" si="3"/>
        <v>0</v>
      </c>
      <c r="E33" s="327">
        <f t="shared" si="4"/>
        <v>0</v>
      </c>
      <c r="F33" s="327">
        <f t="shared" si="5"/>
        <v>0</v>
      </c>
      <c r="G33" s="348"/>
      <c r="H33" s="343">
        <v>0</v>
      </c>
      <c r="I33" s="668">
        <f t="shared" si="8"/>
        <v>0</v>
      </c>
      <c r="J33" s="328">
        <f t="shared" si="10"/>
        <v>0</v>
      </c>
      <c r="K33" s="328">
        <f t="shared" si="6"/>
        <v>0</v>
      </c>
      <c r="L33" s="343">
        <v>0</v>
      </c>
      <c r="M33" s="668">
        <f t="shared" si="9"/>
        <v>0</v>
      </c>
      <c r="N33" s="328">
        <f t="shared" si="11"/>
        <v>0</v>
      </c>
      <c r="O33" s="329">
        <f t="shared" si="7"/>
        <v>0</v>
      </c>
      <c r="P33" s="2"/>
      <c r="Q33" s="4"/>
      <c r="R33" s="2"/>
      <c r="S33" s="2"/>
    </row>
    <row r="34" spans="1:19" s="316" customFormat="1">
      <c r="A34" s="348">
        <f t="shared" si="1"/>
        <v>24</v>
      </c>
      <c r="B34" s="769" t="s">
        <v>855</v>
      </c>
      <c r="C34" s="327">
        <f t="shared" si="2"/>
        <v>0</v>
      </c>
      <c r="D34" s="327">
        <f t="shared" si="3"/>
        <v>0</v>
      </c>
      <c r="E34" s="327">
        <f t="shared" si="4"/>
        <v>0</v>
      </c>
      <c r="F34" s="327">
        <f t="shared" si="5"/>
        <v>0</v>
      </c>
      <c r="G34" s="348"/>
      <c r="H34" s="343">
        <v>0</v>
      </c>
      <c r="I34" s="668">
        <f t="shared" si="8"/>
        <v>0</v>
      </c>
      <c r="J34" s="328">
        <f t="shared" si="10"/>
        <v>0</v>
      </c>
      <c r="K34" s="328">
        <f t="shared" si="6"/>
        <v>0</v>
      </c>
      <c r="L34" s="343">
        <v>0</v>
      </c>
      <c r="M34" s="668">
        <f t="shared" si="9"/>
        <v>0</v>
      </c>
      <c r="N34" s="328">
        <f t="shared" si="11"/>
        <v>0</v>
      </c>
      <c r="O34" s="329">
        <f t="shared" si="7"/>
        <v>0</v>
      </c>
      <c r="P34" s="2"/>
      <c r="Q34" s="4"/>
      <c r="R34" s="2"/>
      <c r="S34" s="2"/>
    </row>
    <row r="35" spans="1:19" s="316" customFormat="1">
      <c r="A35" s="348">
        <f t="shared" si="1"/>
        <v>25</v>
      </c>
      <c r="B35" s="769" t="s">
        <v>855</v>
      </c>
      <c r="C35" s="327">
        <f t="shared" si="2"/>
        <v>0</v>
      </c>
      <c r="D35" s="327">
        <f t="shared" si="3"/>
        <v>0</v>
      </c>
      <c r="E35" s="327">
        <f t="shared" si="4"/>
        <v>0</v>
      </c>
      <c r="F35" s="327">
        <f t="shared" si="5"/>
        <v>0</v>
      </c>
      <c r="G35" s="348"/>
      <c r="H35" s="343">
        <v>0</v>
      </c>
      <c r="I35" s="668">
        <f t="shared" si="8"/>
        <v>0</v>
      </c>
      <c r="J35" s="328">
        <f t="shared" si="10"/>
        <v>0</v>
      </c>
      <c r="K35" s="328">
        <f t="shared" si="6"/>
        <v>0</v>
      </c>
      <c r="L35" s="343">
        <v>0</v>
      </c>
      <c r="M35" s="668">
        <f t="shared" si="9"/>
        <v>0</v>
      </c>
      <c r="N35" s="328">
        <f t="shared" si="11"/>
        <v>0</v>
      </c>
      <c r="O35" s="329">
        <f t="shared" si="7"/>
        <v>0</v>
      </c>
      <c r="P35" s="2"/>
      <c r="Q35" s="4"/>
      <c r="R35" s="2"/>
      <c r="S35" s="2"/>
    </row>
    <row r="36" spans="1:19" s="316" customFormat="1">
      <c r="A36" s="348">
        <f t="shared" si="1"/>
        <v>26</v>
      </c>
      <c r="B36" s="769" t="s">
        <v>855</v>
      </c>
      <c r="C36" s="327">
        <f t="shared" si="2"/>
        <v>0</v>
      </c>
      <c r="D36" s="327">
        <f t="shared" si="3"/>
        <v>0</v>
      </c>
      <c r="E36" s="327">
        <f t="shared" si="4"/>
        <v>0</v>
      </c>
      <c r="F36" s="327">
        <f t="shared" si="5"/>
        <v>0</v>
      </c>
      <c r="G36" s="348"/>
      <c r="H36" s="343">
        <v>0</v>
      </c>
      <c r="I36" s="668">
        <f t="shared" si="8"/>
        <v>0</v>
      </c>
      <c r="J36" s="328">
        <f t="shared" si="10"/>
        <v>0</v>
      </c>
      <c r="K36" s="328">
        <f t="shared" si="6"/>
        <v>0</v>
      </c>
      <c r="L36" s="343">
        <v>0</v>
      </c>
      <c r="M36" s="668">
        <f t="shared" si="9"/>
        <v>0</v>
      </c>
      <c r="N36" s="328">
        <f t="shared" si="11"/>
        <v>0</v>
      </c>
      <c r="O36" s="329">
        <f t="shared" si="7"/>
        <v>0</v>
      </c>
      <c r="P36" s="2"/>
      <c r="Q36" s="4"/>
      <c r="R36" s="2"/>
      <c r="S36" s="2"/>
    </row>
    <row r="37" spans="1:19" s="316" customFormat="1">
      <c r="A37" s="348">
        <f t="shared" si="1"/>
        <v>27</v>
      </c>
      <c r="B37" s="769" t="s">
        <v>855</v>
      </c>
      <c r="C37" s="327">
        <f t="shared" si="2"/>
        <v>0</v>
      </c>
      <c r="D37" s="327">
        <f t="shared" si="3"/>
        <v>0</v>
      </c>
      <c r="E37" s="327">
        <f t="shared" si="4"/>
        <v>0</v>
      </c>
      <c r="F37" s="327">
        <f t="shared" si="5"/>
        <v>0</v>
      </c>
      <c r="G37" s="348"/>
      <c r="H37" s="343">
        <v>0</v>
      </c>
      <c r="I37" s="668">
        <f t="shared" si="8"/>
        <v>0</v>
      </c>
      <c r="J37" s="328">
        <f t="shared" si="10"/>
        <v>0</v>
      </c>
      <c r="K37" s="328">
        <f t="shared" si="6"/>
        <v>0</v>
      </c>
      <c r="L37" s="343">
        <v>0</v>
      </c>
      <c r="M37" s="668">
        <f t="shared" si="9"/>
        <v>0</v>
      </c>
      <c r="N37" s="328">
        <f t="shared" si="11"/>
        <v>0</v>
      </c>
      <c r="O37" s="329">
        <f t="shared" si="7"/>
        <v>0</v>
      </c>
      <c r="P37" s="2"/>
      <c r="Q37" s="4"/>
      <c r="R37" s="2"/>
      <c r="S37" s="2"/>
    </row>
    <row r="38" spans="1:19" s="316" customFormat="1">
      <c r="A38" s="348">
        <f t="shared" si="1"/>
        <v>28</v>
      </c>
      <c r="B38" s="769" t="s">
        <v>855</v>
      </c>
      <c r="C38" s="327">
        <f t="shared" si="2"/>
        <v>0</v>
      </c>
      <c r="D38" s="327">
        <f t="shared" si="3"/>
        <v>0</v>
      </c>
      <c r="E38" s="327">
        <f t="shared" si="4"/>
        <v>0</v>
      </c>
      <c r="F38" s="327">
        <f t="shared" si="5"/>
        <v>0</v>
      </c>
      <c r="G38" s="348"/>
      <c r="H38" s="343">
        <v>0</v>
      </c>
      <c r="I38" s="668">
        <f t="shared" si="8"/>
        <v>0</v>
      </c>
      <c r="J38" s="328">
        <f t="shared" si="10"/>
        <v>0</v>
      </c>
      <c r="K38" s="328">
        <f t="shared" si="6"/>
        <v>0</v>
      </c>
      <c r="L38" s="343">
        <v>0</v>
      </c>
      <c r="M38" s="668">
        <f t="shared" si="9"/>
        <v>0</v>
      </c>
      <c r="N38" s="328">
        <f t="shared" si="11"/>
        <v>0</v>
      </c>
      <c r="O38" s="329">
        <f t="shared" si="7"/>
        <v>0</v>
      </c>
      <c r="P38" s="2"/>
      <c r="Q38" s="4"/>
      <c r="R38" s="2"/>
      <c r="S38" s="2"/>
    </row>
    <row r="39" spans="1:19" s="316" customFormat="1">
      <c r="A39" s="348">
        <f t="shared" si="1"/>
        <v>29</v>
      </c>
      <c r="B39" s="769" t="s">
        <v>855</v>
      </c>
      <c r="C39" s="327">
        <f t="shared" si="2"/>
        <v>0</v>
      </c>
      <c r="D39" s="327">
        <f t="shared" si="3"/>
        <v>0</v>
      </c>
      <c r="E39" s="327">
        <f t="shared" si="4"/>
        <v>0</v>
      </c>
      <c r="F39" s="327">
        <f t="shared" si="5"/>
        <v>0</v>
      </c>
      <c r="G39" s="348"/>
      <c r="H39" s="343">
        <v>0</v>
      </c>
      <c r="I39" s="668">
        <f t="shared" si="8"/>
        <v>0</v>
      </c>
      <c r="J39" s="328">
        <f t="shared" si="10"/>
        <v>0</v>
      </c>
      <c r="K39" s="328">
        <f t="shared" si="6"/>
        <v>0</v>
      </c>
      <c r="L39" s="343">
        <v>0</v>
      </c>
      <c r="M39" s="668">
        <f t="shared" si="9"/>
        <v>0</v>
      </c>
      <c r="N39" s="328">
        <f t="shared" si="11"/>
        <v>0</v>
      </c>
      <c r="O39" s="329">
        <f t="shared" si="7"/>
        <v>0</v>
      </c>
      <c r="P39" s="2"/>
      <c r="Q39" s="4"/>
      <c r="R39" s="2"/>
      <c r="S39" s="2"/>
    </row>
    <row r="40" spans="1:19" s="316" customFormat="1">
      <c r="A40" s="348">
        <f t="shared" si="1"/>
        <v>30</v>
      </c>
      <c r="B40" s="769" t="s">
        <v>855</v>
      </c>
      <c r="C40" s="327">
        <f t="shared" si="2"/>
        <v>0</v>
      </c>
      <c r="D40" s="327">
        <f t="shared" si="3"/>
        <v>0</v>
      </c>
      <c r="E40" s="327">
        <f t="shared" si="4"/>
        <v>0</v>
      </c>
      <c r="F40" s="327">
        <f t="shared" si="5"/>
        <v>0</v>
      </c>
      <c r="G40" s="348"/>
      <c r="H40" s="343">
        <v>0</v>
      </c>
      <c r="I40" s="668">
        <f t="shared" si="8"/>
        <v>0</v>
      </c>
      <c r="J40" s="328">
        <f t="shared" si="10"/>
        <v>0</v>
      </c>
      <c r="K40" s="328">
        <f t="shared" si="6"/>
        <v>0</v>
      </c>
      <c r="L40" s="343">
        <v>0</v>
      </c>
      <c r="M40" s="668">
        <f t="shared" si="9"/>
        <v>0</v>
      </c>
      <c r="N40" s="328">
        <f t="shared" si="11"/>
        <v>0</v>
      </c>
      <c r="O40" s="329">
        <f t="shared" si="7"/>
        <v>0</v>
      </c>
      <c r="P40" s="2"/>
      <c r="Q40" s="4"/>
      <c r="R40" s="2"/>
      <c r="S40" s="2"/>
    </row>
    <row r="41" spans="1:19" s="316" customFormat="1">
      <c r="A41" s="348">
        <f t="shared" si="1"/>
        <v>31</v>
      </c>
      <c r="B41" s="769" t="s">
        <v>855</v>
      </c>
      <c r="C41" s="327">
        <f t="shared" si="2"/>
        <v>0</v>
      </c>
      <c r="D41" s="327">
        <f t="shared" si="3"/>
        <v>0</v>
      </c>
      <c r="E41" s="327">
        <f t="shared" si="4"/>
        <v>0</v>
      </c>
      <c r="F41" s="327">
        <f t="shared" si="5"/>
        <v>0</v>
      </c>
      <c r="G41" s="348"/>
      <c r="H41" s="343">
        <v>0</v>
      </c>
      <c r="I41" s="668">
        <f t="shared" si="8"/>
        <v>0</v>
      </c>
      <c r="J41" s="328">
        <f t="shared" si="10"/>
        <v>0</v>
      </c>
      <c r="K41" s="328">
        <f t="shared" si="6"/>
        <v>0</v>
      </c>
      <c r="L41" s="343">
        <v>0</v>
      </c>
      <c r="M41" s="668">
        <f t="shared" si="9"/>
        <v>0</v>
      </c>
      <c r="N41" s="328">
        <f t="shared" si="11"/>
        <v>0</v>
      </c>
      <c r="O41" s="329">
        <f t="shared" si="7"/>
        <v>0</v>
      </c>
      <c r="P41" s="2"/>
      <c r="Q41" s="4"/>
      <c r="R41" s="2"/>
      <c r="S41" s="2"/>
    </row>
    <row r="42" spans="1:19" s="316" customFormat="1">
      <c r="A42" s="348">
        <f t="shared" si="1"/>
        <v>32</v>
      </c>
      <c r="B42" s="769" t="s">
        <v>855</v>
      </c>
      <c r="C42" s="327">
        <f t="shared" si="2"/>
        <v>0</v>
      </c>
      <c r="D42" s="327">
        <f t="shared" si="3"/>
        <v>0</v>
      </c>
      <c r="E42" s="327">
        <f t="shared" si="4"/>
        <v>0</v>
      </c>
      <c r="F42" s="327">
        <f t="shared" si="5"/>
        <v>0</v>
      </c>
      <c r="G42" s="348"/>
      <c r="H42" s="343">
        <v>0</v>
      </c>
      <c r="I42" s="668">
        <f t="shared" si="8"/>
        <v>0</v>
      </c>
      <c r="J42" s="328">
        <f t="shared" si="10"/>
        <v>0</v>
      </c>
      <c r="K42" s="328">
        <f t="shared" si="6"/>
        <v>0</v>
      </c>
      <c r="L42" s="343">
        <v>0</v>
      </c>
      <c r="M42" s="668">
        <f t="shared" si="9"/>
        <v>0</v>
      </c>
      <c r="N42" s="328">
        <f t="shared" si="11"/>
        <v>0</v>
      </c>
      <c r="O42" s="329">
        <f t="shared" si="7"/>
        <v>0</v>
      </c>
      <c r="P42" s="2"/>
      <c r="Q42" s="4"/>
      <c r="R42" s="2"/>
      <c r="S42" s="2"/>
    </row>
    <row r="43" spans="1:19" s="316" customFormat="1">
      <c r="A43" s="325"/>
      <c r="B43" s="348"/>
      <c r="G43" s="348"/>
      <c r="H43" s="330"/>
      <c r="I43" s="331"/>
      <c r="J43" s="331"/>
      <c r="K43" s="331"/>
      <c r="L43" s="332"/>
      <c r="M43" s="331"/>
      <c r="N43" s="333"/>
      <c r="O43" s="334"/>
      <c r="P43" s="2"/>
      <c r="Q43" s="4"/>
      <c r="R43" s="2"/>
      <c r="S43" s="2"/>
    </row>
    <row r="44" spans="1:19" s="316" customFormat="1">
      <c r="A44" s="350" t="s">
        <v>496</v>
      </c>
      <c r="B44" s="348"/>
      <c r="G44" s="348"/>
      <c r="H44" s="335"/>
      <c r="I44" s="335"/>
      <c r="J44" s="335"/>
      <c r="K44" s="335"/>
      <c r="L44" s="336"/>
      <c r="M44" s="335"/>
      <c r="N44" s="337"/>
      <c r="O44" s="337"/>
      <c r="P44" s="2"/>
      <c r="Q44" s="4"/>
      <c r="R44" s="2"/>
      <c r="S44" s="2"/>
    </row>
    <row r="45" spans="1:19" s="316" customFormat="1">
      <c r="A45" s="325" t="s">
        <v>387</v>
      </c>
      <c r="B45" s="349" t="s">
        <v>856</v>
      </c>
      <c r="G45" s="348"/>
      <c r="H45" s="335"/>
      <c r="I45" s="335"/>
      <c r="J45" s="335"/>
      <c r="K45" s="335"/>
      <c r="L45" s="336"/>
      <c r="M45" s="335"/>
      <c r="N45" s="337"/>
      <c r="O45" s="337"/>
      <c r="P45" s="2"/>
      <c r="Q45" s="4"/>
      <c r="R45" s="2"/>
      <c r="S45" s="2"/>
    </row>
    <row r="46" spans="1:19" s="16" customFormat="1" ht="15" customHeight="1">
      <c r="A46" s="325" t="s">
        <v>389</v>
      </c>
      <c r="B46" s="349" t="s">
        <v>857</v>
      </c>
      <c r="C46" s="48"/>
      <c r="D46" s="48"/>
      <c r="E46" s="48"/>
      <c r="F46" s="48"/>
      <c r="G46" s="347"/>
      <c r="H46" s="2"/>
      <c r="I46" s="2"/>
      <c r="P46" s="2"/>
      <c r="Q46" s="4"/>
      <c r="R46" s="2"/>
      <c r="S46" s="2"/>
    </row>
    <row r="47" spans="1:19" s="16" customFormat="1">
      <c r="A47" s="325" t="s">
        <v>391</v>
      </c>
      <c r="B47" s="1019" t="s">
        <v>858</v>
      </c>
      <c r="C47" s="1019"/>
      <c r="D47" s="1019"/>
      <c r="E47" s="1019"/>
      <c r="F47" s="1019"/>
      <c r="G47" s="1019"/>
      <c r="H47" s="1019"/>
      <c r="I47" s="1019"/>
      <c r="J47" s="1019"/>
      <c r="K47" s="1019"/>
      <c r="P47" s="2"/>
      <c r="Q47" s="4"/>
      <c r="R47" s="2"/>
      <c r="S47" s="2"/>
    </row>
    <row r="48" spans="1:19" ht="15" customHeight="1">
      <c r="A48" s="325" t="s">
        <v>393</v>
      </c>
      <c r="B48" s="349" t="s">
        <v>859</v>
      </c>
      <c r="C48" s="48"/>
      <c r="D48" s="48"/>
      <c r="E48" s="48"/>
      <c r="F48" s="48"/>
      <c r="G48" s="347"/>
    </row>
    <row r="49" spans="1:7" ht="15" customHeight="1">
      <c r="A49" s="46"/>
      <c r="B49" s="47"/>
      <c r="C49" s="48"/>
      <c r="D49" s="48"/>
      <c r="E49" s="48"/>
      <c r="F49" s="48"/>
      <c r="G49" s="347"/>
    </row>
    <row r="50" spans="1:7" ht="15" customHeight="1">
      <c r="A50" s="46"/>
      <c r="B50" s="47"/>
      <c r="C50" s="48"/>
      <c r="D50" s="48"/>
      <c r="E50" s="48"/>
      <c r="F50" s="48"/>
      <c r="G50" s="347"/>
    </row>
    <row r="51" spans="1:7" ht="15" customHeight="1">
      <c r="A51" s="46"/>
      <c r="B51" s="47"/>
      <c r="C51" s="48"/>
      <c r="D51" s="48"/>
      <c r="E51" s="48"/>
      <c r="F51" s="48"/>
      <c r="G51" s="347"/>
    </row>
    <row r="52" spans="1:7" ht="15" customHeight="1">
      <c r="A52" s="46"/>
      <c r="B52" s="47"/>
      <c r="C52" s="48"/>
      <c r="D52" s="48"/>
      <c r="E52" s="48"/>
      <c r="F52" s="48"/>
      <c r="G52" s="347"/>
    </row>
    <row r="53" spans="1:7" ht="15" customHeight="1">
      <c r="A53" s="46"/>
      <c r="B53" s="47"/>
      <c r="C53" s="48"/>
      <c r="D53" s="48"/>
      <c r="E53" s="48"/>
      <c r="F53" s="48"/>
      <c r="G53" s="347"/>
    </row>
    <row r="54" spans="1:7">
      <c r="A54" s="46"/>
      <c r="B54" s="47"/>
      <c r="C54" s="48"/>
      <c r="D54" s="48"/>
      <c r="E54" s="48"/>
      <c r="F54" s="48"/>
      <c r="G54" s="347"/>
    </row>
    <row r="55" spans="1:7">
      <c r="A55" s="46"/>
      <c r="B55" s="47"/>
      <c r="C55" s="48"/>
      <c r="D55" s="48"/>
      <c r="E55" s="48"/>
      <c r="F55" s="48"/>
      <c r="G55" s="347"/>
    </row>
    <row r="56" spans="1:7">
      <c r="A56" s="46"/>
      <c r="B56" s="47"/>
      <c r="C56" s="48"/>
      <c r="D56" s="48"/>
      <c r="E56" s="48"/>
      <c r="F56" s="48"/>
      <c r="G56" s="347"/>
    </row>
    <row r="57" spans="1:7">
      <c r="A57" s="46"/>
      <c r="B57" s="47"/>
      <c r="C57" s="48"/>
      <c r="D57" s="48"/>
      <c r="E57" s="48"/>
      <c r="F57" s="48"/>
      <c r="G57" s="347"/>
    </row>
    <row r="58" spans="1:7">
      <c r="A58" s="46"/>
      <c r="B58" s="47"/>
      <c r="C58" s="48"/>
      <c r="D58" s="48"/>
      <c r="E58" s="48"/>
      <c r="F58" s="48"/>
      <c r="G58" s="347"/>
    </row>
    <row r="59" spans="1:7">
      <c r="A59" s="46"/>
      <c r="B59" s="47"/>
      <c r="C59" s="48"/>
      <c r="D59" s="48"/>
      <c r="E59" s="48"/>
      <c r="F59" s="48"/>
      <c r="G59" s="347"/>
    </row>
    <row r="60" spans="1:7">
      <c r="A60" s="46"/>
      <c r="B60" s="47"/>
      <c r="C60" s="48"/>
      <c r="D60" s="48"/>
      <c r="E60" s="48"/>
      <c r="F60" s="48"/>
      <c r="G60" s="347"/>
    </row>
    <row r="61" spans="1:7">
      <c r="A61" s="46"/>
      <c r="B61" s="47"/>
      <c r="C61" s="48"/>
      <c r="D61" s="48"/>
      <c r="E61" s="48"/>
      <c r="F61" s="48"/>
      <c r="G61" s="347"/>
    </row>
    <row r="62" spans="1:7">
      <c r="A62" s="46"/>
      <c r="B62" s="47"/>
      <c r="C62" s="48"/>
      <c r="D62" s="48"/>
      <c r="E62" s="48"/>
      <c r="F62" s="48"/>
      <c r="G62" s="347"/>
    </row>
    <row r="63" spans="1:7">
      <c r="A63" s="46"/>
      <c r="B63" s="47"/>
      <c r="C63" s="48"/>
      <c r="D63" s="48"/>
      <c r="E63" s="48"/>
      <c r="F63" s="48"/>
      <c r="G63" s="347"/>
    </row>
    <row r="64" spans="1:7">
      <c r="A64" s="46"/>
      <c r="B64" s="47"/>
      <c r="C64" s="48"/>
      <c r="D64" s="48"/>
      <c r="E64" s="48"/>
      <c r="F64" s="48"/>
      <c r="G64" s="347"/>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309"/>
      <c r="K123" s="309"/>
    </row>
    <row r="124" spans="1:17" ht="15" customHeight="1">
      <c r="J124" s="309"/>
      <c r="K124" s="309"/>
      <c r="L124" s="6"/>
    </row>
    <row r="125" spans="1:17" ht="30.75" customHeight="1">
      <c r="J125" s="49"/>
      <c r="K125" s="49"/>
    </row>
    <row r="126" spans="1:17">
      <c r="J126" s="49"/>
      <c r="K126" s="49"/>
    </row>
    <row r="127" spans="1:17">
      <c r="J127" s="50"/>
      <c r="K127" s="50"/>
      <c r="L127" s="50"/>
      <c r="M127" s="50"/>
    </row>
    <row r="129" spans="10:14" ht="30.75" customHeight="1">
      <c r="J129" s="310"/>
      <c r="K129" s="310"/>
      <c r="L129" s="310"/>
      <c r="M129" s="310"/>
      <c r="N129" s="310"/>
    </row>
    <row r="130" spans="10:14" ht="15" customHeight="1">
      <c r="J130" s="310"/>
      <c r="K130" s="310"/>
    </row>
    <row r="131" spans="10:14" ht="82.5" customHeight="1">
      <c r="J131" s="310"/>
      <c r="K131" s="310"/>
      <c r="L131" s="310"/>
      <c r="M131" s="310"/>
      <c r="N131" s="310"/>
    </row>
    <row r="132" spans="10:14" ht="15" customHeight="1">
      <c r="J132" s="52"/>
      <c r="K132" s="52"/>
    </row>
    <row r="133" spans="10:14">
      <c r="J133" s="52"/>
      <c r="K133" s="52"/>
    </row>
    <row r="134" spans="10:14" ht="69.75" customHeight="1">
      <c r="J134" s="52"/>
      <c r="K134" s="52"/>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K25"/>
  <sheetViews>
    <sheetView topLeftCell="A4" workbookViewId="0">
      <selection activeCell="J13" sqref="J1:J1048576"/>
    </sheetView>
  </sheetViews>
  <sheetFormatPr defaultColWidth="7.109375" defaultRowHeight="12.75"/>
  <cols>
    <col min="1" max="1" width="2.109375" style="204" customWidth="1"/>
    <col min="2" max="2" width="4.6640625" style="204" customWidth="1"/>
    <col min="3" max="3" width="17.44140625" style="204" customWidth="1"/>
    <col min="4" max="4" width="36.6640625" style="204" bestFit="1" customWidth="1"/>
    <col min="5" max="5" width="10.44140625" style="204" customWidth="1"/>
    <col min="6" max="6" width="7.21875" style="204" customWidth="1"/>
    <col min="7" max="7" width="7.5546875" style="204" customWidth="1"/>
    <col min="8" max="8" width="9.21875" style="217" customWidth="1"/>
    <col min="9" max="9" width="8.21875" style="204" customWidth="1"/>
    <col min="10" max="10" width="7.109375" style="931"/>
    <col min="11" max="256" width="7.109375" style="204"/>
    <col min="257" max="257" width="10.21875" style="204" customWidth="1"/>
    <col min="258" max="258" width="3.5546875" style="204" customWidth="1"/>
    <col min="259" max="260" width="1.6640625" style="204" customWidth="1"/>
    <col min="261" max="261" width="4" style="204" customWidth="1"/>
    <col min="262" max="262" width="24.21875" style="204" customWidth="1"/>
    <col min="263" max="263" width="1.6640625" style="204" customWidth="1"/>
    <col min="264" max="265" width="8.21875" style="204" customWidth="1"/>
    <col min="266" max="512" width="7.109375" style="204"/>
    <col min="513" max="513" width="10.21875" style="204" customWidth="1"/>
    <col min="514" max="514" width="3.5546875" style="204" customWidth="1"/>
    <col min="515" max="516" width="1.6640625" style="204" customWidth="1"/>
    <col min="517" max="517" width="4" style="204" customWidth="1"/>
    <col min="518" max="518" width="24.21875" style="204" customWidth="1"/>
    <col min="519" max="519" width="1.6640625" style="204" customWidth="1"/>
    <col min="520" max="521" width="8.21875" style="204" customWidth="1"/>
    <col min="522" max="768" width="7.109375" style="204"/>
    <col min="769" max="769" width="10.21875" style="204" customWidth="1"/>
    <col min="770" max="770" width="3.5546875" style="204" customWidth="1"/>
    <col min="771" max="772" width="1.6640625" style="204" customWidth="1"/>
    <col min="773" max="773" width="4" style="204" customWidth="1"/>
    <col min="774" max="774" width="24.21875" style="204" customWidth="1"/>
    <col min="775" max="775" width="1.6640625" style="204" customWidth="1"/>
    <col min="776" max="777" width="8.21875" style="204" customWidth="1"/>
    <col min="778" max="1024" width="7.109375" style="204"/>
    <col min="1025" max="1025" width="10.21875" style="204" customWidth="1"/>
    <col min="1026" max="1026" width="3.5546875" style="204" customWidth="1"/>
    <col min="1027" max="1028" width="1.6640625" style="204" customWidth="1"/>
    <col min="1029" max="1029" width="4" style="204" customWidth="1"/>
    <col min="1030" max="1030" width="24.21875" style="204" customWidth="1"/>
    <col min="1031" max="1031" width="1.6640625" style="204" customWidth="1"/>
    <col min="1032" max="1033" width="8.21875" style="204" customWidth="1"/>
    <col min="1034" max="1280" width="7.109375" style="204"/>
    <col min="1281" max="1281" width="10.21875" style="204" customWidth="1"/>
    <col min="1282" max="1282" width="3.5546875" style="204" customWidth="1"/>
    <col min="1283" max="1284" width="1.6640625" style="204" customWidth="1"/>
    <col min="1285" max="1285" width="4" style="204" customWidth="1"/>
    <col min="1286" max="1286" width="24.21875" style="204" customWidth="1"/>
    <col min="1287" max="1287" width="1.6640625" style="204" customWidth="1"/>
    <col min="1288" max="1289" width="8.21875" style="204" customWidth="1"/>
    <col min="1290" max="1536" width="7.109375" style="204"/>
    <col min="1537" max="1537" width="10.21875" style="204" customWidth="1"/>
    <col min="1538" max="1538" width="3.5546875" style="204" customWidth="1"/>
    <col min="1539" max="1540" width="1.6640625" style="204" customWidth="1"/>
    <col min="1541" max="1541" width="4" style="204" customWidth="1"/>
    <col min="1542" max="1542" width="24.21875" style="204" customWidth="1"/>
    <col min="1543" max="1543" width="1.6640625" style="204" customWidth="1"/>
    <col min="1544" max="1545" width="8.21875" style="204" customWidth="1"/>
    <col min="1546" max="1792" width="7.109375" style="204"/>
    <col min="1793" max="1793" width="10.21875" style="204" customWidth="1"/>
    <col min="1794" max="1794" width="3.5546875" style="204" customWidth="1"/>
    <col min="1795" max="1796" width="1.6640625" style="204" customWidth="1"/>
    <col min="1797" max="1797" width="4" style="204" customWidth="1"/>
    <col min="1798" max="1798" width="24.21875" style="204" customWidth="1"/>
    <col min="1799" max="1799" width="1.6640625" style="204" customWidth="1"/>
    <col min="1800" max="1801" width="8.21875" style="204" customWidth="1"/>
    <col min="1802" max="2048" width="7.109375" style="204"/>
    <col min="2049" max="2049" width="10.21875" style="204" customWidth="1"/>
    <col min="2050" max="2050" width="3.5546875" style="204" customWidth="1"/>
    <col min="2051" max="2052" width="1.6640625" style="204" customWidth="1"/>
    <col min="2053" max="2053" width="4" style="204" customWidth="1"/>
    <col min="2054" max="2054" width="24.21875" style="204" customWidth="1"/>
    <col min="2055" max="2055" width="1.6640625" style="204" customWidth="1"/>
    <col min="2056" max="2057" width="8.21875" style="204" customWidth="1"/>
    <col min="2058" max="2304" width="7.109375" style="204"/>
    <col min="2305" max="2305" width="10.21875" style="204" customWidth="1"/>
    <col min="2306" max="2306" width="3.5546875" style="204" customWidth="1"/>
    <col min="2307" max="2308" width="1.6640625" style="204" customWidth="1"/>
    <col min="2309" max="2309" width="4" style="204" customWidth="1"/>
    <col min="2310" max="2310" width="24.21875" style="204" customWidth="1"/>
    <col min="2311" max="2311" width="1.6640625" style="204" customWidth="1"/>
    <col min="2312" max="2313" width="8.21875" style="204" customWidth="1"/>
    <col min="2314" max="2560" width="7.109375" style="204"/>
    <col min="2561" max="2561" width="10.21875" style="204" customWidth="1"/>
    <col min="2562" max="2562" width="3.5546875" style="204" customWidth="1"/>
    <col min="2563" max="2564" width="1.6640625" style="204" customWidth="1"/>
    <col min="2565" max="2565" width="4" style="204" customWidth="1"/>
    <col min="2566" max="2566" width="24.21875" style="204" customWidth="1"/>
    <col min="2567" max="2567" width="1.6640625" style="204" customWidth="1"/>
    <col min="2568" max="2569" width="8.21875" style="204" customWidth="1"/>
    <col min="2570" max="2816" width="7.109375" style="204"/>
    <col min="2817" max="2817" width="10.21875" style="204" customWidth="1"/>
    <col min="2818" max="2818" width="3.5546875" style="204" customWidth="1"/>
    <col min="2819" max="2820" width="1.6640625" style="204" customWidth="1"/>
    <col min="2821" max="2821" width="4" style="204" customWidth="1"/>
    <col min="2822" max="2822" width="24.21875" style="204" customWidth="1"/>
    <col min="2823" max="2823" width="1.6640625" style="204" customWidth="1"/>
    <col min="2824" max="2825" width="8.21875" style="204" customWidth="1"/>
    <col min="2826" max="3072" width="7.109375" style="204"/>
    <col min="3073" max="3073" width="10.21875" style="204" customWidth="1"/>
    <col min="3074" max="3074" width="3.5546875" style="204" customWidth="1"/>
    <col min="3075" max="3076" width="1.6640625" style="204" customWidth="1"/>
    <col min="3077" max="3077" width="4" style="204" customWidth="1"/>
    <col min="3078" max="3078" width="24.21875" style="204" customWidth="1"/>
    <col min="3079" max="3079" width="1.6640625" style="204" customWidth="1"/>
    <col min="3080" max="3081" width="8.21875" style="204" customWidth="1"/>
    <col min="3082" max="3328" width="7.109375" style="204"/>
    <col min="3329" max="3329" width="10.21875" style="204" customWidth="1"/>
    <col min="3330" max="3330" width="3.5546875" style="204" customWidth="1"/>
    <col min="3331" max="3332" width="1.6640625" style="204" customWidth="1"/>
    <col min="3333" max="3333" width="4" style="204" customWidth="1"/>
    <col min="3334" max="3334" width="24.21875" style="204" customWidth="1"/>
    <col min="3335" max="3335" width="1.6640625" style="204" customWidth="1"/>
    <col min="3336" max="3337" width="8.21875" style="204" customWidth="1"/>
    <col min="3338" max="3584" width="7.109375" style="204"/>
    <col min="3585" max="3585" width="10.21875" style="204" customWidth="1"/>
    <col min="3586" max="3586" width="3.5546875" style="204" customWidth="1"/>
    <col min="3587" max="3588" width="1.6640625" style="204" customWidth="1"/>
    <col min="3589" max="3589" width="4" style="204" customWidth="1"/>
    <col min="3590" max="3590" width="24.21875" style="204" customWidth="1"/>
    <col min="3591" max="3591" width="1.6640625" style="204" customWidth="1"/>
    <col min="3592" max="3593" width="8.21875" style="204" customWidth="1"/>
    <col min="3594" max="3840" width="7.109375" style="204"/>
    <col min="3841" max="3841" width="10.21875" style="204" customWidth="1"/>
    <col min="3842" max="3842" width="3.5546875" style="204" customWidth="1"/>
    <col min="3843" max="3844" width="1.6640625" style="204" customWidth="1"/>
    <col min="3845" max="3845" width="4" style="204" customWidth="1"/>
    <col min="3846" max="3846" width="24.21875" style="204" customWidth="1"/>
    <col min="3847" max="3847" width="1.6640625" style="204" customWidth="1"/>
    <col min="3848" max="3849" width="8.21875" style="204" customWidth="1"/>
    <col min="3850" max="4096" width="7.109375" style="204"/>
    <col min="4097" max="4097" width="10.21875" style="204" customWidth="1"/>
    <col min="4098" max="4098" width="3.5546875" style="204" customWidth="1"/>
    <col min="4099" max="4100" width="1.6640625" style="204" customWidth="1"/>
    <col min="4101" max="4101" width="4" style="204" customWidth="1"/>
    <col min="4102" max="4102" width="24.21875" style="204" customWidth="1"/>
    <col min="4103" max="4103" width="1.6640625" style="204" customWidth="1"/>
    <col min="4104" max="4105" width="8.21875" style="204" customWidth="1"/>
    <col min="4106" max="4352" width="7.109375" style="204"/>
    <col min="4353" max="4353" width="10.21875" style="204" customWidth="1"/>
    <col min="4354" max="4354" width="3.5546875" style="204" customWidth="1"/>
    <col min="4355" max="4356" width="1.6640625" style="204" customWidth="1"/>
    <col min="4357" max="4357" width="4" style="204" customWidth="1"/>
    <col min="4358" max="4358" width="24.21875" style="204" customWidth="1"/>
    <col min="4359" max="4359" width="1.6640625" style="204" customWidth="1"/>
    <col min="4360" max="4361" width="8.21875" style="204" customWidth="1"/>
    <col min="4362" max="4608" width="7.109375" style="204"/>
    <col min="4609" max="4609" width="10.21875" style="204" customWidth="1"/>
    <col min="4610" max="4610" width="3.5546875" style="204" customWidth="1"/>
    <col min="4611" max="4612" width="1.6640625" style="204" customWidth="1"/>
    <col min="4613" max="4613" width="4" style="204" customWidth="1"/>
    <col min="4614" max="4614" width="24.21875" style="204" customWidth="1"/>
    <col min="4615" max="4615" width="1.6640625" style="204" customWidth="1"/>
    <col min="4616" max="4617" width="8.21875" style="204" customWidth="1"/>
    <col min="4618" max="4864" width="7.109375" style="204"/>
    <col min="4865" max="4865" width="10.21875" style="204" customWidth="1"/>
    <col min="4866" max="4866" width="3.5546875" style="204" customWidth="1"/>
    <col min="4867" max="4868" width="1.6640625" style="204" customWidth="1"/>
    <col min="4869" max="4869" width="4" style="204" customWidth="1"/>
    <col min="4870" max="4870" width="24.21875" style="204" customWidth="1"/>
    <col min="4871" max="4871" width="1.6640625" style="204" customWidth="1"/>
    <col min="4872" max="4873" width="8.21875" style="204" customWidth="1"/>
    <col min="4874" max="5120" width="7.109375" style="204"/>
    <col min="5121" max="5121" width="10.21875" style="204" customWidth="1"/>
    <col min="5122" max="5122" width="3.5546875" style="204" customWidth="1"/>
    <col min="5123" max="5124" width="1.6640625" style="204" customWidth="1"/>
    <col min="5125" max="5125" width="4" style="204" customWidth="1"/>
    <col min="5126" max="5126" width="24.21875" style="204" customWidth="1"/>
    <col min="5127" max="5127" width="1.6640625" style="204" customWidth="1"/>
    <col min="5128" max="5129" width="8.21875" style="204" customWidth="1"/>
    <col min="5130" max="5376" width="7.109375" style="204"/>
    <col min="5377" max="5377" width="10.21875" style="204" customWidth="1"/>
    <col min="5378" max="5378" width="3.5546875" style="204" customWidth="1"/>
    <col min="5379" max="5380" width="1.6640625" style="204" customWidth="1"/>
    <col min="5381" max="5381" width="4" style="204" customWidth="1"/>
    <col min="5382" max="5382" width="24.21875" style="204" customWidth="1"/>
    <col min="5383" max="5383" width="1.6640625" style="204" customWidth="1"/>
    <col min="5384" max="5385" width="8.21875" style="204" customWidth="1"/>
    <col min="5386" max="5632" width="7.109375" style="204"/>
    <col min="5633" max="5633" width="10.21875" style="204" customWidth="1"/>
    <col min="5634" max="5634" width="3.5546875" style="204" customWidth="1"/>
    <col min="5635" max="5636" width="1.6640625" style="204" customWidth="1"/>
    <col min="5637" max="5637" width="4" style="204" customWidth="1"/>
    <col min="5638" max="5638" width="24.21875" style="204" customWidth="1"/>
    <col min="5639" max="5639" width="1.6640625" style="204" customWidth="1"/>
    <col min="5640" max="5641" width="8.21875" style="204" customWidth="1"/>
    <col min="5642" max="5888" width="7.109375" style="204"/>
    <col min="5889" max="5889" width="10.21875" style="204" customWidth="1"/>
    <col min="5890" max="5890" width="3.5546875" style="204" customWidth="1"/>
    <col min="5891" max="5892" width="1.6640625" style="204" customWidth="1"/>
    <col min="5893" max="5893" width="4" style="204" customWidth="1"/>
    <col min="5894" max="5894" width="24.21875" style="204" customWidth="1"/>
    <col min="5895" max="5895" width="1.6640625" style="204" customWidth="1"/>
    <col min="5896" max="5897" width="8.21875" style="204" customWidth="1"/>
    <col min="5898" max="6144" width="7.109375" style="204"/>
    <col min="6145" max="6145" width="10.21875" style="204" customWidth="1"/>
    <col min="6146" max="6146" width="3.5546875" style="204" customWidth="1"/>
    <col min="6147" max="6148" width="1.6640625" style="204" customWidth="1"/>
    <col min="6149" max="6149" width="4" style="204" customWidth="1"/>
    <col min="6150" max="6150" width="24.21875" style="204" customWidth="1"/>
    <col min="6151" max="6151" width="1.6640625" style="204" customWidth="1"/>
    <col min="6152" max="6153" width="8.21875" style="204" customWidth="1"/>
    <col min="6154" max="6400" width="7.109375" style="204"/>
    <col min="6401" max="6401" width="10.21875" style="204" customWidth="1"/>
    <col min="6402" max="6402" width="3.5546875" style="204" customWidth="1"/>
    <col min="6403" max="6404" width="1.6640625" style="204" customWidth="1"/>
    <col min="6405" max="6405" width="4" style="204" customWidth="1"/>
    <col min="6406" max="6406" width="24.21875" style="204" customWidth="1"/>
    <col min="6407" max="6407" width="1.6640625" style="204" customWidth="1"/>
    <col min="6408" max="6409" width="8.21875" style="204" customWidth="1"/>
    <col min="6410" max="6656" width="7.109375" style="204"/>
    <col min="6657" max="6657" width="10.21875" style="204" customWidth="1"/>
    <col min="6658" max="6658" width="3.5546875" style="204" customWidth="1"/>
    <col min="6659" max="6660" width="1.6640625" style="204" customWidth="1"/>
    <col min="6661" max="6661" width="4" style="204" customWidth="1"/>
    <col min="6662" max="6662" width="24.21875" style="204" customWidth="1"/>
    <col min="6663" max="6663" width="1.6640625" style="204" customWidth="1"/>
    <col min="6664" max="6665" width="8.21875" style="204" customWidth="1"/>
    <col min="6666" max="6912" width="7.109375" style="204"/>
    <col min="6913" max="6913" width="10.21875" style="204" customWidth="1"/>
    <col min="6914" max="6914" width="3.5546875" style="204" customWidth="1"/>
    <col min="6915" max="6916" width="1.6640625" style="204" customWidth="1"/>
    <col min="6917" max="6917" width="4" style="204" customWidth="1"/>
    <col min="6918" max="6918" width="24.21875" style="204" customWidth="1"/>
    <col min="6919" max="6919" width="1.6640625" style="204" customWidth="1"/>
    <col min="6920" max="6921" width="8.21875" style="204" customWidth="1"/>
    <col min="6922" max="7168" width="7.109375" style="204"/>
    <col min="7169" max="7169" width="10.21875" style="204" customWidth="1"/>
    <col min="7170" max="7170" width="3.5546875" style="204" customWidth="1"/>
    <col min="7171" max="7172" width="1.6640625" style="204" customWidth="1"/>
    <col min="7173" max="7173" width="4" style="204" customWidth="1"/>
    <col min="7174" max="7174" width="24.21875" style="204" customWidth="1"/>
    <col min="7175" max="7175" width="1.6640625" style="204" customWidth="1"/>
    <col min="7176" max="7177" width="8.21875" style="204" customWidth="1"/>
    <col min="7178" max="7424" width="7.109375" style="204"/>
    <col min="7425" max="7425" width="10.21875" style="204" customWidth="1"/>
    <col min="7426" max="7426" width="3.5546875" style="204" customWidth="1"/>
    <col min="7427" max="7428" width="1.6640625" style="204" customWidth="1"/>
    <col min="7429" max="7429" width="4" style="204" customWidth="1"/>
    <col min="7430" max="7430" width="24.21875" style="204" customWidth="1"/>
    <col min="7431" max="7431" width="1.6640625" style="204" customWidth="1"/>
    <col min="7432" max="7433" width="8.21875" style="204" customWidth="1"/>
    <col min="7434" max="7680" width="7.109375" style="204"/>
    <col min="7681" max="7681" width="10.21875" style="204" customWidth="1"/>
    <col min="7682" max="7682" width="3.5546875" style="204" customWidth="1"/>
    <col min="7683" max="7684" width="1.6640625" style="204" customWidth="1"/>
    <col min="7685" max="7685" width="4" style="204" customWidth="1"/>
    <col min="7686" max="7686" width="24.21875" style="204" customWidth="1"/>
    <col min="7687" max="7687" width="1.6640625" style="204" customWidth="1"/>
    <col min="7688" max="7689" width="8.21875" style="204" customWidth="1"/>
    <col min="7690" max="7936" width="7.109375" style="204"/>
    <col min="7937" max="7937" width="10.21875" style="204" customWidth="1"/>
    <col min="7938" max="7938" width="3.5546875" style="204" customWidth="1"/>
    <col min="7939" max="7940" width="1.6640625" style="204" customWidth="1"/>
    <col min="7941" max="7941" width="4" style="204" customWidth="1"/>
    <col min="7942" max="7942" width="24.21875" style="204" customWidth="1"/>
    <col min="7943" max="7943" width="1.6640625" style="204" customWidth="1"/>
    <col min="7944" max="7945" width="8.21875" style="204" customWidth="1"/>
    <col min="7946" max="8192" width="7.109375" style="204"/>
    <col min="8193" max="8193" width="10.21875" style="204" customWidth="1"/>
    <col min="8194" max="8194" width="3.5546875" style="204" customWidth="1"/>
    <col min="8195" max="8196" width="1.6640625" style="204" customWidth="1"/>
    <col min="8197" max="8197" width="4" style="204" customWidth="1"/>
    <col min="8198" max="8198" width="24.21875" style="204" customWidth="1"/>
    <col min="8199" max="8199" width="1.6640625" style="204" customWidth="1"/>
    <col min="8200" max="8201" width="8.21875" style="204" customWidth="1"/>
    <col min="8202" max="8448" width="7.109375" style="204"/>
    <col min="8449" max="8449" width="10.21875" style="204" customWidth="1"/>
    <col min="8450" max="8450" width="3.5546875" style="204" customWidth="1"/>
    <col min="8451" max="8452" width="1.6640625" style="204" customWidth="1"/>
    <col min="8453" max="8453" width="4" style="204" customWidth="1"/>
    <col min="8454" max="8454" width="24.21875" style="204" customWidth="1"/>
    <col min="8455" max="8455" width="1.6640625" style="204" customWidth="1"/>
    <col min="8456" max="8457" width="8.21875" style="204" customWidth="1"/>
    <col min="8458" max="8704" width="7.109375" style="204"/>
    <col min="8705" max="8705" width="10.21875" style="204" customWidth="1"/>
    <col min="8706" max="8706" width="3.5546875" style="204" customWidth="1"/>
    <col min="8707" max="8708" width="1.6640625" style="204" customWidth="1"/>
    <col min="8709" max="8709" width="4" style="204" customWidth="1"/>
    <col min="8710" max="8710" width="24.21875" style="204" customWidth="1"/>
    <col min="8711" max="8711" width="1.6640625" style="204" customWidth="1"/>
    <col min="8712" max="8713" width="8.21875" style="204" customWidth="1"/>
    <col min="8714" max="8960" width="7.109375" style="204"/>
    <col min="8961" max="8961" width="10.21875" style="204" customWidth="1"/>
    <col min="8962" max="8962" width="3.5546875" style="204" customWidth="1"/>
    <col min="8963" max="8964" width="1.6640625" style="204" customWidth="1"/>
    <col min="8965" max="8965" width="4" style="204" customWidth="1"/>
    <col min="8966" max="8966" width="24.21875" style="204" customWidth="1"/>
    <col min="8967" max="8967" width="1.6640625" style="204" customWidth="1"/>
    <col min="8968" max="8969" width="8.21875" style="204" customWidth="1"/>
    <col min="8970" max="9216" width="7.109375" style="204"/>
    <col min="9217" max="9217" width="10.21875" style="204" customWidth="1"/>
    <col min="9218" max="9218" width="3.5546875" style="204" customWidth="1"/>
    <col min="9219" max="9220" width="1.6640625" style="204" customWidth="1"/>
    <col min="9221" max="9221" width="4" style="204" customWidth="1"/>
    <col min="9222" max="9222" width="24.21875" style="204" customWidth="1"/>
    <col min="9223" max="9223" width="1.6640625" style="204" customWidth="1"/>
    <col min="9224" max="9225" width="8.21875" style="204" customWidth="1"/>
    <col min="9226" max="9472" width="7.109375" style="204"/>
    <col min="9473" max="9473" width="10.21875" style="204" customWidth="1"/>
    <col min="9474" max="9474" width="3.5546875" style="204" customWidth="1"/>
    <col min="9475" max="9476" width="1.6640625" style="204" customWidth="1"/>
    <col min="9477" max="9477" width="4" style="204" customWidth="1"/>
    <col min="9478" max="9478" width="24.21875" style="204" customWidth="1"/>
    <col min="9479" max="9479" width="1.6640625" style="204" customWidth="1"/>
    <col min="9480" max="9481" width="8.21875" style="204" customWidth="1"/>
    <col min="9482" max="9728" width="7.109375" style="204"/>
    <col min="9729" max="9729" width="10.21875" style="204" customWidth="1"/>
    <col min="9730" max="9730" width="3.5546875" style="204" customWidth="1"/>
    <col min="9731" max="9732" width="1.6640625" style="204" customWidth="1"/>
    <col min="9733" max="9733" width="4" style="204" customWidth="1"/>
    <col min="9734" max="9734" width="24.21875" style="204" customWidth="1"/>
    <col min="9735" max="9735" width="1.6640625" style="204" customWidth="1"/>
    <col min="9736" max="9737" width="8.21875" style="204" customWidth="1"/>
    <col min="9738" max="9984" width="7.109375" style="204"/>
    <col min="9985" max="9985" width="10.21875" style="204" customWidth="1"/>
    <col min="9986" max="9986" width="3.5546875" style="204" customWidth="1"/>
    <col min="9987" max="9988" width="1.6640625" style="204" customWidth="1"/>
    <col min="9989" max="9989" width="4" style="204" customWidth="1"/>
    <col min="9990" max="9990" width="24.21875" style="204" customWidth="1"/>
    <col min="9991" max="9991" width="1.6640625" style="204" customWidth="1"/>
    <col min="9992" max="9993" width="8.21875" style="204" customWidth="1"/>
    <col min="9994" max="10240" width="7.109375" style="204"/>
    <col min="10241" max="10241" width="10.21875" style="204" customWidth="1"/>
    <col min="10242" max="10242" width="3.5546875" style="204" customWidth="1"/>
    <col min="10243" max="10244" width="1.6640625" style="204" customWidth="1"/>
    <col min="10245" max="10245" width="4" style="204" customWidth="1"/>
    <col min="10246" max="10246" width="24.21875" style="204" customWidth="1"/>
    <col min="10247" max="10247" width="1.6640625" style="204" customWidth="1"/>
    <col min="10248" max="10249" width="8.21875" style="204" customWidth="1"/>
    <col min="10250" max="10496" width="7.109375" style="204"/>
    <col min="10497" max="10497" width="10.21875" style="204" customWidth="1"/>
    <col min="10498" max="10498" width="3.5546875" style="204" customWidth="1"/>
    <col min="10499" max="10500" width="1.6640625" style="204" customWidth="1"/>
    <col min="10501" max="10501" width="4" style="204" customWidth="1"/>
    <col min="10502" max="10502" width="24.21875" style="204" customWidth="1"/>
    <col min="10503" max="10503" width="1.6640625" style="204" customWidth="1"/>
    <col min="10504" max="10505" width="8.21875" style="204" customWidth="1"/>
    <col min="10506" max="10752" width="7.109375" style="204"/>
    <col min="10753" max="10753" width="10.21875" style="204" customWidth="1"/>
    <col min="10754" max="10754" width="3.5546875" style="204" customWidth="1"/>
    <col min="10755" max="10756" width="1.6640625" style="204" customWidth="1"/>
    <col min="10757" max="10757" width="4" style="204" customWidth="1"/>
    <col min="10758" max="10758" width="24.21875" style="204" customWidth="1"/>
    <col min="10759" max="10759" width="1.6640625" style="204" customWidth="1"/>
    <col min="10760" max="10761" width="8.21875" style="204" customWidth="1"/>
    <col min="10762" max="11008" width="7.109375" style="204"/>
    <col min="11009" max="11009" width="10.21875" style="204" customWidth="1"/>
    <col min="11010" max="11010" width="3.5546875" style="204" customWidth="1"/>
    <col min="11011" max="11012" width="1.6640625" style="204" customWidth="1"/>
    <col min="11013" max="11013" width="4" style="204" customWidth="1"/>
    <col min="11014" max="11014" width="24.21875" style="204" customWidth="1"/>
    <col min="11015" max="11015" width="1.6640625" style="204" customWidth="1"/>
    <col min="11016" max="11017" width="8.21875" style="204" customWidth="1"/>
    <col min="11018" max="11264" width="7.109375" style="204"/>
    <col min="11265" max="11265" width="10.21875" style="204" customWidth="1"/>
    <col min="11266" max="11266" width="3.5546875" style="204" customWidth="1"/>
    <col min="11267" max="11268" width="1.6640625" style="204" customWidth="1"/>
    <col min="11269" max="11269" width="4" style="204" customWidth="1"/>
    <col min="11270" max="11270" width="24.21875" style="204" customWidth="1"/>
    <col min="11271" max="11271" width="1.6640625" style="204" customWidth="1"/>
    <col min="11272" max="11273" width="8.21875" style="204" customWidth="1"/>
    <col min="11274" max="11520" width="7.109375" style="204"/>
    <col min="11521" max="11521" width="10.21875" style="204" customWidth="1"/>
    <col min="11522" max="11522" width="3.5546875" style="204" customWidth="1"/>
    <col min="11523" max="11524" width="1.6640625" style="204" customWidth="1"/>
    <col min="11525" max="11525" width="4" style="204" customWidth="1"/>
    <col min="11526" max="11526" width="24.21875" style="204" customWidth="1"/>
    <col min="11527" max="11527" width="1.6640625" style="204" customWidth="1"/>
    <col min="11528" max="11529" width="8.21875" style="204" customWidth="1"/>
    <col min="11530" max="11776" width="7.109375" style="204"/>
    <col min="11777" max="11777" width="10.21875" style="204" customWidth="1"/>
    <col min="11778" max="11778" width="3.5546875" style="204" customWidth="1"/>
    <col min="11779" max="11780" width="1.6640625" style="204" customWidth="1"/>
    <col min="11781" max="11781" width="4" style="204" customWidth="1"/>
    <col min="11782" max="11782" width="24.21875" style="204" customWidth="1"/>
    <col min="11783" max="11783" width="1.6640625" style="204" customWidth="1"/>
    <col min="11784" max="11785" width="8.21875" style="204" customWidth="1"/>
    <col min="11786" max="12032" width="7.109375" style="204"/>
    <col min="12033" max="12033" width="10.21875" style="204" customWidth="1"/>
    <col min="12034" max="12034" width="3.5546875" style="204" customWidth="1"/>
    <col min="12035" max="12036" width="1.6640625" style="204" customWidth="1"/>
    <col min="12037" max="12037" width="4" style="204" customWidth="1"/>
    <col min="12038" max="12038" width="24.21875" style="204" customWidth="1"/>
    <col min="12039" max="12039" width="1.6640625" style="204" customWidth="1"/>
    <col min="12040" max="12041" width="8.21875" style="204" customWidth="1"/>
    <col min="12042" max="12288" width="7.109375" style="204"/>
    <col min="12289" max="12289" width="10.21875" style="204" customWidth="1"/>
    <col min="12290" max="12290" width="3.5546875" style="204" customWidth="1"/>
    <col min="12291" max="12292" width="1.6640625" style="204" customWidth="1"/>
    <col min="12293" max="12293" width="4" style="204" customWidth="1"/>
    <col min="12294" max="12294" width="24.21875" style="204" customWidth="1"/>
    <col min="12295" max="12295" width="1.6640625" style="204" customWidth="1"/>
    <col min="12296" max="12297" width="8.21875" style="204" customWidth="1"/>
    <col min="12298" max="12544" width="7.109375" style="204"/>
    <col min="12545" max="12545" width="10.21875" style="204" customWidth="1"/>
    <col min="12546" max="12546" width="3.5546875" style="204" customWidth="1"/>
    <col min="12547" max="12548" width="1.6640625" style="204" customWidth="1"/>
    <col min="12549" max="12549" width="4" style="204" customWidth="1"/>
    <col min="12550" max="12550" width="24.21875" style="204" customWidth="1"/>
    <col min="12551" max="12551" width="1.6640625" style="204" customWidth="1"/>
    <col min="12552" max="12553" width="8.21875" style="204" customWidth="1"/>
    <col min="12554" max="12800" width="7.109375" style="204"/>
    <col min="12801" max="12801" width="10.21875" style="204" customWidth="1"/>
    <col min="12802" max="12802" width="3.5546875" style="204" customWidth="1"/>
    <col min="12803" max="12804" width="1.6640625" style="204" customWidth="1"/>
    <col min="12805" max="12805" width="4" style="204" customWidth="1"/>
    <col min="12806" max="12806" width="24.21875" style="204" customWidth="1"/>
    <col min="12807" max="12807" width="1.6640625" style="204" customWidth="1"/>
    <col min="12808" max="12809" width="8.21875" style="204" customWidth="1"/>
    <col min="12810" max="13056" width="7.109375" style="204"/>
    <col min="13057" max="13057" width="10.21875" style="204" customWidth="1"/>
    <col min="13058" max="13058" width="3.5546875" style="204" customWidth="1"/>
    <col min="13059" max="13060" width="1.6640625" style="204" customWidth="1"/>
    <col min="13061" max="13061" width="4" style="204" customWidth="1"/>
    <col min="13062" max="13062" width="24.21875" style="204" customWidth="1"/>
    <col min="13063" max="13063" width="1.6640625" style="204" customWidth="1"/>
    <col min="13064" max="13065" width="8.21875" style="204" customWidth="1"/>
    <col min="13066" max="13312" width="7.109375" style="204"/>
    <col min="13313" max="13313" width="10.21875" style="204" customWidth="1"/>
    <col min="13314" max="13314" width="3.5546875" style="204" customWidth="1"/>
    <col min="13315" max="13316" width="1.6640625" style="204" customWidth="1"/>
    <col min="13317" max="13317" width="4" style="204" customWidth="1"/>
    <col min="13318" max="13318" width="24.21875" style="204" customWidth="1"/>
    <col min="13319" max="13319" width="1.6640625" style="204" customWidth="1"/>
    <col min="13320" max="13321" width="8.21875" style="204" customWidth="1"/>
    <col min="13322" max="13568" width="7.109375" style="204"/>
    <col min="13569" max="13569" width="10.21875" style="204" customWidth="1"/>
    <col min="13570" max="13570" width="3.5546875" style="204" customWidth="1"/>
    <col min="13571" max="13572" width="1.6640625" style="204" customWidth="1"/>
    <col min="13573" max="13573" width="4" style="204" customWidth="1"/>
    <col min="13574" max="13574" width="24.21875" style="204" customWidth="1"/>
    <col min="13575" max="13575" width="1.6640625" style="204" customWidth="1"/>
    <col min="13576" max="13577" width="8.21875" style="204" customWidth="1"/>
    <col min="13578" max="13824" width="7.109375" style="204"/>
    <col min="13825" max="13825" width="10.21875" style="204" customWidth="1"/>
    <col min="13826" max="13826" width="3.5546875" style="204" customWidth="1"/>
    <col min="13827" max="13828" width="1.6640625" style="204" customWidth="1"/>
    <col min="13829" max="13829" width="4" style="204" customWidth="1"/>
    <col min="13830" max="13830" width="24.21875" style="204" customWidth="1"/>
    <col min="13831" max="13831" width="1.6640625" style="204" customWidth="1"/>
    <col min="13832" max="13833" width="8.21875" style="204" customWidth="1"/>
    <col min="13834" max="14080" width="7.109375" style="204"/>
    <col min="14081" max="14081" width="10.21875" style="204" customWidth="1"/>
    <col min="14082" max="14082" width="3.5546875" style="204" customWidth="1"/>
    <col min="14083" max="14084" width="1.6640625" style="204" customWidth="1"/>
    <col min="14085" max="14085" width="4" style="204" customWidth="1"/>
    <col min="14086" max="14086" width="24.21875" style="204" customWidth="1"/>
    <col min="14087" max="14087" width="1.6640625" style="204" customWidth="1"/>
    <col min="14088" max="14089" width="8.21875" style="204" customWidth="1"/>
    <col min="14090" max="14336" width="7.109375" style="204"/>
    <col min="14337" max="14337" width="10.21875" style="204" customWidth="1"/>
    <col min="14338" max="14338" width="3.5546875" style="204" customWidth="1"/>
    <col min="14339" max="14340" width="1.6640625" style="204" customWidth="1"/>
    <col min="14341" max="14341" width="4" style="204" customWidth="1"/>
    <col min="14342" max="14342" width="24.21875" style="204" customWidth="1"/>
    <col min="14343" max="14343" width="1.6640625" style="204" customWidth="1"/>
    <col min="14344" max="14345" width="8.21875" style="204" customWidth="1"/>
    <col min="14346" max="14592" width="7.109375" style="204"/>
    <col min="14593" max="14593" width="10.21875" style="204" customWidth="1"/>
    <col min="14594" max="14594" width="3.5546875" style="204" customWidth="1"/>
    <col min="14595" max="14596" width="1.6640625" style="204" customWidth="1"/>
    <col min="14597" max="14597" width="4" style="204" customWidth="1"/>
    <col min="14598" max="14598" width="24.21875" style="204" customWidth="1"/>
    <col min="14599" max="14599" width="1.6640625" style="204" customWidth="1"/>
    <col min="14600" max="14601" width="8.21875" style="204" customWidth="1"/>
    <col min="14602" max="14848" width="7.109375" style="204"/>
    <col min="14849" max="14849" width="10.21875" style="204" customWidth="1"/>
    <col min="14850" max="14850" width="3.5546875" style="204" customWidth="1"/>
    <col min="14851" max="14852" width="1.6640625" style="204" customWidth="1"/>
    <col min="14853" max="14853" width="4" style="204" customWidth="1"/>
    <col min="14854" max="14854" width="24.21875" style="204" customWidth="1"/>
    <col min="14855" max="14855" width="1.6640625" style="204" customWidth="1"/>
    <col min="14856" max="14857" width="8.21875" style="204" customWidth="1"/>
    <col min="14858" max="15104" width="7.109375" style="204"/>
    <col min="15105" max="15105" width="10.21875" style="204" customWidth="1"/>
    <col min="15106" max="15106" width="3.5546875" style="204" customWidth="1"/>
    <col min="15107" max="15108" width="1.6640625" style="204" customWidth="1"/>
    <col min="15109" max="15109" width="4" style="204" customWidth="1"/>
    <col min="15110" max="15110" width="24.21875" style="204" customWidth="1"/>
    <col min="15111" max="15111" width="1.6640625" style="204" customWidth="1"/>
    <col min="15112" max="15113" width="8.21875" style="204" customWidth="1"/>
    <col min="15114" max="15360" width="7.109375" style="204"/>
    <col min="15361" max="15361" width="10.21875" style="204" customWidth="1"/>
    <col min="15362" max="15362" width="3.5546875" style="204" customWidth="1"/>
    <col min="15363" max="15364" width="1.6640625" style="204" customWidth="1"/>
    <col min="15365" max="15365" width="4" style="204" customWidth="1"/>
    <col min="15366" max="15366" width="24.21875" style="204" customWidth="1"/>
    <col min="15367" max="15367" width="1.6640625" style="204" customWidth="1"/>
    <col min="15368" max="15369" width="8.21875" style="204" customWidth="1"/>
    <col min="15370" max="15616" width="7.109375" style="204"/>
    <col min="15617" max="15617" width="10.21875" style="204" customWidth="1"/>
    <col min="15618" max="15618" width="3.5546875" style="204" customWidth="1"/>
    <col min="15619" max="15620" width="1.6640625" style="204" customWidth="1"/>
    <col min="15621" max="15621" width="4" style="204" customWidth="1"/>
    <col min="15622" max="15622" width="24.21875" style="204" customWidth="1"/>
    <col min="15623" max="15623" width="1.6640625" style="204" customWidth="1"/>
    <col min="15624" max="15625" width="8.21875" style="204" customWidth="1"/>
    <col min="15626" max="15872" width="7.109375" style="204"/>
    <col min="15873" max="15873" width="10.21875" style="204" customWidth="1"/>
    <col min="15874" max="15874" width="3.5546875" style="204" customWidth="1"/>
    <col min="15875" max="15876" width="1.6640625" style="204" customWidth="1"/>
    <col min="15877" max="15877" width="4" style="204" customWidth="1"/>
    <col min="15878" max="15878" width="24.21875" style="204" customWidth="1"/>
    <col min="15879" max="15879" width="1.6640625" style="204" customWidth="1"/>
    <col min="15880" max="15881" width="8.21875" style="204" customWidth="1"/>
    <col min="15882" max="16128" width="7.109375" style="204"/>
    <col min="16129" max="16129" width="10.21875" style="204" customWidth="1"/>
    <col min="16130" max="16130" width="3.5546875" style="204" customWidth="1"/>
    <col min="16131" max="16132" width="1.6640625" style="204" customWidth="1"/>
    <col min="16133" max="16133" width="4" style="204" customWidth="1"/>
    <col min="16134" max="16134" width="24.21875" style="204" customWidth="1"/>
    <col min="16135" max="16135" width="1.6640625" style="204" customWidth="1"/>
    <col min="16136" max="16137" width="8.21875" style="204" customWidth="1"/>
    <col min="16138" max="16384" width="7.109375" style="204"/>
  </cols>
  <sheetData>
    <row r="1" spans="1:9" ht="14.25" customHeight="1">
      <c r="A1" s="990" t="s">
        <v>48</v>
      </c>
      <c r="B1" s="990"/>
      <c r="C1" s="990"/>
      <c r="D1" s="990"/>
      <c r="E1" s="990"/>
      <c r="F1" s="990"/>
      <c r="G1" s="990"/>
      <c r="H1" s="990"/>
    </row>
    <row r="2" spans="1:9">
      <c r="A2" s="990" t="s">
        <v>49</v>
      </c>
      <c r="B2" s="990"/>
      <c r="C2" s="990"/>
      <c r="D2" s="990"/>
      <c r="E2" s="990"/>
      <c r="F2" s="990"/>
      <c r="G2" s="990"/>
      <c r="H2" s="990"/>
    </row>
    <row r="3" spans="1:9">
      <c r="A3" s="991" t="str">
        <f>'Act Att-H'!C7</f>
        <v>Black Hills Colorado Electric, LLC</v>
      </c>
      <c r="B3" s="991"/>
      <c r="C3" s="991"/>
      <c r="D3" s="991"/>
      <c r="E3" s="991"/>
      <c r="F3" s="991"/>
      <c r="G3" s="991"/>
      <c r="H3" s="991"/>
    </row>
    <row r="4" spans="1:9">
      <c r="F4" s="2"/>
      <c r="H4" s="205" t="s">
        <v>3</v>
      </c>
    </row>
    <row r="5" spans="1:9">
      <c r="A5" s="218"/>
      <c r="B5" s="218"/>
      <c r="C5" s="218"/>
      <c r="D5" s="218"/>
      <c r="E5" s="218"/>
      <c r="F5" s="218"/>
      <c r="G5" s="218"/>
      <c r="H5" s="218"/>
    </row>
    <row r="6" spans="1:9" ht="60.75" customHeight="1">
      <c r="B6" s="128" t="s">
        <v>82</v>
      </c>
      <c r="C6" s="128" t="s">
        <v>860</v>
      </c>
      <c r="D6" s="128" t="s">
        <v>13</v>
      </c>
      <c r="E6" s="231" t="s">
        <v>861</v>
      </c>
      <c r="F6" s="231" t="s">
        <v>91</v>
      </c>
      <c r="G6" s="231" t="s">
        <v>862</v>
      </c>
      <c r="H6" s="231" t="s">
        <v>863</v>
      </c>
    </row>
    <row r="7" spans="1:9" ht="15" customHeight="1">
      <c r="B7" s="227"/>
      <c r="C7" s="232" t="s">
        <v>458</v>
      </c>
      <c r="D7" s="233" t="s">
        <v>459</v>
      </c>
      <c r="E7" s="233" t="s">
        <v>460</v>
      </c>
      <c r="F7" s="233" t="s">
        <v>461</v>
      </c>
      <c r="G7" s="233" t="s">
        <v>479</v>
      </c>
      <c r="H7" s="233" t="s">
        <v>480</v>
      </c>
    </row>
    <row r="8" spans="1:9" ht="15" customHeight="1">
      <c r="B8" s="423">
        <v>1</v>
      </c>
      <c r="C8" s="837" t="s">
        <v>864</v>
      </c>
      <c r="D8" s="785" t="s">
        <v>865</v>
      </c>
      <c r="E8" s="876">
        <v>0</v>
      </c>
      <c r="F8" s="838" t="s">
        <v>238</v>
      </c>
      <c r="G8" s="839">
        <f>'Act Att-H'!$G$115</f>
        <v>1</v>
      </c>
      <c r="H8" s="840">
        <f t="shared" ref="H8:H11" si="0">G8*E8</f>
        <v>0</v>
      </c>
    </row>
    <row r="9" spans="1:9" ht="30" customHeight="1">
      <c r="B9" s="423">
        <v>2</v>
      </c>
      <c r="C9" s="837" t="s">
        <v>866</v>
      </c>
      <c r="D9" s="785" t="s">
        <v>867</v>
      </c>
      <c r="E9" s="877">
        <v>127726.91000000003</v>
      </c>
      <c r="F9" s="838" t="s">
        <v>94</v>
      </c>
      <c r="G9" s="839">
        <f>'Act Att-H'!$I$174</f>
        <v>0.9266113890410379</v>
      </c>
      <c r="H9" s="841">
        <f t="shared" si="0"/>
        <v>118353.20949301966</v>
      </c>
    </row>
    <row r="10" spans="1:9" ht="30" customHeight="1">
      <c r="B10" s="423">
        <v>3</v>
      </c>
      <c r="C10" s="837" t="s">
        <v>868</v>
      </c>
      <c r="D10" s="785" t="s">
        <v>869</v>
      </c>
      <c r="E10" s="877">
        <v>0</v>
      </c>
      <c r="F10" s="838" t="s">
        <v>205</v>
      </c>
      <c r="G10" s="839">
        <f>'Act Att-H'!$I$183</f>
        <v>0.9266113890410379</v>
      </c>
      <c r="H10" s="841">
        <f t="shared" si="0"/>
        <v>0</v>
      </c>
    </row>
    <row r="11" spans="1:9" ht="30" customHeight="1">
      <c r="B11" s="423">
        <v>4</v>
      </c>
      <c r="C11" s="837" t="s">
        <v>870</v>
      </c>
      <c r="D11" s="785" t="s">
        <v>871</v>
      </c>
      <c r="E11" s="877">
        <v>0</v>
      </c>
      <c r="F11" s="838" t="s">
        <v>151</v>
      </c>
      <c r="G11" s="839">
        <f>'Act Att-H'!$K$195</f>
        <v>0.14094405950320033</v>
      </c>
      <c r="H11" s="841">
        <f t="shared" si="0"/>
        <v>0</v>
      </c>
    </row>
    <row r="12" spans="1:9" ht="30" customHeight="1">
      <c r="B12" s="423">
        <v>5</v>
      </c>
      <c r="C12" s="837" t="s">
        <v>872</v>
      </c>
      <c r="D12" s="785" t="s">
        <v>873</v>
      </c>
      <c r="E12" s="877">
        <v>434042.3913461538</v>
      </c>
      <c r="F12" s="838" t="s">
        <v>148</v>
      </c>
      <c r="G12" s="839">
        <f>'Act Att-H'!$I$191</f>
        <v>0.14403621580679662</v>
      </c>
      <c r="H12" s="841">
        <f t="shared" ref="H12:H15" si="1">G12*E12</f>
        <v>62517.823549232686</v>
      </c>
    </row>
    <row r="13" spans="1:9" ht="30" customHeight="1">
      <c r="B13" s="423">
        <v>6</v>
      </c>
      <c r="C13" s="837" t="s">
        <v>874</v>
      </c>
      <c r="D13" s="785" t="s">
        <v>875</v>
      </c>
      <c r="E13" s="877">
        <v>0</v>
      </c>
      <c r="F13" s="838" t="s">
        <v>173</v>
      </c>
      <c r="G13" s="839">
        <f>'Act Att-H'!$G$50</f>
        <v>0.20957843468829235</v>
      </c>
      <c r="H13" s="841">
        <f t="shared" si="1"/>
        <v>0</v>
      </c>
    </row>
    <row r="14" spans="1:9" ht="30" customHeight="1">
      <c r="B14" s="423">
        <v>7</v>
      </c>
      <c r="C14" s="837" t="s">
        <v>876</v>
      </c>
      <c r="D14" s="785" t="s">
        <v>877</v>
      </c>
      <c r="E14" s="877">
        <v>0</v>
      </c>
      <c r="F14" s="838" t="s">
        <v>878</v>
      </c>
      <c r="G14" s="839">
        <f>'Act Att-H'!$G$66</f>
        <v>0.23853948009213707</v>
      </c>
      <c r="H14" s="841">
        <f t="shared" si="1"/>
        <v>0</v>
      </c>
    </row>
    <row r="15" spans="1:9" ht="60" customHeight="1">
      <c r="B15" s="423">
        <v>8</v>
      </c>
      <c r="C15" s="837" t="s">
        <v>879</v>
      </c>
      <c r="D15" s="785" t="s">
        <v>880</v>
      </c>
      <c r="E15" s="877">
        <v>674066.46705128194</v>
      </c>
      <c r="F15" s="838" t="s">
        <v>141</v>
      </c>
      <c r="G15" s="839">
        <v>0</v>
      </c>
      <c r="H15" s="841">
        <f t="shared" si="1"/>
        <v>0</v>
      </c>
    </row>
    <row r="16" spans="1:9">
      <c r="B16" s="206">
        <v>9</v>
      </c>
      <c r="C16" s="314" t="s">
        <v>90</v>
      </c>
      <c r="D16" s="314" t="s">
        <v>534</v>
      </c>
      <c r="E16" s="436">
        <f>SUM(E8:E15)</f>
        <v>1235835.7683974358</v>
      </c>
      <c r="F16" s="654"/>
      <c r="G16" s="657"/>
      <c r="H16" s="655">
        <f>SUM(H8:H15)</f>
        <v>180871.03304225235</v>
      </c>
      <c r="I16" s="228"/>
    </row>
    <row r="17" spans="2:11">
      <c r="B17" s="206">
        <v>10</v>
      </c>
      <c r="C17" s="204" t="s">
        <v>881</v>
      </c>
      <c r="E17" s="222">
        <f>'A4-Rate Base'!I89</f>
        <v>1235835.5384615385</v>
      </c>
      <c r="F17" s="671"/>
      <c r="G17" s="671"/>
      <c r="H17" s="671"/>
      <c r="I17" s="228"/>
    </row>
    <row r="18" spans="2:11">
      <c r="B18" s="206">
        <v>11</v>
      </c>
      <c r="C18" s="204" t="s">
        <v>882</v>
      </c>
      <c r="E18" s="436">
        <f>E17-E16</f>
        <v>-0.22993589728139341</v>
      </c>
      <c r="F18" s="671"/>
      <c r="G18" s="671"/>
      <c r="H18" s="671"/>
      <c r="I18" s="228"/>
    </row>
    <row r="19" spans="2:11">
      <c r="B19" s="206"/>
      <c r="H19" s="228"/>
    </row>
    <row r="20" spans="2:11">
      <c r="B20" s="206"/>
      <c r="H20" s="228"/>
    </row>
    <row r="21" spans="2:11">
      <c r="B21" s="384" t="s">
        <v>496</v>
      </c>
      <c r="H21" s="228"/>
    </row>
    <row r="22" spans="2:11">
      <c r="B22" s="206" t="s">
        <v>387</v>
      </c>
      <c r="C22" s="204" t="s">
        <v>883</v>
      </c>
      <c r="H22" s="228"/>
    </row>
    <row r="23" spans="2:11" ht="26.25" customHeight="1">
      <c r="B23" s="423" t="s">
        <v>389</v>
      </c>
      <c r="C23" s="1015" t="s">
        <v>884</v>
      </c>
      <c r="D23" s="1015"/>
      <c r="E23" s="1015"/>
      <c r="F23" s="1015"/>
      <c r="G23" s="1015"/>
      <c r="H23" s="1015"/>
      <c r="K23" s="773"/>
    </row>
    <row r="24" spans="2:11">
      <c r="B24" s="206"/>
    </row>
    <row r="25" spans="2:11">
      <c r="B25" s="206"/>
      <c r="C25" s="590"/>
    </row>
  </sheetData>
  <mergeCells count="4">
    <mergeCell ref="A1:H1"/>
    <mergeCell ref="A2:H2"/>
    <mergeCell ref="A3:H3"/>
    <mergeCell ref="C23:H23"/>
  </mergeCells>
  <printOptions horizontalCentered="1"/>
  <pageMargins left="0.75" right="0.75" top="1" bottom="1" header="0.5" footer="0.5"/>
  <pageSetup scale="78" orientation="portrait" r:id="rId1"/>
  <headerFooter alignWithMargins="0"/>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I34"/>
  <sheetViews>
    <sheetView workbookViewId="0">
      <selection activeCell="I1" sqref="I1:I1048576"/>
    </sheetView>
  </sheetViews>
  <sheetFormatPr defaultColWidth="7.109375" defaultRowHeight="12.75"/>
  <cols>
    <col min="1" max="1" width="2.109375" style="204" customWidth="1"/>
    <col min="2" max="2" width="4.6640625" style="204" customWidth="1"/>
    <col min="3" max="3" width="27.6640625" style="204" customWidth="1"/>
    <col min="4" max="5" width="8.21875" style="204" bestFit="1" customWidth="1"/>
    <col min="6" max="6" width="7.6640625" style="204" customWidth="1"/>
    <col min="7" max="7" width="9.77734375" style="204" customWidth="1"/>
    <col min="8" max="8" width="9.21875" style="217" customWidth="1"/>
    <col min="9" max="9" width="8.21875" style="931" customWidth="1"/>
    <col min="10" max="256" width="7.109375" style="204"/>
    <col min="257" max="257" width="10.21875" style="204" customWidth="1"/>
    <col min="258" max="258" width="3.5546875" style="204" customWidth="1"/>
    <col min="259" max="260" width="1.6640625" style="204" customWidth="1"/>
    <col min="261" max="261" width="4" style="204" customWidth="1"/>
    <col min="262" max="262" width="24.21875" style="204" customWidth="1"/>
    <col min="263" max="263" width="1.6640625" style="204" customWidth="1"/>
    <col min="264" max="265" width="8.21875" style="204" customWidth="1"/>
    <col min="266" max="512" width="7.109375" style="204"/>
    <col min="513" max="513" width="10.21875" style="204" customWidth="1"/>
    <col min="514" max="514" width="3.5546875" style="204" customWidth="1"/>
    <col min="515" max="516" width="1.6640625" style="204" customWidth="1"/>
    <col min="517" max="517" width="4" style="204" customWidth="1"/>
    <col min="518" max="518" width="24.21875" style="204" customWidth="1"/>
    <col min="519" max="519" width="1.6640625" style="204" customWidth="1"/>
    <col min="520" max="521" width="8.21875" style="204" customWidth="1"/>
    <col min="522" max="768" width="7.109375" style="204"/>
    <col min="769" max="769" width="10.21875" style="204" customWidth="1"/>
    <col min="770" max="770" width="3.5546875" style="204" customWidth="1"/>
    <col min="771" max="772" width="1.6640625" style="204" customWidth="1"/>
    <col min="773" max="773" width="4" style="204" customWidth="1"/>
    <col min="774" max="774" width="24.21875" style="204" customWidth="1"/>
    <col min="775" max="775" width="1.6640625" style="204" customWidth="1"/>
    <col min="776" max="777" width="8.21875" style="204" customWidth="1"/>
    <col min="778" max="1024" width="7.109375" style="204"/>
    <col min="1025" max="1025" width="10.21875" style="204" customWidth="1"/>
    <col min="1026" max="1026" width="3.5546875" style="204" customWidth="1"/>
    <col min="1027" max="1028" width="1.6640625" style="204" customWidth="1"/>
    <col min="1029" max="1029" width="4" style="204" customWidth="1"/>
    <col min="1030" max="1030" width="24.21875" style="204" customWidth="1"/>
    <col min="1031" max="1031" width="1.6640625" style="204" customWidth="1"/>
    <col min="1032" max="1033" width="8.21875" style="204" customWidth="1"/>
    <col min="1034" max="1280" width="7.109375" style="204"/>
    <col min="1281" max="1281" width="10.21875" style="204" customWidth="1"/>
    <col min="1282" max="1282" width="3.5546875" style="204" customWidth="1"/>
    <col min="1283" max="1284" width="1.6640625" style="204" customWidth="1"/>
    <col min="1285" max="1285" width="4" style="204" customWidth="1"/>
    <col min="1286" max="1286" width="24.21875" style="204" customWidth="1"/>
    <col min="1287" max="1287" width="1.6640625" style="204" customWidth="1"/>
    <col min="1288" max="1289" width="8.21875" style="204" customWidth="1"/>
    <col min="1290" max="1536" width="7.109375" style="204"/>
    <col min="1537" max="1537" width="10.21875" style="204" customWidth="1"/>
    <col min="1538" max="1538" width="3.5546875" style="204" customWidth="1"/>
    <col min="1539" max="1540" width="1.6640625" style="204" customWidth="1"/>
    <col min="1541" max="1541" width="4" style="204" customWidth="1"/>
    <col min="1542" max="1542" width="24.21875" style="204" customWidth="1"/>
    <col min="1543" max="1543" width="1.6640625" style="204" customWidth="1"/>
    <col min="1544" max="1545" width="8.21875" style="204" customWidth="1"/>
    <col min="1546" max="1792" width="7.109375" style="204"/>
    <col min="1793" max="1793" width="10.21875" style="204" customWidth="1"/>
    <col min="1794" max="1794" width="3.5546875" style="204" customWidth="1"/>
    <col min="1795" max="1796" width="1.6640625" style="204" customWidth="1"/>
    <col min="1797" max="1797" width="4" style="204" customWidth="1"/>
    <col min="1798" max="1798" width="24.21875" style="204" customWidth="1"/>
    <col min="1799" max="1799" width="1.6640625" style="204" customWidth="1"/>
    <col min="1800" max="1801" width="8.21875" style="204" customWidth="1"/>
    <col min="1802" max="2048" width="7.109375" style="204"/>
    <col min="2049" max="2049" width="10.21875" style="204" customWidth="1"/>
    <col min="2050" max="2050" width="3.5546875" style="204" customWidth="1"/>
    <col min="2051" max="2052" width="1.6640625" style="204" customWidth="1"/>
    <col min="2053" max="2053" width="4" style="204" customWidth="1"/>
    <col min="2054" max="2054" width="24.21875" style="204" customWidth="1"/>
    <col min="2055" max="2055" width="1.6640625" style="204" customWidth="1"/>
    <col min="2056" max="2057" width="8.21875" style="204" customWidth="1"/>
    <col min="2058" max="2304" width="7.109375" style="204"/>
    <col min="2305" max="2305" width="10.21875" style="204" customWidth="1"/>
    <col min="2306" max="2306" width="3.5546875" style="204" customWidth="1"/>
    <col min="2307" max="2308" width="1.6640625" style="204" customWidth="1"/>
    <col min="2309" max="2309" width="4" style="204" customWidth="1"/>
    <col min="2310" max="2310" width="24.21875" style="204" customWidth="1"/>
    <col min="2311" max="2311" width="1.6640625" style="204" customWidth="1"/>
    <col min="2312" max="2313" width="8.21875" style="204" customWidth="1"/>
    <col min="2314" max="2560" width="7.109375" style="204"/>
    <col min="2561" max="2561" width="10.21875" style="204" customWidth="1"/>
    <col min="2562" max="2562" width="3.5546875" style="204" customWidth="1"/>
    <col min="2563" max="2564" width="1.6640625" style="204" customWidth="1"/>
    <col min="2565" max="2565" width="4" style="204" customWidth="1"/>
    <col min="2566" max="2566" width="24.21875" style="204" customWidth="1"/>
    <col min="2567" max="2567" width="1.6640625" style="204" customWidth="1"/>
    <col min="2568" max="2569" width="8.21875" style="204" customWidth="1"/>
    <col min="2570" max="2816" width="7.109375" style="204"/>
    <col min="2817" max="2817" width="10.21875" style="204" customWidth="1"/>
    <col min="2818" max="2818" width="3.5546875" style="204" customWidth="1"/>
    <col min="2819" max="2820" width="1.6640625" style="204" customWidth="1"/>
    <col min="2821" max="2821" width="4" style="204" customWidth="1"/>
    <col min="2822" max="2822" width="24.21875" style="204" customWidth="1"/>
    <col min="2823" max="2823" width="1.6640625" style="204" customWidth="1"/>
    <col min="2824" max="2825" width="8.21875" style="204" customWidth="1"/>
    <col min="2826" max="3072" width="7.109375" style="204"/>
    <col min="3073" max="3073" width="10.21875" style="204" customWidth="1"/>
    <col min="3074" max="3074" width="3.5546875" style="204" customWidth="1"/>
    <col min="3075" max="3076" width="1.6640625" style="204" customWidth="1"/>
    <col min="3077" max="3077" width="4" style="204" customWidth="1"/>
    <col min="3078" max="3078" width="24.21875" style="204" customWidth="1"/>
    <col min="3079" max="3079" width="1.6640625" style="204" customWidth="1"/>
    <col min="3080" max="3081" width="8.21875" style="204" customWidth="1"/>
    <col min="3082" max="3328" width="7.109375" style="204"/>
    <col min="3329" max="3329" width="10.21875" style="204" customWidth="1"/>
    <col min="3330" max="3330" width="3.5546875" style="204" customWidth="1"/>
    <col min="3331" max="3332" width="1.6640625" style="204" customWidth="1"/>
    <col min="3333" max="3333" width="4" style="204" customWidth="1"/>
    <col min="3334" max="3334" width="24.21875" style="204" customWidth="1"/>
    <col min="3335" max="3335" width="1.6640625" style="204" customWidth="1"/>
    <col min="3336" max="3337" width="8.21875" style="204" customWidth="1"/>
    <col min="3338" max="3584" width="7.109375" style="204"/>
    <col min="3585" max="3585" width="10.21875" style="204" customWidth="1"/>
    <col min="3586" max="3586" width="3.5546875" style="204" customWidth="1"/>
    <col min="3587" max="3588" width="1.6640625" style="204" customWidth="1"/>
    <col min="3589" max="3589" width="4" style="204" customWidth="1"/>
    <col min="3590" max="3590" width="24.21875" style="204" customWidth="1"/>
    <col min="3591" max="3591" width="1.6640625" style="204" customWidth="1"/>
    <col min="3592" max="3593" width="8.21875" style="204" customWidth="1"/>
    <col min="3594" max="3840" width="7.109375" style="204"/>
    <col min="3841" max="3841" width="10.21875" style="204" customWidth="1"/>
    <col min="3842" max="3842" width="3.5546875" style="204" customWidth="1"/>
    <col min="3843" max="3844" width="1.6640625" style="204" customWidth="1"/>
    <col min="3845" max="3845" width="4" style="204" customWidth="1"/>
    <col min="3846" max="3846" width="24.21875" style="204" customWidth="1"/>
    <col min="3847" max="3847" width="1.6640625" style="204" customWidth="1"/>
    <col min="3848" max="3849" width="8.21875" style="204" customWidth="1"/>
    <col min="3850" max="4096" width="7.109375" style="204"/>
    <col min="4097" max="4097" width="10.21875" style="204" customWidth="1"/>
    <col min="4098" max="4098" width="3.5546875" style="204" customWidth="1"/>
    <col min="4099" max="4100" width="1.6640625" style="204" customWidth="1"/>
    <col min="4101" max="4101" width="4" style="204" customWidth="1"/>
    <col min="4102" max="4102" width="24.21875" style="204" customWidth="1"/>
    <col min="4103" max="4103" width="1.6640625" style="204" customWidth="1"/>
    <col min="4104" max="4105" width="8.21875" style="204" customWidth="1"/>
    <col min="4106" max="4352" width="7.109375" style="204"/>
    <col min="4353" max="4353" width="10.21875" style="204" customWidth="1"/>
    <col min="4354" max="4354" width="3.5546875" style="204" customWidth="1"/>
    <col min="4355" max="4356" width="1.6640625" style="204" customWidth="1"/>
    <col min="4357" max="4357" width="4" style="204" customWidth="1"/>
    <col min="4358" max="4358" width="24.21875" style="204" customWidth="1"/>
    <col min="4359" max="4359" width="1.6640625" style="204" customWidth="1"/>
    <col min="4360" max="4361" width="8.21875" style="204" customWidth="1"/>
    <col min="4362" max="4608" width="7.109375" style="204"/>
    <col min="4609" max="4609" width="10.21875" style="204" customWidth="1"/>
    <col min="4610" max="4610" width="3.5546875" style="204" customWidth="1"/>
    <col min="4611" max="4612" width="1.6640625" style="204" customWidth="1"/>
    <col min="4613" max="4613" width="4" style="204" customWidth="1"/>
    <col min="4614" max="4614" width="24.21875" style="204" customWidth="1"/>
    <col min="4615" max="4615" width="1.6640625" style="204" customWidth="1"/>
    <col min="4616" max="4617" width="8.21875" style="204" customWidth="1"/>
    <col min="4618" max="4864" width="7.109375" style="204"/>
    <col min="4865" max="4865" width="10.21875" style="204" customWidth="1"/>
    <col min="4866" max="4866" width="3.5546875" style="204" customWidth="1"/>
    <col min="4867" max="4868" width="1.6640625" style="204" customWidth="1"/>
    <col min="4869" max="4869" width="4" style="204" customWidth="1"/>
    <col min="4870" max="4870" width="24.21875" style="204" customWidth="1"/>
    <col min="4871" max="4871" width="1.6640625" style="204" customWidth="1"/>
    <col min="4872" max="4873" width="8.21875" style="204" customWidth="1"/>
    <col min="4874" max="5120" width="7.109375" style="204"/>
    <col min="5121" max="5121" width="10.21875" style="204" customWidth="1"/>
    <col min="5122" max="5122" width="3.5546875" style="204" customWidth="1"/>
    <col min="5123" max="5124" width="1.6640625" style="204" customWidth="1"/>
    <col min="5125" max="5125" width="4" style="204" customWidth="1"/>
    <col min="5126" max="5126" width="24.21875" style="204" customWidth="1"/>
    <col min="5127" max="5127" width="1.6640625" style="204" customWidth="1"/>
    <col min="5128" max="5129" width="8.21875" style="204" customWidth="1"/>
    <col min="5130" max="5376" width="7.109375" style="204"/>
    <col min="5377" max="5377" width="10.21875" style="204" customWidth="1"/>
    <col min="5378" max="5378" width="3.5546875" style="204" customWidth="1"/>
    <col min="5379" max="5380" width="1.6640625" style="204" customWidth="1"/>
    <col min="5381" max="5381" width="4" style="204" customWidth="1"/>
    <col min="5382" max="5382" width="24.21875" style="204" customWidth="1"/>
    <col min="5383" max="5383" width="1.6640625" style="204" customWidth="1"/>
    <col min="5384" max="5385" width="8.21875" style="204" customWidth="1"/>
    <col min="5386" max="5632" width="7.109375" style="204"/>
    <col min="5633" max="5633" width="10.21875" style="204" customWidth="1"/>
    <col min="5634" max="5634" width="3.5546875" style="204" customWidth="1"/>
    <col min="5635" max="5636" width="1.6640625" style="204" customWidth="1"/>
    <col min="5637" max="5637" width="4" style="204" customWidth="1"/>
    <col min="5638" max="5638" width="24.21875" style="204" customWidth="1"/>
    <col min="5639" max="5639" width="1.6640625" style="204" customWidth="1"/>
    <col min="5640" max="5641" width="8.21875" style="204" customWidth="1"/>
    <col min="5642" max="5888" width="7.109375" style="204"/>
    <col min="5889" max="5889" width="10.21875" style="204" customWidth="1"/>
    <col min="5890" max="5890" width="3.5546875" style="204" customWidth="1"/>
    <col min="5891" max="5892" width="1.6640625" style="204" customWidth="1"/>
    <col min="5893" max="5893" width="4" style="204" customWidth="1"/>
    <col min="5894" max="5894" width="24.21875" style="204" customWidth="1"/>
    <col min="5895" max="5895" width="1.6640625" style="204" customWidth="1"/>
    <col min="5896" max="5897" width="8.21875" style="204" customWidth="1"/>
    <col min="5898" max="6144" width="7.109375" style="204"/>
    <col min="6145" max="6145" width="10.21875" style="204" customWidth="1"/>
    <col min="6146" max="6146" width="3.5546875" style="204" customWidth="1"/>
    <col min="6147" max="6148" width="1.6640625" style="204" customWidth="1"/>
    <col min="6149" max="6149" width="4" style="204" customWidth="1"/>
    <col min="6150" max="6150" width="24.21875" style="204" customWidth="1"/>
    <col min="6151" max="6151" width="1.6640625" style="204" customWidth="1"/>
    <col min="6152" max="6153" width="8.21875" style="204" customWidth="1"/>
    <col min="6154" max="6400" width="7.109375" style="204"/>
    <col min="6401" max="6401" width="10.21875" style="204" customWidth="1"/>
    <col min="6402" max="6402" width="3.5546875" style="204" customWidth="1"/>
    <col min="6403" max="6404" width="1.6640625" style="204" customWidth="1"/>
    <col min="6405" max="6405" width="4" style="204" customWidth="1"/>
    <col min="6406" max="6406" width="24.21875" style="204" customWidth="1"/>
    <col min="6407" max="6407" width="1.6640625" style="204" customWidth="1"/>
    <col min="6408" max="6409" width="8.21875" style="204" customWidth="1"/>
    <col min="6410" max="6656" width="7.109375" style="204"/>
    <col min="6657" max="6657" width="10.21875" style="204" customWidth="1"/>
    <col min="6658" max="6658" width="3.5546875" style="204" customWidth="1"/>
    <col min="6659" max="6660" width="1.6640625" style="204" customWidth="1"/>
    <col min="6661" max="6661" width="4" style="204" customWidth="1"/>
    <col min="6662" max="6662" width="24.21875" style="204" customWidth="1"/>
    <col min="6663" max="6663" width="1.6640625" style="204" customWidth="1"/>
    <col min="6664" max="6665" width="8.21875" style="204" customWidth="1"/>
    <col min="6666" max="6912" width="7.109375" style="204"/>
    <col min="6913" max="6913" width="10.21875" style="204" customWidth="1"/>
    <col min="6914" max="6914" width="3.5546875" style="204" customWidth="1"/>
    <col min="6915" max="6916" width="1.6640625" style="204" customWidth="1"/>
    <col min="6917" max="6917" width="4" style="204" customWidth="1"/>
    <col min="6918" max="6918" width="24.21875" style="204" customWidth="1"/>
    <col min="6919" max="6919" width="1.6640625" style="204" customWidth="1"/>
    <col min="6920" max="6921" width="8.21875" style="204" customWidth="1"/>
    <col min="6922" max="7168" width="7.109375" style="204"/>
    <col min="7169" max="7169" width="10.21875" style="204" customWidth="1"/>
    <col min="7170" max="7170" width="3.5546875" style="204" customWidth="1"/>
    <col min="7171" max="7172" width="1.6640625" style="204" customWidth="1"/>
    <col min="7173" max="7173" width="4" style="204" customWidth="1"/>
    <col min="7174" max="7174" width="24.21875" style="204" customWidth="1"/>
    <col min="7175" max="7175" width="1.6640625" style="204" customWidth="1"/>
    <col min="7176" max="7177" width="8.21875" style="204" customWidth="1"/>
    <col min="7178" max="7424" width="7.109375" style="204"/>
    <col min="7425" max="7425" width="10.21875" style="204" customWidth="1"/>
    <col min="7426" max="7426" width="3.5546875" style="204" customWidth="1"/>
    <col min="7427" max="7428" width="1.6640625" style="204" customWidth="1"/>
    <col min="7429" max="7429" width="4" style="204" customWidth="1"/>
    <col min="7430" max="7430" width="24.21875" style="204" customWidth="1"/>
    <col min="7431" max="7431" width="1.6640625" style="204" customWidth="1"/>
    <col min="7432" max="7433" width="8.21875" style="204" customWidth="1"/>
    <col min="7434" max="7680" width="7.109375" style="204"/>
    <col min="7681" max="7681" width="10.21875" style="204" customWidth="1"/>
    <col min="7682" max="7682" width="3.5546875" style="204" customWidth="1"/>
    <col min="7683" max="7684" width="1.6640625" style="204" customWidth="1"/>
    <col min="7685" max="7685" width="4" style="204" customWidth="1"/>
    <col min="7686" max="7686" width="24.21875" style="204" customWidth="1"/>
    <col min="7687" max="7687" width="1.6640625" style="204" customWidth="1"/>
    <col min="7688" max="7689" width="8.21875" style="204" customWidth="1"/>
    <col min="7690" max="7936" width="7.109375" style="204"/>
    <col min="7937" max="7937" width="10.21875" style="204" customWidth="1"/>
    <col min="7938" max="7938" width="3.5546875" style="204" customWidth="1"/>
    <col min="7939" max="7940" width="1.6640625" style="204" customWidth="1"/>
    <col min="7941" max="7941" width="4" style="204" customWidth="1"/>
    <col min="7942" max="7942" width="24.21875" style="204" customWidth="1"/>
    <col min="7943" max="7943" width="1.6640625" style="204" customWidth="1"/>
    <col min="7944" max="7945" width="8.21875" style="204" customWidth="1"/>
    <col min="7946" max="8192" width="7.109375" style="204"/>
    <col min="8193" max="8193" width="10.21875" style="204" customWidth="1"/>
    <col min="8194" max="8194" width="3.5546875" style="204" customWidth="1"/>
    <col min="8195" max="8196" width="1.6640625" style="204" customWidth="1"/>
    <col min="8197" max="8197" width="4" style="204" customWidth="1"/>
    <col min="8198" max="8198" width="24.21875" style="204" customWidth="1"/>
    <col min="8199" max="8199" width="1.6640625" style="204" customWidth="1"/>
    <col min="8200" max="8201" width="8.21875" style="204" customWidth="1"/>
    <col min="8202" max="8448" width="7.109375" style="204"/>
    <col min="8449" max="8449" width="10.21875" style="204" customWidth="1"/>
    <col min="8450" max="8450" width="3.5546875" style="204" customWidth="1"/>
    <col min="8451" max="8452" width="1.6640625" style="204" customWidth="1"/>
    <col min="8453" max="8453" width="4" style="204" customWidth="1"/>
    <col min="8454" max="8454" width="24.21875" style="204" customWidth="1"/>
    <col min="8455" max="8455" width="1.6640625" style="204" customWidth="1"/>
    <col min="8456" max="8457" width="8.21875" style="204" customWidth="1"/>
    <col min="8458" max="8704" width="7.109375" style="204"/>
    <col min="8705" max="8705" width="10.21875" style="204" customWidth="1"/>
    <col min="8706" max="8706" width="3.5546875" style="204" customWidth="1"/>
    <col min="8707" max="8708" width="1.6640625" style="204" customWidth="1"/>
    <col min="8709" max="8709" width="4" style="204" customWidth="1"/>
    <col min="8710" max="8710" width="24.21875" style="204" customWidth="1"/>
    <col min="8711" max="8711" width="1.6640625" style="204" customWidth="1"/>
    <col min="8712" max="8713" width="8.21875" style="204" customWidth="1"/>
    <col min="8714" max="8960" width="7.109375" style="204"/>
    <col min="8961" max="8961" width="10.21875" style="204" customWidth="1"/>
    <col min="8962" max="8962" width="3.5546875" style="204" customWidth="1"/>
    <col min="8963" max="8964" width="1.6640625" style="204" customWidth="1"/>
    <col min="8965" max="8965" width="4" style="204" customWidth="1"/>
    <col min="8966" max="8966" width="24.21875" style="204" customWidth="1"/>
    <col min="8967" max="8967" width="1.6640625" style="204" customWidth="1"/>
    <col min="8968" max="8969" width="8.21875" style="204" customWidth="1"/>
    <col min="8970" max="9216" width="7.109375" style="204"/>
    <col min="9217" max="9217" width="10.21875" style="204" customWidth="1"/>
    <col min="9218" max="9218" width="3.5546875" style="204" customWidth="1"/>
    <col min="9219" max="9220" width="1.6640625" style="204" customWidth="1"/>
    <col min="9221" max="9221" width="4" style="204" customWidth="1"/>
    <col min="9222" max="9222" width="24.21875" style="204" customWidth="1"/>
    <col min="9223" max="9223" width="1.6640625" style="204" customWidth="1"/>
    <col min="9224" max="9225" width="8.21875" style="204" customWidth="1"/>
    <col min="9226" max="9472" width="7.109375" style="204"/>
    <col min="9473" max="9473" width="10.21875" style="204" customWidth="1"/>
    <col min="9474" max="9474" width="3.5546875" style="204" customWidth="1"/>
    <col min="9475" max="9476" width="1.6640625" style="204" customWidth="1"/>
    <col min="9477" max="9477" width="4" style="204" customWidth="1"/>
    <col min="9478" max="9478" width="24.21875" style="204" customWidth="1"/>
    <col min="9479" max="9479" width="1.6640625" style="204" customWidth="1"/>
    <col min="9480" max="9481" width="8.21875" style="204" customWidth="1"/>
    <col min="9482" max="9728" width="7.109375" style="204"/>
    <col min="9729" max="9729" width="10.21875" style="204" customWidth="1"/>
    <col min="9730" max="9730" width="3.5546875" style="204" customWidth="1"/>
    <col min="9731" max="9732" width="1.6640625" style="204" customWidth="1"/>
    <col min="9733" max="9733" width="4" style="204" customWidth="1"/>
    <col min="9734" max="9734" width="24.21875" style="204" customWidth="1"/>
    <col min="9735" max="9735" width="1.6640625" style="204" customWidth="1"/>
    <col min="9736" max="9737" width="8.21875" style="204" customWidth="1"/>
    <col min="9738" max="9984" width="7.109375" style="204"/>
    <col min="9985" max="9985" width="10.21875" style="204" customWidth="1"/>
    <col min="9986" max="9986" width="3.5546875" style="204" customWidth="1"/>
    <col min="9987" max="9988" width="1.6640625" style="204" customWidth="1"/>
    <col min="9989" max="9989" width="4" style="204" customWidth="1"/>
    <col min="9990" max="9990" width="24.21875" style="204" customWidth="1"/>
    <col min="9991" max="9991" width="1.6640625" style="204" customWidth="1"/>
    <col min="9992" max="9993" width="8.21875" style="204" customWidth="1"/>
    <col min="9994" max="10240" width="7.109375" style="204"/>
    <col min="10241" max="10241" width="10.21875" style="204" customWidth="1"/>
    <col min="10242" max="10242" width="3.5546875" style="204" customWidth="1"/>
    <col min="10243" max="10244" width="1.6640625" style="204" customWidth="1"/>
    <col min="10245" max="10245" width="4" style="204" customWidth="1"/>
    <col min="10246" max="10246" width="24.21875" style="204" customWidth="1"/>
    <col min="10247" max="10247" width="1.6640625" style="204" customWidth="1"/>
    <col min="10248" max="10249" width="8.21875" style="204" customWidth="1"/>
    <col min="10250" max="10496" width="7.109375" style="204"/>
    <col min="10497" max="10497" width="10.21875" style="204" customWidth="1"/>
    <col min="10498" max="10498" width="3.5546875" style="204" customWidth="1"/>
    <col min="10499" max="10500" width="1.6640625" style="204" customWidth="1"/>
    <col min="10501" max="10501" width="4" style="204" customWidth="1"/>
    <col min="10502" max="10502" width="24.21875" style="204" customWidth="1"/>
    <col min="10503" max="10503" width="1.6640625" style="204" customWidth="1"/>
    <col min="10504" max="10505" width="8.21875" style="204" customWidth="1"/>
    <col min="10506" max="10752" width="7.109375" style="204"/>
    <col min="10753" max="10753" width="10.21875" style="204" customWidth="1"/>
    <col min="10754" max="10754" width="3.5546875" style="204" customWidth="1"/>
    <col min="10755" max="10756" width="1.6640625" style="204" customWidth="1"/>
    <col min="10757" max="10757" width="4" style="204" customWidth="1"/>
    <col min="10758" max="10758" width="24.21875" style="204" customWidth="1"/>
    <col min="10759" max="10759" width="1.6640625" style="204" customWidth="1"/>
    <col min="10760" max="10761" width="8.21875" style="204" customWidth="1"/>
    <col min="10762" max="11008" width="7.109375" style="204"/>
    <col min="11009" max="11009" width="10.21875" style="204" customWidth="1"/>
    <col min="11010" max="11010" width="3.5546875" style="204" customWidth="1"/>
    <col min="11011" max="11012" width="1.6640625" style="204" customWidth="1"/>
    <col min="11013" max="11013" width="4" style="204" customWidth="1"/>
    <col min="11014" max="11014" width="24.21875" style="204" customWidth="1"/>
    <col min="11015" max="11015" width="1.6640625" style="204" customWidth="1"/>
    <col min="11016" max="11017" width="8.21875" style="204" customWidth="1"/>
    <col min="11018" max="11264" width="7.109375" style="204"/>
    <col min="11265" max="11265" width="10.21875" style="204" customWidth="1"/>
    <col min="11266" max="11266" width="3.5546875" style="204" customWidth="1"/>
    <col min="11267" max="11268" width="1.6640625" style="204" customWidth="1"/>
    <col min="11269" max="11269" width="4" style="204" customWidth="1"/>
    <col min="11270" max="11270" width="24.21875" style="204" customWidth="1"/>
    <col min="11271" max="11271" width="1.6640625" style="204" customWidth="1"/>
    <col min="11272" max="11273" width="8.21875" style="204" customWidth="1"/>
    <col min="11274" max="11520" width="7.109375" style="204"/>
    <col min="11521" max="11521" width="10.21875" style="204" customWidth="1"/>
    <col min="11522" max="11522" width="3.5546875" style="204" customWidth="1"/>
    <col min="11523" max="11524" width="1.6640625" style="204" customWidth="1"/>
    <col min="11525" max="11525" width="4" style="204" customWidth="1"/>
    <col min="11526" max="11526" width="24.21875" style="204" customWidth="1"/>
    <col min="11527" max="11527" width="1.6640625" style="204" customWidth="1"/>
    <col min="11528" max="11529" width="8.21875" style="204" customWidth="1"/>
    <col min="11530" max="11776" width="7.109375" style="204"/>
    <col min="11777" max="11777" width="10.21875" style="204" customWidth="1"/>
    <col min="11778" max="11778" width="3.5546875" style="204" customWidth="1"/>
    <col min="11779" max="11780" width="1.6640625" style="204" customWidth="1"/>
    <col min="11781" max="11781" width="4" style="204" customWidth="1"/>
    <col min="11782" max="11782" width="24.21875" style="204" customWidth="1"/>
    <col min="11783" max="11783" width="1.6640625" style="204" customWidth="1"/>
    <col min="11784" max="11785" width="8.21875" style="204" customWidth="1"/>
    <col min="11786" max="12032" width="7.109375" style="204"/>
    <col min="12033" max="12033" width="10.21875" style="204" customWidth="1"/>
    <col min="12034" max="12034" width="3.5546875" style="204" customWidth="1"/>
    <col min="12035" max="12036" width="1.6640625" style="204" customWidth="1"/>
    <col min="12037" max="12037" width="4" style="204" customWidth="1"/>
    <col min="12038" max="12038" width="24.21875" style="204" customWidth="1"/>
    <col min="12039" max="12039" width="1.6640625" style="204" customWidth="1"/>
    <col min="12040" max="12041" width="8.21875" style="204" customWidth="1"/>
    <col min="12042" max="12288" width="7.109375" style="204"/>
    <col min="12289" max="12289" width="10.21875" style="204" customWidth="1"/>
    <col min="12290" max="12290" width="3.5546875" style="204" customWidth="1"/>
    <col min="12291" max="12292" width="1.6640625" style="204" customWidth="1"/>
    <col min="12293" max="12293" width="4" style="204" customWidth="1"/>
    <col min="12294" max="12294" width="24.21875" style="204" customWidth="1"/>
    <col min="12295" max="12295" width="1.6640625" style="204" customWidth="1"/>
    <col min="12296" max="12297" width="8.21875" style="204" customWidth="1"/>
    <col min="12298" max="12544" width="7.109375" style="204"/>
    <col min="12545" max="12545" width="10.21875" style="204" customWidth="1"/>
    <col min="12546" max="12546" width="3.5546875" style="204" customWidth="1"/>
    <col min="12547" max="12548" width="1.6640625" style="204" customWidth="1"/>
    <col min="12549" max="12549" width="4" style="204" customWidth="1"/>
    <col min="12550" max="12550" width="24.21875" style="204" customWidth="1"/>
    <col min="12551" max="12551" width="1.6640625" style="204" customWidth="1"/>
    <col min="12552" max="12553" width="8.21875" style="204" customWidth="1"/>
    <col min="12554" max="12800" width="7.109375" style="204"/>
    <col min="12801" max="12801" width="10.21875" style="204" customWidth="1"/>
    <col min="12802" max="12802" width="3.5546875" style="204" customWidth="1"/>
    <col min="12803" max="12804" width="1.6640625" style="204" customWidth="1"/>
    <col min="12805" max="12805" width="4" style="204" customWidth="1"/>
    <col min="12806" max="12806" width="24.21875" style="204" customWidth="1"/>
    <col min="12807" max="12807" width="1.6640625" style="204" customWidth="1"/>
    <col min="12808" max="12809" width="8.21875" style="204" customWidth="1"/>
    <col min="12810" max="13056" width="7.109375" style="204"/>
    <col min="13057" max="13057" width="10.21875" style="204" customWidth="1"/>
    <col min="13058" max="13058" width="3.5546875" style="204" customWidth="1"/>
    <col min="13059" max="13060" width="1.6640625" style="204" customWidth="1"/>
    <col min="13061" max="13061" width="4" style="204" customWidth="1"/>
    <col min="13062" max="13062" width="24.21875" style="204" customWidth="1"/>
    <col min="13063" max="13063" width="1.6640625" style="204" customWidth="1"/>
    <col min="13064" max="13065" width="8.21875" style="204" customWidth="1"/>
    <col min="13066" max="13312" width="7.109375" style="204"/>
    <col min="13313" max="13313" width="10.21875" style="204" customWidth="1"/>
    <col min="13314" max="13314" width="3.5546875" style="204" customWidth="1"/>
    <col min="13315" max="13316" width="1.6640625" style="204" customWidth="1"/>
    <col min="13317" max="13317" width="4" style="204" customWidth="1"/>
    <col min="13318" max="13318" width="24.21875" style="204" customWidth="1"/>
    <col min="13319" max="13319" width="1.6640625" style="204" customWidth="1"/>
    <col min="13320" max="13321" width="8.21875" style="204" customWidth="1"/>
    <col min="13322" max="13568" width="7.109375" style="204"/>
    <col min="13569" max="13569" width="10.21875" style="204" customWidth="1"/>
    <col min="13570" max="13570" width="3.5546875" style="204" customWidth="1"/>
    <col min="13571" max="13572" width="1.6640625" style="204" customWidth="1"/>
    <col min="13573" max="13573" width="4" style="204" customWidth="1"/>
    <col min="13574" max="13574" width="24.21875" style="204" customWidth="1"/>
    <col min="13575" max="13575" width="1.6640625" style="204" customWidth="1"/>
    <col min="13576" max="13577" width="8.21875" style="204" customWidth="1"/>
    <col min="13578" max="13824" width="7.109375" style="204"/>
    <col min="13825" max="13825" width="10.21875" style="204" customWidth="1"/>
    <col min="13826" max="13826" width="3.5546875" style="204" customWidth="1"/>
    <col min="13827" max="13828" width="1.6640625" style="204" customWidth="1"/>
    <col min="13829" max="13829" width="4" style="204" customWidth="1"/>
    <col min="13830" max="13830" width="24.21875" style="204" customWidth="1"/>
    <col min="13831" max="13831" width="1.6640625" style="204" customWidth="1"/>
    <col min="13832" max="13833" width="8.21875" style="204" customWidth="1"/>
    <col min="13834" max="14080" width="7.109375" style="204"/>
    <col min="14081" max="14081" width="10.21875" style="204" customWidth="1"/>
    <col min="14082" max="14082" width="3.5546875" style="204" customWidth="1"/>
    <col min="14083" max="14084" width="1.6640625" style="204" customWidth="1"/>
    <col min="14085" max="14085" width="4" style="204" customWidth="1"/>
    <col min="14086" max="14086" width="24.21875" style="204" customWidth="1"/>
    <col min="14087" max="14087" width="1.6640625" style="204" customWidth="1"/>
    <col min="14088" max="14089" width="8.21875" style="204" customWidth="1"/>
    <col min="14090" max="14336" width="7.109375" style="204"/>
    <col min="14337" max="14337" width="10.21875" style="204" customWidth="1"/>
    <col min="14338" max="14338" width="3.5546875" style="204" customWidth="1"/>
    <col min="14339" max="14340" width="1.6640625" style="204" customWidth="1"/>
    <col min="14341" max="14341" width="4" style="204" customWidth="1"/>
    <col min="14342" max="14342" width="24.21875" style="204" customWidth="1"/>
    <col min="14343" max="14343" width="1.6640625" style="204" customWidth="1"/>
    <col min="14344" max="14345" width="8.21875" style="204" customWidth="1"/>
    <col min="14346" max="14592" width="7.109375" style="204"/>
    <col min="14593" max="14593" width="10.21875" style="204" customWidth="1"/>
    <col min="14594" max="14594" width="3.5546875" style="204" customWidth="1"/>
    <col min="14595" max="14596" width="1.6640625" style="204" customWidth="1"/>
    <col min="14597" max="14597" width="4" style="204" customWidth="1"/>
    <col min="14598" max="14598" width="24.21875" style="204" customWidth="1"/>
    <col min="14599" max="14599" width="1.6640625" style="204" customWidth="1"/>
    <col min="14600" max="14601" width="8.21875" style="204" customWidth="1"/>
    <col min="14602" max="14848" width="7.109375" style="204"/>
    <col min="14849" max="14849" width="10.21875" style="204" customWidth="1"/>
    <col min="14850" max="14850" width="3.5546875" style="204" customWidth="1"/>
    <col min="14851" max="14852" width="1.6640625" style="204" customWidth="1"/>
    <col min="14853" max="14853" width="4" style="204" customWidth="1"/>
    <col min="14854" max="14854" width="24.21875" style="204" customWidth="1"/>
    <col min="14855" max="14855" width="1.6640625" style="204" customWidth="1"/>
    <col min="14856" max="14857" width="8.21875" style="204" customWidth="1"/>
    <col min="14858" max="15104" width="7.109375" style="204"/>
    <col min="15105" max="15105" width="10.21875" style="204" customWidth="1"/>
    <col min="15106" max="15106" width="3.5546875" style="204" customWidth="1"/>
    <col min="15107" max="15108" width="1.6640625" style="204" customWidth="1"/>
    <col min="15109" max="15109" width="4" style="204" customWidth="1"/>
    <col min="15110" max="15110" width="24.21875" style="204" customWidth="1"/>
    <col min="15111" max="15111" width="1.6640625" style="204" customWidth="1"/>
    <col min="15112" max="15113" width="8.21875" style="204" customWidth="1"/>
    <col min="15114" max="15360" width="7.109375" style="204"/>
    <col min="15361" max="15361" width="10.21875" style="204" customWidth="1"/>
    <col min="15362" max="15362" width="3.5546875" style="204" customWidth="1"/>
    <col min="15363" max="15364" width="1.6640625" style="204" customWidth="1"/>
    <col min="15365" max="15365" width="4" style="204" customWidth="1"/>
    <col min="15366" max="15366" width="24.21875" style="204" customWidth="1"/>
    <col min="15367" max="15367" width="1.6640625" style="204" customWidth="1"/>
    <col min="15368" max="15369" width="8.21875" style="204" customWidth="1"/>
    <col min="15370" max="15616" width="7.109375" style="204"/>
    <col min="15617" max="15617" width="10.21875" style="204" customWidth="1"/>
    <col min="15618" max="15618" width="3.5546875" style="204" customWidth="1"/>
    <col min="15619" max="15620" width="1.6640625" style="204" customWidth="1"/>
    <col min="15621" max="15621" width="4" style="204" customWidth="1"/>
    <col min="15622" max="15622" width="24.21875" style="204" customWidth="1"/>
    <col min="15623" max="15623" width="1.6640625" style="204" customWidth="1"/>
    <col min="15624" max="15625" width="8.21875" style="204" customWidth="1"/>
    <col min="15626" max="15872" width="7.109375" style="204"/>
    <col min="15873" max="15873" width="10.21875" style="204" customWidth="1"/>
    <col min="15874" max="15874" width="3.5546875" style="204" customWidth="1"/>
    <col min="15875" max="15876" width="1.6640625" style="204" customWidth="1"/>
    <col min="15877" max="15877" width="4" style="204" customWidth="1"/>
    <col min="15878" max="15878" width="24.21875" style="204" customWidth="1"/>
    <col min="15879" max="15879" width="1.6640625" style="204" customWidth="1"/>
    <col min="15880" max="15881" width="8.21875" style="204" customWidth="1"/>
    <col min="15882" max="16128" width="7.109375" style="204"/>
    <col min="16129" max="16129" width="10.21875" style="204" customWidth="1"/>
    <col min="16130" max="16130" width="3.5546875" style="204" customWidth="1"/>
    <col min="16131" max="16132" width="1.6640625" style="204" customWidth="1"/>
    <col min="16133" max="16133" width="4" style="204" customWidth="1"/>
    <col min="16134" max="16134" width="24.21875" style="204" customWidth="1"/>
    <col min="16135" max="16135" width="1.6640625" style="204" customWidth="1"/>
    <col min="16136" max="16137" width="8.21875" style="204" customWidth="1"/>
    <col min="16138" max="16384" width="7.109375" style="204"/>
  </cols>
  <sheetData>
    <row r="1" spans="1:8" ht="14.25" customHeight="1">
      <c r="A1" s="990" t="s">
        <v>51</v>
      </c>
      <c r="B1" s="990"/>
      <c r="C1" s="990"/>
      <c r="D1" s="990"/>
      <c r="E1" s="990"/>
      <c r="F1" s="990"/>
      <c r="G1" s="990"/>
      <c r="H1" s="990"/>
    </row>
    <row r="2" spans="1:8">
      <c r="A2" s="990" t="s">
        <v>52</v>
      </c>
      <c r="B2" s="990"/>
      <c r="C2" s="990"/>
      <c r="D2" s="990"/>
      <c r="E2" s="990"/>
      <c r="F2" s="990"/>
      <c r="G2" s="990"/>
      <c r="H2" s="990"/>
    </row>
    <row r="3" spans="1:8">
      <c r="A3" s="991" t="str">
        <f>'Act Att-H'!C7</f>
        <v>Black Hills Colorado Electric, LLC</v>
      </c>
      <c r="B3" s="991"/>
      <c r="C3" s="991"/>
      <c r="D3" s="991"/>
      <c r="E3" s="991"/>
      <c r="F3" s="991"/>
      <c r="G3" s="991"/>
      <c r="H3" s="991"/>
    </row>
    <row r="4" spans="1:8">
      <c r="F4" s="2"/>
      <c r="H4" s="205" t="s">
        <v>3</v>
      </c>
    </row>
    <row r="5" spans="1:8">
      <c r="A5" s="218"/>
      <c r="B5" s="218"/>
      <c r="C5" s="765"/>
      <c r="D5" s="218"/>
      <c r="E5" s="218"/>
      <c r="F5" s="218"/>
      <c r="G5" s="218"/>
      <c r="H5" s="218"/>
    </row>
    <row r="6" spans="1:8" ht="60.75" customHeight="1">
      <c r="B6" s="128" t="s">
        <v>82</v>
      </c>
      <c r="C6" s="231" t="s">
        <v>885</v>
      </c>
      <c r="D6" s="231" t="s">
        <v>886</v>
      </c>
      <c r="E6" s="231" t="s">
        <v>91</v>
      </c>
      <c r="F6" s="231" t="s">
        <v>862</v>
      </c>
      <c r="G6" s="231" t="s">
        <v>863</v>
      </c>
      <c r="H6" s="204"/>
    </row>
    <row r="7" spans="1:8" ht="15" customHeight="1">
      <c r="B7" s="227"/>
      <c r="C7" s="232" t="s">
        <v>458</v>
      </c>
      <c r="D7" s="233" t="s">
        <v>459</v>
      </c>
      <c r="E7" s="233" t="s">
        <v>460</v>
      </c>
      <c r="F7" s="233" t="s">
        <v>461</v>
      </c>
      <c r="G7" s="233" t="s">
        <v>479</v>
      </c>
      <c r="H7" s="204"/>
    </row>
    <row r="8" spans="1:8" ht="15" customHeight="1">
      <c r="B8" s="206">
        <v>1</v>
      </c>
      <c r="C8" s="766" t="s">
        <v>887</v>
      </c>
      <c r="D8" s="653">
        <v>21699</v>
      </c>
      <c r="E8" s="662" t="s">
        <v>888</v>
      </c>
      <c r="F8" s="663">
        <f t="shared" ref="F8:F14" si="0">IF(E8=0,0, IF(E8="NA", NA, IF(E8="TP",TP, IF(E8="TE",TE,IF(E8="CE",CE,IF(E8="WS",WS,IF(E8="DA",DA, IF(E8="GP",GP))))))))</f>
        <v>0.14403621580679662</v>
      </c>
      <c r="G8" s="658">
        <f t="shared" ref="G8:G18" si="1">F8*D8</f>
        <v>3125.4418467916798</v>
      </c>
      <c r="H8" s="204"/>
    </row>
    <row r="9" spans="1:8" ht="15" customHeight="1">
      <c r="B9" s="206">
        <v>2</v>
      </c>
      <c r="C9" s="766" t="s">
        <v>889</v>
      </c>
      <c r="D9" s="656">
        <v>29511</v>
      </c>
      <c r="E9" s="662" t="s">
        <v>141</v>
      </c>
      <c r="F9" s="663">
        <f t="shared" si="0"/>
        <v>0</v>
      </c>
      <c r="G9" s="659">
        <f t="shared" si="1"/>
        <v>0</v>
      </c>
      <c r="H9" s="204"/>
    </row>
    <row r="10" spans="1:8" ht="15" customHeight="1">
      <c r="B10" s="206">
        <v>3</v>
      </c>
      <c r="C10" s="766" t="s">
        <v>890</v>
      </c>
      <c r="D10" s="656">
        <v>-2677</v>
      </c>
      <c r="E10" s="662" t="s">
        <v>888</v>
      </c>
      <c r="F10" s="663">
        <f t="shared" si="0"/>
        <v>0.14403621580679662</v>
      </c>
      <c r="G10" s="659">
        <f t="shared" si="1"/>
        <v>-385.58494971479456</v>
      </c>
      <c r="H10" s="204"/>
    </row>
    <row r="11" spans="1:8" ht="15" customHeight="1">
      <c r="B11" s="206">
        <v>4</v>
      </c>
      <c r="C11" s="766" t="s">
        <v>891</v>
      </c>
      <c r="D11" s="656">
        <v>7061</v>
      </c>
      <c r="E11" s="662" t="s">
        <v>888</v>
      </c>
      <c r="F11" s="663">
        <f t="shared" ref="F11" si="2">IF(E11=0,0, IF(E11="NA", NA, IF(E11="TP",TP, IF(E11="TE",TE,IF(E11="CE",CE,IF(E11="WS",WS,IF(E11="DA",DA, IF(E11="GP",GP))))))))</f>
        <v>0.14403621580679662</v>
      </c>
      <c r="G11" s="659">
        <f t="shared" ref="G11" si="3">F11*D11</f>
        <v>1017.039719811791</v>
      </c>
      <c r="H11" s="204"/>
    </row>
    <row r="12" spans="1:8" ht="15" customHeight="1">
      <c r="B12" s="206">
        <v>5</v>
      </c>
      <c r="C12" s="766" t="s">
        <v>513</v>
      </c>
      <c r="D12" s="656">
        <v>43453</v>
      </c>
      <c r="E12" s="662" t="s">
        <v>141</v>
      </c>
      <c r="F12" s="663">
        <f t="shared" si="0"/>
        <v>0</v>
      </c>
      <c r="G12" s="659">
        <f t="shared" si="1"/>
        <v>0</v>
      </c>
      <c r="H12" s="204"/>
    </row>
    <row r="13" spans="1:8" ht="15" customHeight="1">
      <c r="B13" s="206">
        <v>6</v>
      </c>
      <c r="C13" s="766" t="s">
        <v>892</v>
      </c>
      <c r="D13" s="656">
        <v>-34587</v>
      </c>
      <c r="E13" s="662" t="s">
        <v>888</v>
      </c>
      <c r="F13" s="663">
        <f t="shared" si="0"/>
        <v>0.14403621580679662</v>
      </c>
      <c r="G13" s="659">
        <f t="shared" si="1"/>
        <v>-4981.7805961096747</v>
      </c>
      <c r="H13" s="204"/>
    </row>
    <row r="14" spans="1:8" ht="15" customHeight="1">
      <c r="B14" s="206">
        <v>7</v>
      </c>
      <c r="C14" s="766" t="s">
        <v>893</v>
      </c>
      <c r="D14" s="656">
        <v>31041</v>
      </c>
      <c r="E14" s="662" t="s">
        <v>173</v>
      </c>
      <c r="F14" s="663">
        <f t="shared" si="0"/>
        <v>0.20957843468829235</v>
      </c>
      <c r="G14" s="659">
        <f t="shared" si="1"/>
        <v>6505.524191159283</v>
      </c>
      <c r="H14" s="204"/>
    </row>
    <row r="15" spans="1:8" ht="15" customHeight="1">
      <c r="B15" s="206">
        <v>8</v>
      </c>
      <c r="C15" s="421" t="s">
        <v>894</v>
      </c>
      <c r="D15" s="656">
        <v>0</v>
      </c>
      <c r="E15" s="662" t="s">
        <v>888</v>
      </c>
      <c r="F15" s="663">
        <f t="shared" ref="F15:F18" si="4">IF(E15=0,0, IF(E15="NA", NA, IF(E15="TP",TP, IF(E15="TE",TE,IF(E15="CE",CE,IF(E15="WS",WS,IF(E15="DA",DA, IF(E15="GP",GP))))))))</f>
        <v>0.14403621580679662</v>
      </c>
      <c r="G15" s="659">
        <f t="shared" si="1"/>
        <v>0</v>
      </c>
      <c r="H15" s="204"/>
    </row>
    <row r="16" spans="1:8" ht="15" customHeight="1">
      <c r="B16" s="206">
        <v>9</v>
      </c>
      <c r="C16" s="421" t="s">
        <v>895</v>
      </c>
      <c r="D16" s="656">
        <v>0</v>
      </c>
      <c r="E16" s="662" t="s">
        <v>888</v>
      </c>
      <c r="F16" s="663">
        <f t="shared" si="4"/>
        <v>0.14403621580679662</v>
      </c>
      <c r="G16" s="659">
        <f t="shared" si="1"/>
        <v>0</v>
      </c>
      <c r="H16" s="204"/>
    </row>
    <row r="17" spans="2:8" ht="15" customHeight="1">
      <c r="B17" s="206">
        <v>10</v>
      </c>
      <c r="C17" s="421" t="s">
        <v>896</v>
      </c>
      <c r="D17" s="656">
        <v>0</v>
      </c>
      <c r="E17" s="662" t="s">
        <v>888</v>
      </c>
      <c r="F17" s="663">
        <f t="shared" si="4"/>
        <v>0.14403621580679662</v>
      </c>
      <c r="G17" s="659">
        <f t="shared" si="1"/>
        <v>0</v>
      </c>
      <c r="H17" s="204"/>
    </row>
    <row r="18" spans="2:8" ht="15" customHeight="1">
      <c r="B18" s="206" t="s">
        <v>594</v>
      </c>
      <c r="C18" s="656"/>
      <c r="D18" s="656"/>
      <c r="E18" s="656"/>
      <c r="F18" s="663">
        <f t="shared" si="4"/>
        <v>0</v>
      </c>
      <c r="G18" s="659">
        <f t="shared" si="1"/>
        <v>0</v>
      </c>
      <c r="H18" s="204"/>
    </row>
    <row r="19" spans="2:8">
      <c r="B19" s="206">
        <v>50</v>
      </c>
      <c r="C19" s="314" t="s">
        <v>90</v>
      </c>
      <c r="D19" s="654" t="s">
        <v>897</v>
      </c>
      <c r="E19" s="654"/>
      <c r="F19" s="657"/>
      <c r="G19" s="660">
        <f>SUM(G8:G18)</f>
        <v>5280.6402119382847</v>
      </c>
      <c r="H19" s="228"/>
    </row>
    <row r="20" spans="2:8">
      <c r="B20" s="206"/>
      <c r="H20" s="228"/>
    </row>
    <row r="21" spans="2:8">
      <c r="B21" s="206"/>
      <c r="H21" s="228"/>
    </row>
    <row r="22" spans="2:8">
      <c r="B22" s="384" t="s">
        <v>496</v>
      </c>
      <c r="H22" s="228"/>
    </row>
    <row r="23" spans="2:8">
      <c r="B23" s="206" t="s">
        <v>387</v>
      </c>
      <c r="C23" s="204" t="s">
        <v>898</v>
      </c>
      <c r="H23" s="228"/>
    </row>
    <row r="24" spans="2:8" ht="12.75" customHeight="1">
      <c r="B24" s="206" t="s">
        <v>389</v>
      </c>
      <c r="C24" s="1015" t="s">
        <v>899</v>
      </c>
      <c r="D24" s="1015"/>
      <c r="E24" s="1015"/>
      <c r="F24" s="1015"/>
      <c r="G24" s="1015"/>
      <c r="H24" s="1015"/>
    </row>
    <row r="25" spans="2:8">
      <c r="B25" s="206"/>
      <c r="C25" s="1015"/>
      <c r="D25" s="1015"/>
      <c r="E25" s="1015"/>
      <c r="F25" s="1015"/>
      <c r="G25" s="1015"/>
      <c r="H25" s="1015"/>
    </row>
    <row r="26" spans="2:8">
      <c r="B26" s="206"/>
      <c r="C26" s="1015"/>
      <c r="D26" s="1015"/>
      <c r="E26" s="1015"/>
      <c r="F26" s="1015"/>
      <c r="G26" s="1015"/>
      <c r="H26" s="1015"/>
    </row>
    <row r="27" spans="2:8">
      <c r="B27" s="206"/>
      <c r="C27" s="1015"/>
      <c r="D27" s="1015"/>
      <c r="E27" s="1015"/>
      <c r="F27" s="1015"/>
      <c r="G27" s="1015"/>
      <c r="H27" s="1015"/>
    </row>
    <row r="28" spans="2:8">
      <c r="B28" s="206"/>
      <c r="C28" s="1015"/>
      <c r="D28" s="1015"/>
      <c r="E28" s="1015"/>
      <c r="F28" s="1015"/>
      <c r="G28" s="1015"/>
      <c r="H28" s="1015"/>
    </row>
    <row r="29" spans="2:8">
      <c r="B29" s="206"/>
      <c r="C29" s="1015"/>
      <c r="D29" s="1015"/>
      <c r="E29" s="1015"/>
      <c r="F29" s="1015"/>
      <c r="G29" s="1015"/>
      <c r="H29" s="1015"/>
    </row>
    <row r="30" spans="2:8">
      <c r="B30" s="206"/>
      <c r="C30" s="1015"/>
      <c r="D30" s="1015"/>
      <c r="E30" s="1015"/>
      <c r="F30" s="1015"/>
      <c r="G30" s="1015"/>
      <c r="H30" s="1015"/>
    </row>
    <row r="31" spans="2:8">
      <c r="B31" s="206"/>
      <c r="C31" s="1015"/>
      <c r="D31" s="1015"/>
      <c r="E31" s="1015"/>
      <c r="F31" s="1015"/>
      <c r="G31" s="1015"/>
      <c r="H31" s="1015"/>
    </row>
    <row r="32" spans="2:8">
      <c r="B32" s="206"/>
      <c r="C32" s="1015"/>
      <c r="D32" s="1015"/>
      <c r="E32" s="1015"/>
      <c r="F32" s="1015"/>
      <c r="G32" s="1015"/>
      <c r="H32" s="1015"/>
    </row>
    <row r="33" spans="2:8">
      <c r="B33" s="206"/>
      <c r="C33" s="1015"/>
      <c r="D33" s="1015"/>
      <c r="E33" s="1015"/>
      <c r="F33" s="1015"/>
      <c r="G33" s="1015"/>
      <c r="H33" s="1015"/>
    </row>
    <row r="34" spans="2:8" ht="47.25" customHeight="1">
      <c r="C34" s="1015"/>
      <c r="D34" s="1015"/>
      <c r="E34" s="1015"/>
      <c r="F34" s="1015"/>
      <c r="G34" s="1015"/>
      <c r="H34" s="1015"/>
    </row>
  </sheetData>
  <mergeCells count="4">
    <mergeCell ref="A1:H1"/>
    <mergeCell ref="A2:H2"/>
    <mergeCell ref="A3:H3"/>
    <mergeCell ref="C24:H34"/>
  </mergeCells>
  <printOptions horizontalCentered="1"/>
  <pageMargins left="0.75" right="0.75" top="1" bottom="1" header="0.5" footer="0.5"/>
  <pageSetup scale="87" orientation="portrait" r:id="rId1"/>
  <headerFooter alignWithMargins="0"/>
  <ignoredErrors>
    <ignoredError sqref="F8:G1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topLeftCell="A36" workbookViewId="0">
      <selection activeCell="H42" sqref="H42"/>
    </sheetView>
  </sheetViews>
  <sheetFormatPr defaultColWidth="7.109375" defaultRowHeight="12.75"/>
  <cols>
    <col min="1" max="1" width="5.21875" style="243" customWidth="1"/>
    <col min="2" max="2" width="5.5546875" style="243" customWidth="1"/>
    <col min="3" max="3" width="5.109375" style="243" customWidth="1"/>
    <col min="4" max="4" width="12.6640625" style="242" customWidth="1"/>
    <col min="5" max="5" width="22.6640625" style="242" customWidth="1"/>
    <col min="6" max="6" width="12.21875" style="242" customWidth="1"/>
    <col min="7" max="7" width="13.44140625" style="242" bestFit="1" customWidth="1"/>
    <col min="8" max="8" width="19.21875" style="242" customWidth="1"/>
    <col min="9" max="9" width="4.6640625" style="242" bestFit="1" customWidth="1"/>
    <col min="10" max="10" width="13" style="242" customWidth="1"/>
    <col min="11" max="11" width="13" style="943" bestFit="1" customWidth="1"/>
    <col min="12" max="13" width="12.21875" style="242" customWidth="1"/>
    <col min="14" max="14" width="11.5546875" style="242" bestFit="1" customWidth="1"/>
    <col min="15" max="15" width="7.21875" style="242" bestFit="1" customWidth="1"/>
    <col min="16" max="16" width="11.6640625" style="242" bestFit="1" customWidth="1"/>
    <col min="17" max="16384" width="7.109375" style="242"/>
  </cols>
  <sheetData>
    <row r="1" spans="1:11">
      <c r="A1" s="990" t="s">
        <v>54</v>
      </c>
      <c r="B1" s="990"/>
      <c r="C1" s="990"/>
      <c r="D1" s="990"/>
      <c r="E1" s="990"/>
      <c r="F1" s="990"/>
      <c r="G1" s="990"/>
      <c r="H1" s="990"/>
    </row>
    <row r="2" spans="1:11">
      <c r="A2" s="990" t="s">
        <v>900</v>
      </c>
      <c r="B2" s="990"/>
      <c r="C2" s="990"/>
      <c r="D2" s="990"/>
      <c r="E2" s="990"/>
      <c r="F2" s="990"/>
      <c r="G2" s="990"/>
      <c r="H2" s="990"/>
    </row>
    <row r="3" spans="1:11">
      <c r="A3" s="991" t="str">
        <f>'Act Att-H'!C7</f>
        <v>Black Hills Colorado Electric, LLC</v>
      </c>
      <c r="B3" s="991"/>
      <c r="C3" s="991"/>
      <c r="D3" s="991"/>
      <c r="E3" s="991"/>
      <c r="F3" s="991"/>
      <c r="G3" s="991"/>
      <c r="H3" s="991"/>
    </row>
    <row r="4" spans="1:11">
      <c r="H4" s="244" t="s">
        <v>3</v>
      </c>
    </row>
    <row r="5" spans="1:11">
      <c r="A5" s="245" t="s">
        <v>901</v>
      </c>
    </row>
    <row r="6" spans="1:11">
      <c r="A6" s="652" t="s">
        <v>902</v>
      </c>
      <c r="B6" s="652" t="s">
        <v>635</v>
      </c>
      <c r="C6" s="652" t="s">
        <v>825</v>
      </c>
      <c r="D6" s="652" t="s">
        <v>903</v>
      </c>
      <c r="E6" s="243"/>
    </row>
    <row r="7" spans="1:11">
      <c r="A7" s="243">
        <v>1</v>
      </c>
      <c r="B7" s="243" t="s">
        <v>904</v>
      </c>
      <c r="C7" s="243" t="s">
        <v>905</v>
      </c>
      <c r="D7" s="246" t="s">
        <v>906</v>
      </c>
      <c r="E7" s="246"/>
    </row>
    <row r="8" spans="1:11">
      <c r="A8" s="243">
        <f>A7+1</f>
        <v>2</v>
      </c>
      <c r="B8" s="243" t="s">
        <v>904</v>
      </c>
      <c r="C8" s="243" t="s">
        <v>905</v>
      </c>
      <c r="D8" s="246" t="s">
        <v>907</v>
      </c>
      <c r="E8" s="246"/>
    </row>
    <row r="9" spans="1:11">
      <c r="A9" s="243">
        <f t="shared" ref="A9:A17" si="0">A8+1</f>
        <v>3</v>
      </c>
      <c r="B9" s="247" t="s">
        <v>908</v>
      </c>
      <c r="C9" s="243" t="s">
        <v>909</v>
      </c>
      <c r="D9" s="246" t="s">
        <v>910</v>
      </c>
      <c r="E9" s="246"/>
    </row>
    <row r="10" spans="1:11">
      <c r="A10" s="243">
        <f t="shared" si="0"/>
        <v>4</v>
      </c>
      <c r="B10" s="243" t="str">
        <f>+B7</f>
        <v>Oct</v>
      </c>
      <c r="C10" s="243" t="s">
        <v>909</v>
      </c>
      <c r="D10" s="246" t="s">
        <v>911</v>
      </c>
      <c r="E10" s="246"/>
    </row>
    <row r="11" spans="1:11">
      <c r="A11" s="243">
        <f t="shared" si="0"/>
        <v>5</v>
      </c>
      <c r="B11" s="243" t="s">
        <v>904</v>
      </c>
      <c r="C11" s="243" t="str">
        <f>C10</f>
        <v>Year 1</v>
      </c>
      <c r="D11" s="246" t="s">
        <v>912</v>
      </c>
      <c r="E11" s="246"/>
    </row>
    <row r="12" spans="1:11">
      <c r="A12" s="243">
        <f t="shared" si="0"/>
        <v>6</v>
      </c>
      <c r="B12" s="243" t="s">
        <v>908</v>
      </c>
      <c r="C12" s="243" t="s">
        <v>913</v>
      </c>
      <c r="D12" s="246" t="s">
        <v>914</v>
      </c>
      <c r="E12" s="246"/>
    </row>
    <row r="13" spans="1:11">
      <c r="A13" s="243">
        <f t="shared" si="0"/>
        <v>7</v>
      </c>
      <c r="B13" s="243" t="s">
        <v>915</v>
      </c>
      <c r="C13" s="243" t="s">
        <v>913</v>
      </c>
      <c r="D13" s="246" t="s">
        <v>916</v>
      </c>
      <c r="E13" s="248"/>
      <c r="F13" s="249"/>
      <c r="G13" s="249"/>
      <c r="H13" s="249"/>
      <c r="I13" s="249"/>
      <c r="J13" s="249"/>
      <c r="K13" s="944"/>
    </row>
    <row r="14" spans="1:11">
      <c r="A14" s="243">
        <f t="shared" si="0"/>
        <v>8</v>
      </c>
      <c r="B14" s="243" t="s">
        <v>915</v>
      </c>
      <c r="C14" s="243" t="s">
        <v>913</v>
      </c>
      <c r="D14" s="246" t="s">
        <v>917</v>
      </c>
      <c r="E14" s="246"/>
    </row>
    <row r="15" spans="1:11">
      <c r="A15" s="243">
        <f t="shared" si="0"/>
        <v>9</v>
      </c>
      <c r="B15" s="243" t="s">
        <v>915</v>
      </c>
      <c r="C15" s="243" t="s">
        <v>913</v>
      </c>
      <c r="D15" s="246" t="s">
        <v>918</v>
      </c>
    </row>
    <row r="16" spans="1:11">
      <c r="A16" s="243">
        <f t="shared" si="0"/>
        <v>10</v>
      </c>
      <c r="B16" s="243" t="s">
        <v>904</v>
      </c>
      <c r="C16" s="243" t="s">
        <v>913</v>
      </c>
      <c r="D16" s="246" t="s">
        <v>919</v>
      </c>
      <c r="E16" s="246"/>
    </row>
    <row r="17" spans="1:16">
      <c r="A17" s="243">
        <f t="shared" si="0"/>
        <v>11</v>
      </c>
      <c r="B17" s="243" t="s">
        <v>904</v>
      </c>
      <c r="C17" s="243" t="s">
        <v>913</v>
      </c>
      <c r="D17" s="246" t="s">
        <v>920</v>
      </c>
      <c r="E17" s="246"/>
    </row>
    <row r="18" spans="1:16">
      <c r="A18" s="242"/>
      <c r="B18" s="242"/>
      <c r="C18" s="242"/>
      <c r="E18" s="246"/>
    </row>
    <row r="19" spans="1:16">
      <c r="A19" s="242"/>
      <c r="B19" s="245" t="s">
        <v>921</v>
      </c>
    </row>
    <row r="20" spans="1:16" ht="12.75" customHeight="1" thickBot="1">
      <c r="A20" s="243">
        <f>A17+1</f>
        <v>12</v>
      </c>
      <c r="D20" s="249"/>
      <c r="E20" s="249"/>
      <c r="F20" s="249"/>
      <c r="H20" s="250" t="s">
        <v>922</v>
      </c>
      <c r="I20" s="249"/>
      <c r="N20" s="251"/>
      <c r="O20" s="251"/>
      <c r="P20" s="251"/>
    </row>
    <row r="21" spans="1:16" ht="12.75" customHeight="1">
      <c r="A21" s="243">
        <f>A20+1</f>
        <v>13</v>
      </c>
      <c r="C21" s="242" t="s">
        <v>923</v>
      </c>
      <c r="E21" s="249"/>
      <c r="F21" s="252"/>
      <c r="H21" s="435"/>
      <c r="I21" s="249"/>
      <c r="N21" s="254"/>
      <c r="O21" s="254"/>
      <c r="P21" s="254"/>
    </row>
    <row r="22" spans="1:16">
      <c r="A22" s="243">
        <f t="shared" ref="A22:A23" si="1">A21+1</f>
        <v>14</v>
      </c>
      <c r="B22" s="255"/>
      <c r="C22" s="242" t="s">
        <v>924</v>
      </c>
      <c r="F22" s="253"/>
      <c r="H22" s="435"/>
      <c r="I22" s="249"/>
      <c r="N22" s="256"/>
      <c r="O22" s="256"/>
      <c r="P22" s="256"/>
    </row>
    <row r="23" spans="1:16">
      <c r="A23" s="243">
        <f t="shared" si="1"/>
        <v>15</v>
      </c>
      <c r="C23" s="242" t="s">
        <v>925</v>
      </c>
      <c r="F23" s="257" t="s">
        <v>926</v>
      </c>
      <c r="H23" s="403">
        <f>+H21-H22</f>
        <v>0</v>
      </c>
      <c r="I23" s="249"/>
      <c r="N23" s="251"/>
      <c r="O23" s="251"/>
      <c r="P23" s="251"/>
    </row>
    <row r="24" spans="1:16">
      <c r="F24" s="257"/>
      <c r="I24" s="249"/>
    </row>
    <row r="25" spans="1:16">
      <c r="A25" s="242"/>
      <c r="B25" s="245" t="s">
        <v>927</v>
      </c>
    </row>
    <row r="26" spans="1:16" ht="12.75" customHeight="1" thickBot="1">
      <c r="A26" s="243">
        <f>A23+1</f>
        <v>16</v>
      </c>
      <c r="D26" s="249"/>
      <c r="E26" s="249"/>
      <c r="F26" s="249"/>
      <c r="H26" s="250" t="s">
        <v>922</v>
      </c>
      <c r="I26" s="249"/>
      <c r="N26" s="251"/>
      <c r="O26" s="251"/>
      <c r="P26" s="251"/>
    </row>
    <row r="27" spans="1:16">
      <c r="A27" s="243">
        <f>A26+1</f>
        <v>17</v>
      </c>
      <c r="C27" s="242" t="s">
        <v>928</v>
      </c>
      <c r="E27" s="249"/>
      <c r="F27" s="252"/>
      <c r="H27" s="542"/>
      <c r="I27" s="249" t="s">
        <v>929</v>
      </c>
      <c r="N27" s="254"/>
      <c r="O27" s="254"/>
      <c r="P27" s="254"/>
    </row>
    <row r="28" spans="1:16">
      <c r="A28" s="243">
        <f t="shared" ref="A28:A33" si="2">A27+1</f>
        <v>18</v>
      </c>
      <c r="B28" s="255"/>
      <c r="C28" s="242" t="s">
        <v>930</v>
      </c>
      <c r="F28" s="253"/>
      <c r="H28" s="542"/>
      <c r="I28" s="249" t="s">
        <v>929</v>
      </c>
      <c r="N28" s="256"/>
      <c r="O28" s="256"/>
      <c r="P28" s="256"/>
    </row>
    <row r="29" spans="1:16">
      <c r="A29" s="243">
        <f t="shared" si="2"/>
        <v>19</v>
      </c>
      <c r="C29" s="242" t="s">
        <v>931</v>
      </c>
      <c r="F29" s="257" t="s">
        <v>932</v>
      </c>
      <c r="H29" s="543">
        <f>H28-H27</f>
        <v>0</v>
      </c>
      <c r="I29" s="249" t="s">
        <v>929</v>
      </c>
      <c r="N29" s="251"/>
      <c r="O29" s="251"/>
      <c r="P29" s="251"/>
    </row>
    <row r="30" spans="1:16" ht="12.75" customHeight="1">
      <c r="A30" s="243">
        <f t="shared" si="2"/>
        <v>20</v>
      </c>
      <c r="C30" s="242"/>
      <c r="D30" s="249"/>
      <c r="E30" s="249"/>
      <c r="F30" s="257"/>
      <c r="H30" s="544"/>
      <c r="I30" s="249"/>
      <c r="N30" s="251"/>
      <c r="O30" s="251"/>
      <c r="P30" s="251"/>
    </row>
    <row r="31" spans="1:16">
      <c r="A31" s="243">
        <f t="shared" si="2"/>
        <v>21</v>
      </c>
      <c r="C31" s="242" t="s">
        <v>933</v>
      </c>
      <c r="E31" s="249"/>
      <c r="F31" s="257" t="s">
        <v>934</v>
      </c>
      <c r="H31" s="544">
        <f>IF(H28=0,0,ROUND(H22/H28,6))</f>
        <v>0</v>
      </c>
      <c r="I31" s="249" t="s">
        <v>935</v>
      </c>
      <c r="N31" s="254"/>
      <c r="O31" s="254"/>
      <c r="P31" s="254"/>
    </row>
    <row r="32" spans="1:16">
      <c r="A32" s="243">
        <f t="shared" si="2"/>
        <v>22</v>
      </c>
      <c r="B32" s="255"/>
      <c r="C32" s="242" t="s">
        <v>936</v>
      </c>
      <c r="F32" s="257" t="s">
        <v>937</v>
      </c>
      <c r="H32" s="403">
        <f>H29*H31</f>
        <v>0</v>
      </c>
      <c r="I32" s="249"/>
      <c r="N32" s="256"/>
      <c r="O32" s="256"/>
      <c r="P32" s="256"/>
    </row>
    <row r="33" spans="1:16">
      <c r="A33" s="243">
        <f t="shared" si="2"/>
        <v>23</v>
      </c>
      <c r="C33" s="242"/>
      <c r="F33" s="257"/>
      <c r="H33" s="541"/>
      <c r="I33" s="249"/>
      <c r="N33" s="251"/>
      <c r="O33" s="251"/>
      <c r="P33" s="251"/>
    </row>
    <row r="34" spans="1:16">
      <c r="B34" s="245" t="s">
        <v>938</v>
      </c>
      <c r="C34" s="242"/>
      <c r="F34" s="257"/>
      <c r="H34" s="541"/>
      <c r="I34" s="249"/>
      <c r="N34" s="251"/>
      <c r="O34" s="251"/>
      <c r="P34" s="251"/>
    </row>
    <row r="35" spans="1:16">
      <c r="A35" s="243" t="s">
        <v>182</v>
      </c>
      <c r="C35" s="242" t="s">
        <v>939</v>
      </c>
      <c r="F35" s="257"/>
      <c r="H35" s="435">
        <v>0</v>
      </c>
      <c r="I35" s="249"/>
      <c r="N35" s="251"/>
      <c r="O35" s="251"/>
      <c r="P35" s="251"/>
    </row>
    <row r="36" spans="1:16">
      <c r="C36" s="242"/>
      <c r="F36" s="257"/>
      <c r="H36" s="541"/>
      <c r="I36" s="249"/>
      <c r="N36" s="251"/>
      <c r="O36" s="251"/>
      <c r="P36" s="251"/>
    </row>
    <row r="37" spans="1:16">
      <c r="A37" s="243">
        <f>A33+1</f>
        <v>24</v>
      </c>
      <c r="B37" s="242" t="s">
        <v>940</v>
      </c>
      <c r="C37" s="242"/>
      <c r="D37" s="246"/>
      <c r="E37" s="243"/>
      <c r="F37" s="249" t="s">
        <v>941</v>
      </c>
      <c r="G37" s="249"/>
      <c r="H37" s="545">
        <f>H23+H32+H35</f>
        <v>0</v>
      </c>
      <c r="I37" s="249"/>
      <c r="J37" s="249"/>
      <c r="K37" s="944"/>
      <c r="L37" s="249"/>
    </row>
    <row r="38" spans="1:16">
      <c r="C38" s="242"/>
      <c r="D38" s="246"/>
      <c r="E38" s="243"/>
      <c r="F38" s="249"/>
      <c r="G38" s="249"/>
      <c r="H38" s="249"/>
      <c r="I38" s="249"/>
      <c r="J38" s="249"/>
      <c r="K38" s="944"/>
      <c r="L38" s="249"/>
    </row>
    <row r="39" spans="1:16">
      <c r="B39" s="245" t="s">
        <v>942</v>
      </c>
      <c r="D39" s="246"/>
      <c r="E39" s="243"/>
      <c r="F39" s="249"/>
      <c r="G39" s="249"/>
      <c r="H39" s="249"/>
      <c r="I39" s="249"/>
      <c r="J39" s="249"/>
      <c r="K39" s="944"/>
      <c r="L39" s="249"/>
    </row>
    <row r="40" spans="1:16" ht="14.25" customHeight="1">
      <c r="D40" s="258" t="s">
        <v>943</v>
      </c>
      <c r="E40" s="259"/>
      <c r="F40" s="260"/>
      <c r="G40" s="249"/>
      <c r="H40" s="261" t="s">
        <v>944</v>
      </c>
      <c r="I40" s="249"/>
      <c r="J40" s="249"/>
      <c r="K40" s="944"/>
      <c r="L40" s="249"/>
    </row>
    <row r="41" spans="1:16">
      <c r="A41" s="243">
        <f>A37+1</f>
        <v>25</v>
      </c>
      <c r="D41" s="891" t="s">
        <v>945</v>
      </c>
      <c r="E41" s="255"/>
      <c r="F41" s="249"/>
      <c r="H41" s="75">
        <v>734.05991780821921</v>
      </c>
      <c r="I41" s="262"/>
      <c r="J41" s="262"/>
      <c r="K41" s="945"/>
      <c r="L41" s="249"/>
    </row>
    <row r="42" spans="1:16">
      <c r="A42" s="243">
        <f>A41+1</f>
        <v>26</v>
      </c>
      <c r="D42" s="891" t="s">
        <v>946</v>
      </c>
      <c r="E42" s="255"/>
      <c r="F42" s="249"/>
      <c r="H42" s="75">
        <v>34738205.414410986</v>
      </c>
      <c r="I42" s="262"/>
      <c r="J42" s="262"/>
      <c r="K42" s="945"/>
      <c r="L42" s="249"/>
    </row>
    <row r="43" spans="1:16">
      <c r="A43" s="243">
        <f>A42+1</f>
        <v>27</v>
      </c>
      <c r="D43" s="246" t="s">
        <v>947</v>
      </c>
      <c r="E43" s="243"/>
      <c r="F43" s="249"/>
      <c r="H43" s="75">
        <v>365</v>
      </c>
      <c r="I43" s="262"/>
      <c r="J43" s="262"/>
      <c r="K43" s="945"/>
      <c r="L43" s="249"/>
    </row>
    <row r="44" spans="1:16">
      <c r="A44" s="243">
        <f>A43+1</f>
        <v>28</v>
      </c>
      <c r="D44" s="246" t="s">
        <v>948</v>
      </c>
      <c r="E44" s="243"/>
      <c r="F44" s="242" t="s">
        <v>949</v>
      </c>
      <c r="H44" s="263">
        <f>IF(H42*H43=0,0,H41/H42*H43)</f>
        <v>7.7128874909827587E-3</v>
      </c>
      <c r="I44" s="249"/>
      <c r="J44" s="249"/>
      <c r="K44" s="944"/>
      <c r="L44" s="249"/>
    </row>
    <row r="45" spans="1:16">
      <c r="D45" s="246"/>
      <c r="E45" s="243"/>
      <c r="F45" s="249"/>
      <c r="H45" s="264"/>
      <c r="I45" s="249"/>
      <c r="J45" s="249"/>
      <c r="K45" s="944"/>
      <c r="L45" s="249"/>
    </row>
    <row r="46" spans="1:16">
      <c r="D46" s="258" t="s">
        <v>950</v>
      </c>
      <c r="E46" s="265"/>
      <c r="F46" s="260"/>
      <c r="H46" s="266"/>
      <c r="J46" s="266"/>
      <c r="K46" s="944"/>
      <c r="L46" s="249"/>
    </row>
    <row r="47" spans="1:16">
      <c r="A47" s="243">
        <f>A44+1</f>
        <v>29</v>
      </c>
      <c r="D47" s="246" t="s">
        <v>951</v>
      </c>
      <c r="F47" s="249"/>
      <c r="H47" s="267">
        <v>3.2500000000000001E-2</v>
      </c>
      <c r="J47" s="266"/>
      <c r="K47" s="945"/>
      <c r="L47" s="249"/>
    </row>
    <row r="48" spans="1:16">
      <c r="A48" s="243">
        <f t="shared" ref="A48:A51" si="3">A47+1</f>
        <v>30</v>
      </c>
      <c r="D48" s="246" t="s">
        <v>952</v>
      </c>
      <c r="F48" s="249"/>
      <c r="H48" s="267">
        <v>3.2500000000000001E-2</v>
      </c>
      <c r="J48" s="266"/>
      <c r="K48" s="945"/>
      <c r="L48" s="249"/>
    </row>
    <row r="49" spans="1:13">
      <c r="A49" s="243">
        <f t="shared" si="3"/>
        <v>31</v>
      </c>
      <c r="D49" s="246" t="s">
        <v>953</v>
      </c>
      <c r="F49" s="249"/>
      <c r="H49" s="267">
        <v>3.2500000000000001E-2</v>
      </c>
      <c r="J49" s="266"/>
      <c r="K49" s="945"/>
      <c r="L49" s="249"/>
    </row>
    <row r="50" spans="1:13">
      <c r="A50" s="243">
        <f t="shared" si="3"/>
        <v>32</v>
      </c>
      <c r="D50" s="246" t="s">
        <v>954</v>
      </c>
      <c r="F50" s="249"/>
      <c r="H50" s="267">
        <v>3.2500000000000001E-2</v>
      </c>
      <c r="J50" s="266"/>
      <c r="K50" s="945"/>
      <c r="L50" s="249"/>
    </row>
    <row r="51" spans="1:13" ht="15.75">
      <c r="A51" s="243">
        <f t="shared" si="3"/>
        <v>33</v>
      </c>
      <c r="D51" s="246" t="s">
        <v>955</v>
      </c>
      <c r="E51" s="249"/>
      <c r="F51" s="249" t="s">
        <v>956</v>
      </c>
      <c r="H51" s="268">
        <f>IF(SUM(H47:H50)=0,0,AVERAGE(H47:H50))</f>
        <v>3.2500000000000001E-2</v>
      </c>
      <c r="J51" s="269"/>
      <c r="K51" s="946"/>
      <c r="L51" s="270"/>
      <c r="M51" s="270"/>
    </row>
    <row r="52" spans="1:13">
      <c r="D52" s="246"/>
      <c r="E52" s="249"/>
      <c r="F52" s="249"/>
      <c r="H52" s="271"/>
      <c r="J52" s="269"/>
      <c r="K52" s="944"/>
      <c r="L52" s="249"/>
    </row>
    <row r="53" spans="1:13">
      <c r="A53" s="243">
        <f>A51+1</f>
        <v>34</v>
      </c>
      <c r="D53" s="246" t="s">
        <v>957</v>
      </c>
      <c r="E53" s="249"/>
      <c r="F53" s="249"/>
      <c r="H53" s="450">
        <f>IF(H23&lt;=0,$H51,MIN($H51,$H44))</f>
        <v>3.2500000000000001E-2</v>
      </c>
      <c r="J53" s="269"/>
      <c r="K53" s="944"/>
      <c r="L53" s="249"/>
    </row>
    <row r="54" spans="1:13">
      <c r="D54" s="246"/>
      <c r="E54" s="249"/>
      <c r="F54" s="249"/>
      <c r="H54" s="272"/>
      <c r="I54" s="249"/>
      <c r="J54" s="249"/>
      <c r="K54" s="944"/>
      <c r="L54" s="249"/>
    </row>
    <row r="55" spans="1:13" ht="15.75" customHeight="1" thickBot="1">
      <c r="D55" s="249"/>
      <c r="E55" s="249"/>
      <c r="F55" s="249"/>
      <c r="H55" s="250" t="s">
        <v>958</v>
      </c>
      <c r="J55" s="269"/>
      <c r="K55" s="944"/>
      <c r="L55" s="249"/>
    </row>
    <row r="56" spans="1:13">
      <c r="A56" s="243">
        <f>A53+1</f>
        <v>35</v>
      </c>
      <c r="C56" s="242"/>
      <c r="D56" s="242" t="s">
        <v>959</v>
      </c>
      <c r="H56" s="273">
        <f>ROUND(+H37*12/12,0)</f>
        <v>0</v>
      </c>
      <c r="J56" s="269"/>
      <c r="K56" s="944"/>
    </row>
    <row r="57" spans="1:13">
      <c r="A57" s="243">
        <f>A56+1</f>
        <v>36</v>
      </c>
      <c r="C57" s="242"/>
      <c r="D57" s="242" t="s">
        <v>960</v>
      </c>
      <c r="H57" s="274">
        <f>ROUND(H$53/12*(24)*H56,2)</f>
        <v>0</v>
      </c>
      <c r="I57" s="249"/>
      <c r="J57" s="249"/>
      <c r="K57" s="944"/>
    </row>
    <row r="58" spans="1:13">
      <c r="A58" s="243">
        <f>A57+1</f>
        <v>37</v>
      </c>
      <c r="C58" s="253"/>
      <c r="D58" s="245" t="s">
        <v>961</v>
      </c>
      <c r="E58" s="246"/>
      <c r="G58" s="243"/>
      <c r="H58" s="449">
        <f>SUM(H56:H57)</f>
        <v>0</v>
      </c>
      <c r="I58" s="249"/>
      <c r="J58" s="249"/>
      <c r="K58" s="944"/>
    </row>
    <row r="59" spans="1:13">
      <c r="C59" s="253"/>
      <c r="D59" s="243"/>
      <c r="E59" s="246"/>
      <c r="G59" s="243"/>
      <c r="H59" s="275"/>
      <c r="I59" s="246"/>
      <c r="J59" s="275"/>
    </row>
    <row r="60" spans="1:13">
      <c r="A60" s="243" t="s">
        <v>555</v>
      </c>
    </row>
    <row r="61" spans="1:13" s="666" customFormat="1" ht="15.75" customHeight="1">
      <c r="A61" s="276" t="s">
        <v>387</v>
      </c>
      <c r="B61" s="1022" t="s">
        <v>962</v>
      </c>
      <c r="C61" s="1022"/>
      <c r="D61" s="1022"/>
      <c r="E61" s="1022"/>
      <c r="F61" s="1022"/>
      <c r="G61" s="1022"/>
      <c r="H61" s="1022"/>
      <c r="K61" s="947"/>
    </row>
    <row r="62" spans="1:13" s="666" customFormat="1">
      <c r="A62" s="276" t="s">
        <v>389</v>
      </c>
      <c r="B62" s="1022" t="s">
        <v>963</v>
      </c>
      <c r="C62" s="1022"/>
      <c r="D62" s="1022"/>
      <c r="E62" s="1022"/>
      <c r="F62" s="1022"/>
      <c r="G62" s="1022"/>
      <c r="H62" s="1022"/>
      <c r="K62" s="947"/>
    </row>
    <row r="63" spans="1:13" s="666" customFormat="1">
      <c r="A63" s="276" t="s">
        <v>391</v>
      </c>
      <c r="B63" s="1021" t="s">
        <v>964</v>
      </c>
      <c r="C63" s="1021"/>
      <c r="D63" s="1021"/>
      <c r="E63" s="1021"/>
      <c r="F63" s="1021"/>
      <c r="G63" s="1021"/>
      <c r="H63" s="1021"/>
      <c r="K63" s="947"/>
    </row>
    <row r="64" spans="1:13" s="666" customFormat="1" ht="27" customHeight="1">
      <c r="A64" s="276" t="s">
        <v>393</v>
      </c>
      <c r="B64" s="1020" t="s">
        <v>965</v>
      </c>
      <c r="C64" s="1020"/>
      <c r="D64" s="1020"/>
      <c r="E64" s="1020"/>
      <c r="F64" s="1020"/>
      <c r="G64" s="1020"/>
      <c r="H64" s="1020"/>
      <c r="K64" s="947"/>
    </row>
    <row r="65" spans="1:11" s="666" customFormat="1" ht="14.25" customHeight="1">
      <c r="A65" s="276" t="s">
        <v>395</v>
      </c>
      <c r="B65" s="1022" t="s">
        <v>966</v>
      </c>
      <c r="C65" s="1022"/>
      <c r="D65" s="1022"/>
      <c r="E65" s="1022"/>
      <c r="F65" s="1022"/>
      <c r="G65" s="1022"/>
      <c r="H65" s="1022"/>
      <c r="K65" s="947"/>
    </row>
    <row r="66" spans="1:11" s="666" customFormat="1" ht="122.45" customHeight="1">
      <c r="A66" s="276" t="s">
        <v>397</v>
      </c>
      <c r="B66" s="1020" t="s">
        <v>967</v>
      </c>
      <c r="C66" s="1020"/>
      <c r="D66" s="1020"/>
      <c r="E66" s="1020"/>
      <c r="F66" s="1020"/>
      <c r="G66" s="1020"/>
      <c r="H66" s="1020"/>
      <c r="K66" s="947"/>
    </row>
    <row r="67" spans="1:11">
      <c r="B67" s="242"/>
    </row>
    <row r="117" spans="3:7" ht="15.75">
      <c r="C117" s="277"/>
      <c r="D117" s="278"/>
      <c r="E117" s="278"/>
      <c r="F117" s="278"/>
      <c r="G117" s="278"/>
    </row>
    <row r="118" spans="3:7" ht="99.75" customHeight="1">
      <c r="C118" s="277"/>
      <c r="D118" s="278"/>
      <c r="E118" s="278"/>
      <c r="F118" s="278"/>
      <c r="G118" s="278"/>
    </row>
    <row r="119" spans="3:7" ht="15.75">
      <c r="C119" s="277"/>
      <c r="D119" s="278"/>
      <c r="E119" s="278"/>
      <c r="F119" s="278"/>
      <c r="G119" s="278"/>
    </row>
    <row r="120" spans="3:7" ht="15.75">
      <c r="C120" s="277"/>
      <c r="D120" s="278"/>
      <c r="E120" s="278"/>
      <c r="F120" s="278"/>
      <c r="G120" s="278"/>
    </row>
    <row r="121" spans="3:7" ht="15.75">
      <c r="C121" s="277"/>
      <c r="D121" s="278"/>
      <c r="E121" s="278"/>
      <c r="F121" s="278"/>
      <c r="G121" s="278"/>
    </row>
    <row r="122" spans="3:7" ht="15.75">
      <c r="C122" s="277"/>
      <c r="D122" s="278"/>
      <c r="E122" s="278"/>
      <c r="F122" s="278"/>
      <c r="G122" s="278"/>
    </row>
    <row r="123" spans="3:7" ht="15.75">
      <c r="C123" s="277"/>
      <c r="D123" s="278"/>
      <c r="E123" s="278"/>
      <c r="F123" s="278"/>
      <c r="G123" s="278"/>
    </row>
    <row r="124" spans="3:7" ht="15.75">
      <c r="C124" s="277"/>
      <c r="D124" s="278"/>
      <c r="E124" s="278"/>
      <c r="F124" s="278"/>
      <c r="G124" s="278"/>
    </row>
    <row r="125" spans="3:7" ht="15.75">
      <c r="C125" s="277"/>
      <c r="D125" s="278"/>
      <c r="E125" s="278"/>
      <c r="F125" s="278"/>
      <c r="G125" s="278"/>
    </row>
    <row r="126" spans="3:7" ht="15.75">
      <c r="C126" s="277"/>
      <c r="D126" s="278"/>
      <c r="E126" s="278"/>
      <c r="F126" s="278"/>
      <c r="G126" s="278"/>
    </row>
    <row r="127" spans="3:7" ht="15.75">
      <c r="C127" s="277"/>
      <c r="D127" s="278"/>
      <c r="E127" s="278"/>
      <c r="F127" s="278"/>
      <c r="G127" s="278"/>
    </row>
    <row r="128" spans="3:7" ht="15.75">
      <c r="C128" s="277"/>
      <c r="D128" s="278"/>
      <c r="E128" s="278"/>
      <c r="F128" s="278"/>
      <c r="G128" s="278"/>
    </row>
    <row r="129" spans="3:7" ht="15.75">
      <c r="C129" s="277"/>
      <c r="D129" s="278"/>
      <c r="E129" s="278"/>
      <c r="F129" s="278"/>
      <c r="G129" s="278"/>
    </row>
    <row r="130" spans="3:7" ht="15.75">
      <c r="C130" s="277"/>
      <c r="D130" s="278"/>
      <c r="E130" s="278"/>
      <c r="F130" s="278"/>
      <c r="G130" s="278"/>
    </row>
    <row r="131" spans="3:7" ht="15.75">
      <c r="C131" s="277"/>
      <c r="D131" s="278"/>
      <c r="E131" s="278"/>
      <c r="F131" s="278"/>
      <c r="G131" s="278"/>
    </row>
    <row r="132" spans="3:7" ht="15.75">
      <c r="C132" s="277"/>
      <c r="D132" s="278"/>
      <c r="E132" s="278"/>
      <c r="F132" s="278"/>
      <c r="G132" s="278"/>
    </row>
    <row r="133" spans="3:7" ht="15.75">
      <c r="C133" s="277"/>
      <c r="D133" s="278"/>
      <c r="E133" s="278"/>
      <c r="F133" s="278"/>
      <c r="G133" s="278"/>
    </row>
    <row r="134" spans="3:7" ht="15.75">
      <c r="C134" s="277"/>
      <c r="D134" s="278"/>
      <c r="E134" s="278"/>
      <c r="F134" s="278"/>
      <c r="G134" s="278"/>
    </row>
    <row r="135" spans="3:7" ht="15.75">
      <c r="C135" s="277"/>
      <c r="D135" s="278"/>
      <c r="E135" s="278"/>
      <c r="F135" s="278"/>
      <c r="G135" s="278"/>
    </row>
    <row r="136" spans="3:7" ht="15.75">
      <c r="C136" s="277"/>
      <c r="D136" s="278"/>
      <c r="E136" s="278"/>
      <c r="F136" s="278"/>
      <c r="G136" s="278"/>
    </row>
    <row r="137" spans="3:7" ht="15.75">
      <c r="C137" s="277"/>
      <c r="D137" s="278"/>
      <c r="E137" s="278"/>
      <c r="F137" s="278"/>
      <c r="G137" s="278"/>
    </row>
    <row r="138" spans="3:7" ht="15.75">
      <c r="C138" s="277"/>
      <c r="D138" s="278"/>
      <c r="E138" s="278"/>
      <c r="F138" s="278"/>
      <c r="G138" s="278"/>
    </row>
    <row r="139" spans="3:7" ht="40.5" customHeight="1">
      <c r="C139" s="277"/>
      <c r="D139" s="278"/>
      <c r="E139" s="278"/>
      <c r="F139" s="278"/>
      <c r="G139" s="278"/>
    </row>
    <row r="140" spans="3:7" ht="15.75">
      <c r="C140" s="277"/>
      <c r="D140" s="278"/>
      <c r="E140" s="278"/>
      <c r="F140" s="278"/>
      <c r="G140" s="278"/>
    </row>
  </sheetData>
  <mergeCells count="9">
    <mergeCell ref="B66:H66"/>
    <mergeCell ref="B63:H63"/>
    <mergeCell ref="B64:H64"/>
    <mergeCell ref="B65:H65"/>
    <mergeCell ref="A1:H1"/>
    <mergeCell ref="A2:H2"/>
    <mergeCell ref="A3:H3"/>
    <mergeCell ref="B61:H61"/>
    <mergeCell ref="B62:H62"/>
  </mergeCells>
  <phoneticPr fontId="208" type="noConversion"/>
  <printOptions horizontalCentered="1"/>
  <pageMargins left="0.5" right="0.25" top="1" bottom="0.5" header="0.5" footer="0.5"/>
  <pageSetup scale="7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5"/>
  <sheetViews>
    <sheetView tabSelected="1" topLeftCell="A47" workbookViewId="0">
      <selection activeCell="K54" sqref="K54"/>
    </sheetView>
  </sheetViews>
  <sheetFormatPr defaultColWidth="8.6640625" defaultRowHeight="12.75"/>
  <cols>
    <col min="1" max="1" width="4.21875" style="104" customWidth="1"/>
    <col min="2" max="2" width="47.88671875" style="104" customWidth="1"/>
    <col min="3" max="3" width="39.109375" style="104" customWidth="1"/>
    <col min="4" max="4" width="12.88671875" style="104" customWidth="1"/>
    <col min="5" max="5" width="4.109375" style="104" customWidth="1"/>
    <col min="6" max="6" width="3.21875" style="104" customWidth="1"/>
    <col min="7" max="7" width="7.88671875" style="104" customWidth="1"/>
    <col min="8" max="8" width="3.6640625" style="104" bestFit="1" customWidth="1"/>
    <col min="9" max="9" width="12.44140625" style="104" customWidth="1"/>
    <col min="10" max="10" width="1.44140625" style="104" customWidth="1"/>
    <col min="11" max="11" width="6.6640625" style="104" customWidth="1"/>
    <col min="12" max="12" width="10.109375" style="104" bestFit="1" customWidth="1"/>
    <col min="13" max="13" width="10.6640625" style="911" customWidth="1"/>
    <col min="14" max="14" width="10.6640625" style="104" customWidth="1"/>
    <col min="15" max="16" width="8.6640625" style="104"/>
    <col min="17" max="17" width="10.21875" style="104" customWidth="1"/>
    <col min="18" max="18" width="8.6640625" style="104"/>
    <col min="19" max="19" width="10.21875" style="104" customWidth="1"/>
    <col min="20" max="16384" width="8.6640625" style="104"/>
  </cols>
  <sheetData>
    <row r="1" spans="1:11">
      <c r="B1" s="73"/>
      <c r="C1" s="73"/>
      <c r="D1" s="105"/>
      <c r="E1" s="73"/>
      <c r="F1" s="73"/>
      <c r="G1" s="73"/>
      <c r="H1" s="73"/>
      <c r="I1" s="970" t="s">
        <v>57</v>
      </c>
      <c r="J1" s="970"/>
      <c r="K1" s="970"/>
    </row>
    <row r="2" spans="1:11">
      <c r="B2" s="73"/>
      <c r="C2" s="73"/>
      <c r="D2" s="105"/>
      <c r="E2" s="73"/>
      <c r="F2" s="73"/>
      <c r="G2" s="73"/>
      <c r="H2" s="73"/>
      <c r="I2" s="73"/>
      <c r="J2" s="969" t="s">
        <v>77</v>
      </c>
      <c r="K2" s="969"/>
    </row>
    <row r="3" spans="1:11">
      <c r="B3" s="73"/>
      <c r="C3" s="73"/>
      <c r="D3" s="105"/>
      <c r="E3" s="73"/>
      <c r="F3" s="73"/>
      <c r="G3" s="73"/>
      <c r="H3" s="73"/>
      <c r="I3" s="73"/>
      <c r="J3" s="73"/>
      <c r="K3" s="106"/>
    </row>
    <row r="4" spans="1:11">
      <c r="B4" s="105" t="s">
        <v>78</v>
      </c>
      <c r="C4" s="79" t="s">
        <v>79</v>
      </c>
      <c r="E4" s="73"/>
      <c r="F4" s="73"/>
      <c r="G4" s="73"/>
      <c r="H4" s="73"/>
      <c r="I4" s="73"/>
      <c r="J4" s="73"/>
      <c r="K4" s="107" t="s">
        <v>968</v>
      </c>
    </row>
    <row r="5" spans="1:11">
      <c r="B5" s="73"/>
      <c r="C5" s="109" t="s">
        <v>81</v>
      </c>
      <c r="E5" s="108"/>
      <c r="F5" s="108"/>
      <c r="G5" s="108"/>
      <c r="H5" s="73"/>
      <c r="I5" s="73"/>
      <c r="J5" s="73"/>
      <c r="K5" s="73"/>
    </row>
    <row r="6" spans="1:11">
      <c r="B6" s="73"/>
      <c r="C6" s="108"/>
      <c r="D6" s="108"/>
      <c r="E6" s="108"/>
      <c r="F6" s="108"/>
      <c r="G6" s="108"/>
      <c r="H6" s="73"/>
      <c r="I6" s="73"/>
      <c r="J6" s="73"/>
      <c r="K6" s="73"/>
    </row>
    <row r="7" spans="1:11">
      <c r="B7" s="73"/>
      <c r="C7" s="110" t="s">
        <v>0</v>
      </c>
      <c r="E7" s="108"/>
      <c r="F7" s="108"/>
      <c r="G7" s="108"/>
      <c r="H7" s="108"/>
      <c r="I7" s="108"/>
      <c r="J7" s="108"/>
      <c r="K7" s="108"/>
    </row>
    <row r="8" spans="1:11">
      <c r="A8" s="79" t="s">
        <v>82</v>
      </c>
      <c r="B8" s="73"/>
      <c r="C8" s="73"/>
      <c r="D8" s="111"/>
      <c r="E8" s="73"/>
      <c r="F8" s="73"/>
      <c r="G8" s="73"/>
      <c r="H8" s="73"/>
      <c r="I8" s="79" t="s">
        <v>83</v>
      </c>
      <c r="J8" s="73"/>
      <c r="K8" s="73"/>
    </row>
    <row r="9" spans="1:11" ht="13.5" thickBot="1">
      <c r="A9" s="112" t="s">
        <v>84</v>
      </c>
      <c r="B9" s="73"/>
      <c r="C9" s="73"/>
      <c r="D9" s="73"/>
      <c r="E9" s="73"/>
      <c r="F9" s="73"/>
      <c r="G9" s="73"/>
      <c r="H9" s="73"/>
      <c r="I9" s="112" t="s">
        <v>85</v>
      </c>
      <c r="J9" s="73"/>
      <c r="K9" s="73"/>
    </row>
    <row r="10" spans="1:11">
      <c r="A10" s="79">
        <v>1</v>
      </c>
      <c r="B10" s="73" t="s">
        <v>86</v>
      </c>
      <c r="C10" s="73"/>
      <c r="D10" s="108"/>
      <c r="E10" s="73"/>
      <c r="F10" s="73"/>
      <c r="G10" s="73"/>
      <c r="H10" s="73"/>
      <c r="I10" s="113">
        <f>'Proj Att-H'!I154</f>
        <v>35848630.026999183</v>
      </c>
      <c r="J10" s="73"/>
      <c r="K10" s="73"/>
    </row>
    <row r="11" spans="1:11">
      <c r="A11" s="79"/>
      <c r="B11" s="73"/>
      <c r="C11" s="73"/>
      <c r="D11" s="73"/>
      <c r="E11" s="73"/>
      <c r="F11" s="73"/>
      <c r="G11" s="73"/>
      <c r="H11" s="73"/>
      <c r="I11" s="108"/>
      <c r="J11" s="73"/>
      <c r="K11" s="73"/>
    </row>
    <row r="12" spans="1:11" ht="13.5" thickBot="1">
      <c r="A12" s="79" t="s">
        <v>87</v>
      </c>
      <c r="B12" s="73" t="s">
        <v>88</v>
      </c>
      <c r="C12" s="108"/>
      <c r="D12" s="112" t="s">
        <v>90</v>
      </c>
      <c r="E12" s="108"/>
      <c r="F12" s="114" t="s">
        <v>91</v>
      </c>
      <c r="G12" s="114"/>
      <c r="H12" s="73"/>
      <c r="I12" s="108"/>
      <c r="J12" s="73"/>
      <c r="K12" s="73"/>
    </row>
    <row r="13" spans="1:11">
      <c r="A13" s="79">
        <v>2</v>
      </c>
      <c r="B13" s="73" t="s">
        <v>92</v>
      </c>
      <c r="C13" s="108" t="s">
        <v>969</v>
      </c>
      <c r="D13" s="174">
        <f>'Act Att-H'!D13</f>
        <v>0</v>
      </c>
      <c r="E13" s="108"/>
      <c r="F13" s="108"/>
      <c r="G13" s="115">
        <v>1</v>
      </c>
      <c r="H13" s="108"/>
      <c r="I13" s="65">
        <f>+G13*D13</f>
        <v>0</v>
      </c>
      <c r="J13" s="73"/>
      <c r="K13" s="73"/>
    </row>
    <row r="14" spans="1:11">
      <c r="A14" s="79">
        <v>3</v>
      </c>
      <c r="B14" s="73" t="s">
        <v>95</v>
      </c>
      <c r="C14" s="108" t="s">
        <v>970</v>
      </c>
      <c r="D14" s="174">
        <f>'Act Att-H'!D14</f>
        <v>1046600.3999999999</v>
      </c>
      <c r="E14" s="108"/>
      <c r="F14" s="116"/>
      <c r="G14" s="115">
        <v>1</v>
      </c>
      <c r="H14" s="108"/>
      <c r="I14" s="65">
        <f>+G14*D14</f>
        <v>1046600.3999999999</v>
      </c>
      <c r="J14" s="73"/>
      <c r="K14" s="73"/>
    </row>
    <row r="15" spans="1:11">
      <c r="A15" s="79">
        <v>4</v>
      </c>
      <c r="B15" s="2" t="s">
        <v>97</v>
      </c>
      <c r="C15" s="2"/>
      <c r="D15" s="177"/>
      <c r="E15" s="108"/>
      <c r="F15" s="116"/>
      <c r="G15" s="178"/>
      <c r="H15" s="108"/>
      <c r="I15" s="65"/>
      <c r="J15" s="73"/>
      <c r="K15" s="73"/>
    </row>
    <row r="16" spans="1:11" ht="13.5" thickBot="1">
      <c r="A16" s="79">
        <v>5</v>
      </c>
      <c r="B16" s="2" t="s">
        <v>97</v>
      </c>
      <c r="C16" s="2"/>
      <c r="D16" s="177"/>
      <c r="E16" s="108"/>
      <c r="F16" s="116"/>
      <c r="G16" s="178"/>
      <c r="H16" s="108"/>
      <c r="I16" s="66"/>
      <c r="J16" s="73"/>
      <c r="K16" s="73"/>
    </row>
    <row r="17" spans="1:11">
      <c r="A17" s="79">
        <v>6</v>
      </c>
      <c r="B17" s="73" t="s">
        <v>98</v>
      </c>
      <c r="C17" s="73"/>
      <c r="D17" s="118" t="s">
        <v>87</v>
      </c>
      <c r="E17" s="108"/>
      <c r="F17" s="108"/>
      <c r="G17" s="119"/>
      <c r="H17" s="108"/>
      <c r="I17" s="65">
        <f>SUM(I13:I16)</f>
        <v>1046600.3999999999</v>
      </c>
      <c r="J17" s="73"/>
      <c r="K17" s="73"/>
    </row>
    <row r="18" spans="1:11">
      <c r="A18" s="79"/>
      <c r="B18" s="73"/>
      <c r="C18" s="73"/>
      <c r="I18" s="65"/>
      <c r="J18" s="73"/>
      <c r="K18" s="73"/>
    </row>
    <row r="19" spans="1:11">
      <c r="A19" s="79" t="s">
        <v>971</v>
      </c>
      <c r="B19" s="73" t="s">
        <v>972</v>
      </c>
      <c r="C19" s="73" t="s">
        <v>973</v>
      </c>
      <c r="I19" s="856">
        <f>'TU-TrueUp'!H58</f>
        <v>0</v>
      </c>
      <c r="J19" s="73"/>
      <c r="K19" s="73"/>
    </row>
    <row r="20" spans="1:11">
      <c r="A20" s="79"/>
      <c r="B20" s="73"/>
      <c r="C20" s="73"/>
      <c r="I20" s="108"/>
      <c r="J20" s="73"/>
      <c r="K20" s="73"/>
    </row>
    <row r="21" spans="1:11" ht="13.5" thickBot="1">
      <c r="A21" s="79">
        <v>7</v>
      </c>
      <c r="B21" s="73" t="s">
        <v>99</v>
      </c>
      <c r="C21" s="73" t="s">
        <v>974</v>
      </c>
      <c r="D21" s="118"/>
      <c r="E21" s="108"/>
      <c r="F21" s="108"/>
      <c r="G21" s="108"/>
      <c r="H21" s="108"/>
      <c r="I21" s="120">
        <f>I10-I17+I19</f>
        <v>34802029.626999184</v>
      </c>
      <c r="J21" s="73"/>
      <c r="K21" s="73"/>
    </row>
    <row r="22" spans="1:11" ht="13.5" thickTop="1">
      <c r="A22" s="79"/>
      <c r="B22" s="73"/>
      <c r="C22" s="73"/>
      <c r="D22" s="118"/>
      <c r="E22" s="108"/>
      <c r="F22" s="108"/>
      <c r="G22" s="108"/>
      <c r="H22" s="108"/>
      <c r="I22" s="424"/>
      <c r="J22" s="73"/>
      <c r="K22" s="73"/>
    </row>
    <row r="23" spans="1:11">
      <c r="A23" s="79" t="s">
        <v>975</v>
      </c>
      <c r="B23" s="73" t="s">
        <v>976</v>
      </c>
      <c r="C23" s="73" t="s">
        <v>977</v>
      </c>
      <c r="D23" s="118"/>
      <c r="E23" s="108"/>
      <c r="F23" s="108"/>
      <c r="G23" s="108"/>
      <c r="H23" s="108"/>
      <c r="I23" s="121">
        <f>I21-I19</f>
        <v>34802029.626999184</v>
      </c>
      <c r="J23" s="73"/>
      <c r="K23" s="73"/>
    </row>
    <row r="24" spans="1:11">
      <c r="A24" s="79"/>
      <c r="C24" s="73"/>
      <c r="D24" s="118"/>
      <c r="E24" s="108"/>
      <c r="F24" s="108"/>
      <c r="G24" s="108"/>
      <c r="H24" s="108"/>
      <c r="J24" s="73"/>
      <c r="K24" s="73"/>
    </row>
    <row r="25" spans="1:11">
      <c r="A25" s="79"/>
      <c r="B25" s="73" t="s">
        <v>101</v>
      </c>
      <c r="C25" s="73"/>
      <c r="D25" s="108"/>
      <c r="E25" s="73"/>
      <c r="F25" s="73"/>
      <c r="G25" s="73"/>
      <c r="H25" s="73"/>
      <c r="I25" s="108"/>
      <c r="J25" s="73"/>
      <c r="K25" s="73"/>
    </row>
    <row r="26" spans="1:11">
      <c r="A26" s="79">
        <v>8</v>
      </c>
      <c r="B26" s="73" t="s">
        <v>102</v>
      </c>
      <c r="C26" s="104" t="s">
        <v>978</v>
      </c>
      <c r="D26" s="108"/>
      <c r="E26" s="73"/>
      <c r="F26" s="73"/>
      <c r="G26" s="73"/>
      <c r="H26" s="73"/>
      <c r="I26" s="174">
        <f>'P3-Divisor'!G24</f>
        <v>396765.22168704454</v>
      </c>
      <c r="J26" s="73"/>
      <c r="K26" s="73"/>
    </row>
    <row r="27" spans="1:11">
      <c r="A27" s="79">
        <v>9</v>
      </c>
      <c r="B27" s="73"/>
      <c r="C27" s="108"/>
      <c r="D27" s="108"/>
      <c r="E27" s="108"/>
      <c r="F27" s="108"/>
      <c r="G27" s="108"/>
      <c r="H27" s="108"/>
      <c r="I27" s="108"/>
      <c r="J27" s="73"/>
      <c r="K27" s="73"/>
    </row>
    <row r="28" spans="1:11">
      <c r="A28" s="79">
        <v>10</v>
      </c>
      <c r="B28" s="108" t="s">
        <v>104</v>
      </c>
      <c r="C28" s="108"/>
      <c r="D28" s="108"/>
      <c r="E28" s="108"/>
      <c r="F28" s="108"/>
      <c r="G28" s="108"/>
      <c r="H28" s="108"/>
      <c r="I28" s="108"/>
      <c r="J28" s="108"/>
      <c r="K28" s="73"/>
    </row>
    <row r="29" spans="1:11">
      <c r="A29" s="79">
        <v>11</v>
      </c>
      <c r="B29" s="73" t="s">
        <v>105</v>
      </c>
      <c r="C29" s="73"/>
      <c r="D29" s="576">
        <f>ROUND(I21/I26,2)</f>
        <v>87.71</v>
      </c>
      <c r="E29" s="73" t="s">
        <v>106</v>
      </c>
      <c r="F29" s="108"/>
      <c r="G29" s="108"/>
      <c r="H29" s="108"/>
      <c r="I29" s="108"/>
      <c r="J29" s="108"/>
      <c r="K29" s="73"/>
    </row>
    <row r="30" spans="1:11">
      <c r="A30" s="79">
        <v>12</v>
      </c>
      <c r="B30" s="73" t="s">
        <v>107</v>
      </c>
      <c r="C30" s="73" t="s">
        <v>108</v>
      </c>
      <c r="D30" s="576">
        <f>ROUND(D29/12,2)</f>
        <v>7.31</v>
      </c>
      <c r="E30" s="73" t="s">
        <v>109</v>
      </c>
      <c r="F30" s="108"/>
      <c r="G30" s="108"/>
      <c r="H30" s="108"/>
      <c r="I30" s="108"/>
      <c r="J30" s="108"/>
      <c r="K30" s="73"/>
    </row>
    <row r="31" spans="1:11">
      <c r="A31" s="79">
        <v>13</v>
      </c>
      <c r="B31" s="73" t="s">
        <v>110</v>
      </c>
      <c r="C31" s="73" t="s">
        <v>111</v>
      </c>
      <c r="D31" s="576">
        <f>ROUND(D29/52,2)</f>
        <v>1.69</v>
      </c>
      <c r="E31" s="73" t="s">
        <v>112</v>
      </c>
      <c r="F31" s="108"/>
      <c r="G31" s="108"/>
      <c r="H31" s="108"/>
      <c r="I31" s="108"/>
      <c r="J31" s="108"/>
      <c r="K31" s="73"/>
    </row>
    <row r="32" spans="1:11">
      <c r="A32" s="79">
        <v>14</v>
      </c>
      <c r="B32" s="73" t="s">
        <v>113</v>
      </c>
      <c r="C32" s="73" t="s">
        <v>114</v>
      </c>
      <c r="D32" s="577">
        <f>+D31/6</f>
        <v>0.28166666666666668</v>
      </c>
      <c r="E32" s="73" t="s">
        <v>115</v>
      </c>
      <c r="F32" s="108"/>
      <c r="G32" s="108"/>
      <c r="H32" s="108"/>
      <c r="I32" s="108"/>
      <c r="J32" s="108"/>
      <c r="K32" s="73"/>
    </row>
    <row r="33" spans="1:11">
      <c r="A33" s="79">
        <v>15</v>
      </c>
      <c r="B33" s="73" t="s">
        <v>116</v>
      </c>
      <c r="C33" s="73" t="s">
        <v>117</v>
      </c>
      <c r="D33" s="577">
        <f>+D31/7</f>
        <v>0.24142857142857141</v>
      </c>
      <c r="E33" s="73" t="s">
        <v>115</v>
      </c>
      <c r="F33" s="108"/>
      <c r="G33" s="108"/>
      <c r="H33" s="108"/>
      <c r="I33" s="108"/>
      <c r="J33" s="108"/>
      <c r="K33" s="73"/>
    </row>
    <row r="34" spans="1:11">
      <c r="A34" s="79">
        <v>16</v>
      </c>
      <c r="B34" s="73" t="s">
        <v>118</v>
      </c>
      <c r="C34" s="73" t="s">
        <v>119</v>
      </c>
      <c r="D34" s="576">
        <f>+D32/16*1000</f>
        <v>17.604166666666668</v>
      </c>
      <c r="E34" s="73" t="s">
        <v>120</v>
      </c>
      <c r="F34" s="108"/>
      <c r="G34" s="108"/>
      <c r="H34" s="108"/>
      <c r="I34" s="108"/>
      <c r="J34" s="108"/>
      <c r="K34" s="73"/>
    </row>
    <row r="35" spans="1:11">
      <c r="A35" s="79">
        <v>17</v>
      </c>
      <c r="B35" s="73" t="s">
        <v>121</v>
      </c>
      <c r="C35" s="73" t="s">
        <v>122</v>
      </c>
      <c r="D35" s="576">
        <f>+D33/24*1000</f>
        <v>10.059523809523808</v>
      </c>
      <c r="E35" s="73" t="s">
        <v>120</v>
      </c>
      <c r="F35" s="108"/>
      <c r="G35" s="108"/>
      <c r="H35" s="108"/>
      <c r="I35" s="108"/>
      <c r="J35" s="108"/>
      <c r="K35" s="73"/>
    </row>
    <row r="36" spans="1:11">
      <c r="B36" s="73"/>
      <c r="C36" s="73"/>
      <c r="D36" s="105"/>
      <c r="E36" s="73"/>
      <c r="F36" s="73"/>
      <c r="G36" s="73"/>
      <c r="H36" s="73"/>
      <c r="I36" s="970" t="str">
        <f>I1</f>
        <v>Projected Attachment H</v>
      </c>
      <c r="J36" s="970"/>
      <c r="K36" s="970"/>
    </row>
    <row r="37" spans="1:11">
      <c r="B37" s="73"/>
      <c r="C37" s="73"/>
      <c r="D37" s="105"/>
      <c r="E37" s="73"/>
      <c r="F37" s="73"/>
      <c r="G37" s="73"/>
      <c r="H37" s="73"/>
      <c r="I37" s="73"/>
      <c r="J37" s="969" t="s">
        <v>123</v>
      </c>
      <c r="K37" s="969"/>
    </row>
    <row r="38" spans="1:11">
      <c r="B38" s="73"/>
      <c r="C38" s="73"/>
      <c r="D38" s="105"/>
      <c r="E38" s="73"/>
      <c r="F38" s="73"/>
      <c r="G38" s="73"/>
      <c r="H38" s="73"/>
      <c r="I38" s="73"/>
      <c r="J38" s="73"/>
      <c r="K38" s="106"/>
    </row>
    <row r="39" spans="1:11">
      <c r="B39" s="105" t="s">
        <v>78</v>
      </c>
      <c r="C39" s="79" t="s">
        <v>124</v>
      </c>
      <c r="E39" s="73"/>
      <c r="F39" s="73"/>
      <c r="G39" s="73"/>
      <c r="H39" s="73"/>
      <c r="I39" s="73"/>
      <c r="J39" s="73"/>
      <c r="K39" s="122" t="str">
        <f>K4</f>
        <v>Estimated - For the 12 months ended 12/31/2023</v>
      </c>
    </row>
    <row r="40" spans="1:11">
      <c r="B40" s="73"/>
      <c r="C40" s="109" t="s">
        <v>125</v>
      </c>
      <c r="E40" s="108"/>
      <c r="F40" s="108"/>
      <c r="G40" s="108"/>
      <c r="H40" s="73"/>
      <c r="I40" s="73"/>
      <c r="J40" s="73"/>
      <c r="K40" s="73"/>
    </row>
    <row r="41" spans="1:11">
      <c r="B41" s="73"/>
      <c r="C41" s="108"/>
      <c r="E41" s="108"/>
      <c r="F41" s="108"/>
      <c r="G41" s="108"/>
      <c r="H41" s="73"/>
      <c r="I41" s="73"/>
      <c r="J41" s="73"/>
      <c r="K41" s="73"/>
    </row>
    <row r="42" spans="1:11">
      <c r="A42" s="79"/>
      <c r="C42" s="123" t="str">
        <f>C7</f>
        <v>Black Hills Colorado Electric, LLC</v>
      </c>
      <c r="J42" s="108"/>
      <c r="K42" s="108"/>
    </row>
    <row r="43" spans="1:11">
      <c r="B43" s="73"/>
      <c r="C43" s="73"/>
      <c r="D43" s="73"/>
      <c r="E43" s="73"/>
      <c r="F43" s="73"/>
      <c r="G43" s="73"/>
      <c r="H43" s="73"/>
      <c r="J43" s="73"/>
      <c r="K43" s="73"/>
    </row>
    <row r="44" spans="1:11">
      <c r="B44" s="79" t="s">
        <v>126</v>
      </c>
      <c r="C44" s="79" t="s">
        <v>127</v>
      </c>
      <c r="D44" s="79" t="s">
        <v>128</v>
      </c>
      <c r="E44" s="108" t="s">
        <v>87</v>
      </c>
      <c r="F44" s="108"/>
      <c r="G44" s="124" t="s">
        <v>129</v>
      </c>
      <c r="H44" s="108"/>
      <c r="I44" s="125" t="s">
        <v>130</v>
      </c>
      <c r="J44" s="108"/>
      <c r="K44" s="79"/>
    </row>
    <row r="45" spans="1:11">
      <c r="B45" s="73"/>
      <c r="C45" s="126" t="s">
        <v>131</v>
      </c>
      <c r="D45" s="108"/>
      <c r="E45" s="108"/>
      <c r="F45" s="108"/>
      <c r="G45" s="79"/>
      <c r="H45" s="108"/>
      <c r="I45" s="127" t="s">
        <v>132</v>
      </c>
      <c r="J45" s="108"/>
      <c r="K45" s="79"/>
    </row>
    <row r="46" spans="1:11">
      <c r="A46" s="79" t="s">
        <v>82</v>
      </c>
      <c r="B46" s="73"/>
      <c r="C46" s="128" t="s">
        <v>133</v>
      </c>
      <c r="D46" s="127" t="s">
        <v>134</v>
      </c>
      <c r="E46" s="129"/>
      <c r="F46" s="127" t="s">
        <v>135</v>
      </c>
      <c r="H46" s="129"/>
      <c r="I46" s="79" t="s">
        <v>136</v>
      </c>
      <c r="J46" s="108"/>
      <c r="K46" s="79"/>
    </row>
    <row r="47" spans="1:11" ht="13.5" thickBot="1">
      <c r="A47" s="112" t="s">
        <v>84</v>
      </c>
      <c r="B47" s="130" t="s">
        <v>979</v>
      </c>
      <c r="C47" s="108"/>
      <c r="D47" s="108"/>
      <c r="E47" s="108"/>
      <c r="F47" s="108"/>
      <c r="G47" s="108"/>
      <c r="H47" s="108"/>
      <c r="I47" s="108"/>
      <c r="J47" s="108"/>
      <c r="K47" s="108"/>
    </row>
    <row r="48" spans="1:11">
      <c r="A48" s="79"/>
      <c r="B48" s="73" t="s">
        <v>980</v>
      </c>
      <c r="C48" s="108"/>
      <c r="D48" s="108"/>
      <c r="E48" s="108"/>
      <c r="F48" s="108"/>
      <c r="G48" s="108"/>
      <c r="H48" s="108"/>
      <c r="I48" s="108"/>
      <c r="J48" s="108"/>
      <c r="K48" s="108"/>
    </row>
    <row r="49" spans="1:11">
      <c r="A49" s="896">
        <v>1</v>
      </c>
      <c r="B49" s="897" t="s">
        <v>142</v>
      </c>
      <c r="C49" s="898" t="s">
        <v>981</v>
      </c>
      <c r="D49" s="287">
        <f>'P1-Trans Plant'!H44</f>
        <v>307270425.23215735</v>
      </c>
      <c r="E49" s="108"/>
      <c r="F49" s="108" t="s">
        <v>94</v>
      </c>
      <c r="G49" s="132">
        <f>$I$173</f>
        <v>0.9266113890410379</v>
      </c>
      <c r="H49" s="108"/>
      <c r="I49" s="903">
        <f>+G49*D49</f>
        <v>284720275.53559971</v>
      </c>
      <c r="J49" s="108"/>
      <c r="K49" s="108"/>
    </row>
    <row r="50" spans="1:11">
      <c r="A50" s="896">
        <v>2</v>
      </c>
      <c r="B50" s="897" t="s">
        <v>146</v>
      </c>
      <c r="C50" s="897" t="s">
        <v>982</v>
      </c>
      <c r="D50" s="287">
        <f>'A4-Rate Base'!F22</f>
        <v>39146482.160000004</v>
      </c>
      <c r="E50" s="108"/>
      <c r="F50" s="901" t="s">
        <v>148</v>
      </c>
      <c r="G50" s="902">
        <f>$I$190</f>
        <v>0.14403621580679662</v>
      </c>
      <c r="H50" s="108"/>
      <c r="I50" s="903">
        <f>+G50*D50</f>
        <v>5638511.1524746744</v>
      </c>
      <c r="J50" s="108"/>
      <c r="K50" s="108"/>
    </row>
    <row r="51" spans="1:11">
      <c r="A51" s="896" t="s">
        <v>218</v>
      </c>
      <c r="B51" s="897" t="s">
        <v>149</v>
      </c>
      <c r="C51" s="897" t="s">
        <v>983</v>
      </c>
      <c r="D51" s="900">
        <f>'A4-Rate Base'!G22</f>
        <v>22892222</v>
      </c>
      <c r="E51" s="108"/>
      <c r="F51" s="901" t="s">
        <v>151</v>
      </c>
      <c r="G51" s="902">
        <f>$K$194</f>
        <v>0.14094405950320033</v>
      </c>
      <c r="H51" s="108"/>
      <c r="I51" s="903">
        <f>+G51*D51</f>
        <v>3226522.6997284717</v>
      </c>
      <c r="J51" s="108"/>
      <c r="K51" s="108"/>
    </row>
    <row r="52" spans="1:11">
      <c r="A52" s="896">
        <v>3</v>
      </c>
      <c r="B52" s="897" t="s">
        <v>152</v>
      </c>
      <c r="C52" s="899" t="s">
        <v>984</v>
      </c>
      <c r="D52" s="583">
        <f>SUM(D49:D51)</f>
        <v>369309129.39215738</v>
      </c>
      <c r="E52" s="108"/>
      <c r="F52" s="108" t="s">
        <v>173</v>
      </c>
      <c r="G52" s="132">
        <f>$G$237</f>
        <v>0.25058740269574026</v>
      </c>
      <c r="H52" s="108"/>
      <c r="I52" s="904">
        <f>SUM(I49:I51)</f>
        <v>293585309.3878029</v>
      </c>
      <c r="J52" s="108"/>
      <c r="K52" s="134"/>
    </row>
    <row r="53" spans="1:11">
      <c r="B53" s="73"/>
      <c r="C53" s="108"/>
      <c r="D53" s="108"/>
      <c r="E53" s="108"/>
      <c r="F53" s="108"/>
      <c r="G53" s="132"/>
      <c r="H53" s="108"/>
      <c r="I53" s="61"/>
      <c r="J53" s="108"/>
      <c r="K53" s="134"/>
    </row>
    <row r="54" spans="1:11">
      <c r="B54" s="73" t="s">
        <v>985</v>
      </c>
      <c r="C54" s="108"/>
      <c r="D54" s="108"/>
      <c r="E54" s="108"/>
      <c r="F54" s="108"/>
      <c r="G54" s="132"/>
      <c r="H54" s="108"/>
      <c r="I54" s="108"/>
      <c r="J54" s="108"/>
      <c r="K54" s="108"/>
    </row>
    <row r="55" spans="1:11">
      <c r="A55" s="896">
        <v>4</v>
      </c>
      <c r="B55" s="905" t="str">
        <f>+B49</f>
        <v xml:space="preserve">  Transmission</v>
      </c>
      <c r="C55" s="898" t="s">
        <v>986</v>
      </c>
      <c r="D55" s="900">
        <f>'P1-Trans Plant'!J44</f>
        <v>52933911.828658231</v>
      </c>
      <c r="E55" s="901"/>
      <c r="F55" s="906" t="str">
        <f>+F49</f>
        <v>TP</v>
      </c>
      <c r="G55" s="902">
        <f>$I$173</f>
        <v>0.9266113890410379</v>
      </c>
      <c r="H55" s="901"/>
      <c r="I55" s="903">
        <f>+G55*D55</f>
        <v>49049165.566928826</v>
      </c>
      <c r="J55" s="108"/>
      <c r="K55" s="108"/>
    </row>
    <row r="56" spans="1:11">
      <c r="A56" s="896">
        <v>5</v>
      </c>
      <c r="B56" s="905" t="str">
        <f>+B50</f>
        <v xml:space="preserve">  General &amp; Intangible</v>
      </c>
      <c r="C56" s="897" t="s">
        <v>987</v>
      </c>
      <c r="D56" s="900">
        <f>'A4-Rate Base'!H45</f>
        <v>20577136.25820367</v>
      </c>
      <c r="E56" s="901"/>
      <c r="F56" s="906" t="str">
        <f>+F50</f>
        <v>W/S</v>
      </c>
      <c r="G56" s="902">
        <f>$I$190</f>
        <v>0.14403621580679662</v>
      </c>
      <c r="H56" s="901"/>
      <c r="I56" s="903">
        <f>+G56*D56</f>
        <v>2963852.8387724836</v>
      </c>
      <c r="J56" s="108"/>
      <c r="K56" s="108"/>
    </row>
    <row r="57" spans="1:11">
      <c r="A57" s="896" t="s">
        <v>226</v>
      </c>
      <c r="B57" s="897" t="s">
        <v>149</v>
      </c>
      <c r="C57" s="897" t="s">
        <v>988</v>
      </c>
      <c r="D57" s="900">
        <f>'A4-Rate Base'!I45</f>
        <v>3488956</v>
      </c>
      <c r="E57" s="901"/>
      <c r="F57" s="901" t="s">
        <v>151</v>
      </c>
      <c r="G57" s="902">
        <f>$K$194</f>
        <v>0.14094405950320033</v>
      </c>
      <c r="H57" s="901"/>
      <c r="I57" s="903">
        <f>+G57*D57</f>
        <v>491747.62206804781</v>
      </c>
      <c r="J57" s="108"/>
      <c r="K57" s="108"/>
    </row>
    <row r="58" spans="1:11">
      <c r="A58" s="896">
        <v>6</v>
      </c>
      <c r="B58" s="897" t="s">
        <v>161</v>
      </c>
      <c r="C58" s="899" t="s">
        <v>989</v>
      </c>
      <c r="D58" s="907">
        <f>SUM(D55:D57)</f>
        <v>77000004.086861908</v>
      </c>
      <c r="E58" s="901"/>
      <c r="F58" s="901"/>
      <c r="G58" s="902"/>
      <c r="H58" s="901"/>
      <c r="I58" s="904">
        <f>SUM(I55:I57)</f>
        <v>52504766.027769357</v>
      </c>
      <c r="J58" s="108"/>
      <c r="K58" s="108"/>
    </row>
    <row r="59" spans="1:11">
      <c r="A59" s="79"/>
      <c r="C59" s="108" t="s">
        <v>87</v>
      </c>
      <c r="D59" s="911"/>
      <c r="E59" s="901"/>
      <c r="F59" s="901"/>
      <c r="G59" s="902"/>
      <c r="H59" s="901"/>
      <c r="I59" s="911"/>
      <c r="J59" s="108"/>
      <c r="K59" s="134"/>
    </row>
    <row r="60" spans="1:11">
      <c r="A60" s="79"/>
      <c r="B60" s="73" t="s">
        <v>163</v>
      </c>
      <c r="C60" s="108"/>
      <c r="D60" s="901"/>
      <c r="E60" s="901"/>
      <c r="F60" s="901"/>
      <c r="G60" s="902"/>
      <c r="H60" s="901"/>
      <c r="I60" s="901"/>
      <c r="J60" s="108"/>
      <c r="K60" s="108"/>
    </row>
    <row r="61" spans="1:11">
      <c r="A61" s="896">
        <v>7</v>
      </c>
      <c r="B61" s="905" t="str">
        <f>+B55</f>
        <v xml:space="preserve">  Transmission</v>
      </c>
      <c r="C61" s="908" t="s">
        <v>990</v>
      </c>
      <c r="D61" s="909">
        <f>D49-D55</f>
        <v>254336513.40349913</v>
      </c>
      <c r="E61" s="901"/>
      <c r="F61" s="901"/>
      <c r="G61" s="902"/>
      <c r="H61" s="901"/>
      <c r="I61" s="903">
        <f>I49-I55</f>
        <v>235671109.96867087</v>
      </c>
      <c r="J61" s="108"/>
      <c r="K61" s="134"/>
    </row>
    <row r="62" spans="1:11">
      <c r="A62" s="896">
        <v>8</v>
      </c>
      <c r="B62" s="905" t="str">
        <f>+B56</f>
        <v xml:space="preserve">  General &amp; Intangible</v>
      </c>
      <c r="C62" s="908" t="s">
        <v>991</v>
      </c>
      <c r="D62" s="909">
        <f>D50-D56</f>
        <v>18569345.901796333</v>
      </c>
      <c r="E62" s="901"/>
      <c r="F62" s="901"/>
      <c r="G62" s="902"/>
      <c r="H62" s="901"/>
      <c r="I62" s="903">
        <f>I50-I56</f>
        <v>2674658.3137021908</v>
      </c>
      <c r="J62" s="108"/>
      <c r="K62" s="134"/>
    </row>
    <row r="63" spans="1:11">
      <c r="A63" s="896" t="s">
        <v>992</v>
      </c>
      <c r="B63" s="897" t="s">
        <v>149</v>
      </c>
      <c r="C63" s="897" t="s">
        <v>993</v>
      </c>
      <c r="D63" s="909">
        <f>D51-D57</f>
        <v>19403266</v>
      </c>
      <c r="E63" s="901"/>
      <c r="F63" s="901"/>
      <c r="G63" s="902"/>
      <c r="H63" s="901"/>
      <c r="I63" s="903">
        <f>I51-I57</f>
        <v>2734775.0776604237</v>
      </c>
      <c r="J63" s="108"/>
      <c r="K63" s="134"/>
    </row>
    <row r="64" spans="1:11">
      <c r="A64" s="896">
        <v>9</v>
      </c>
      <c r="B64" s="897" t="s">
        <v>164</v>
      </c>
      <c r="C64" s="899" t="s">
        <v>994</v>
      </c>
      <c r="D64" s="910">
        <f>SUM(D61:D63)</f>
        <v>292309125.30529547</v>
      </c>
      <c r="E64" s="901"/>
      <c r="F64" s="901" t="s">
        <v>166</v>
      </c>
      <c r="G64" s="902">
        <f>$G$245</f>
        <v>0.28844928123255037</v>
      </c>
      <c r="H64" s="901"/>
      <c r="I64" s="904">
        <f>SUM(I61:I63)</f>
        <v>241080543.36003348</v>
      </c>
      <c r="J64" s="108"/>
      <c r="K64" s="108"/>
    </row>
    <row r="65" spans="1:13" s="2" customFormat="1">
      <c r="A65" s="55"/>
      <c r="B65" s="56"/>
      <c r="C65" s="54"/>
      <c r="D65" s="57"/>
      <c r="E65" s="53"/>
      <c r="F65" s="53"/>
      <c r="G65" s="132"/>
      <c r="H65" s="53"/>
      <c r="I65" s="65"/>
      <c r="J65" s="54"/>
      <c r="K65" s="54"/>
      <c r="M65" s="884"/>
    </row>
    <row r="66" spans="1:13" s="2" customFormat="1">
      <c r="A66" s="55">
        <v>10</v>
      </c>
      <c r="B66" s="59" t="s">
        <v>168</v>
      </c>
      <c r="C66" s="60" t="s">
        <v>535</v>
      </c>
      <c r="D66" s="287">
        <f>'A4-Rate Base'!H23</f>
        <v>0</v>
      </c>
      <c r="E66" s="60"/>
      <c r="F66" s="75"/>
      <c r="G66" s="648"/>
      <c r="H66" s="60"/>
      <c r="I66" s="62">
        <f>+G66*D66</f>
        <v>0</v>
      </c>
      <c r="J66" s="54"/>
      <c r="K66" s="54"/>
      <c r="M66" s="884"/>
    </row>
    <row r="67" spans="1:13" s="2" customFormat="1">
      <c r="A67" s="55"/>
      <c r="B67" s="63"/>
      <c r="C67" s="54"/>
      <c r="D67" s="57"/>
      <c r="E67" s="54"/>
      <c r="F67" s="63"/>
      <c r="G67" s="132"/>
      <c r="H67" s="54"/>
      <c r="I67" s="57"/>
      <c r="J67" s="54"/>
      <c r="K67" s="64"/>
      <c r="M67" s="884"/>
    </row>
    <row r="68" spans="1:13">
      <c r="A68" s="79"/>
      <c r="B68" s="73" t="s">
        <v>995</v>
      </c>
      <c r="C68" s="108"/>
      <c r="D68" s="108"/>
      <c r="E68" s="108"/>
      <c r="F68" s="108"/>
      <c r="G68" s="132"/>
      <c r="H68" s="108"/>
      <c r="I68" s="108"/>
      <c r="J68" s="108"/>
      <c r="K68" s="108"/>
    </row>
    <row r="69" spans="1:13">
      <c r="A69" s="55">
        <v>11</v>
      </c>
      <c r="B69" s="135" t="s">
        <v>171</v>
      </c>
      <c r="C69" s="73" t="s">
        <v>996</v>
      </c>
      <c r="D69" s="287">
        <f>'P5-ADIT'!J72</f>
        <v>0</v>
      </c>
      <c r="E69" s="54"/>
      <c r="F69" s="54" t="s">
        <v>173</v>
      </c>
      <c r="G69" s="132">
        <f>$G$237</f>
        <v>0.25058740269574026</v>
      </c>
      <c r="H69" s="53"/>
      <c r="I69" s="57">
        <f>D69*G69</f>
        <v>0</v>
      </c>
      <c r="J69" s="108"/>
      <c r="K69" s="134"/>
    </row>
    <row r="70" spans="1:13">
      <c r="A70" s="55">
        <v>12</v>
      </c>
      <c r="B70" s="135" t="s">
        <v>997</v>
      </c>
      <c r="C70" s="73" t="s">
        <v>998</v>
      </c>
      <c r="D70" s="287">
        <f>'P5-ADIT'!J106</f>
        <v>-33392467.648351338</v>
      </c>
      <c r="E70" s="54"/>
      <c r="F70" s="54" t="s">
        <v>94</v>
      </c>
      <c r="G70" s="132">
        <f>$I$173</f>
        <v>0.9266113890410379</v>
      </c>
      <c r="H70" s="53"/>
      <c r="I70" s="57">
        <f>D70*G70</f>
        <v>-30941840.831146754</v>
      </c>
      <c r="J70" s="108"/>
      <c r="K70" s="134"/>
    </row>
    <row r="71" spans="1:13">
      <c r="A71" s="55">
        <v>13</v>
      </c>
      <c r="B71" s="135" t="s">
        <v>999</v>
      </c>
      <c r="C71" s="73" t="s">
        <v>1000</v>
      </c>
      <c r="D71" s="287">
        <f>'P5-ADIT'!J140</f>
        <v>-36839757</v>
      </c>
      <c r="E71" s="54"/>
      <c r="F71" s="54" t="s">
        <v>173</v>
      </c>
      <c r="G71" s="132">
        <f>$G$237</f>
        <v>0.25058740269574026</v>
      </c>
      <c r="H71" s="53"/>
      <c r="I71" s="57">
        <f>D71*G71</f>
        <v>-9231579.0225722156</v>
      </c>
      <c r="J71" s="108"/>
      <c r="K71" s="134"/>
    </row>
    <row r="72" spans="1:13">
      <c r="A72" s="55">
        <v>14</v>
      </c>
      <c r="B72" s="56" t="s">
        <v>178</v>
      </c>
      <c r="C72" s="73" t="s">
        <v>1001</v>
      </c>
      <c r="D72" s="287">
        <f>'P5-ADIT'!J28</f>
        <v>72673490.501780003</v>
      </c>
      <c r="E72" s="54"/>
      <c r="F72" s="54" t="s">
        <v>173</v>
      </c>
      <c r="G72" s="132">
        <f>$G$237</f>
        <v>0.25058740269574026</v>
      </c>
      <c r="H72" s="53"/>
      <c r="I72" s="65">
        <f>D72*G72</f>
        <v>18211061.2296746</v>
      </c>
      <c r="J72" s="108"/>
      <c r="K72" s="134"/>
    </row>
    <row r="73" spans="1:13">
      <c r="A73" s="55" t="s">
        <v>1002</v>
      </c>
      <c r="B73" s="56" t="s">
        <v>1003</v>
      </c>
      <c r="C73" s="73" t="s">
        <v>1004</v>
      </c>
      <c r="D73" s="287">
        <f>'P5-ADIT'!J35</f>
        <v>494344.53926414158</v>
      </c>
      <c r="E73" s="54"/>
      <c r="F73" s="54"/>
      <c r="G73" s="132"/>
      <c r="H73" s="53"/>
      <c r="I73" s="65">
        <f>D73</f>
        <v>494344.53926414158</v>
      </c>
      <c r="J73" s="108"/>
      <c r="K73" s="134"/>
    </row>
    <row r="74" spans="1:13">
      <c r="A74" s="55">
        <v>15</v>
      </c>
      <c r="B74" s="63" t="s">
        <v>1005</v>
      </c>
      <c r="C74" s="73"/>
      <c r="D74" s="584">
        <v>0</v>
      </c>
      <c r="E74" s="54"/>
      <c r="F74" s="54"/>
      <c r="G74" s="132"/>
      <c r="H74" s="53"/>
      <c r="I74" s="61">
        <f>D74*G74</f>
        <v>0</v>
      </c>
      <c r="J74" s="108"/>
      <c r="K74" s="134"/>
    </row>
    <row r="75" spans="1:13">
      <c r="A75" s="55">
        <v>16</v>
      </c>
      <c r="B75" s="59" t="s">
        <v>183</v>
      </c>
      <c r="C75" s="73" t="s">
        <v>1006</v>
      </c>
      <c r="D75" s="287">
        <f>'A4-Rate Base'!C88</f>
        <v>0</v>
      </c>
      <c r="E75" s="60"/>
      <c r="F75" s="75"/>
      <c r="G75" s="648"/>
      <c r="H75" s="60"/>
      <c r="I75" s="62">
        <f>D75*G75</f>
        <v>0</v>
      </c>
      <c r="J75" s="108"/>
      <c r="K75" s="134"/>
    </row>
    <row r="76" spans="1:13">
      <c r="A76" s="55">
        <v>17</v>
      </c>
      <c r="B76" s="59" t="s">
        <v>186</v>
      </c>
      <c r="C76" s="73" t="s">
        <v>1007</v>
      </c>
      <c r="D76" s="287">
        <f>'A4-Rate Base'!D88</f>
        <v>0</v>
      </c>
      <c r="E76" s="60"/>
      <c r="F76" s="75"/>
      <c r="G76" s="648"/>
      <c r="H76" s="60"/>
      <c r="I76" s="62">
        <f>D76*G76</f>
        <v>0</v>
      </c>
      <c r="J76" s="108"/>
      <c r="K76" s="134"/>
    </row>
    <row r="77" spans="1:13">
      <c r="A77" s="55">
        <v>18</v>
      </c>
      <c r="B77" s="59" t="s">
        <v>1008</v>
      </c>
      <c r="C77" s="73" t="s">
        <v>1009</v>
      </c>
      <c r="D77" s="287">
        <f>'Act Att-H'!D78</f>
        <v>0</v>
      </c>
      <c r="E77" s="60"/>
      <c r="F77" s="60"/>
      <c r="G77" s="132"/>
      <c r="H77" s="60"/>
      <c r="I77" s="62">
        <f t="shared" ref="I77" si="0">D77</f>
        <v>0</v>
      </c>
      <c r="J77" s="108"/>
      <c r="K77" s="134"/>
    </row>
    <row r="78" spans="1:13">
      <c r="A78" s="55">
        <v>19</v>
      </c>
      <c r="B78" s="135" t="s">
        <v>191</v>
      </c>
      <c r="C78" s="73" t="s">
        <v>1010</v>
      </c>
      <c r="D78" s="287">
        <f>'Act Att-H'!D79</f>
        <v>-492821.49</v>
      </c>
      <c r="E78" s="108"/>
      <c r="F78" s="54" t="s">
        <v>173</v>
      </c>
      <c r="G78" s="132">
        <f>$G$237</f>
        <v>0.25058740269574026</v>
      </c>
      <c r="H78" s="108"/>
      <c r="I78" s="62">
        <f t="shared" ref="I78" si="1">D78*G78</f>
        <v>-123494.85717174473</v>
      </c>
      <c r="J78" s="108"/>
      <c r="K78" s="134"/>
    </row>
    <row r="79" spans="1:13" ht="13.5" thickBot="1">
      <c r="A79" s="79">
        <v>20</v>
      </c>
      <c r="B79" s="135" t="s">
        <v>1011</v>
      </c>
      <c r="C79" s="73" t="s">
        <v>1012</v>
      </c>
      <c r="D79" s="287">
        <f>'P5-ADIT'!J175</f>
        <v>-9050724.698275581</v>
      </c>
      <c r="E79" s="108"/>
      <c r="F79" s="108"/>
      <c r="G79" s="108"/>
      <c r="H79" s="108"/>
      <c r="I79" s="66">
        <f>D79</f>
        <v>-9050724.698275581</v>
      </c>
      <c r="J79" s="108"/>
      <c r="K79" s="134"/>
    </row>
    <row r="80" spans="1:13">
      <c r="A80" s="79">
        <v>21</v>
      </c>
      <c r="B80" s="73" t="s">
        <v>195</v>
      </c>
      <c r="C80" s="179" t="s">
        <v>1013</v>
      </c>
      <c r="D80" s="583">
        <f>SUM(D69:D79)</f>
        <v>-6607935.7955827778</v>
      </c>
      <c r="E80" s="108"/>
      <c r="F80" s="108"/>
      <c r="G80" s="132"/>
      <c r="H80" s="108"/>
      <c r="I80" s="65">
        <f>SUM(I69:I79)</f>
        <v>-30642233.640227549</v>
      </c>
      <c r="J80" s="108"/>
      <c r="K80" s="108"/>
    </row>
    <row r="81" spans="1:11">
      <c r="A81" s="79"/>
      <c r="C81" s="108"/>
      <c r="E81" s="108"/>
      <c r="F81" s="108"/>
      <c r="G81" s="132"/>
      <c r="H81" s="108"/>
      <c r="J81" s="108"/>
      <c r="K81" s="134"/>
    </row>
    <row r="82" spans="1:11">
      <c r="A82" s="79">
        <v>22</v>
      </c>
      <c r="B82" s="73" t="s">
        <v>197</v>
      </c>
      <c r="C82" s="73" t="s">
        <v>1014</v>
      </c>
      <c r="D82" s="287">
        <f>'A4-Rate Base'!I22</f>
        <v>0</v>
      </c>
      <c r="E82" s="108"/>
      <c r="F82" s="116" t="str">
        <f>+F55</f>
        <v>TP</v>
      </c>
      <c r="G82" s="132">
        <f>$I$173</f>
        <v>0.9266113890410379</v>
      </c>
      <c r="H82" s="108"/>
      <c r="I82" s="65">
        <f>+G82*D82</f>
        <v>0</v>
      </c>
      <c r="J82" s="108"/>
      <c r="K82" s="108"/>
    </row>
    <row r="83" spans="1:11">
      <c r="A83" s="79"/>
      <c r="B83" s="73"/>
      <c r="C83" s="108"/>
      <c r="D83" s="108"/>
      <c r="E83" s="108"/>
      <c r="F83" s="108"/>
      <c r="G83" s="132"/>
      <c r="H83" s="108"/>
      <c r="I83" s="108"/>
      <c r="J83" s="108"/>
      <c r="K83" s="108"/>
    </row>
    <row r="84" spans="1:11">
      <c r="A84" s="79"/>
      <c r="B84" s="73" t="s">
        <v>199</v>
      </c>
      <c r="C84" s="54"/>
      <c r="D84" s="108"/>
      <c r="E84" s="108"/>
      <c r="F84" s="108"/>
      <c r="G84" s="132"/>
      <c r="H84" s="108"/>
      <c r="I84" s="108"/>
      <c r="J84" s="108"/>
      <c r="K84" s="108"/>
    </row>
    <row r="85" spans="1:11">
      <c r="A85" s="79">
        <v>23</v>
      </c>
      <c r="B85" s="73" t="s">
        <v>1015</v>
      </c>
      <c r="C85" s="63" t="s">
        <v>202</v>
      </c>
      <c r="D85" s="584">
        <f>D115/8</f>
        <v>4463830.7298222501</v>
      </c>
      <c r="E85" s="108"/>
      <c r="F85" s="108"/>
      <c r="G85" s="132"/>
      <c r="H85" s="108"/>
      <c r="I85" s="65">
        <f>I115/8</f>
        <v>972859.30599086056</v>
      </c>
      <c r="J85" s="73"/>
      <c r="K85" s="134"/>
    </row>
    <row r="86" spans="1:11">
      <c r="A86" s="79">
        <v>24</v>
      </c>
      <c r="B86" s="73" t="s">
        <v>203</v>
      </c>
      <c r="C86" s="71" t="s">
        <v>204</v>
      </c>
      <c r="D86" s="287">
        <f>'A4-Rate Base'!F126</f>
        <v>134762.61119928438</v>
      </c>
      <c r="E86" s="108"/>
      <c r="F86" s="108"/>
      <c r="G86" s="132"/>
      <c r="H86" s="108"/>
      <c r="I86" s="65">
        <f>D86</f>
        <v>134762.61119928438</v>
      </c>
      <c r="J86" s="108" t="s">
        <v>87</v>
      </c>
      <c r="K86" s="134"/>
    </row>
    <row r="87" spans="1:11" ht="13.5" thickBot="1">
      <c r="A87" s="79">
        <v>25</v>
      </c>
      <c r="B87" s="73" t="s">
        <v>206</v>
      </c>
      <c r="C87" s="53" t="s">
        <v>1016</v>
      </c>
      <c r="D87" s="287">
        <f>'A8-Prepmts'!H16</f>
        <v>180871.03304225235</v>
      </c>
      <c r="E87" s="108"/>
      <c r="F87" s="108"/>
      <c r="G87" s="132"/>
      <c r="H87" s="108"/>
      <c r="I87" s="66">
        <f>D87</f>
        <v>180871.03304225235</v>
      </c>
      <c r="J87" s="108"/>
      <c r="K87" s="134"/>
    </row>
    <row r="88" spans="1:11">
      <c r="A88" s="79">
        <v>26</v>
      </c>
      <c r="B88" s="73" t="s">
        <v>208</v>
      </c>
      <c r="C88" s="54"/>
      <c r="D88" s="583">
        <f>D85+D86+D87</f>
        <v>4779464.3740637861</v>
      </c>
      <c r="E88" s="73"/>
      <c r="F88" s="73"/>
      <c r="G88" s="73"/>
      <c r="H88" s="73"/>
      <c r="I88" s="65">
        <f>I85+I86+I87</f>
        <v>1288492.9502323973</v>
      </c>
      <c r="J88" s="73"/>
      <c r="K88" s="73"/>
    </row>
    <row r="89" spans="1:11" ht="13.5" thickBot="1">
      <c r="C89" s="108"/>
      <c r="E89" s="108"/>
      <c r="F89" s="108"/>
      <c r="G89" s="108"/>
      <c r="H89" s="108"/>
      <c r="I89" s="136"/>
      <c r="J89" s="108"/>
      <c r="K89" s="108"/>
    </row>
    <row r="90" spans="1:11" ht="13.5" thickBot="1">
      <c r="A90" s="79">
        <v>27</v>
      </c>
      <c r="B90" s="73" t="s">
        <v>1017</v>
      </c>
      <c r="C90" s="108"/>
      <c r="D90" s="72">
        <f>+D88+D82+D80+D64</f>
        <v>290480653.88377649</v>
      </c>
      <c r="E90" s="108"/>
      <c r="F90" s="108"/>
      <c r="G90" s="134"/>
      <c r="H90" s="108"/>
      <c r="I90" s="72">
        <f>+I88+I82+I80+I64</f>
        <v>211726802.67003834</v>
      </c>
      <c r="J90" s="108"/>
      <c r="K90" s="134"/>
    </row>
    <row r="91" spans="1:11" ht="13.5" thickTop="1">
      <c r="B91" s="73"/>
      <c r="C91" s="73"/>
      <c r="D91" s="105"/>
      <c r="E91" s="73"/>
      <c r="F91" s="73"/>
      <c r="G91" s="73"/>
      <c r="H91" s="73"/>
      <c r="I91" s="106"/>
      <c r="J91" s="106"/>
      <c r="K91" s="106"/>
    </row>
    <row r="92" spans="1:11">
      <c r="B92" s="73"/>
      <c r="C92" s="73"/>
      <c r="D92" s="105"/>
      <c r="E92" s="73"/>
      <c r="F92" s="73"/>
      <c r="G92" s="73"/>
      <c r="H92" s="73"/>
      <c r="I92" s="970" t="str">
        <f>I1</f>
        <v>Projected Attachment H</v>
      </c>
      <c r="J92" s="970"/>
      <c r="K92" s="970"/>
    </row>
    <row r="93" spans="1:11">
      <c r="B93" s="73"/>
      <c r="C93" s="73"/>
      <c r="D93" s="105"/>
      <c r="E93" s="73"/>
      <c r="F93" s="73"/>
      <c r="G93" s="73"/>
      <c r="H93" s="73"/>
      <c r="I93" s="73"/>
      <c r="J93" s="969" t="s">
        <v>212</v>
      </c>
      <c r="K93" s="969"/>
    </row>
    <row r="94" spans="1:11">
      <c r="B94" s="73"/>
      <c r="C94" s="73"/>
      <c r="D94" s="105"/>
      <c r="E94" s="73"/>
      <c r="F94" s="73"/>
      <c r="G94" s="73"/>
      <c r="H94" s="73"/>
      <c r="I94" s="73"/>
      <c r="J94" s="73"/>
      <c r="K94" s="106"/>
    </row>
    <row r="95" spans="1:11">
      <c r="B95" s="105" t="s">
        <v>78</v>
      </c>
      <c r="C95" s="79" t="s">
        <v>124</v>
      </c>
      <c r="E95" s="73"/>
      <c r="F95" s="73"/>
      <c r="G95" s="73"/>
      <c r="H95" s="73"/>
      <c r="I95" s="73"/>
      <c r="J95" s="73"/>
      <c r="K95" s="122" t="str">
        <f>K4</f>
        <v>Estimated - For the 12 months ended 12/31/2023</v>
      </c>
    </row>
    <row r="96" spans="1:11">
      <c r="B96" s="73"/>
      <c r="C96" s="109" t="s">
        <v>125</v>
      </c>
      <c r="E96" s="108"/>
      <c r="F96" s="108"/>
      <c r="G96" s="108"/>
      <c r="H96" s="73"/>
      <c r="I96" s="73"/>
      <c r="J96" s="73"/>
      <c r="K96" s="73"/>
    </row>
    <row r="97" spans="1:11">
      <c r="B97" s="73"/>
      <c r="C97" s="108"/>
      <c r="E97" s="108"/>
      <c r="F97" s="108"/>
      <c r="G97" s="108"/>
      <c r="H97" s="73"/>
      <c r="I97" s="73"/>
      <c r="J97" s="73"/>
      <c r="K97" s="73"/>
    </row>
    <row r="98" spans="1:11">
      <c r="A98" s="79"/>
      <c r="C98" s="123" t="str">
        <f>C7</f>
        <v>Black Hills Colorado Electric, LLC</v>
      </c>
      <c r="J98" s="108"/>
      <c r="K98" s="108"/>
    </row>
    <row r="99" spans="1:11">
      <c r="A99" s="79"/>
      <c r="D99" s="137"/>
      <c r="J99" s="108"/>
      <c r="K99" s="108"/>
    </row>
    <row r="100" spans="1:11">
      <c r="A100" s="79"/>
      <c r="B100" s="79" t="s">
        <v>126</v>
      </c>
      <c r="C100" s="79" t="s">
        <v>127</v>
      </c>
      <c r="D100" s="79" t="s">
        <v>128</v>
      </c>
      <c r="E100" s="108" t="s">
        <v>87</v>
      </c>
      <c r="F100" s="108"/>
      <c r="G100" s="124" t="s">
        <v>129</v>
      </c>
      <c r="H100" s="108"/>
      <c r="I100" s="125" t="s">
        <v>130</v>
      </c>
      <c r="J100" s="108"/>
      <c r="K100" s="108"/>
    </row>
    <row r="101" spans="1:11">
      <c r="A101" s="79" t="s">
        <v>82</v>
      </c>
      <c r="B101" s="73"/>
      <c r="C101" s="126" t="s">
        <v>131</v>
      </c>
      <c r="D101" s="108"/>
      <c r="E101" s="108"/>
      <c r="F101" s="108"/>
      <c r="G101" s="79"/>
      <c r="H101" s="108"/>
      <c r="I101" s="127" t="s">
        <v>132</v>
      </c>
      <c r="J101" s="108"/>
      <c r="K101" s="127"/>
    </row>
    <row r="102" spans="1:11" ht="13.5" thickBot="1">
      <c r="A102" s="112" t="s">
        <v>84</v>
      </c>
      <c r="B102" s="73"/>
      <c r="C102" s="128" t="s">
        <v>133</v>
      </c>
      <c r="D102" s="127" t="s">
        <v>134</v>
      </c>
      <c r="E102" s="129"/>
      <c r="F102" s="127" t="s">
        <v>135</v>
      </c>
      <c r="H102" s="129"/>
      <c r="I102" s="79" t="s">
        <v>136</v>
      </c>
      <c r="J102" s="108"/>
      <c r="K102" s="127"/>
    </row>
    <row r="103" spans="1:11">
      <c r="A103" s="79"/>
      <c r="B103" s="73" t="s">
        <v>213</v>
      </c>
      <c r="C103" s="108"/>
      <c r="D103" s="108"/>
      <c r="E103" s="108"/>
      <c r="F103" s="108"/>
      <c r="G103" s="108"/>
      <c r="H103" s="108"/>
      <c r="I103" s="108"/>
      <c r="J103" s="108"/>
      <c r="K103" s="108"/>
    </row>
    <row r="104" spans="1:11">
      <c r="A104" s="79">
        <v>1</v>
      </c>
      <c r="B104" s="73" t="s">
        <v>214</v>
      </c>
      <c r="C104" s="73" t="s">
        <v>1018</v>
      </c>
      <c r="D104" s="287">
        <f>'P2-Exp. &amp; Rev. Credits'!F16</f>
        <v>9495811.1704034377</v>
      </c>
      <c r="E104" s="108"/>
      <c r="F104" s="108" t="s">
        <v>205</v>
      </c>
      <c r="G104" s="132">
        <f>$I$182</f>
        <v>0.9266113890410379</v>
      </c>
      <c r="H104" s="108"/>
      <c r="I104" s="65">
        <f>+G104*D104</f>
        <v>8798926.7786789332</v>
      </c>
      <c r="J104" s="73"/>
      <c r="K104" s="108"/>
    </row>
    <row r="105" spans="1:11">
      <c r="A105" s="79">
        <v>2</v>
      </c>
      <c r="B105" s="73" t="s">
        <v>1019</v>
      </c>
      <c r="C105" s="73" t="s">
        <v>1020</v>
      </c>
      <c r="D105" s="287">
        <f>'P2-Exp. &amp; Rev. Credits'!F17</f>
        <v>1082900.4725978228</v>
      </c>
      <c r="E105" s="108"/>
      <c r="F105" s="108" t="s">
        <v>205</v>
      </c>
      <c r="G105" s="132">
        <f>$I$182</f>
        <v>0.9266113890410379</v>
      </c>
      <c r="H105" s="108"/>
      <c r="I105" s="57">
        <f t="shared" ref="I105:I114" si="2">+G105*D105</f>
        <v>1003427.9111070649</v>
      </c>
      <c r="J105" s="73"/>
      <c r="K105" s="108"/>
    </row>
    <row r="106" spans="1:11">
      <c r="A106" s="79" t="s">
        <v>218</v>
      </c>
      <c r="B106" s="73" t="s">
        <v>219</v>
      </c>
      <c r="C106" s="73" t="s">
        <v>1021</v>
      </c>
      <c r="D106" s="287">
        <f>'P2-Exp. &amp; Rev. Credits'!F18</f>
        <v>5150393.5932649132</v>
      </c>
      <c r="E106" s="108"/>
      <c r="F106" s="108" t="s">
        <v>205</v>
      </c>
      <c r="G106" s="132">
        <f>$I$182</f>
        <v>0.9266113890410379</v>
      </c>
      <c r="H106" s="108"/>
      <c r="I106" s="57">
        <f t="shared" si="2"/>
        <v>4772413.3615632635</v>
      </c>
      <c r="J106" s="73"/>
      <c r="K106" s="108"/>
    </row>
    <row r="107" spans="1:11">
      <c r="A107" s="79">
        <v>3</v>
      </c>
      <c r="B107" s="73" t="s">
        <v>221</v>
      </c>
      <c r="C107" s="73" t="s">
        <v>1022</v>
      </c>
      <c r="D107" s="287">
        <f>'P2-Exp. &amp; Rev. Credits'!F19</f>
        <v>34679395.288891554</v>
      </c>
      <c r="E107" s="108"/>
      <c r="F107" s="108" t="s">
        <v>148</v>
      </c>
      <c r="G107" s="132">
        <f>$I$190</f>
        <v>0.14403621580679662</v>
      </c>
      <c r="H107" s="108"/>
      <c r="I107" s="65">
        <f t="shared" si="2"/>
        <v>4995088.8638799898</v>
      </c>
      <c r="J107" s="108"/>
      <c r="K107" s="108" t="s">
        <v>87</v>
      </c>
    </row>
    <row r="108" spans="1:11">
      <c r="A108" s="79">
        <v>4</v>
      </c>
      <c r="B108" s="73" t="s">
        <v>223</v>
      </c>
      <c r="C108" s="73"/>
      <c r="D108" s="108"/>
      <c r="E108" s="108"/>
      <c r="F108" s="116"/>
      <c r="G108" s="132"/>
      <c r="H108" s="108"/>
      <c r="I108" s="57"/>
      <c r="J108" s="108"/>
      <c r="K108" s="108"/>
    </row>
    <row r="109" spans="1:11">
      <c r="A109" s="79">
        <v>5</v>
      </c>
      <c r="B109" s="73" t="s">
        <v>1023</v>
      </c>
      <c r="C109" s="73" t="s">
        <v>1024</v>
      </c>
      <c r="D109" s="287">
        <f>'P2-Exp. &amp; Rev. Credits'!F21</f>
        <v>2512086.3274350553</v>
      </c>
      <c r="E109" s="108"/>
      <c r="F109" s="116" t="s">
        <v>148</v>
      </c>
      <c r="G109" s="132">
        <f>$I$190</f>
        <v>0.14403621580679662</v>
      </c>
      <c r="H109" s="108"/>
      <c r="I109" s="57">
        <f t="shared" si="2"/>
        <v>361831.40838373877</v>
      </c>
      <c r="J109" s="108"/>
      <c r="K109" s="108"/>
    </row>
    <row r="110" spans="1:11">
      <c r="A110" s="79" t="s">
        <v>226</v>
      </c>
      <c r="B110" s="73" t="s">
        <v>227</v>
      </c>
      <c r="C110" s="73" t="s">
        <v>1025</v>
      </c>
      <c r="D110" s="287">
        <f>'P2-Exp. &amp; Rev. Credits'!F22</f>
        <v>110000</v>
      </c>
      <c r="E110" s="108"/>
      <c r="F110" s="138" t="str">
        <f>+F104</f>
        <v>TE</v>
      </c>
      <c r="G110" s="132">
        <f>$I$182</f>
        <v>0.9266113890410379</v>
      </c>
      <c r="H110" s="108"/>
      <c r="I110" s="57">
        <f>+G110*D110</f>
        <v>101927.25279451416</v>
      </c>
      <c r="J110" s="108"/>
      <c r="K110" s="108"/>
    </row>
    <row r="111" spans="1:11">
      <c r="A111" s="79" t="s">
        <v>229</v>
      </c>
      <c r="B111" s="73" t="s">
        <v>230</v>
      </c>
      <c r="C111" s="73" t="s">
        <v>1026</v>
      </c>
      <c r="D111" s="287">
        <f>'P2-Exp. &amp; Rev. Credits'!F23</f>
        <v>447787.88760000002</v>
      </c>
      <c r="E111" s="108"/>
      <c r="F111" s="116" t="s">
        <v>148</v>
      </c>
      <c r="G111" s="132">
        <f>$I$190</f>
        <v>0.14403621580679662</v>
      </c>
      <c r="H111" s="108"/>
      <c r="I111" s="62">
        <f t="shared" ref="I111:I112" si="3">+G111*D111</f>
        <v>64497.672814023193</v>
      </c>
      <c r="J111" s="108"/>
      <c r="K111" s="108"/>
    </row>
    <row r="112" spans="1:11">
      <c r="A112" s="79" t="s">
        <v>232</v>
      </c>
      <c r="B112" s="73" t="s">
        <v>233</v>
      </c>
      <c r="C112" s="73" t="s">
        <v>1027</v>
      </c>
      <c r="D112" s="287">
        <f>'P2-Exp. &amp; Rev. Credits'!F24</f>
        <v>276968.11501920357</v>
      </c>
      <c r="E112" s="108"/>
      <c r="F112" s="116" t="str">
        <f>+F111</f>
        <v>W/S</v>
      </c>
      <c r="G112" s="132">
        <f>$I$190</f>
        <v>0.14403621580679662</v>
      </c>
      <c r="H112" s="108"/>
      <c r="I112" s="62">
        <f t="shared" si="3"/>
        <v>39893.439186507676</v>
      </c>
      <c r="J112" s="108"/>
      <c r="K112" s="108"/>
    </row>
    <row r="113" spans="1:13">
      <c r="A113" s="79">
        <v>6</v>
      </c>
      <c r="B113" s="73" t="s">
        <v>149</v>
      </c>
      <c r="C113" s="73" t="s">
        <v>1028</v>
      </c>
      <c r="D113" s="287">
        <f>'P2-Exp. &amp; Rev. Credits'!F25</f>
        <v>0</v>
      </c>
      <c r="E113" s="108"/>
      <c r="F113" s="108" t="s">
        <v>151</v>
      </c>
      <c r="G113" s="132">
        <f>K194</f>
        <v>0.14094405950320033</v>
      </c>
      <c r="H113" s="108"/>
      <c r="I113" s="65">
        <f t="shared" si="2"/>
        <v>0</v>
      </c>
      <c r="J113" s="108"/>
      <c r="K113" s="108"/>
    </row>
    <row r="114" spans="1:13" ht="13.5" thickBot="1">
      <c r="A114" s="79">
        <v>7</v>
      </c>
      <c r="B114" s="73" t="s">
        <v>236</v>
      </c>
      <c r="C114" s="73" t="s">
        <v>1029</v>
      </c>
      <c r="D114" s="287">
        <f>'P2-Exp. &amp; Rev. Credits'!F26</f>
        <v>0</v>
      </c>
      <c r="E114" s="108"/>
      <c r="F114" s="108" t="s">
        <v>238</v>
      </c>
      <c r="G114" s="132">
        <v>1</v>
      </c>
      <c r="H114" s="108"/>
      <c r="I114" s="66">
        <f t="shared" si="2"/>
        <v>0</v>
      </c>
      <c r="J114" s="108"/>
      <c r="K114" s="108"/>
    </row>
    <row r="115" spans="1:13">
      <c r="A115" s="79">
        <v>8</v>
      </c>
      <c r="B115" s="73" t="s">
        <v>1030</v>
      </c>
      <c r="C115" s="73"/>
      <c r="D115" s="583">
        <f>'P2-Exp. &amp; Rev. Credits'!F27</f>
        <v>35710645.838578001</v>
      </c>
      <c r="E115" s="108"/>
      <c r="F115" s="108"/>
      <c r="G115" s="132"/>
      <c r="H115" s="108"/>
      <c r="I115" s="65">
        <f>+I104-I105-I106+I107-I109+I113+I114+I110+I111-I112</f>
        <v>7782874.4479268845</v>
      </c>
      <c r="J115" s="108"/>
      <c r="K115" s="108"/>
    </row>
    <row r="116" spans="1:13">
      <c r="A116" s="79"/>
      <c r="C116" s="108"/>
      <c r="E116" s="108"/>
      <c r="F116" s="108"/>
      <c r="G116" s="132"/>
      <c r="H116" s="108"/>
      <c r="J116" s="108"/>
      <c r="K116" s="108"/>
    </row>
    <row r="117" spans="1:13">
      <c r="A117" s="79"/>
      <c r="B117" s="73" t="s">
        <v>1031</v>
      </c>
      <c r="C117" s="108"/>
      <c r="D117" s="108"/>
      <c r="E117" s="108"/>
      <c r="F117" s="108"/>
      <c r="G117" s="132"/>
      <c r="H117" s="108"/>
      <c r="I117" s="108"/>
      <c r="J117" s="108"/>
      <c r="K117" s="108"/>
    </row>
    <row r="118" spans="1:13">
      <c r="A118" s="79">
        <v>9</v>
      </c>
      <c r="B118" s="135" t="str">
        <f>+B104</f>
        <v xml:space="preserve">  Transmission </v>
      </c>
      <c r="C118" s="53" t="s">
        <v>1032</v>
      </c>
      <c r="D118" s="287">
        <f>'P1-Trans Plant'!E43</f>
        <v>5232959.2837481815</v>
      </c>
      <c r="E118" s="108"/>
      <c r="F118" s="108" t="s">
        <v>94</v>
      </c>
      <c r="G118" s="132">
        <f>$I$173</f>
        <v>0.9266113890410379</v>
      </c>
      <c r="H118" s="108"/>
      <c r="I118" s="65">
        <f>+G118*D118</f>
        <v>4848919.6707090978</v>
      </c>
      <c r="J118" s="108"/>
      <c r="K118" s="134"/>
    </row>
    <row r="119" spans="1:13">
      <c r="A119" s="79">
        <v>10</v>
      </c>
      <c r="B119" s="73" t="s">
        <v>242</v>
      </c>
      <c r="C119" s="73" t="s">
        <v>1033</v>
      </c>
      <c r="D119" s="287">
        <f>'Act Att-H'!D120</f>
        <v>4232702</v>
      </c>
      <c r="E119" s="108"/>
      <c r="F119" s="108" t="s">
        <v>148</v>
      </c>
      <c r="G119" s="132">
        <f>+G107</f>
        <v>0.14403621580679662</v>
      </c>
      <c r="H119" s="108"/>
      <c r="I119" s="65">
        <f>+G119*D119</f>
        <v>609662.37871785974</v>
      </c>
      <c r="J119" s="108"/>
      <c r="K119" s="134"/>
    </row>
    <row r="120" spans="1:13">
      <c r="A120" s="79">
        <v>11</v>
      </c>
      <c r="B120" s="135" t="str">
        <f>+B113</f>
        <v xml:space="preserve">  Common</v>
      </c>
      <c r="C120" s="73" t="s">
        <v>1034</v>
      </c>
      <c r="D120" s="287">
        <f>'Act Att-H'!D121</f>
        <v>0</v>
      </c>
      <c r="E120" s="108"/>
      <c r="F120" s="108" t="s">
        <v>151</v>
      </c>
      <c r="G120" s="132">
        <f>+G113</f>
        <v>0.14094405950320033</v>
      </c>
      <c r="H120" s="108"/>
      <c r="I120" s="65">
        <f>+G120*D120</f>
        <v>0</v>
      </c>
      <c r="J120" s="108"/>
      <c r="K120" s="134"/>
    </row>
    <row r="121" spans="1:13" s="2" customFormat="1" ht="13.5" thickBot="1">
      <c r="A121" s="76" t="s">
        <v>245</v>
      </c>
      <c r="B121" s="59" t="s">
        <v>246</v>
      </c>
      <c r="C121" s="73" t="s">
        <v>1035</v>
      </c>
      <c r="D121" s="287">
        <f>'Act Att-H'!D122</f>
        <v>0</v>
      </c>
      <c r="E121" s="57"/>
      <c r="F121" s="75"/>
      <c r="G121" s="648"/>
      <c r="H121" s="57"/>
      <c r="I121" s="70">
        <f>+G121*D121</f>
        <v>0</v>
      </c>
      <c r="J121" s="54"/>
      <c r="K121" s="64"/>
      <c r="M121" s="884"/>
    </row>
    <row r="122" spans="1:13">
      <c r="A122" s="79">
        <v>12</v>
      </c>
      <c r="B122" s="73" t="s">
        <v>248</v>
      </c>
      <c r="C122" s="179" t="s">
        <v>249</v>
      </c>
      <c r="D122" s="585">
        <f>SUM(D118:D121)</f>
        <v>9465661.2837481815</v>
      </c>
      <c r="E122" s="108"/>
      <c r="F122" s="108"/>
      <c r="G122" s="132"/>
      <c r="H122" s="108"/>
      <c r="I122" s="65">
        <f>SUM(I118:I121)</f>
        <v>5458582.049426958</v>
      </c>
      <c r="J122" s="108"/>
      <c r="K122" s="108"/>
    </row>
    <row r="123" spans="1:13">
      <c r="A123" s="79"/>
      <c r="B123" s="73"/>
      <c r="C123" s="108"/>
      <c r="D123" s="108"/>
      <c r="E123" s="108"/>
      <c r="F123" s="108"/>
      <c r="G123" s="132"/>
      <c r="H123" s="108"/>
      <c r="I123" s="108"/>
      <c r="J123" s="108"/>
      <c r="K123" s="108"/>
    </row>
    <row r="124" spans="1:13">
      <c r="A124" s="79" t="s">
        <v>87</v>
      </c>
      <c r="B124" s="73" t="s">
        <v>1036</v>
      </c>
      <c r="D124" s="108"/>
      <c r="E124" s="108"/>
      <c r="F124" s="108"/>
      <c r="G124" s="132"/>
      <c r="H124" s="108"/>
      <c r="I124" s="108"/>
      <c r="J124" s="108"/>
      <c r="K124" s="108"/>
    </row>
    <row r="125" spans="1:13">
      <c r="A125" s="79"/>
      <c r="B125" s="73" t="s">
        <v>251</v>
      </c>
      <c r="C125" s="73"/>
      <c r="E125" s="108"/>
      <c r="F125" s="108"/>
      <c r="G125" s="132"/>
      <c r="H125" s="108"/>
      <c r="J125" s="108"/>
      <c r="K125" s="134"/>
    </row>
    <row r="126" spans="1:13">
      <c r="A126" s="79">
        <v>13</v>
      </c>
      <c r="B126" s="73" t="s">
        <v>252</v>
      </c>
      <c r="C126" s="73" t="s">
        <v>1037</v>
      </c>
      <c r="D126" s="287">
        <f>'P2-Exp. &amp; Rev. Credits'!F32</f>
        <v>1909314.3575393269</v>
      </c>
      <c r="E126" s="108"/>
      <c r="F126" s="108" t="s">
        <v>148</v>
      </c>
      <c r="G126" s="132">
        <f>+G119</f>
        <v>0.14403621580679662</v>
      </c>
      <c r="H126" s="108"/>
      <c r="I126" s="65">
        <f>+G126*D126</f>
        <v>275010.41484554973</v>
      </c>
      <c r="J126" s="108"/>
      <c r="K126" s="134"/>
    </row>
    <row r="127" spans="1:13">
      <c r="A127" s="79">
        <v>14</v>
      </c>
      <c r="B127" s="73" t="s">
        <v>254</v>
      </c>
      <c r="C127" s="73" t="s">
        <v>1038</v>
      </c>
      <c r="D127" s="287">
        <f>'P2-Exp. &amp; Rev. Credits'!F33</f>
        <v>0</v>
      </c>
      <c r="E127" s="108"/>
      <c r="F127" s="116" t="str">
        <f>+F126</f>
        <v>W/S</v>
      </c>
      <c r="G127" s="132">
        <f>+G126</f>
        <v>0.14403621580679662</v>
      </c>
      <c r="H127" s="108"/>
      <c r="I127" s="65">
        <f>+G127*D127</f>
        <v>0</v>
      </c>
      <c r="J127" s="108"/>
      <c r="K127" s="134"/>
    </row>
    <row r="128" spans="1:13">
      <c r="A128" s="79">
        <v>15</v>
      </c>
      <c r="B128" s="73" t="s">
        <v>255</v>
      </c>
      <c r="C128" s="73" t="s">
        <v>87</v>
      </c>
      <c r="D128" s="108" t="s">
        <v>87</v>
      </c>
      <c r="E128" s="108"/>
      <c r="F128" s="108"/>
      <c r="G128" s="132"/>
      <c r="H128" s="108"/>
      <c r="J128" s="108"/>
      <c r="K128" s="134"/>
    </row>
    <row r="129" spans="1:11">
      <c r="A129" s="79">
        <v>16</v>
      </c>
      <c r="B129" s="73" t="s">
        <v>256</v>
      </c>
      <c r="C129" s="73" t="s">
        <v>1039</v>
      </c>
      <c r="D129" s="287">
        <f>'P2-Exp. &amp; Rev. Credits'!F35</f>
        <v>13012314.931494992</v>
      </c>
      <c r="E129" s="108"/>
      <c r="F129" s="108" t="s">
        <v>173</v>
      </c>
      <c r="G129" s="132">
        <f>$G$237</f>
        <v>0.25058740269574026</v>
      </c>
      <c r="H129" s="108"/>
      <c r="I129" s="65">
        <f>+G129*D129</f>
        <v>3260722.2017423296</v>
      </c>
      <c r="J129" s="108"/>
      <c r="K129" s="134"/>
    </row>
    <row r="130" spans="1:11">
      <c r="A130" s="79">
        <v>17</v>
      </c>
      <c r="B130" s="73" t="s">
        <v>257</v>
      </c>
      <c r="C130" s="73" t="s">
        <v>1040</v>
      </c>
      <c r="D130" s="287">
        <f>'P2-Exp. &amp; Rev. Credits'!F36</f>
        <v>0</v>
      </c>
      <c r="E130" s="108"/>
      <c r="F130" s="116" t="s">
        <v>141</v>
      </c>
      <c r="G130" s="132">
        <v>0</v>
      </c>
      <c r="H130" s="108"/>
      <c r="I130" s="65">
        <v>0</v>
      </c>
      <c r="J130" s="108"/>
      <c r="K130" s="134"/>
    </row>
    <row r="131" spans="1:11">
      <c r="A131" s="79">
        <v>18</v>
      </c>
      <c r="B131" s="73" t="s">
        <v>333</v>
      </c>
      <c r="C131" s="73" t="s">
        <v>1041</v>
      </c>
      <c r="D131" s="287">
        <f>'P2-Exp. &amp; Rev. Credits'!F37</f>
        <v>0</v>
      </c>
      <c r="E131" s="108"/>
      <c r="F131" s="673"/>
      <c r="G131" s="648"/>
      <c r="H131" s="108"/>
      <c r="I131" s="65">
        <f>+G131*D131</f>
        <v>0</v>
      </c>
      <c r="J131" s="108"/>
      <c r="K131" s="134"/>
    </row>
    <row r="132" spans="1:11" ht="13.5" thickBot="1">
      <c r="A132" s="79">
        <v>19</v>
      </c>
      <c r="B132" s="73" t="s">
        <v>259</v>
      </c>
      <c r="C132" s="73"/>
      <c r="D132" s="584"/>
      <c r="E132" s="108"/>
      <c r="F132" s="108"/>
      <c r="G132" s="132"/>
      <c r="H132" s="108"/>
      <c r="I132" s="65"/>
      <c r="J132" s="108"/>
      <c r="K132" s="134"/>
    </row>
    <row r="133" spans="1:11">
      <c r="A133" s="79">
        <v>20</v>
      </c>
      <c r="B133" s="73" t="s">
        <v>260</v>
      </c>
      <c r="C133" s="179" t="s">
        <v>261</v>
      </c>
      <c r="D133" s="583">
        <f>SUM(D126:D132)</f>
        <v>14921629.289034318</v>
      </c>
      <c r="E133" s="108"/>
      <c r="F133" s="108"/>
      <c r="G133" s="132"/>
      <c r="H133" s="108"/>
      <c r="I133" s="74">
        <f>SUM(I126:I132)</f>
        <v>3535732.6165878791</v>
      </c>
      <c r="J133" s="108"/>
      <c r="K133" s="108"/>
    </row>
    <row r="134" spans="1:11">
      <c r="A134" s="79"/>
      <c r="B134" s="73"/>
      <c r="C134" s="108"/>
      <c r="D134" s="108"/>
      <c r="E134" s="108"/>
      <c r="F134" s="108"/>
      <c r="G134" s="132"/>
      <c r="H134" s="108"/>
      <c r="I134" s="108"/>
      <c r="J134" s="108"/>
      <c r="K134" s="108"/>
    </row>
    <row r="135" spans="1:11">
      <c r="A135" s="79" t="s">
        <v>87</v>
      </c>
      <c r="B135" s="73" t="s">
        <v>262</v>
      </c>
      <c r="C135" s="108" t="s">
        <v>534</v>
      </c>
      <c r="D135" s="108"/>
      <c r="E135" s="108"/>
      <c r="G135" s="132"/>
      <c r="H135" s="108"/>
      <c r="J135" s="108"/>
    </row>
    <row r="136" spans="1:11">
      <c r="A136" s="79">
        <v>21</v>
      </c>
      <c r="B136" s="141" t="s">
        <v>264</v>
      </c>
      <c r="C136" s="108"/>
      <c r="D136" s="142">
        <f>IF(D254&gt;0,1-(((1-D255)*(1-D254))/(1-D255*D254*D256)),0)</f>
        <v>0.24594499999999997</v>
      </c>
      <c r="E136" s="108"/>
      <c r="G136" s="132"/>
      <c r="H136" s="108"/>
      <c r="J136" s="108"/>
    </row>
    <row r="137" spans="1:11">
      <c r="A137" s="79">
        <v>22</v>
      </c>
      <c r="B137" s="104" t="s">
        <v>265</v>
      </c>
      <c r="C137" s="108"/>
      <c r="D137" s="142">
        <f>IF(I214&gt;0,(D136/(1-D136))*(1-I211/I214),0)</f>
        <v>0.2383472206971837</v>
      </c>
      <c r="E137" s="108"/>
      <c r="G137" s="132"/>
      <c r="H137" s="108"/>
      <c r="J137" s="108"/>
    </row>
    <row r="138" spans="1:11">
      <c r="A138" s="79"/>
      <c r="B138" s="73" t="s">
        <v>266</v>
      </c>
      <c r="C138" s="108"/>
      <c r="D138" s="108"/>
      <c r="E138" s="108"/>
      <c r="G138" s="132"/>
      <c r="H138" s="108"/>
      <c r="J138" s="108"/>
    </row>
    <row r="139" spans="1:11">
      <c r="A139" s="79"/>
      <c r="B139" s="73" t="s">
        <v>1042</v>
      </c>
      <c r="C139" s="108"/>
      <c r="D139" s="108"/>
      <c r="E139" s="108"/>
      <c r="G139" s="132"/>
      <c r="H139" s="108"/>
      <c r="J139" s="108"/>
    </row>
    <row r="140" spans="1:11">
      <c r="A140" s="79">
        <v>23</v>
      </c>
      <c r="B140" s="141" t="s">
        <v>268</v>
      </c>
      <c r="C140" s="108"/>
      <c r="D140" s="586">
        <f>IF(D136&gt;0,1/(1-D136),0)</f>
        <v>1.3261632109063661</v>
      </c>
      <c r="E140" s="108"/>
      <c r="G140" s="132"/>
      <c r="H140" s="108"/>
      <c r="J140" s="108"/>
    </row>
    <row r="141" spans="1:11">
      <c r="A141" s="79">
        <v>24</v>
      </c>
      <c r="B141" s="73" t="s">
        <v>269</v>
      </c>
      <c r="C141" s="73" t="s">
        <v>1043</v>
      </c>
      <c r="D141" s="287">
        <f>'Act Att-H'!D142</f>
        <v>955399</v>
      </c>
      <c r="E141" s="108"/>
      <c r="G141" s="132"/>
      <c r="H141" s="108"/>
      <c r="J141" s="108"/>
    </row>
    <row r="142" spans="1:11">
      <c r="A142" s="79" t="s">
        <v>271</v>
      </c>
      <c r="B142" s="56" t="s">
        <v>1044</v>
      </c>
      <c r="C142" s="73" t="s">
        <v>1045</v>
      </c>
      <c r="D142" s="287">
        <f>'Act Att-H'!D143</f>
        <v>182044.87409192324</v>
      </c>
      <c r="E142" s="108"/>
      <c r="G142" s="132"/>
      <c r="H142" s="108"/>
      <c r="J142" s="108"/>
    </row>
    <row r="143" spans="1:11">
      <c r="A143" s="79" t="s">
        <v>274</v>
      </c>
      <c r="B143" s="56" t="s">
        <v>275</v>
      </c>
      <c r="C143" s="73" t="s">
        <v>1046</v>
      </c>
      <c r="D143" s="287">
        <f>'Act Att-H'!D144</f>
        <v>5280.6402119382847</v>
      </c>
      <c r="E143" s="108"/>
      <c r="G143" s="132"/>
      <c r="H143" s="108"/>
      <c r="J143" s="108"/>
    </row>
    <row r="144" spans="1:11">
      <c r="A144" s="79" t="s">
        <v>277</v>
      </c>
      <c r="B144" s="56" t="s">
        <v>278</v>
      </c>
      <c r="C144" s="73" t="s">
        <v>1047</v>
      </c>
      <c r="D144" s="287">
        <f>'Act Att-H'!D145</f>
        <v>1298.7470569251614</v>
      </c>
      <c r="E144" s="108"/>
      <c r="G144" s="132"/>
      <c r="H144" s="108"/>
      <c r="J144" s="108"/>
    </row>
    <row r="145" spans="1:11">
      <c r="A145" s="79">
        <v>25</v>
      </c>
      <c r="B145" s="141" t="s">
        <v>280</v>
      </c>
      <c r="C145" s="143" t="s">
        <v>281</v>
      </c>
      <c r="D145" s="584">
        <f>D137*D152</f>
        <v>5183214.6370271146</v>
      </c>
      <c r="E145" s="108"/>
      <c r="F145" s="108"/>
      <c r="G145" s="132"/>
      <c r="H145" s="108"/>
      <c r="I145" s="65">
        <f>D137*I152</f>
        <v>3777964.0329830106</v>
      </c>
      <c r="J145" s="108"/>
      <c r="K145" s="144" t="s">
        <v>87</v>
      </c>
    </row>
    <row r="146" spans="1:11">
      <c r="A146" s="79">
        <v>26</v>
      </c>
      <c r="B146" s="104" t="s">
        <v>282</v>
      </c>
      <c r="C146" s="143" t="s">
        <v>283</v>
      </c>
      <c r="D146" s="584">
        <f>D140*D141</f>
        <v>1267015.0055367313</v>
      </c>
      <c r="E146" s="108"/>
      <c r="F146" s="54" t="s">
        <v>173</v>
      </c>
      <c r="G146" s="132">
        <f>$G$237</f>
        <v>0.25058740269574026</v>
      </c>
      <c r="H146" s="108"/>
      <c r="I146" s="65">
        <f>G146*D146</f>
        <v>317497.99941397848</v>
      </c>
      <c r="J146" s="108"/>
      <c r="K146" s="144"/>
    </row>
    <row r="147" spans="1:11">
      <c r="A147" s="79" t="s">
        <v>284</v>
      </c>
      <c r="B147" s="135" t="s">
        <v>1048</v>
      </c>
      <c r="C147" s="77" t="s">
        <v>286</v>
      </c>
      <c r="D147" s="584">
        <f>D140*D142</f>
        <v>241421.21475479007</v>
      </c>
      <c r="E147" s="108"/>
      <c r="G147" s="132"/>
      <c r="H147" s="108"/>
      <c r="I147" s="65">
        <f>D147</f>
        <v>241421.21475479007</v>
      </c>
      <c r="J147" s="108"/>
      <c r="K147" s="144"/>
    </row>
    <row r="148" spans="1:11">
      <c r="A148" s="79" t="s">
        <v>287</v>
      </c>
      <c r="B148" s="63" t="s">
        <v>288</v>
      </c>
      <c r="C148" s="77" t="s">
        <v>289</v>
      </c>
      <c r="D148" s="584">
        <f>D140*D144</f>
        <v>1722.350567167065</v>
      </c>
      <c r="E148" s="108"/>
      <c r="G148" s="132"/>
      <c r="H148" s="108"/>
      <c r="I148" s="65">
        <f>D148</f>
        <v>1722.350567167065</v>
      </c>
      <c r="J148" s="108"/>
      <c r="K148" s="144"/>
    </row>
    <row r="149" spans="1:11">
      <c r="A149" s="79">
        <v>27</v>
      </c>
      <c r="B149" s="141" t="s">
        <v>290</v>
      </c>
      <c r="C149" s="63" t="s">
        <v>291</v>
      </c>
      <c r="D149" s="585">
        <f>D145+D148-D146-D147</f>
        <v>3676500.7673027599</v>
      </c>
      <c r="E149" s="108"/>
      <c r="F149" s="108" t="s">
        <v>87</v>
      </c>
      <c r="G149" s="132" t="s">
        <v>87</v>
      </c>
      <c r="H149" s="108"/>
      <c r="I149" s="585">
        <f>I145+I148-I146-I147</f>
        <v>3220767.1693814094</v>
      </c>
      <c r="J149" s="108"/>
      <c r="K149" s="108"/>
    </row>
    <row r="150" spans="1:11">
      <c r="A150" s="79" t="s">
        <v>87</v>
      </c>
      <c r="C150" s="145"/>
      <c r="D150" s="584"/>
      <c r="E150" s="108"/>
      <c r="F150" s="108"/>
      <c r="G150" s="132"/>
      <c r="H150" s="108"/>
      <c r="I150" s="108"/>
      <c r="J150" s="108"/>
      <c r="K150" s="108"/>
    </row>
    <row r="151" spans="1:11">
      <c r="B151" s="73" t="s">
        <v>292</v>
      </c>
      <c r="C151" s="134"/>
      <c r="G151" s="132"/>
      <c r="J151" s="108"/>
    </row>
    <row r="152" spans="1:11">
      <c r="A152" s="79">
        <v>28</v>
      </c>
      <c r="B152" s="141" t="s">
        <v>1049</v>
      </c>
      <c r="C152" s="698" t="s">
        <v>1050</v>
      </c>
      <c r="D152" s="65">
        <f>+$I214*D90+I217</f>
        <v>21746486.583169792</v>
      </c>
      <c r="E152" s="108"/>
      <c r="F152" s="108"/>
      <c r="G152" s="132"/>
      <c r="H152" s="108"/>
      <c r="I152" s="65">
        <f>+$I214*I90+I217</f>
        <v>15850673.743676051</v>
      </c>
      <c r="J152" s="108"/>
      <c r="K152" s="134"/>
    </row>
    <row r="153" spans="1:11">
      <c r="A153" s="79"/>
      <c r="B153" s="73"/>
      <c r="D153" s="108"/>
      <c r="E153" s="108"/>
      <c r="F153" s="108"/>
      <c r="G153" s="140"/>
      <c r="H153" s="108"/>
      <c r="I153" s="108"/>
      <c r="J153" s="108"/>
      <c r="K153" s="134"/>
    </row>
    <row r="154" spans="1:11" ht="13.5" thickBot="1">
      <c r="A154" s="79">
        <v>29</v>
      </c>
      <c r="B154" s="73" t="s">
        <v>295</v>
      </c>
      <c r="C154" s="108" t="s">
        <v>296</v>
      </c>
      <c r="D154" s="78">
        <f>+D115+D122+D133+D149+D152</f>
        <v>85520923.761833057</v>
      </c>
      <c r="E154" s="108"/>
      <c r="F154" s="108"/>
      <c r="G154" s="108"/>
      <c r="H154" s="108"/>
      <c r="I154" s="78">
        <f>+I115+I122+I133+I149+I152</f>
        <v>35848630.026999183</v>
      </c>
      <c r="J154" s="73"/>
      <c r="K154" s="73"/>
    </row>
    <row r="155" spans="1:11" ht="13.5" thickTop="1">
      <c r="A155" s="79"/>
      <c r="B155" s="73"/>
      <c r="C155" s="108"/>
      <c r="D155" s="116"/>
      <c r="E155" s="108"/>
      <c r="F155" s="108"/>
      <c r="G155" s="108"/>
      <c r="H155" s="108"/>
      <c r="I155" s="116"/>
      <c r="J155" s="73"/>
      <c r="K155" s="73"/>
    </row>
    <row r="156" spans="1:11">
      <c r="B156" s="73"/>
      <c r="C156" s="73"/>
      <c r="D156" s="105"/>
      <c r="E156" s="73"/>
      <c r="F156" s="969"/>
      <c r="G156" s="969"/>
      <c r="H156" s="969"/>
      <c r="I156" s="969"/>
      <c r="J156" s="969"/>
      <c r="K156" s="969"/>
    </row>
    <row r="157" spans="1:11">
      <c r="B157" s="73"/>
      <c r="C157" s="73"/>
      <c r="D157" s="105"/>
      <c r="E157" s="73"/>
      <c r="F157" s="73"/>
      <c r="G157" s="73"/>
      <c r="H157" s="73"/>
      <c r="I157" s="970" t="str">
        <f>I1</f>
        <v>Projected Attachment H</v>
      </c>
      <c r="J157" s="970"/>
      <c r="K157" s="970"/>
    </row>
    <row r="158" spans="1:11">
      <c r="B158" s="73"/>
      <c r="C158" s="73"/>
      <c r="D158" s="105"/>
      <c r="E158" s="73"/>
      <c r="F158" s="73"/>
      <c r="G158" s="73"/>
      <c r="H158" s="73"/>
      <c r="I158" s="73"/>
      <c r="J158" s="969" t="s">
        <v>297</v>
      </c>
      <c r="K158" s="969"/>
    </row>
    <row r="159" spans="1:11">
      <c r="B159" s="73"/>
      <c r="C159" s="73"/>
      <c r="D159" s="105"/>
      <c r="E159" s="73"/>
      <c r="F159" s="73"/>
      <c r="G159" s="73"/>
      <c r="H159" s="73"/>
      <c r="I159" s="73"/>
      <c r="J159" s="106"/>
      <c r="K159" s="106"/>
    </row>
    <row r="160" spans="1:11">
      <c r="B160" s="105" t="s">
        <v>78</v>
      </c>
      <c r="C160" s="79" t="s">
        <v>124</v>
      </c>
      <c r="E160" s="73"/>
      <c r="F160" s="73"/>
      <c r="G160" s="1023" t="str">
        <f>K4</f>
        <v>Estimated - For the 12 months ended 12/31/2023</v>
      </c>
      <c r="H160" s="1023"/>
      <c r="I160" s="1023"/>
      <c r="J160" s="1023"/>
      <c r="K160" s="1023"/>
    </row>
    <row r="161" spans="1:19">
      <c r="B161" s="73"/>
      <c r="C161" s="109" t="s">
        <v>125</v>
      </c>
      <c r="E161" s="108"/>
      <c r="F161" s="108"/>
      <c r="G161" s="108"/>
      <c r="H161" s="73"/>
      <c r="I161" s="73"/>
      <c r="J161" s="73"/>
      <c r="K161" s="73"/>
    </row>
    <row r="162" spans="1:19" ht="9" customHeight="1">
      <c r="A162" s="79"/>
      <c r="J162" s="108"/>
      <c r="K162" s="108"/>
    </row>
    <row r="163" spans="1:19">
      <c r="A163" s="79"/>
      <c r="C163" s="123" t="str">
        <f>C7</f>
        <v>Black Hills Colorado Electric, LLC</v>
      </c>
      <c r="J163" s="108"/>
      <c r="K163" s="108"/>
    </row>
    <row r="164" spans="1:19">
      <c r="A164" s="79"/>
      <c r="C164" s="137"/>
      <c r="J164" s="108"/>
      <c r="K164" s="108"/>
    </row>
    <row r="165" spans="1:19">
      <c r="A165" s="79"/>
      <c r="C165" s="127" t="s">
        <v>298</v>
      </c>
      <c r="E165" s="73"/>
      <c r="F165" s="73"/>
      <c r="G165" s="73"/>
      <c r="H165" s="73"/>
      <c r="I165" s="73"/>
      <c r="J165" s="108"/>
      <c r="K165" s="108"/>
    </row>
    <row r="166" spans="1:19">
      <c r="A166" s="79" t="s">
        <v>82</v>
      </c>
      <c r="B166" s="79" t="s">
        <v>126</v>
      </c>
      <c r="C166" s="79" t="s">
        <v>127</v>
      </c>
      <c r="D166" s="79" t="s">
        <v>128</v>
      </c>
      <c r="E166" s="108" t="s">
        <v>87</v>
      </c>
      <c r="F166" s="108"/>
      <c r="G166" s="124" t="s">
        <v>129</v>
      </c>
      <c r="H166" s="108"/>
      <c r="I166" s="125" t="s">
        <v>130</v>
      </c>
      <c r="J166" s="108"/>
      <c r="K166" s="108"/>
    </row>
    <row r="167" spans="1:19" ht="13.5" thickBot="1">
      <c r="A167" s="112" t="s">
        <v>84</v>
      </c>
      <c r="B167" s="73" t="s">
        <v>299</v>
      </c>
      <c r="C167" s="73"/>
      <c r="D167" s="73"/>
      <c r="E167" s="73"/>
      <c r="F167" s="73"/>
      <c r="G167" s="73"/>
      <c r="J167" s="108"/>
      <c r="K167" s="108"/>
    </row>
    <row r="168" spans="1:19">
      <c r="A168" s="79">
        <v>1</v>
      </c>
      <c r="B168" s="73" t="s">
        <v>300</v>
      </c>
      <c r="C168" s="73" t="s">
        <v>1051</v>
      </c>
      <c r="D168" s="108"/>
      <c r="E168" s="108"/>
      <c r="F168" s="108"/>
      <c r="G168" s="108"/>
      <c r="H168" s="108"/>
      <c r="I168" s="287">
        <f>'Act Att-H'!I169</f>
        <v>240320865.17461535</v>
      </c>
      <c r="J168" s="108"/>
      <c r="K168" s="108"/>
    </row>
    <row r="169" spans="1:19">
      <c r="A169" s="79">
        <v>2</v>
      </c>
      <c r="B169" s="73" t="s">
        <v>302</v>
      </c>
      <c r="C169" s="73" t="s">
        <v>1052</v>
      </c>
      <c r="I169" s="287">
        <f>'Act Att-H'!I170</f>
        <v>9393294.2996210083</v>
      </c>
      <c r="J169" s="108"/>
      <c r="K169" s="108"/>
    </row>
    <row r="170" spans="1:19">
      <c r="A170" s="79">
        <v>3</v>
      </c>
      <c r="B170" s="73" t="s">
        <v>1053</v>
      </c>
      <c r="C170" s="73" t="s">
        <v>1054</v>
      </c>
      <c r="D170" s="108"/>
      <c r="E170" s="108"/>
      <c r="F170" s="108"/>
      <c r="G170" s="109"/>
      <c r="H170" s="108"/>
      <c r="I170" s="287">
        <f>'Act Att-H'!I171</f>
        <v>8243520.1799999988</v>
      </c>
      <c r="J170" s="108"/>
      <c r="K170" s="108"/>
    </row>
    <row r="171" spans="1:19">
      <c r="A171" s="79">
        <v>4</v>
      </c>
      <c r="B171" s="181" t="s">
        <v>306</v>
      </c>
      <c r="C171" s="181" t="s">
        <v>307</v>
      </c>
      <c r="D171" s="108"/>
      <c r="E171" s="108"/>
      <c r="F171" s="108"/>
      <c r="G171" s="109"/>
      <c r="H171" s="108"/>
      <c r="I171" s="180">
        <f>I168-I169-I170</f>
        <v>222684050.69499433</v>
      </c>
      <c r="J171" s="108"/>
      <c r="K171" s="108"/>
    </row>
    <row r="172" spans="1:19" ht="9" customHeight="1">
      <c r="A172" s="79"/>
      <c r="C172" s="73"/>
      <c r="D172" s="108"/>
      <c r="E172" s="108"/>
      <c r="F172" s="108"/>
      <c r="G172" s="109"/>
      <c r="H172" s="108"/>
      <c r="J172" s="108"/>
      <c r="K172" s="108"/>
    </row>
    <row r="173" spans="1:19">
      <c r="A173" s="79">
        <v>5</v>
      </c>
      <c r="B173" s="73" t="s">
        <v>308</v>
      </c>
      <c r="C173" s="111" t="s">
        <v>309</v>
      </c>
      <c r="D173" s="111"/>
      <c r="E173" s="111"/>
      <c r="F173" s="111"/>
      <c r="G173" s="125"/>
      <c r="H173" s="108" t="s">
        <v>310</v>
      </c>
      <c r="I173" s="148">
        <f>IF(I168&gt;0,I171/I168,0)</f>
        <v>0.9266113890410379</v>
      </c>
      <c r="J173" s="108"/>
      <c r="K173" s="108"/>
      <c r="N173" s="149"/>
      <c r="O173" s="149"/>
      <c r="P173" s="149"/>
    </row>
    <row r="174" spans="1:19" ht="9" customHeight="1">
      <c r="A174" s="79"/>
      <c r="J174" s="108"/>
      <c r="K174" s="108"/>
      <c r="N174" s="73"/>
      <c r="P174" s="108"/>
      <c r="Q174" s="73"/>
    </row>
    <row r="175" spans="1:19">
      <c r="A175" s="79"/>
      <c r="B175" s="73" t="s">
        <v>311</v>
      </c>
      <c r="J175" s="108"/>
      <c r="K175" s="108"/>
      <c r="N175" s="976"/>
      <c r="O175" s="976"/>
      <c r="P175" s="976"/>
      <c r="Q175" s="976"/>
      <c r="R175" s="976"/>
      <c r="S175" s="976"/>
    </row>
    <row r="176" spans="1:19">
      <c r="A176" s="79">
        <v>6</v>
      </c>
      <c r="B176" s="104" t="s">
        <v>312</v>
      </c>
      <c r="C176" s="104" t="s">
        <v>313</v>
      </c>
      <c r="D176" s="73"/>
      <c r="E176" s="73"/>
      <c r="F176" s="73"/>
      <c r="G176" s="79"/>
      <c r="H176" s="73"/>
      <c r="I176" s="287">
        <f>D104</f>
        <v>9495811.1704034377</v>
      </c>
      <c r="J176" s="108"/>
      <c r="K176" s="108"/>
      <c r="P176" s="108"/>
      <c r="Q176" s="73"/>
    </row>
    <row r="177" spans="1:17">
      <c r="A177" s="79">
        <v>7</v>
      </c>
      <c r="B177" s="73" t="s">
        <v>314</v>
      </c>
      <c r="C177" s="73" t="s">
        <v>1055</v>
      </c>
      <c r="D177" s="108"/>
      <c r="E177" s="108"/>
      <c r="F177" s="108"/>
      <c r="G177" s="108"/>
      <c r="H177" s="108"/>
      <c r="I177" s="287">
        <f>'Act Att-H'!I178</f>
        <v>0</v>
      </c>
      <c r="J177" s="108"/>
      <c r="K177" s="108"/>
      <c r="N177" s="151"/>
      <c r="O177" s="152"/>
      <c r="P177" s="108"/>
      <c r="Q177" s="73"/>
    </row>
    <row r="178" spans="1:17">
      <c r="A178" s="79">
        <v>8</v>
      </c>
      <c r="B178" s="181" t="s">
        <v>316</v>
      </c>
      <c r="C178" s="183" t="s">
        <v>317</v>
      </c>
      <c r="D178" s="111"/>
      <c r="E178" s="111"/>
      <c r="F178" s="111"/>
      <c r="G178" s="125"/>
      <c r="H178" s="111"/>
      <c r="I178" s="180">
        <f>+I176-I177</f>
        <v>9495811.1704034377</v>
      </c>
      <c r="N178" s="153"/>
      <c r="O178" s="154"/>
      <c r="P178" s="155"/>
      <c r="Q178" s="155"/>
    </row>
    <row r="179" spans="1:17">
      <c r="A179" s="79"/>
      <c r="B179" s="73"/>
      <c r="C179" s="73"/>
      <c r="D179" s="108"/>
      <c r="E179" s="108"/>
      <c r="F179" s="108"/>
      <c r="G179" s="108"/>
      <c r="N179" s="153"/>
      <c r="O179" s="154"/>
    </row>
    <row r="180" spans="1:17">
      <c r="A180" s="79">
        <v>9</v>
      </c>
      <c r="B180" s="73" t="s">
        <v>1056</v>
      </c>
      <c r="C180" s="73" t="s">
        <v>319</v>
      </c>
      <c r="D180" s="108"/>
      <c r="E180" s="108"/>
      <c r="F180" s="108"/>
      <c r="G180" s="108"/>
      <c r="H180" s="108"/>
      <c r="I180" s="132">
        <f>IF(I176&gt;0,I178/I176,0)</f>
        <v>1</v>
      </c>
      <c r="N180" s="73"/>
      <c r="O180" s="156"/>
      <c r="P180" s="154"/>
      <c r="Q180" s="154"/>
    </row>
    <row r="181" spans="1:17">
      <c r="A181" s="79">
        <v>10</v>
      </c>
      <c r="B181" s="73" t="s">
        <v>1057</v>
      </c>
      <c r="C181" s="73" t="s">
        <v>321</v>
      </c>
      <c r="D181" s="108"/>
      <c r="E181" s="108"/>
      <c r="F181" s="108"/>
      <c r="G181" s="108"/>
      <c r="H181" s="73" t="s">
        <v>94</v>
      </c>
      <c r="I181" s="132">
        <f>I173</f>
        <v>0.9266113890410379</v>
      </c>
      <c r="N181" s="151"/>
      <c r="O181" s="154"/>
      <c r="Q181" s="154"/>
    </row>
    <row r="182" spans="1:17">
      <c r="A182" s="79">
        <v>11</v>
      </c>
      <c r="B182" s="73" t="s">
        <v>1058</v>
      </c>
      <c r="C182" s="73" t="s">
        <v>323</v>
      </c>
      <c r="D182" s="73"/>
      <c r="E182" s="73"/>
      <c r="F182" s="73"/>
      <c r="G182" s="73"/>
      <c r="H182" s="73" t="s">
        <v>324</v>
      </c>
      <c r="I182" s="115">
        <f>+I181*I180</f>
        <v>0.9266113890410379</v>
      </c>
      <c r="N182" s="151"/>
      <c r="O182" s="154"/>
      <c r="Q182" s="154"/>
    </row>
    <row r="183" spans="1:17">
      <c r="A183" s="79"/>
      <c r="C183" s="73"/>
      <c r="D183" s="108"/>
      <c r="E183" s="108"/>
      <c r="F183" s="108"/>
      <c r="G183" s="109"/>
      <c r="H183" s="108"/>
      <c r="N183" s="151"/>
      <c r="O183" s="154"/>
      <c r="Q183" s="157"/>
    </row>
    <row r="184" spans="1:17">
      <c r="A184" s="79" t="s">
        <v>87</v>
      </c>
      <c r="B184" s="73" t="s">
        <v>325</v>
      </c>
      <c r="C184" s="108"/>
      <c r="D184" s="108"/>
      <c r="E184" s="108"/>
      <c r="F184" s="108"/>
      <c r="G184" s="108"/>
      <c r="H184" s="108"/>
      <c r="I184" s="108"/>
      <c r="J184" s="108"/>
      <c r="K184" s="108"/>
      <c r="N184" s="153"/>
      <c r="O184" s="154"/>
      <c r="P184" s="108"/>
      <c r="Q184" s="73"/>
    </row>
    <row r="185" spans="1:17" ht="13.5" thickBot="1">
      <c r="A185" s="79" t="s">
        <v>87</v>
      </c>
      <c r="B185" s="73"/>
      <c r="C185" s="158" t="s">
        <v>1059</v>
      </c>
      <c r="D185" s="159" t="s">
        <v>327</v>
      </c>
      <c r="E185" s="159" t="s">
        <v>94</v>
      </c>
      <c r="F185" s="108"/>
      <c r="G185" s="159" t="s">
        <v>328</v>
      </c>
      <c r="H185" s="108"/>
      <c r="I185" s="108"/>
      <c r="J185" s="108"/>
      <c r="K185" s="108"/>
      <c r="N185" s="153"/>
      <c r="O185" s="154"/>
      <c r="P185" s="108"/>
      <c r="Q185" s="73"/>
    </row>
    <row r="186" spans="1:17">
      <c r="A186" s="79">
        <v>12</v>
      </c>
      <c r="B186" s="73" t="s">
        <v>139</v>
      </c>
      <c r="C186" s="73" t="s">
        <v>1060</v>
      </c>
      <c r="D186" s="287">
        <f>'Act Att-H'!D187</f>
        <v>2014764</v>
      </c>
      <c r="E186" s="160">
        <v>0</v>
      </c>
      <c r="F186" s="160"/>
      <c r="G186" s="116">
        <f>D186*E186</f>
        <v>0</v>
      </c>
      <c r="H186" s="108"/>
      <c r="I186" s="108"/>
      <c r="J186" s="108"/>
      <c r="K186" s="108"/>
    </row>
    <row r="187" spans="1:17">
      <c r="A187" s="79">
        <v>13</v>
      </c>
      <c r="B187" s="73" t="s">
        <v>142</v>
      </c>
      <c r="C187" s="73" t="s">
        <v>1061</v>
      </c>
      <c r="D187" s="287">
        <f>'Act Att-H'!D188</f>
        <v>1574668</v>
      </c>
      <c r="E187" s="161">
        <f>+I173</f>
        <v>0.9266113890410379</v>
      </c>
      <c r="F187" s="160"/>
      <c r="G187" s="116">
        <f>D187*E187</f>
        <v>1459105.302758473</v>
      </c>
      <c r="H187" s="108"/>
      <c r="I187" s="108"/>
      <c r="J187" s="108"/>
      <c r="K187" s="108"/>
    </row>
    <row r="188" spans="1:17">
      <c r="A188" s="79">
        <v>14</v>
      </c>
      <c r="B188" s="73" t="s">
        <v>144</v>
      </c>
      <c r="C188" s="73" t="s">
        <v>1062</v>
      </c>
      <c r="D188" s="287">
        <f>'Act Att-H'!D189</f>
        <v>5287196</v>
      </c>
      <c r="E188" s="160">
        <v>0</v>
      </c>
      <c r="F188" s="160"/>
      <c r="G188" s="116">
        <f>D188*E188</f>
        <v>0</v>
      </c>
      <c r="H188" s="108"/>
      <c r="I188" s="109" t="s">
        <v>332</v>
      </c>
      <c r="J188" s="108"/>
      <c r="K188" s="108"/>
    </row>
    <row r="189" spans="1:17" ht="13.5" thickBot="1">
      <c r="A189" s="79">
        <v>15</v>
      </c>
      <c r="B189" s="73" t="s">
        <v>333</v>
      </c>
      <c r="C189" s="73" t="s">
        <v>1063</v>
      </c>
      <c r="D189" s="287">
        <f>'Act Att-H'!D190</f>
        <v>1253500</v>
      </c>
      <c r="E189" s="160">
        <v>0</v>
      </c>
      <c r="F189" s="160"/>
      <c r="G189" s="162">
        <f>D189*E189</f>
        <v>0</v>
      </c>
      <c r="H189" s="108"/>
      <c r="I189" s="112" t="s">
        <v>335</v>
      </c>
      <c r="J189" s="108"/>
      <c r="K189" s="108"/>
    </row>
    <row r="190" spans="1:17">
      <c r="A190" s="79">
        <v>16</v>
      </c>
      <c r="B190" s="73" t="s">
        <v>336</v>
      </c>
      <c r="C190" s="108" t="s">
        <v>337</v>
      </c>
      <c r="D190" s="180">
        <f>SUM(D186:D189)</f>
        <v>10130128</v>
      </c>
      <c r="E190" s="108"/>
      <c r="F190" s="108"/>
      <c r="G190" s="116">
        <f>SUM(G186:G189)</f>
        <v>1459105.302758473</v>
      </c>
      <c r="H190" s="79" t="s">
        <v>338</v>
      </c>
      <c r="I190" s="132">
        <f>IF(G190&gt;0,G190/D190,0)</f>
        <v>0.14403621580679662</v>
      </c>
      <c r="J190" s="109" t="s">
        <v>338</v>
      </c>
      <c r="K190" s="144" t="s">
        <v>888</v>
      </c>
    </row>
    <row r="191" spans="1:17" ht="9" customHeight="1">
      <c r="A191" s="79"/>
      <c r="B191" s="73"/>
      <c r="C191" s="108"/>
      <c r="D191" s="108"/>
      <c r="E191" s="108"/>
      <c r="F191" s="108"/>
      <c r="G191" s="108"/>
      <c r="H191" s="108"/>
      <c r="I191" s="108"/>
      <c r="J191" s="108"/>
      <c r="K191" s="108"/>
    </row>
    <row r="192" spans="1:17">
      <c r="A192" s="79"/>
      <c r="B192" s="73" t="s">
        <v>339</v>
      </c>
      <c r="C192" s="108"/>
      <c r="D192" s="109" t="s">
        <v>327</v>
      </c>
      <c r="E192" s="108"/>
      <c r="F192" s="108"/>
      <c r="G192" s="109" t="s">
        <v>340</v>
      </c>
      <c r="H192" s="140" t="s">
        <v>87</v>
      </c>
      <c r="I192" s="133" t="str">
        <f>+I188</f>
        <v>W&amp;S Allocator</v>
      </c>
      <c r="J192" s="108"/>
      <c r="K192" s="108"/>
    </row>
    <row r="193" spans="1:11">
      <c r="A193" s="79">
        <v>17</v>
      </c>
      <c r="B193" s="73" t="s">
        <v>341</v>
      </c>
      <c r="C193" s="73" t="s">
        <v>1064</v>
      </c>
      <c r="D193" s="287">
        <f>'Act Att-H'!D194</f>
        <v>1043453947</v>
      </c>
      <c r="E193" s="108"/>
      <c r="G193" s="79" t="s">
        <v>343</v>
      </c>
      <c r="H193" s="140"/>
      <c r="I193" s="79" t="s">
        <v>344</v>
      </c>
      <c r="J193" s="108"/>
      <c r="K193" s="79" t="s">
        <v>151</v>
      </c>
    </row>
    <row r="194" spans="1:11">
      <c r="A194" s="79">
        <v>18</v>
      </c>
      <c r="B194" s="73" t="s">
        <v>345</v>
      </c>
      <c r="C194" s="73" t="s">
        <v>1065</v>
      </c>
      <c r="D194" s="287">
        <f>'Act Att-H'!D195</f>
        <v>0</v>
      </c>
      <c r="E194" s="108"/>
      <c r="G194" s="115">
        <f>IF(D196&gt;0,D193/D196,0)</f>
        <v>0.97853209148632481</v>
      </c>
      <c r="H194" s="109" t="s">
        <v>347</v>
      </c>
      <c r="I194" s="115">
        <f>I190</f>
        <v>0.14403621580679662</v>
      </c>
      <c r="J194" s="140" t="s">
        <v>338</v>
      </c>
      <c r="K194" s="163">
        <f>I194*G194</f>
        <v>0.14094405950320033</v>
      </c>
    </row>
    <row r="195" spans="1:11">
      <c r="A195" s="79">
        <v>19</v>
      </c>
      <c r="B195" s="73" t="s">
        <v>333</v>
      </c>
      <c r="C195" s="73" t="s">
        <v>1066</v>
      </c>
      <c r="D195" s="287">
        <f>'Act Att-H'!D196</f>
        <v>22892222</v>
      </c>
      <c r="E195" s="108"/>
      <c r="F195" s="108"/>
      <c r="G195" s="108" t="s">
        <v>87</v>
      </c>
      <c r="H195" s="108"/>
      <c r="I195" s="108"/>
      <c r="J195" s="108"/>
      <c r="K195" s="108"/>
    </row>
    <row r="196" spans="1:11">
      <c r="A196" s="79">
        <v>20</v>
      </c>
      <c r="B196" s="181" t="s">
        <v>336</v>
      </c>
      <c r="C196" s="182" t="s">
        <v>349</v>
      </c>
      <c r="D196" s="180">
        <f>D193+D194+D195</f>
        <v>1066346169</v>
      </c>
      <c r="E196" s="108"/>
      <c r="F196" s="108"/>
      <c r="G196" s="108"/>
      <c r="H196" s="108"/>
      <c r="I196" s="108"/>
      <c r="J196" s="108"/>
      <c r="K196" s="108"/>
    </row>
    <row r="197" spans="1:11" ht="9" customHeight="1">
      <c r="A197" s="79"/>
      <c r="B197" s="73"/>
      <c r="C197" s="108"/>
      <c r="E197" s="108"/>
      <c r="F197" s="108"/>
      <c r="G197" s="108"/>
      <c r="H197" s="108"/>
      <c r="I197" s="108"/>
      <c r="J197" s="108"/>
      <c r="K197" s="108"/>
    </row>
    <row r="198" spans="1:11" ht="13.5" thickBot="1">
      <c r="A198" s="79"/>
      <c r="B198" s="73" t="s">
        <v>350</v>
      </c>
      <c r="C198" s="108"/>
      <c r="D198" s="108"/>
      <c r="E198" s="108"/>
      <c r="F198" s="108"/>
      <c r="G198" s="108"/>
      <c r="H198" s="108"/>
      <c r="I198" s="159" t="s">
        <v>327</v>
      </c>
      <c r="J198" s="108"/>
      <c r="K198" s="108"/>
    </row>
    <row r="199" spans="1:11">
      <c r="A199" s="79">
        <v>21</v>
      </c>
      <c r="B199" s="108" t="s">
        <v>351</v>
      </c>
      <c r="C199" s="73" t="s">
        <v>1067</v>
      </c>
      <c r="D199" s="108"/>
      <c r="E199" s="108"/>
      <c r="F199" s="108"/>
      <c r="G199" s="108"/>
      <c r="H199" s="108"/>
      <c r="I199" s="287">
        <f>'Act Att-H'!I200</f>
        <v>18183485.469999999</v>
      </c>
      <c r="J199" s="108"/>
      <c r="K199" s="108"/>
    </row>
    <row r="200" spans="1:11" ht="9" customHeight="1">
      <c r="A200" s="79"/>
      <c r="B200" s="108"/>
      <c r="C200" s="108"/>
      <c r="D200" s="108"/>
      <c r="E200" s="108"/>
      <c r="F200" s="108"/>
      <c r="G200" s="108"/>
      <c r="H200" s="108"/>
      <c r="I200" s="108"/>
      <c r="J200" s="108"/>
      <c r="K200" s="108"/>
    </row>
    <row r="201" spans="1:11">
      <c r="A201" s="79">
        <v>22</v>
      </c>
      <c r="B201" s="108" t="s">
        <v>353</v>
      </c>
      <c r="C201" s="73" t="s">
        <v>1068</v>
      </c>
      <c r="D201" s="108"/>
      <c r="E201" s="108"/>
      <c r="F201" s="108"/>
      <c r="G201" s="108"/>
      <c r="H201" s="108"/>
      <c r="I201" s="287">
        <f>'Act Att-H'!I202</f>
        <v>0</v>
      </c>
      <c r="J201" s="108"/>
      <c r="K201" s="108"/>
    </row>
    <row r="202" spans="1:11" ht="9" customHeight="1">
      <c r="A202" s="79"/>
      <c r="B202" s="73"/>
      <c r="C202" s="108"/>
      <c r="D202" s="108"/>
      <c r="E202" s="108"/>
      <c r="F202" s="108"/>
      <c r="G202" s="108"/>
      <c r="H202" s="108"/>
      <c r="I202" s="108"/>
      <c r="J202" s="108"/>
      <c r="K202" s="108"/>
    </row>
    <row r="203" spans="1:11">
      <c r="A203" s="79"/>
      <c r="B203" s="166" t="s">
        <v>355</v>
      </c>
      <c r="C203" s="108"/>
      <c r="D203" s="108"/>
      <c r="E203" s="108"/>
      <c r="F203" s="108"/>
      <c r="G203" s="108"/>
      <c r="H203" s="108"/>
      <c r="I203" s="108"/>
      <c r="J203" s="108"/>
      <c r="K203" s="108"/>
    </row>
    <row r="204" spans="1:11">
      <c r="A204" s="79">
        <v>23</v>
      </c>
      <c r="B204" s="108" t="s">
        <v>356</v>
      </c>
      <c r="C204" s="73" t="s">
        <v>1069</v>
      </c>
      <c r="D204" s="73"/>
      <c r="E204" s="108"/>
      <c r="F204" s="108"/>
      <c r="G204" s="108"/>
      <c r="H204" s="108"/>
      <c r="I204" s="287">
        <f>'Act Att-H'!I205</f>
        <v>472729957</v>
      </c>
      <c r="J204" s="108"/>
      <c r="K204" s="108"/>
    </row>
    <row r="205" spans="1:11">
      <c r="A205" s="79">
        <v>24</v>
      </c>
      <c r="B205" s="108" t="s">
        <v>358</v>
      </c>
      <c r="C205" s="73" t="s">
        <v>1070</v>
      </c>
      <c r="D205" s="108"/>
      <c r="E205" s="108"/>
      <c r="F205" s="108"/>
      <c r="G205" s="108"/>
      <c r="H205" s="108"/>
      <c r="I205" s="287">
        <f>'Act Att-H'!I206</f>
        <v>0</v>
      </c>
      <c r="J205" s="108"/>
      <c r="K205" s="108"/>
    </row>
    <row r="206" spans="1:11">
      <c r="A206" s="79">
        <v>25</v>
      </c>
      <c r="B206" s="73" t="s">
        <v>360</v>
      </c>
      <c r="C206" s="73" t="s">
        <v>1071</v>
      </c>
      <c r="D206" s="108"/>
      <c r="E206" s="108"/>
      <c r="F206" s="108"/>
      <c r="G206" s="108"/>
      <c r="H206" s="108"/>
      <c r="I206" s="287">
        <f>'Act Att-H'!I207</f>
        <v>0</v>
      </c>
      <c r="J206" s="108"/>
      <c r="K206" s="108"/>
    </row>
    <row r="207" spans="1:11">
      <c r="A207" s="79">
        <v>26</v>
      </c>
      <c r="B207" s="73" t="s">
        <v>362</v>
      </c>
      <c r="C207" s="73" t="s">
        <v>1072</v>
      </c>
      <c r="D207" s="108"/>
      <c r="E207" s="108"/>
      <c r="F207" s="108"/>
      <c r="G207" s="108"/>
      <c r="H207" s="108"/>
      <c r="I207" s="287">
        <f>'Act Att-H'!I208</f>
        <v>0</v>
      </c>
      <c r="J207" s="108"/>
      <c r="K207" s="108"/>
    </row>
    <row r="208" spans="1:11">
      <c r="A208" s="79">
        <v>27</v>
      </c>
      <c r="B208" s="181" t="s">
        <v>364</v>
      </c>
      <c r="C208" s="183" t="s">
        <v>1073</v>
      </c>
      <c r="D208" s="116"/>
      <c r="E208" s="73"/>
      <c r="F208" s="73"/>
      <c r="G208" s="73"/>
      <c r="H208" s="73"/>
      <c r="I208" s="180">
        <f>I204-I205-I206-I207</f>
        <v>472729957</v>
      </c>
      <c r="J208" s="108"/>
      <c r="K208" s="108"/>
    </row>
    <row r="209" spans="1:11">
      <c r="A209" s="79"/>
      <c r="B209" s="73"/>
      <c r="C209" s="108"/>
      <c r="D209" s="108"/>
      <c r="E209" s="108"/>
      <c r="F209" s="108"/>
      <c r="G209" s="109"/>
      <c r="H209" s="108"/>
      <c r="I209" s="108"/>
      <c r="J209" s="108"/>
      <c r="K209" s="108"/>
    </row>
    <row r="210" spans="1:11" ht="13.5" thickBot="1">
      <c r="A210" s="79"/>
      <c r="B210" s="73"/>
      <c r="C210" s="108"/>
      <c r="D210" s="112" t="s">
        <v>327</v>
      </c>
      <c r="E210" s="112" t="s">
        <v>367</v>
      </c>
      <c r="F210" s="108"/>
      <c r="G210" s="185" t="s">
        <v>366</v>
      </c>
      <c r="H210" s="108"/>
      <c r="I210" s="112" t="s">
        <v>369</v>
      </c>
      <c r="J210" s="108"/>
      <c r="K210" s="108"/>
    </row>
    <row r="211" spans="1:11">
      <c r="A211" s="79">
        <v>28</v>
      </c>
      <c r="B211" s="73" t="s">
        <v>370</v>
      </c>
      <c r="C211" s="73" t="s">
        <v>1074</v>
      </c>
      <c r="D211" s="287">
        <f>'Act Att-H'!D212</f>
        <v>429394833</v>
      </c>
      <c r="E211" s="167">
        <f>IF($D$214&gt;0,D211/$D$214,0)</f>
        <v>0.47598163553403738</v>
      </c>
      <c r="F211" s="168"/>
      <c r="G211" s="664">
        <f>IF(D211&gt;0,I199/D211,0)</f>
        <v>4.2346772882569828E-2</v>
      </c>
      <c r="I211" s="169">
        <f>G211*E211</f>
        <v>2.0156286216234009E-2</v>
      </c>
      <c r="J211" s="170" t="s">
        <v>372</v>
      </c>
    </row>
    <row r="212" spans="1:11">
      <c r="A212" s="79">
        <v>29</v>
      </c>
      <c r="B212" s="73" t="s">
        <v>373</v>
      </c>
      <c r="C212" s="73" t="s">
        <v>1075</v>
      </c>
      <c r="D212" s="287">
        <f>'Act Att-H'!D213</f>
        <v>0</v>
      </c>
      <c r="E212" s="167">
        <f>IF($D$214&gt;0,D212/$D$214,0)</f>
        <v>0</v>
      </c>
      <c r="F212" s="168"/>
      <c r="G212" s="664">
        <f>IF(D212&gt;0,I201/D212,0)</f>
        <v>0</v>
      </c>
      <c r="I212" s="169">
        <f>G212*E212</f>
        <v>0</v>
      </c>
      <c r="J212" s="108"/>
    </row>
    <row r="213" spans="1:11" ht="13.5" thickBot="1">
      <c r="A213" s="79">
        <v>30</v>
      </c>
      <c r="B213" s="73" t="s">
        <v>375</v>
      </c>
      <c r="C213" s="73" t="s">
        <v>1076</v>
      </c>
      <c r="D213" s="287">
        <f>'Act Att-H'!D214</f>
        <v>472729957</v>
      </c>
      <c r="E213" s="167">
        <f>IF($D$214&gt;0,D213/$D$214,0)</f>
        <v>0.52401836446596262</v>
      </c>
      <c r="F213" s="168"/>
      <c r="G213" s="664">
        <f>'Act Att-H'!G214</f>
        <v>0.10440000000000001</v>
      </c>
      <c r="I213" s="171">
        <f>G213*E213</f>
        <v>5.4707517250246501E-2</v>
      </c>
      <c r="J213" s="108"/>
    </row>
    <row r="214" spans="1:11">
      <c r="A214" s="79">
        <v>31</v>
      </c>
      <c r="B214" s="181" t="s">
        <v>377</v>
      </c>
      <c r="C214" s="183" t="s">
        <v>1077</v>
      </c>
      <c r="D214" s="180">
        <f>D213+D212+D211</f>
        <v>902124790</v>
      </c>
      <c r="E214" s="108" t="s">
        <v>87</v>
      </c>
      <c r="F214" s="108"/>
      <c r="G214" s="108"/>
      <c r="H214" s="108"/>
      <c r="I214" s="169">
        <f>SUM(I211:I213)</f>
        <v>7.4863803466480514E-2</v>
      </c>
      <c r="J214" s="170" t="s">
        <v>379</v>
      </c>
    </row>
    <row r="215" spans="1:11" ht="9" customHeight="1">
      <c r="E215" s="108"/>
      <c r="F215" s="108"/>
      <c r="G215" s="108"/>
      <c r="H215" s="108"/>
    </row>
    <row r="216" spans="1:11">
      <c r="A216" s="73"/>
      <c r="B216" s="73"/>
      <c r="C216" s="73"/>
      <c r="D216" s="108"/>
      <c r="E216" s="108"/>
      <c r="F216" s="134"/>
      <c r="G216" s="108"/>
      <c r="H216" s="108"/>
      <c r="I216" s="108"/>
      <c r="J216" s="108"/>
      <c r="K216" s="108"/>
    </row>
    <row r="217" spans="1:11">
      <c r="A217" s="79">
        <v>32</v>
      </c>
      <c r="B217" s="73" t="s">
        <v>380</v>
      </c>
      <c r="C217" s="73" t="s">
        <v>1078</v>
      </c>
      <c r="D217" s="105"/>
      <c r="E217" s="73"/>
      <c r="F217" s="73"/>
      <c r="G217" s="73"/>
      <c r="H217" s="351"/>
      <c r="I217" s="287">
        <f>'P4-IncentPlant'!F47</f>
        <v>0</v>
      </c>
      <c r="J217" s="351"/>
      <c r="K217" s="351"/>
    </row>
    <row r="218" spans="1:11">
      <c r="B218" s="73"/>
      <c r="C218" s="73"/>
      <c r="D218" s="105"/>
      <c r="E218" s="73"/>
      <c r="F218" s="73"/>
      <c r="G218" s="969"/>
      <c r="H218" s="969"/>
      <c r="I218" s="969"/>
      <c r="J218" s="969"/>
      <c r="K218" s="969"/>
    </row>
    <row r="219" spans="1:11">
      <c r="B219" s="73"/>
      <c r="C219" s="73"/>
      <c r="D219" s="105"/>
      <c r="E219" s="73"/>
      <c r="F219" s="73"/>
      <c r="G219" s="73"/>
      <c r="H219" s="73"/>
      <c r="I219" s="970" t="str">
        <f>I1</f>
        <v>Projected Attachment H</v>
      </c>
      <c r="J219" s="970"/>
      <c r="K219" s="970"/>
    </row>
    <row r="220" spans="1:11">
      <c r="B220" s="73"/>
      <c r="C220" s="73"/>
      <c r="D220" s="105"/>
      <c r="E220" s="73"/>
      <c r="F220" s="73"/>
      <c r="G220" s="73"/>
      <c r="H220" s="73"/>
      <c r="I220" s="73"/>
      <c r="J220" s="969" t="s">
        <v>382</v>
      </c>
      <c r="K220" s="969"/>
    </row>
    <row r="221" spans="1:11">
      <c r="B221" s="73"/>
      <c r="C221" s="73"/>
      <c r="D221" s="105"/>
      <c r="E221" s="73"/>
      <c r="F221" s="73"/>
      <c r="G221" s="73"/>
      <c r="H221" s="73"/>
      <c r="I221" s="73"/>
      <c r="J221" s="73"/>
      <c r="K221" s="106"/>
    </row>
    <row r="222" spans="1:11">
      <c r="B222" s="105" t="s">
        <v>78</v>
      </c>
      <c r="C222" s="79" t="s">
        <v>124</v>
      </c>
      <c r="E222" s="73"/>
      <c r="F222" s="73"/>
      <c r="G222" s="73"/>
      <c r="H222" s="73"/>
      <c r="I222" s="73"/>
      <c r="J222" s="73"/>
      <c r="K222" s="122" t="str">
        <f>K4</f>
        <v>Estimated - For the 12 months ended 12/31/2023</v>
      </c>
    </row>
    <row r="223" spans="1:11">
      <c r="B223" s="73"/>
      <c r="C223" s="109" t="s">
        <v>125</v>
      </c>
      <c r="E223" s="108"/>
      <c r="F223" s="108"/>
      <c r="G223" s="108"/>
      <c r="H223" s="73"/>
      <c r="I223" s="73"/>
      <c r="J223" s="73"/>
      <c r="K223" s="73"/>
    </row>
    <row r="224" spans="1:11">
      <c r="A224" s="79"/>
      <c r="C224" s="108"/>
      <c r="E224" s="108"/>
      <c r="F224" s="108"/>
      <c r="G224" s="108"/>
      <c r="H224" s="73"/>
      <c r="I224" s="153"/>
      <c r="K224" s="108"/>
    </row>
    <row r="225" spans="1:11">
      <c r="A225" s="79"/>
      <c r="C225" s="172" t="str">
        <f>C7</f>
        <v>Black Hills Colorado Electric, LLC</v>
      </c>
      <c r="E225" s="108"/>
      <c r="F225" s="108"/>
      <c r="G225" s="108"/>
      <c r="H225" s="73"/>
      <c r="I225" s="153"/>
      <c r="K225" s="108"/>
    </row>
    <row r="226" spans="1:11">
      <c r="A226" s="79"/>
      <c r="C226" s="172"/>
      <c r="E226" s="108"/>
      <c r="F226" s="108"/>
      <c r="G226" s="108"/>
      <c r="H226" s="73"/>
      <c r="I226" s="153"/>
      <c r="K226" s="108"/>
    </row>
    <row r="227" spans="1:11" ht="15.75" customHeight="1">
      <c r="A227" s="79"/>
      <c r="B227" s="79" t="s">
        <v>126</v>
      </c>
      <c r="C227" s="79" t="s">
        <v>127</v>
      </c>
      <c r="D227" s="79" t="s">
        <v>128</v>
      </c>
      <c r="E227" s="108" t="s">
        <v>87</v>
      </c>
      <c r="F227" s="108"/>
      <c r="G227" s="124" t="s">
        <v>129</v>
      </c>
      <c r="H227" s="108"/>
      <c r="I227" s="125" t="s">
        <v>130</v>
      </c>
      <c r="K227" s="108"/>
    </row>
    <row r="228" spans="1:11">
      <c r="A228" s="79" t="s">
        <v>82</v>
      </c>
      <c r="B228" s="73"/>
      <c r="C228" s="126"/>
      <c r="D228" s="108"/>
      <c r="E228" s="108"/>
      <c r="F228" s="108"/>
      <c r="G228" s="79"/>
      <c r="H228" s="108"/>
      <c r="I228" s="127" t="s">
        <v>132</v>
      </c>
      <c r="J228" s="108"/>
      <c r="K228" s="108"/>
    </row>
    <row r="229" spans="1:11" ht="13.5" thickBot="1">
      <c r="A229" s="112" t="s">
        <v>84</v>
      </c>
      <c r="B229" s="73"/>
      <c r="C229" s="128" t="s">
        <v>1059</v>
      </c>
      <c r="D229" s="127" t="s">
        <v>134</v>
      </c>
      <c r="E229" s="129"/>
      <c r="F229" s="127" t="s">
        <v>135</v>
      </c>
      <c r="H229" s="129"/>
      <c r="I229" s="79" t="s">
        <v>136</v>
      </c>
      <c r="J229" s="108"/>
      <c r="K229" s="108"/>
    </row>
    <row r="230" spans="1:11">
      <c r="A230" s="79"/>
      <c r="C230" s="79"/>
      <c r="D230" s="108"/>
      <c r="E230" s="108"/>
      <c r="F230" s="108"/>
      <c r="G230" s="108"/>
      <c r="H230" s="73"/>
      <c r="I230" s="153"/>
      <c r="J230" s="108"/>
      <c r="K230" s="108"/>
    </row>
    <row r="231" spans="1:11">
      <c r="A231" s="79"/>
      <c r="B231" s="73" t="s">
        <v>1079</v>
      </c>
      <c r="C231" s="108"/>
      <c r="D231" s="109" t="s">
        <v>327</v>
      </c>
      <c r="E231" s="108"/>
      <c r="F231" s="108"/>
      <c r="G231" s="109"/>
      <c r="H231" s="140" t="s">
        <v>87</v>
      </c>
      <c r="I231" s="133"/>
      <c r="J231" s="108"/>
      <c r="K231" s="108"/>
    </row>
    <row r="232" spans="1:11">
      <c r="A232" s="79">
        <v>1</v>
      </c>
      <c r="B232" s="73" t="s">
        <v>139</v>
      </c>
      <c r="C232" s="108" t="s">
        <v>1080</v>
      </c>
      <c r="D232" s="287">
        <f>'Act Att-H'!D45</f>
        <v>426311886.54999989</v>
      </c>
      <c r="E232" s="108"/>
      <c r="F232" s="108" t="s">
        <v>141</v>
      </c>
      <c r="G232" s="131" t="s">
        <v>87</v>
      </c>
      <c r="H232" s="108"/>
      <c r="I232" s="108" t="s">
        <v>87</v>
      </c>
      <c r="J232" s="108"/>
      <c r="K232" s="79"/>
    </row>
    <row r="233" spans="1:11">
      <c r="A233" s="79">
        <v>2</v>
      </c>
      <c r="B233" s="73" t="s">
        <v>142</v>
      </c>
      <c r="C233" s="108" t="s">
        <v>1081</v>
      </c>
      <c r="D233" s="287">
        <f>D49</f>
        <v>307270425.23215735</v>
      </c>
      <c r="E233" s="108"/>
      <c r="F233" s="108" t="s">
        <v>94</v>
      </c>
      <c r="G233" s="132">
        <f>I173</f>
        <v>0.9266113890410379</v>
      </c>
      <c r="H233" s="108"/>
      <c r="I233" s="65">
        <f>+G233*D233</f>
        <v>284720275.53559971</v>
      </c>
      <c r="J233" s="140"/>
      <c r="K233" s="163"/>
    </row>
    <row r="234" spans="1:11">
      <c r="A234" s="79">
        <v>3</v>
      </c>
      <c r="B234" s="73" t="s">
        <v>144</v>
      </c>
      <c r="C234" s="108" t="s">
        <v>1082</v>
      </c>
      <c r="D234" s="287">
        <f>'Act Att-H'!D47</f>
        <v>376724642.72384614</v>
      </c>
      <c r="E234" s="108"/>
      <c r="F234" s="108" t="s">
        <v>141</v>
      </c>
      <c r="G234" s="131" t="s">
        <v>87</v>
      </c>
      <c r="H234" s="108"/>
      <c r="I234" s="65" t="s">
        <v>87</v>
      </c>
      <c r="J234" s="108"/>
      <c r="K234" s="108"/>
    </row>
    <row r="235" spans="1:11">
      <c r="A235" s="79">
        <v>4</v>
      </c>
      <c r="B235" s="73" t="s">
        <v>146</v>
      </c>
      <c r="C235" s="108" t="s">
        <v>1083</v>
      </c>
      <c r="D235" s="287">
        <f>'Act Att-H'!D48</f>
        <v>38561692.20769231</v>
      </c>
      <c r="E235" s="108"/>
      <c r="F235" s="108" t="s">
        <v>148</v>
      </c>
      <c r="G235" s="132">
        <f>I190</f>
        <v>0.14403621580679662</v>
      </c>
      <c r="H235" s="108"/>
      <c r="I235" s="65">
        <f>+G235*D235</f>
        <v>5554280.2207024377</v>
      </c>
      <c r="J235" s="108"/>
      <c r="K235" s="108"/>
    </row>
    <row r="236" spans="1:11">
      <c r="A236" s="79">
        <v>5</v>
      </c>
      <c r="B236" s="73" t="s">
        <v>149</v>
      </c>
      <c r="C236" s="108" t="s">
        <v>1084</v>
      </c>
      <c r="D236" s="287">
        <f>'Act Att-H'!D49</f>
        <v>21729960.692307692</v>
      </c>
      <c r="E236" s="108"/>
      <c r="F236" s="108" t="s">
        <v>151</v>
      </c>
      <c r="G236" s="132">
        <f>K194</f>
        <v>0.14094405950320033</v>
      </c>
      <c r="H236" s="108"/>
      <c r="I236" s="65">
        <f>+G236*D236</f>
        <v>3062708.8728188192</v>
      </c>
      <c r="J236" s="108"/>
      <c r="K236" s="108"/>
    </row>
    <row r="237" spans="1:11">
      <c r="A237" s="79">
        <v>6</v>
      </c>
      <c r="B237" s="181" t="s">
        <v>336</v>
      </c>
      <c r="C237" s="182" t="s">
        <v>1085</v>
      </c>
      <c r="D237" s="180">
        <f>SUM(D232:D236)</f>
        <v>1170598607.4060035</v>
      </c>
      <c r="E237" s="108"/>
      <c r="F237" s="182" t="s">
        <v>154</v>
      </c>
      <c r="G237" s="547">
        <f>IF(I237&gt;0,I237/D237,0)</f>
        <v>0.25058740269574026</v>
      </c>
      <c r="H237" s="108"/>
      <c r="I237" s="184">
        <f>SUM(I232:I236)</f>
        <v>293337264.62912095</v>
      </c>
      <c r="J237" s="108"/>
      <c r="K237" s="108"/>
    </row>
    <row r="238" spans="1:11">
      <c r="A238" s="79"/>
      <c r="B238" s="73"/>
      <c r="C238" s="108"/>
      <c r="D238" s="116"/>
      <c r="E238" s="108"/>
      <c r="F238" s="108"/>
      <c r="G238" s="108"/>
      <c r="H238" s="108"/>
      <c r="I238" s="108"/>
      <c r="J238" s="108"/>
      <c r="K238" s="108"/>
    </row>
    <row r="239" spans="1:11">
      <c r="A239" s="79"/>
      <c r="B239" s="73" t="s">
        <v>1086</v>
      </c>
      <c r="C239" s="108"/>
      <c r="D239" s="109" t="s">
        <v>327</v>
      </c>
      <c r="E239" s="108"/>
      <c r="F239" s="108"/>
      <c r="G239" s="109"/>
      <c r="H239" s="140" t="s">
        <v>87</v>
      </c>
      <c r="I239" s="133"/>
      <c r="J239" s="108"/>
      <c r="K239" s="108"/>
    </row>
    <row r="240" spans="1:11">
      <c r="A240" s="79">
        <v>7</v>
      </c>
      <c r="B240" s="73" t="s">
        <v>139</v>
      </c>
      <c r="C240" s="108" t="s">
        <v>1087</v>
      </c>
      <c r="D240" s="287">
        <f>'Act Att-H'!D61</f>
        <v>316823521.23059696</v>
      </c>
      <c r="E240" s="108"/>
      <c r="F240" s="108" t="s">
        <v>141</v>
      </c>
      <c r="G240" s="131" t="s">
        <v>87</v>
      </c>
      <c r="H240" s="108"/>
      <c r="I240" s="108" t="s">
        <v>87</v>
      </c>
      <c r="J240" s="108"/>
      <c r="K240" s="79"/>
    </row>
    <row r="241" spans="1:11">
      <c r="A241" s="79">
        <v>8</v>
      </c>
      <c r="B241" s="73" t="s">
        <v>142</v>
      </c>
      <c r="C241" s="108" t="s">
        <v>1088</v>
      </c>
      <c r="D241" s="287">
        <f>D61</f>
        <v>254336513.40349913</v>
      </c>
      <c r="E241" s="108"/>
      <c r="F241" s="108" t="s">
        <v>94</v>
      </c>
      <c r="G241" s="132">
        <f>G233</f>
        <v>0.9266113890410379</v>
      </c>
      <c r="H241" s="108"/>
      <c r="I241" s="65">
        <f>+G241*D241</f>
        <v>235671109.96867087</v>
      </c>
      <c r="J241" s="140"/>
      <c r="K241" s="163"/>
    </row>
    <row r="242" spans="1:11">
      <c r="A242" s="79">
        <v>9</v>
      </c>
      <c r="B242" s="73" t="s">
        <v>144</v>
      </c>
      <c r="C242" s="108" t="s">
        <v>1089</v>
      </c>
      <c r="D242" s="287">
        <f>'Act Att-H'!D63</f>
        <v>226935186.58560655</v>
      </c>
      <c r="E242" s="108"/>
      <c r="F242" s="108" t="s">
        <v>141</v>
      </c>
      <c r="G242" s="131" t="s">
        <v>87</v>
      </c>
      <c r="H242" s="108"/>
      <c r="I242" s="65" t="s">
        <v>87</v>
      </c>
      <c r="J242" s="108"/>
      <c r="K242" s="108"/>
    </row>
    <row r="243" spans="1:11">
      <c r="A243" s="79">
        <v>10</v>
      </c>
      <c r="B243" s="73" t="s">
        <v>146</v>
      </c>
      <c r="C243" s="108" t="s">
        <v>1090</v>
      </c>
      <c r="D243" s="287">
        <f>'Act Att-H'!D64</f>
        <v>18637642.624323696</v>
      </c>
      <c r="E243" s="108"/>
      <c r="F243" s="108" t="s">
        <v>148</v>
      </c>
      <c r="G243" s="132">
        <f>G235</f>
        <v>0.14403621580679662</v>
      </c>
      <c r="H243" s="108"/>
      <c r="I243" s="65">
        <f>+G243*D243</f>
        <v>2684495.5151670394</v>
      </c>
      <c r="J243" s="108"/>
      <c r="K243" s="108"/>
    </row>
    <row r="244" spans="1:11">
      <c r="A244" s="79">
        <v>11</v>
      </c>
      <c r="B244" s="73" t="s">
        <v>149</v>
      </c>
      <c r="C244" s="108" t="s">
        <v>1091</v>
      </c>
      <c r="D244" s="287">
        <f>'Act Att-H'!D65</f>
        <v>18776270.538461536</v>
      </c>
      <c r="E244" s="108"/>
      <c r="F244" s="108" t="s">
        <v>151</v>
      </c>
      <c r="G244" s="132">
        <f>G236</f>
        <v>0.14094405950320033</v>
      </c>
      <c r="H244" s="108"/>
      <c r="I244" s="65">
        <f>+G244*D244</f>
        <v>2646403.7920211102</v>
      </c>
      <c r="J244" s="108"/>
      <c r="K244" s="108"/>
    </row>
    <row r="245" spans="1:11">
      <c r="A245" s="79">
        <v>12</v>
      </c>
      <c r="B245" s="181" t="s">
        <v>336</v>
      </c>
      <c r="C245" s="182" t="s">
        <v>1092</v>
      </c>
      <c r="D245" s="180">
        <f>SUM(D240:D244)</f>
        <v>835509134.38248801</v>
      </c>
      <c r="E245" s="108"/>
      <c r="F245" s="182" t="s">
        <v>166</v>
      </c>
      <c r="G245" s="547">
        <f>IF(I245&gt;0,I245/D245,0)</f>
        <v>0.28844928123255037</v>
      </c>
      <c r="H245" s="108"/>
      <c r="I245" s="184">
        <f>SUM(I240:I244)</f>
        <v>241002009.275859</v>
      </c>
      <c r="J245" s="108"/>
      <c r="K245" s="108"/>
    </row>
    <row r="246" spans="1:11">
      <c r="A246" s="79"/>
      <c r="B246" s="73"/>
      <c r="C246" s="108"/>
      <c r="D246" s="116"/>
      <c r="E246" s="108"/>
      <c r="F246" s="108"/>
      <c r="G246" s="108"/>
      <c r="H246" s="108"/>
      <c r="I246" s="108"/>
      <c r="J246" s="73"/>
      <c r="K246" s="108"/>
    </row>
    <row r="247" spans="1:11">
      <c r="A247" s="79"/>
      <c r="B247" s="73"/>
      <c r="C247" s="108"/>
      <c r="D247" s="116"/>
      <c r="E247" s="108"/>
      <c r="F247" s="108"/>
      <c r="G247" s="108"/>
      <c r="H247" s="108"/>
      <c r="I247" s="108"/>
      <c r="J247" s="73"/>
      <c r="K247" s="108"/>
    </row>
    <row r="248" spans="1:11">
      <c r="A248" s="79"/>
      <c r="B248" s="73"/>
      <c r="C248" s="108"/>
      <c r="D248" s="116"/>
      <c r="E248" s="108"/>
      <c r="F248" s="108"/>
      <c r="G248" s="108"/>
      <c r="H248" s="108"/>
      <c r="I248" s="108"/>
      <c r="J248" s="73"/>
      <c r="K248" s="108"/>
    </row>
    <row r="249" spans="1:11">
      <c r="A249" s="79"/>
      <c r="B249" s="73" t="s">
        <v>383</v>
      </c>
      <c r="C249" s="79"/>
      <c r="D249" s="108"/>
      <c r="E249" s="108"/>
      <c r="F249" s="108"/>
      <c r="G249" s="108"/>
      <c r="H249" s="73"/>
      <c r="I249" s="108"/>
      <c r="J249" s="73"/>
      <c r="K249" s="108"/>
    </row>
    <row r="250" spans="1:11" ht="12.75" customHeight="1">
      <c r="A250" s="79"/>
      <c r="B250" s="105" t="s">
        <v>384</v>
      </c>
      <c r="C250" s="79"/>
      <c r="D250" s="108"/>
      <c r="E250" s="108"/>
      <c r="F250" s="108"/>
      <c r="G250" s="108"/>
      <c r="H250" s="73"/>
      <c r="I250" s="108"/>
      <c r="J250" s="445"/>
      <c r="K250" s="445"/>
    </row>
    <row r="251" spans="1:11">
      <c r="A251" s="79" t="s">
        <v>385</v>
      </c>
      <c r="B251" s="73"/>
      <c r="C251" s="73"/>
      <c r="D251" s="108"/>
      <c r="E251" s="108"/>
      <c r="F251" s="108"/>
      <c r="G251" s="108"/>
      <c r="H251" s="73"/>
      <c r="I251" s="108"/>
      <c r="J251" s="73"/>
      <c r="K251" s="73"/>
    </row>
    <row r="252" spans="1:11" ht="13.5" thickBot="1">
      <c r="A252" s="112" t="s">
        <v>386</v>
      </c>
      <c r="B252" s="73"/>
      <c r="C252" s="73"/>
      <c r="D252" s="108"/>
      <c r="E252" s="108"/>
      <c r="F252" s="108"/>
      <c r="G252" s="108"/>
      <c r="H252" s="73"/>
      <c r="I252" s="108"/>
      <c r="J252" s="73"/>
      <c r="K252" s="73"/>
    </row>
    <row r="253" spans="1:11" ht="55.5" customHeight="1">
      <c r="A253" s="80" t="s">
        <v>387</v>
      </c>
      <c r="B253" s="973" t="s">
        <v>1093</v>
      </c>
      <c r="C253" s="973"/>
      <c r="D253" s="973"/>
      <c r="E253" s="973"/>
      <c r="F253" s="973"/>
      <c r="G253" s="973"/>
      <c r="H253" s="973"/>
      <c r="I253" s="973"/>
      <c r="J253" s="73"/>
      <c r="K253" s="73"/>
    </row>
    <row r="254" spans="1:11">
      <c r="A254" s="86" t="s">
        <v>87</v>
      </c>
      <c r="B254" s="73" t="s">
        <v>409</v>
      </c>
      <c r="C254" s="73" t="s">
        <v>410</v>
      </c>
      <c r="D254" s="173">
        <v>0.21</v>
      </c>
      <c r="E254" s="73" t="s">
        <v>411</v>
      </c>
      <c r="F254" s="73"/>
      <c r="G254" s="73"/>
      <c r="H254" s="73"/>
      <c r="I254" s="73"/>
      <c r="J254" s="93"/>
      <c r="K254" s="93"/>
    </row>
    <row r="255" spans="1:11">
      <c r="A255" s="86"/>
      <c r="B255" s="73"/>
      <c r="C255" s="73" t="s">
        <v>412</v>
      </c>
      <c r="D255" s="173">
        <v>4.5499999999999999E-2</v>
      </c>
      <c r="E255" s="73" t="s">
        <v>413</v>
      </c>
      <c r="F255" s="73"/>
      <c r="G255" s="73"/>
      <c r="H255" s="73"/>
      <c r="I255" s="73"/>
      <c r="J255" s="93"/>
      <c r="K255" s="93"/>
    </row>
    <row r="256" spans="1:11">
      <c r="A256" s="86"/>
      <c r="B256" s="73"/>
      <c r="C256" s="73" t="s">
        <v>414</v>
      </c>
      <c r="D256" s="173">
        <v>0</v>
      </c>
      <c r="E256" s="73" t="s">
        <v>415</v>
      </c>
      <c r="F256" s="73"/>
      <c r="G256" s="73"/>
      <c r="H256" s="73"/>
      <c r="I256" s="73"/>
      <c r="J256" s="93"/>
      <c r="K256" s="93"/>
    </row>
    <row r="257" spans="1:11">
      <c r="A257" s="94"/>
      <c r="B257" s="1024"/>
      <c r="C257" s="1024"/>
      <c r="D257" s="1024"/>
      <c r="E257" s="1024"/>
      <c r="F257" s="1024"/>
      <c r="G257" s="1024"/>
      <c r="H257" s="1024"/>
      <c r="I257" s="1024"/>
      <c r="J257" s="93"/>
      <c r="K257" s="93"/>
    </row>
    <row r="258" spans="1:11">
      <c r="A258" s="82" t="s">
        <v>389</v>
      </c>
      <c r="B258" s="104" t="s">
        <v>1094</v>
      </c>
      <c r="J258" s="93"/>
      <c r="K258" s="93"/>
    </row>
    <row r="259" spans="1:11">
      <c r="A259" s="28" t="s">
        <v>391</v>
      </c>
      <c r="B259" s="1026" t="s">
        <v>1095</v>
      </c>
      <c r="C259" s="1026"/>
      <c r="D259" s="1026"/>
      <c r="E259" s="1026"/>
      <c r="F259" s="1026"/>
      <c r="G259" s="1026"/>
      <c r="H259" s="1026"/>
      <c r="I259" s="1026"/>
      <c r="J259" s="93"/>
      <c r="K259" s="93"/>
    </row>
    <row r="260" spans="1:11">
      <c r="A260" s="28" t="s">
        <v>393</v>
      </c>
      <c r="B260" s="1025" t="s">
        <v>1096</v>
      </c>
      <c r="C260" s="1025"/>
      <c r="D260" s="1025"/>
      <c r="E260" s="1025"/>
      <c r="F260" s="1025"/>
      <c r="G260" s="1025"/>
      <c r="H260" s="1025"/>
      <c r="I260" s="1025"/>
      <c r="J260" s="90"/>
      <c r="K260" s="90"/>
    </row>
    <row r="261" spans="1:11">
      <c r="A261" s="94"/>
      <c r="B261" s="1024"/>
      <c r="C261" s="1024"/>
      <c r="D261" s="1024"/>
      <c r="E261" s="1024"/>
      <c r="F261" s="1024"/>
      <c r="G261" s="1024"/>
      <c r="H261" s="1024"/>
      <c r="I261" s="1024"/>
      <c r="J261" s="90"/>
      <c r="K261" s="90"/>
    </row>
    <row r="262" spans="1:11">
      <c r="A262" s="91"/>
      <c r="C262" s="93"/>
      <c r="D262" s="93"/>
      <c r="E262" s="93"/>
      <c r="F262" s="93"/>
      <c r="G262" s="93"/>
      <c r="H262" s="93"/>
      <c r="I262" s="93"/>
      <c r="J262" s="97"/>
      <c r="K262" s="97"/>
    </row>
    <row r="263" spans="1:11">
      <c r="A263" s="96"/>
      <c r="B263" s="95"/>
      <c r="C263" s="90"/>
      <c r="D263" s="90"/>
      <c r="E263" s="90"/>
      <c r="F263" s="90"/>
      <c r="G263" s="90"/>
      <c r="H263" s="90"/>
      <c r="I263" s="90"/>
    </row>
    <row r="264" spans="1:11">
      <c r="A264" s="96"/>
      <c r="B264" s="90"/>
      <c r="C264" s="90"/>
      <c r="D264" s="90"/>
      <c r="E264" s="90"/>
      <c r="F264" s="90"/>
      <c r="G264" s="90"/>
      <c r="H264" s="90"/>
      <c r="I264" s="90"/>
    </row>
    <row r="265" spans="1:11">
      <c r="A265" s="94"/>
      <c r="B265" s="981"/>
      <c r="C265" s="981"/>
      <c r="D265" s="981"/>
      <c r="E265" s="981"/>
      <c r="F265" s="981"/>
      <c r="G265" s="981"/>
      <c r="H265" s="981"/>
      <c r="I265" s="981"/>
      <c r="J265" s="101"/>
      <c r="K265" s="101"/>
    </row>
    <row r="266" spans="1:11" ht="25.5" customHeight="1">
      <c r="A266" s="94"/>
      <c r="J266" s="102"/>
      <c r="K266" s="102"/>
    </row>
    <row r="267" spans="1:11">
      <c r="A267" s="94"/>
      <c r="J267" s="90"/>
      <c r="K267" s="90"/>
    </row>
    <row r="268" spans="1:11">
      <c r="A268" s="91"/>
      <c r="B268" s="98"/>
      <c r="C268" s="98"/>
      <c r="D268" s="98"/>
      <c r="E268" s="98"/>
      <c r="F268" s="98"/>
      <c r="G268" s="98"/>
      <c r="H268" s="99"/>
      <c r="I268" s="100"/>
      <c r="J268" s="90"/>
      <c r="K268" s="90"/>
    </row>
    <row r="269" spans="1:11">
      <c r="A269" s="91"/>
      <c r="J269" s="90"/>
      <c r="K269" s="90"/>
    </row>
    <row r="270" spans="1:11">
      <c r="A270" s="91"/>
      <c r="B270" s="90"/>
      <c r="C270" s="90"/>
      <c r="D270" s="90"/>
      <c r="E270" s="90"/>
      <c r="F270" s="90"/>
      <c r="G270" s="90"/>
      <c r="H270" s="90"/>
      <c r="I270" s="90"/>
      <c r="J270" s="90"/>
      <c r="K270" s="90"/>
    </row>
    <row r="271" spans="1:11">
      <c r="A271" s="91"/>
      <c r="B271" s="90"/>
      <c r="C271" s="90"/>
      <c r="D271" s="90"/>
      <c r="E271" s="90"/>
      <c r="F271" s="90"/>
      <c r="G271" s="90"/>
      <c r="H271" s="90"/>
      <c r="I271" s="90"/>
      <c r="J271" s="90"/>
      <c r="K271" s="90"/>
    </row>
    <row r="272" spans="1:11">
      <c r="A272" s="91"/>
      <c r="C272" s="90"/>
      <c r="D272" s="90"/>
      <c r="E272" s="90"/>
      <c r="F272" s="90"/>
      <c r="G272" s="90"/>
      <c r="H272" s="90"/>
      <c r="I272" s="90"/>
      <c r="J272" s="90"/>
      <c r="K272" s="90"/>
    </row>
    <row r="273" spans="1:9">
      <c r="A273" s="94"/>
      <c r="B273" s="979"/>
      <c r="C273" s="979"/>
      <c r="D273" s="979"/>
      <c r="E273" s="979"/>
      <c r="F273" s="979"/>
      <c r="G273" s="979"/>
      <c r="H273" s="979"/>
      <c r="I273" s="979"/>
    </row>
    <row r="274" spans="1:9">
      <c r="A274" s="91"/>
      <c r="B274" s="103"/>
      <c r="C274" s="90"/>
      <c r="D274" s="90"/>
      <c r="E274" s="90"/>
      <c r="F274" s="90"/>
      <c r="G274" s="90"/>
      <c r="H274" s="90"/>
      <c r="I274" s="90"/>
    </row>
    <row r="275" spans="1:9">
      <c r="A275" s="90"/>
      <c r="B275" s="103"/>
      <c r="C275" s="90"/>
      <c r="D275" s="90"/>
      <c r="E275" s="90"/>
      <c r="F275" s="90"/>
      <c r="G275" s="90"/>
      <c r="H275" s="90"/>
      <c r="I275" s="90"/>
    </row>
  </sheetData>
  <sheetProtection formatCells="0" formatColumns="0"/>
  <mergeCells count="21">
    <mergeCell ref="B265:I265"/>
    <mergeCell ref="B273:I273"/>
    <mergeCell ref="B257:I257"/>
    <mergeCell ref="B260:I260"/>
    <mergeCell ref="G218:K218"/>
    <mergeCell ref="I219:K219"/>
    <mergeCell ref="J220:K220"/>
    <mergeCell ref="B261:I261"/>
    <mergeCell ref="B253:I253"/>
    <mergeCell ref="B259:I259"/>
    <mergeCell ref="N175:S175"/>
    <mergeCell ref="I1:K1"/>
    <mergeCell ref="J2:K2"/>
    <mergeCell ref="I36:K36"/>
    <mergeCell ref="J37:K37"/>
    <mergeCell ref="I92:K92"/>
    <mergeCell ref="J93:K93"/>
    <mergeCell ref="F156:K156"/>
    <mergeCell ref="I157:K157"/>
    <mergeCell ref="J158:K158"/>
    <mergeCell ref="G160:K160"/>
  </mergeCells>
  <pageMargins left="0.5" right="0.25" top="1" bottom="1" header="0.5" footer="0.5"/>
  <pageSetup scale="57" fitToHeight="5" orientation="portrait" r:id="rId1"/>
  <headerFooter alignWithMargins="0"/>
  <rowBreaks count="4" manualBreakCount="4">
    <brk id="35" max="10" man="1"/>
    <brk id="91" max="10" man="1"/>
    <brk id="156" max="10" man="1"/>
    <brk id="218" max="10" man="1"/>
  </rowBreaks>
  <ignoredErrors>
    <ignoredError sqref="D104:D107 D118:D122 D126:D131 D66 I168:I170 I176:I177 D186:D189 D211:D213 I217 D232:D236 D240:D244 D82 D29:D35 I92 I157 I219 I199:I207 D193:D195 D69:D80 D85:D88 I23 I36:K43 D49:D50 D140:D149 G211:G213 D133 D109:D115 J44:K44 D61:D62 D53:D56 D51:D52 D57:D60 D63:D64 I149" unlockedFormula="1"/>
    <ignoredError sqref="I73:I78 G110 G70" formula="1"/>
    <ignoredError sqref="A44:G44 B100:I100 B227:I227 B166:I166" numberStoredAsText="1"/>
    <ignoredError sqref="I44" numberStoredAsText="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zoomScale="90" zoomScaleNormal="90" workbookViewId="0">
      <selection activeCell="O6" sqref="O6"/>
    </sheetView>
  </sheetViews>
  <sheetFormatPr defaultColWidth="8.6640625" defaultRowHeight="12.75"/>
  <cols>
    <col min="1" max="1" width="3.109375" style="568" customWidth="1"/>
    <col min="2" max="2" width="8.5546875" style="279" customWidth="1"/>
    <col min="3" max="3" width="4.6640625" style="279" hidden="1" customWidth="1"/>
    <col min="4" max="4" width="12.21875" style="279" customWidth="1"/>
    <col min="5" max="5" width="11.21875" style="279" bestFit="1" customWidth="1"/>
    <col min="6" max="6" width="11.109375" style="279" bestFit="1" customWidth="1"/>
    <col min="7" max="7" width="16.109375" style="279" customWidth="1"/>
    <col min="8" max="8" width="12" style="279" bestFit="1" customWidth="1"/>
    <col min="9" max="9" width="13.109375" style="279" bestFit="1" customWidth="1"/>
    <col min="10" max="10" width="10.21875" style="279" bestFit="1" customWidth="1"/>
    <col min="11" max="12" width="10.21875" style="279" customWidth="1"/>
    <col min="13" max="14" width="10.6640625" style="279" customWidth="1"/>
    <col min="15" max="15" width="9.5546875" style="279" bestFit="1" customWidth="1"/>
    <col min="16" max="16" width="11.109375" style="279" customWidth="1"/>
    <col min="17" max="17" width="12.21875" style="279" customWidth="1"/>
    <col min="18" max="18" width="11.109375" style="279" customWidth="1"/>
    <col min="19" max="20" width="9.5546875" style="279" customWidth="1"/>
    <col min="21" max="21" width="11.109375" style="279" customWidth="1"/>
    <col min="22" max="22" width="11.6640625" style="279" customWidth="1"/>
    <col min="23" max="27" width="11.109375" style="279" customWidth="1"/>
    <col min="28" max="28" width="11.21875" style="279" customWidth="1"/>
    <col min="29" max="29" width="10.21875" style="279" customWidth="1"/>
    <col min="30" max="30" width="8.6640625" style="279"/>
    <col min="31" max="31" width="12.6640625" style="279" customWidth="1"/>
    <col min="32" max="32" width="13" style="279" customWidth="1"/>
    <col min="33" max="33" width="13.44140625" style="279" customWidth="1"/>
    <col min="34" max="34" width="10.5546875" style="279" customWidth="1"/>
    <col min="35" max="35" width="8.6640625" style="279"/>
    <col min="36" max="36" width="9.5546875" style="279" customWidth="1"/>
    <col min="37" max="37" width="13.44140625" style="279" customWidth="1"/>
    <col min="38" max="38" width="10.6640625" style="279" customWidth="1"/>
    <col min="39" max="39" width="10.21875" style="279" customWidth="1"/>
    <col min="40" max="40" width="11.109375" style="279" customWidth="1"/>
    <col min="41" max="16384" width="8.6640625" style="279"/>
  </cols>
  <sheetData>
    <row r="1" spans="1:38" ht="13.35" customHeight="1">
      <c r="A1" s="566"/>
      <c r="B1" s="537" t="s">
        <v>61</v>
      </c>
      <c r="C1" s="537"/>
      <c r="D1" s="537"/>
      <c r="E1" s="537"/>
      <c r="F1" s="537"/>
      <c r="G1" s="537"/>
      <c r="H1" s="537"/>
      <c r="I1" s="537"/>
      <c r="J1" s="537"/>
      <c r="K1" s="369"/>
      <c r="L1" s="369"/>
      <c r="M1" s="482"/>
      <c r="N1" s="482"/>
      <c r="Q1" s="482"/>
      <c r="AA1" s="1033"/>
      <c r="AB1" s="1033"/>
      <c r="AK1" s="1033" t="s">
        <v>1097</v>
      </c>
      <c r="AL1" s="1033"/>
    </row>
    <row r="2" spans="1:38" ht="13.35" customHeight="1">
      <c r="A2" s="566"/>
      <c r="B2" s="537" t="s">
        <v>1098</v>
      </c>
      <c r="C2" s="537"/>
      <c r="D2" s="537"/>
      <c r="E2" s="537"/>
      <c r="F2" s="537"/>
      <c r="G2" s="537"/>
      <c r="H2" s="537"/>
      <c r="I2" s="537"/>
      <c r="J2" s="537"/>
      <c r="K2" s="369"/>
      <c r="L2" s="369"/>
      <c r="M2" s="483"/>
      <c r="N2" s="483"/>
      <c r="Q2" s="483"/>
      <c r="AB2" s="483"/>
      <c r="AL2" s="483"/>
    </row>
    <row r="3" spans="1:38" ht="13.35" customHeight="1">
      <c r="A3" s="567"/>
      <c r="B3" s="537" t="str">
        <f>'Act Att-H'!C7</f>
        <v>Black Hills Colorado Electric, LLC</v>
      </c>
      <c r="C3" s="537"/>
      <c r="D3" s="537"/>
      <c r="E3" s="537"/>
      <c r="F3" s="537"/>
      <c r="G3" s="537"/>
      <c r="H3" s="537"/>
      <c r="I3" s="537"/>
      <c r="J3" s="537"/>
      <c r="K3" s="369"/>
      <c r="L3" s="369"/>
      <c r="P3" s="948"/>
      <c r="Q3" s="948"/>
    </row>
    <row r="4" spans="1:38" ht="13.35" customHeight="1">
      <c r="B4" s="948"/>
      <c r="G4" s="948"/>
      <c r="I4" s="280"/>
      <c r="J4" s="280" t="s">
        <v>1099</v>
      </c>
      <c r="K4" s="280"/>
      <c r="L4" s="948"/>
      <c r="M4" s="948"/>
      <c r="P4" s="280"/>
      <c r="Q4" s="280" t="s">
        <v>1100</v>
      </c>
      <c r="V4" s="280" t="s">
        <v>1101</v>
      </c>
      <c r="AA4" s="280" t="s">
        <v>1102</v>
      </c>
      <c r="AL4" s="279" t="s">
        <v>1101</v>
      </c>
    </row>
    <row r="5" spans="1:38">
      <c r="G5" s="57"/>
      <c r="H5" s="57"/>
      <c r="I5" s="57"/>
      <c r="J5" s="57"/>
      <c r="K5" s="57"/>
      <c r="L5" s="57"/>
      <c r="AA5" s="280"/>
    </row>
    <row r="6" spans="1:38">
      <c r="B6" s="1027"/>
      <c r="C6" s="1027"/>
      <c r="D6" s="1027"/>
      <c r="E6" s="1027"/>
      <c r="F6" s="1028"/>
      <c r="G6" s="484"/>
      <c r="H6" s="485"/>
      <c r="I6" s="485"/>
      <c r="J6" s="486"/>
      <c r="K6" s="283"/>
      <c r="L6" s="283"/>
      <c r="M6" s="283"/>
      <c r="N6" s="283"/>
      <c r="Q6" s="283"/>
      <c r="X6" s="284"/>
    </row>
    <row r="7" spans="1:38">
      <c r="B7" s="1029" t="s">
        <v>1103</v>
      </c>
      <c r="C7" s="1029"/>
      <c r="D7" s="1029"/>
      <c r="E7" s="1029"/>
      <c r="F7" s="1029"/>
      <c r="G7" s="1030" t="s">
        <v>1104</v>
      </c>
      <c r="H7" s="1031"/>
      <c r="I7" s="1031"/>
      <c r="J7" s="1032"/>
      <c r="K7" s="558"/>
      <c r="L7" s="558"/>
      <c r="M7" s="352"/>
      <c r="N7" s="352"/>
      <c r="Q7" s="352"/>
    </row>
    <row r="8" spans="1:38">
      <c r="G8" s="487"/>
      <c r="H8" s="414"/>
      <c r="I8" s="414"/>
      <c r="J8" s="573"/>
      <c r="K8" s="579"/>
      <c r="L8" s="580"/>
      <c r="M8" s="485"/>
      <c r="N8" s="485"/>
      <c r="O8" s="485"/>
      <c r="P8" s="402"/>
      <c r="Q8" s="587"/>
      <c r="R8" s="484"/>
      <c r="S8" s="1038" t="s">
        <v>1105</v>
      </c>
      <c r="T8" s="1038"/>
      <c r="U8" s="1038"/>
      <c r="V8" s="1039"/>
      <c r="W8" s="1037" t="s">
        <v>1106</v>
      </c>
      <c r="X8" s="1038"/>
      <c r="Y8" s="1038"/>
      <c r="Z8" s="1038"/>
      <c r="AA8" s="1039"/>
    </row>
    <row r="9" spans="1:38">
      <c r="G9" s="353"/>
      <c r="H9" s="414"/>
      <c r="I9" s="414" t="s">
        <v>1107</v>
      </c>
      <c r="J9" s="488" t="s">
        <v>1107</v>
      </c>
      <c r="K9" s="489"/>
      <c r="L9" s="1034" t="s">
        <v>1108</v>
      </c>
      <c r="M9" s="1034"/>
      <c r="N9" s="303"/>
      <c r="O9" s="303"/>
      <c r="P9" s="1035" t="s">
        <v>1109</v>
      </c>
      <c r="Q9" s="1036"/>
      <c r="R9" s="354"/>
      <c r="S9" s="282"/>
      <c r="T9" s="282"/>
      <c r="U9" s="282"/>
      <c r="V9" s="289"/>
      <c r="W9" s="354"/>
      <c r="X9" s="282"/>
      <c r="Y9" s="282"/>
      <c r="Z9" s="282"/>
      <c r="AA9" s="289"/>
    </row>
    <row r="10" spans="1:38">
      <c r="B10" s="393" t="s">
        <v>635</v>
      </c>
      <c r="G10" s="489" t="s">
        <v>1110</v>
      </c>
      <c r="H10" s="303"/>
      <c r="I10" s="303" t="s">
        <v>849</v>
      </c>
      <c r="J10" s="490" t="s">
        <v>1111</v>
      </c>
      <c r="K10" s="489" t="s">
        <v>1112</v>
      </c>
      <c r="L10" s="1034" t="s">
        <v>1113</v>
      </c>
      <c r="M10" s="1034"/>
      <c r="N10" s="1034" t="s">
        <v>1114</v>
      </c>
      <c r="O10" s="1034"/>
      <c r="P10" s="1035" t="s">
        <v>1115</v>
      </c>
      <c r="Q10" s="1036"/>
      <c r="R10" s="489" t="s">
        <v>1116</v>
      </c>
      <c r="S10" s="303" t="s">
        <v>1117</v>
      </c>
      <c r="T10" s="303" t="s">
        <v>1118</v>
      </c>
      <c r="U10" s="303"/>
      <c r="V10" s="490"/>
      <c r="W10" s="489" t="s">
        <v>1116</v>
      </c>
      <c r="X10" s="303" t="s">
        <v>1117</v>
      </c>
      <c r="Y10" s="303" t="s">
        <v>1118</v>
      </c>
      <c r="Z10" s="303"/>
      <c r="AA10" s="490"/>
    </row>
    <row r="11" spans="1:38" ht="16.5" customHeight="1" thickBot="1">
      <c r="A11" s="570" t="s">
        <v>1119</v>
      </c>
      <c r="B11" s="491" t="s">
        <v>1120</v>
      </c>
      <c r="C11" s="491"/>
      <c r="D11" s="491" t="s">
        <v>1121</v>
      </c>
      <c r="E11" s="491" t="s">
        <v>849</v>
      </c>
      <c r="F11" s="491" t="s">
        <v>1122</v>
      </c>
      <c r="G11" s="492" t="s">
        <v>1123</v>
      </c>
      <c r="H11" s="493" t="s">
        <v>1124</v>
      </c>
      <c r="I11" s="493" t="s">
        <v>1125</v>
      </c>
      <c r="J11" s="494" t="s">
        <v>849</v>
      </c>
      <c r="K11" s="560" t="s">
        <v>1126</v>
      </c>
      <c r="L11" s="561" t="s">
        <v>1105</v>
      </c>
      <c r="M11" s="561" t="s">
        <v>1106</v>
      </c>
      <c r="N11" s="561" t="s">
        <v>1105</v>
      </c>
      <c r="O11" s="561" t="s">
        <v>1106</v>
      </c>
      <c r="P11" s="561" t="s">
        <v>1105</v>
      </c>
      <c r="Q11" s="674" t="s">
        <v>1106</v>
      </c>
      <c r="R11" s="564" t="s">
        <v>833</v>
      </c>
      <c r="S11" s="562" t="s">
        <v>849</v>
      </c>
      <c r="T11" s="562" t="s">
        <v>1127</v>
      </c>
      <c r="U11" s="562" t="s">
        <v>1128</v>
      </c>
      <c r="V11" s="565" t="s">
        <v>1129</v>
      </c>
      <c r="W11" s="564" t="s">
        <v>833</v>
      </c>
      <c r="X11" s="562" t="s">
        <v>849</v>
      </c>
      <c r="Y11" s="562" t="s">
        <v>1127</v>
      </c>
      <c r="Z11" s="562" t="s">
        <v>1128</v>
      </c>
      <c r="AA11" s="565" t="s">
        <v>1129</v>
      </c>
    </row>
    <row r="12" spans="1:38">
      <c r="A12" s="569">
        <v>1</v>
      </c>
      <c r="G12" s="354"/>
      <c r="H12" s="495"/>
      <c r="I12" s="496">
        <f>IF('Act Att-H'!D46=0,0,ROUND('Act Att-H'!D119/'Act Att-H'!D46,6)/12)</f>
        <v>1.4213333333333335E-3</v>
      </c>
      <c r="J12" s="497"/>
      <c r="K12" s="354"/>
      <c r="L12" s="282"/>
      <c r="M12" s="282"/>
      <c r="N12" s="282"/>
      <c r="O12" s="282"/>
      <c r="P12" s="779">
        <v>19294636</v>
      </c>
      <c r="Q12" s="780">
        <v>18234476</v>
      </c>
      <c r="R12" s="354"/>
      <c r="S12" s="282"/>
      <c r="T12" s="282"/>
      <c r="U12" s="282"/>
      <c r="V12" s="289"/>
      <c r="W12" s="354"/>
      <c r="X12" s="282"/>
      <c r="Y12" s="282"/>
      <c r="Z12" s="282"/>
      <c r="AA12" s="289"/>
    </row>
    <row r="13" spans="1:38">
      <c r="A13" s="569">
        <v>2</v>
      </c>
      <c r="G13" s="354"/>
      <c r="H13" s="282"/>
      <c r="I13" s="498"/>
      <c r="J13" s="289"/>
      <c r="K13" s="354"/>
      <c r="L13" s="282"/>
      <c r="M13" s="282"/>
      <c r="N13" s="282" t="s">
        <v>1130</v>
      </c>
      <c r="O13" s="282"/>
      <c r="P13" s="783">
        <f>'Act Att-H'!G50</f>
        <v>0.20957843468829235</v>
      </c>
      <c r="Q13" s="912">
        <f>'Proj Att-H'!G237</f>
        <v>0.25058740269574026</v>
      </c>
      <c r="R13" s="354"/>
      <c r="S13" s="282"/>
      <c r="T13" s="282"/>
      <c r="U13" s="282"/>
      <c r="V13" s="289"/>
      <c r="W13" s="354"/>
      <c r="X13" s="282"/>
      <c r="Y13" s="282"/>
      <c r="Z13" s="282"/>
      <c r="AA13" s="289"/>
    </row>
    <row r="14" spans="1:38" ht="25.5" customHeight="1">
      <c r="A14" s="569">
        <v>3</v>
      </c>
      <c r="B14" s="297"/>
      <c r="C14" s="297"/>
      <c r="D14" s="499"/>
      <c r="E14" s="500"/>
      <c r="F14" s="288"/>
      <c r="G14" s="575" t="s">
        <v>1131</v>
      </c>
      <c r="H14" s="781">
        <f>'A4-Rate Base'!D22</f>
        <v>242287439.33000001</v>
      </c>
      <c r="I14" s="500"/>
      <c r="J14" s="782">
        <f>'A4-Rate Base'!F45</f>
        <v>46014390.079741739</v>
      </c>
      <c r="K14" s="354"/>
      <c r="L14" s="282"/>
      <c r="M14" s="288"/>
      <c r="N14" s="288"/>
      <c r="O14" s="282"/>
      <c r="P14" s="151">
        <f>P12*P13</f>
        <v>4043739.6107603745</v>
      </c>
      <c r="Q14" s="913">
        <f>Q12*Q13</f>
        <v>4569329.9803578109</v>
      </c>
      <c r="R14" s="354"/>
      <c r="S14" s="282"/>
      <c r="T14" s="282"/>
      <c r="U14" s="282"/>
      <c r="V14" s="289"/>
      <c r="W14" s="354"/>
      <c r="X14" s="282"/>
      <c r="Y14" s="282"/>
      <c r="Z14" s="282"/>
      <c r="AA14" s="289"/>
    </row>
    <row r="15" spans="1:38">
      <c r="G15" s="354"/>
      <c r="H15" s="282"/>
      <c r="I15" s="282"/>
      <c r="J15" s="289"/>
      <c r="K15" s="354"/>
      <c r="L15" s="282"/>
      <c r="M15" s="282"/>
      <c r="N15" s="282"/>
      <c r="O15" s="282"/>
      <c r="P15" s="285"/>
      <c r="Q15" s="675"/>
      <c r="R15" s="354"/>
      <c r="S15" s="282"/>
      <c r="T15" s="282"/>
      <c r="U15" s="282"/>
      <c r="V15" s="289"/>
      <c r="W15" s="354"/>
      <c r="X15" s="282"/>
      <c r="Y15" s="282"/>
      <c r="Z15" s="282"/>
      <c r="AA15" s="289"/>
    </row>
    <row r="16" spans="1:38" s="574" customFormat="1">
      <c r="A16" s="713"/>
      <c r="B16" s="714" t="s">
        <v>458</v>
      </c>
      <c r="C16" s="714"/>
      <c r="D16" s="714" t="s">
        <v>459</v>
      </c>
      <c r="E16" s="714" t="s">
        <v>460</v>
      </c>
      <c r="F16" s="714" t="s">
        <v>461</v>
      </c>
      <c r="G16" s="715" t="s">
        <v>479</v>
      </c>
      <c r="H16" s="714" t="s">
        <v>480</v>
      </c>
      <c r="I16" s="714" t="s">
        <v>565</v>
      </c>
      <c r="J16" s="716" t="s">
        <v>566</v>
      </c>
      <c r="K16" s="715" t="s">
        <v>567</v>
      </c>
      <c r="L16" s="714" t="s">
        <v>568</v>
      </c>
      <c r="M16" s="717" t="s">
        <v>569</v>
      </c>
      <c r="N16" s="714" t="s">
        <v>570</v>
      </c>
      <c r="O16" s="714" t="s">
        <v>854</v>
      </c>
      <c r="P16" s="714" t="s">
        <v>1132</v>
      </c>
      <c r="Q16" s="718" t="s">
        <v>1133</v>
      </c>
      <c r="R16" s="715" t="s">
        <v>1134</v>
      </c>
      <c r="S16" s="714" t="s">
        <v>1135</v>
      </c>
      <c r="T16" s="714" t="s">
        <v>1136</v>
      </c>
      <c r="U16" s="714" t="s">
        <v>1137</v>
      </c>
      <c r="V16" s="716" t="s">
        <v>1138</v>
      </c>
      <c r="W16" s="715" t="s">
        <v>1139</v>
      </c>
      <c r="X16" s="714" t="s">
        <v>1140</v>
      </c>
      <c r="Y16" s="714" t="s">
        <v>1141</v>
      </c>
      <c r="Z16" s="714" t="s">
        <v>1142</v>
      </c>
      <c r="AA16" s="716" t="s">
        <v>1143</v>
      </c>
    </row>
    <row r="17" spans="1:27">
      <c r="G17" s="355"/>
      <c r="H17" s="290"/>
      <c r="I17" s="282"/>
      <c r="J17" s="289"/>
      <c r="K17" s="354"/>
      <c r="L17" s="282"/>
      <c r="M17" s="282"/>
      <c r="N17" s="282"/>
      <c r="O17" s="282"/>
      <c r="P17" s="285"/>
      <c r="Q17" s="675"/>
      <c r="R17" s="354"/>
      <c r="S17" s="282"/>
      <c r="T17" s="282"/>
      <c r="U17" s="282"/>
      <c r="V17" s="289"/>
      <c r="W17" s="354"/>
      <c r="X17" s="282"/>
      <c r="Y17" s="282"/>
      <c r="Z17" s="282"/>
      <c r="AA17" s="289"/>
    </row>
    <row r="18" spans="1:27">
      <c r="A18" s="569">
        <f>+A14+1</f>
        <v>4</v>
      </c>
      <c r="B18" s="764">
        <v>44562</v>
      </c>
      <c r="C18" s="501"/>
      <c r="D18" s="411">
        <f>H18</f>
        <v>242008196.83000001</v>
      </c>
      <c r="E18" s="411">
        <f>I18</f>
        <v>344371.21376770671</v>
      </c>
      <c r="F18" s="411">
        <f>J18</f>
        <v>46358761.293509446</v>
      </c>
      <c r="G18" s="502">
        <v>-279242.50000000012</v>
      </c>
      <c r="H18" s="503">
        <f>H$14+G18</f>
        <v>242008196.83000001</v>
      </c>
      <c r="I18" s="504">
        <f>I$12*H14</f>
        <v>344371.21376770671</v>
      </c>
      <c r="J18" s="505">
        <f>J14+I18</f>
        <v>46358761.293509446</v>
      </c>
      <c r="K18" s="676">
        <f>G18</f>
        <v>-279242.50000000012</v>
      </c>
      <c r="L18" s="559">
        <v>0.05</v>
      </c>
      <c r="M18" s="559">
        <v>9.5000000000000001E-2</v>
      </c>
      <c r="N18" s="282">
        <f t="shared" ref="N18:N29" si="0">K18*L18</f>
        <v>-13962.125000000007</v>
      </c>
      <c r="O18" s="282">
        <f t="shared" ref="O18:O29" si="1">K18*M18</f>
        <v>-26528.037500000013</v>
      </c>
      <c r="P18" s="285">
        <f t="shared" ref="P18:P29" si="2">(P$14)/12</f>
        <v>336978.30089669785</v>
      </c>
      <c r="Q18" s="677"/>
      <c r="R18" s="686">
        <f>N$42/12+P18</f>
        <v>443118.30055028124</v>
      </c>
      <c r="S18" s="687">
        <f>E18</f>
        <v>344371.21376770671</v>
      </c>
      <c r="T18" s="687">
        <f>S18-R18</f>
        <v>-98747.086782574537</v>
      </c>
      <c r="U18" s="688">
        <f>+'Proj Att-H'!$D$136</f>
        <v>0.24594499999999997</v>
      </c>
      <c r="V18" s="689">
        <f>T18*U18</f>
        <v>-24286.352258740291</v>
      </c>
      <c r="W18" s="690"/>
      <c r="X18" s="678"/>
      <c r="Y18" s="678"/>
      <c r="Z18" s="678"/>
      <c r="AA18" s="677"/>
    </row>
    <row r="19" spans="1:27">
      <c r="A19" s="569">
        <f t="shared" ref="A19:A41" si="3">+A18+1</f>
        <v>5</v>
      </c>
      <c r="B19" s="764">
        <v>44593</v>
      </c>
      <c r="C19" s="501"/>
      <c r="D19" s="411">
        <f t="shared" ref="D19:D41" si="4">H19</f>
        <v>242007862.74000001</v>
      </c>
      <c r="E19" s="411">
        <f t="shared" ref="E19:E41" si="5">I19</f>
        <v>343974.3170943734</v>
      </c>
      <c r="F19" s="411">
        <f t="shared" ref="F19:F41" si="6">J19</f>
        <v>46702735.610603817</v>
      </c>
      <c r="G19" s="502">
        <v>-279576.59000000008</v>
      </c>
      <c r="H19" s="503">
        <f t="shared" ref="H19:H41" si="7">H$14+G19</f>
        <v>242007862.74000001</v>
      </c>
      <c r="I19" s="504">
        <f>I$12*H18</f>
        <v>343974.3170943734</v>
      </c>
      <c r="J19" s="505">
        <f t="shared" ref="J19:J41" si="8">J18+I19</f>
        <v>46702735.610603817</v>
      </c>
      <c r="K19" s="676">
        <f>G19-G18</f>
        <v>-334.0899999999674</v>
      </c>
      <c r="L19" s="559">
        <v>0.05</v>
      </c>
      <c r="M19" s="559">
        <v>9.5000000000000001E-2</v>
      </c>
      <c r="N19" s="282">
        <f t="shared" si="0"/>
        <v>-16.704499999998372</v>
      </c>
      <c r="O19" s="282">
        <f t="shared" si="1"/>
        <v>-31.738549999996902</v>
      </c>
      <c r="P19" s="285">
        <f t="shared" si="2"/>
        <v>336978.30089669785</v>
      </c>
      <c r="Q19" s="677"/>
      <c r="R19" s="686">
        <f t="shared" ref="R19:R29" si="9">N$42/12+P19</f>
        <v>443118.30055028124</v>
      </c>
      <c r="S19" s="687">
        <f t="shared" ref="S19:S29" si="10">E19</f>
        <v>343974.3170943734</v>
      </c>
      <c r="T19" s="687">
        <f t="shared" ref="T19:T29" si="11">S19-R19</f>
        <v>-99143.983455907844</v>
      </c>
      <c r="U19" s="688">
        <f>+'Proj Att-H'!$D$136</f>
        <v>0.24594499999999997</v>
      </c>
      <c r="V19" s="689">
        <f t="shared" ref="V19:V29" si="12">T19*U19</f>
        <v>-24383.967011063251</v>
      </c>
      <c r="W19" s="690"/>
      <c r="X19" s="678"/>
      <c r="Y19" s="678"/>
      <c r="Z19" s="678"/>
      <c r="AA19" s="677"/>
    </row>
    <row r="20" spans="1:27">
      <c r="A20" s="569">
        <f t="shared" si="3"/>
        <v>6</v>
      </c>
      <c r="B20" s="764">
        <v>44621</v>
      </c>
      <c r="C20" s="501"/>
      <c r="D20" s="411">
        <f t="shared" si="4"/>
        <v>242108066.32000002</v>
      </c>
      <c r="E20" s="411">
        <f t="shared" si="5"/>
        <v>343973.84224112006</v>
      </c>
      <c r="F20" s="411">
        <f t="shared" si="6"/>
        <v>47046709.45284494</v>
      </c>
      <c r="G20" s="502">
        <v>-179373.01000000007</v>
      </c>
      <c r="H20" s="503">
        <f t="shared" si="7"/>
        <v>242108066.32000002</v>
      </c>
      <c r="I20" s="504">
        <f t="shared" ref="I20:I41" si="13">I$12*H19</f>
        <v>343973.84224112006</v>
      </c>
      <c r="J20" s="505">
        <f t="shared" si="8"/>
        <v>47046709.45284494</v>
      </c>
      <c r="K20" s="676">
        <f t="shared" ref="K20:K41" si="14">G20-G19</f>
        <v>100203.58000000002</v>
      </c>
      <c r="L20" s="559">
        <v>0.05</v>
      </c>
      <c r="M20" s="559">
        <v>9.5000000000000001E-2</v>
      </c>
      <c r="N20" s="282">
        <f t="shared" si="0"/>
        <v>5010.179000000001</v>
      </c>
      <c r="O20" s="282">
        <f t="shared" si="1"/>
        <v>9519.3401000000013</v>
      </c>
      <c r="P20" s="285">
        <f t="shared" si="2"/>
        <v>336978.30089669785</v>
      </c>
      <c r="Q20" s="677"/>
      <c r="R20" s="686">
        <f t="shared" si="9"/>
        <v>443118.30055028124</v>
      </c>
      <c r="S20" s="687">
        <f t="shared" si="10"/>
        <v>343973.84224112006</v>
      </c>
      <c r="T20" s="687">
        <f t="shared" si="11"/>
        <v>-99144.458309161186</v>
      </c>
      <c r="U20" s="688">
        <f>+'Proj Att-H'!$D$136</f>
        <v>0.24594499999999997</v>
      </c>
      <c r="V20" s="689">
        <f t="shared" si="12"/>
        <v>-24384.083798846645</v>
      </c>
      <c r="W20" s="690"/>
      <c r="X20" s="678"/>
      <c r="Y20" s="678"/>
      <c r="Z20" s="678"/>
      <c r="AA20" s="677"/>
    </row>
    <row r="21" spans="1:27">
      <c r="A21" s="569">
        <f t="shared" si="3"/>
        <v>7</v>
      </c>
      <c r="B21" s="764">
        <v>44652</v>
      </c>
      <c r="C21" s="501"/>
      <c r="D21" s="411">
        <f t="shared" si="4"/>
        <v>258428938.84</v>
      </c>
      <c r="E21" s="411">
        <f t="shared" si="5"/>
        <v>344116.26492949342</v>
      </c>
      <c r="F21" s="411">
        <f t="shared" si="6"/>
        <v>47390825.717774436</v>
      </c>
      <c r="G21" s="502">
        <v>16141499.509999998</v>
      </c>
      <c r="H21" s="503">
        <f t="shared" si="7"/>
        <v>258428938.84</v>
      </c>
      <c r="I21" s="504">
        <f t="shared" si="13"/>
        <v>344116.26492949342</v>
      </c>
      <c r="J21" s="505">
        <f t="shared" si="8"/>
        <v>47390825.717774436</v>
      </c>
      <c r="K21" s="676">
        <f t="shared" si="14"/>
        <v>16320872.519999998</v>
      </c>
      <c r="L21" s="559">
        <v>0.05</v>
      </c>
      <c r="M21" s="559">
        <v>9.5000000000000001E-2</v>
      </c>
      <c r="N21" s="282">
        <f t="shared" si="0"/>
        <v>816043.62599999993</v>
      </c>
      <c r="O21" s="282">
        <f t="shared" si="1"/>
        <v>1550482.8893999998</v>
      </c>
      <c r="P21" s="285">
        <f t="shared" si="2"/>
        <v>336978.30089669785</v>
      </c>
      <c r="Q21" s="677"/>
      <c r="R21" s="686">
        <f t="shared" si="9"/>
        <v>443118.30055028124</v>
      </c>
      <c r="S21" s="687">
        <f t="shared" si="10"/>
        <v>344116.26492949342</v>
      </c>
      <c r="T21" s="687">
        <f t="shared" si="11"/>
        <v>-99002.035620787821</v>
      </c>
      <c r="U21" s="688">
        <f>+'Proj Att-H'!$D$136</f>
        <v>0.24594499999999997</v>
      </c>
      <c r="V21" s="689">
        <f t="shared" si="12"/>
        <v>-24349.055650754657</v>
      </c>
      <c r="W21" s="690"/>
      <c r="X21" s="678"/>
      <c r="Y21" s="678"/>
      <c r="Z21" s="678"/>
      <c r="AA21" s="677"/>
    </row>
    <row r="22" spans="1:27">
      <c r="A22" s="569">
        <f t="shared" si="3"/>
        <v>8</v>
      </c>
      <c r="B22" s="764">
        <v>44682</v>
      </c>
      <c r="C22" s="501"/>
      <c r="D22" s="411">
        <f t="shared" si="4"/>
        <v>259093364.32000002</v>
      </c>
      <c r="E22" s="411">
        <f t="shared" si="5"/>
        <v>367313.66507125337</v>
      </c>
      <c r="F22" s="411">
        <f t="shared" si="6"/>
        <v>47758139.382845692</v>
      </c>
      <c r="G22" s="502">
        <v>16805924.989999998</v>
      </c>
      <c r="H22" s="503">
        <f t="shared" si="7"/>
        <v>259093364.32000002</v>
      </c>
      <c r="I22" s="504">
        <f t="shared" si="13"/>
        <v>367313.66507125337</v>
      </c>
      <c r="J22" s="505">
        <f t="shared" si="8"/>
        <v>47758139.382845692</v>
      </c>
      <c r="K22" s="676">
        <f t="shared" si="14"/>
        <v>664425.48000000045</v>
      </c>
      <c r="L22" s="559">
        <v>0.05</v>
      </c>
      <c r="M22" s="559">
        <v>9.5000000000000001E-2</v>
      </c>
      <c r="N22" s="282">
        <f t="shared" si="0"/>
        <v>33221.274000000027</v>
      </c>
      <c r="O22" s="282">
        <f t="shared" si="1"/>
        <v>63120.420600000041</v>
      </c>
      <c r="P22" s="285">
        <f t="shared" si="2"/>
        <v>336978.30089669785</v>
      </c>
      <c r="Q22" s="677"/>
      <c r="R22" s="686">
        <f t="shared" si="9"/>
        <v>443118.30055028124</v>
      </c>
      <c r="S22" s="687">
        <f t="shared" si="10"/>
        <v>367313.66507125337</v>
      </c>
      <c r="T22" s="687">
        <f t="shared" si="11"/>
        <v>-75804.635479027871</v>
      </c>
      <c r="U22" s="688">
        <f>+'Proj Att-H'!$D$136</f>
        <v>0.24594499999999997</v>
      </c>
      <c r="V22" s="689">
        <f t="shared" si="12"/>
        <v>-18643.771072889507</v>
      </c>
      <c r="W22" s="690"/>
      <c r="X22" s="678"/>
      <c r="Y22" s="678"/>
      <c r="Z22" s="678"/>
      <c r="AA22" s="677"/>
    </row>
    <row r="23" spans="1:27">
      <c r="A23" s="569">
        <f t="shared" si="3"/>
        <v>9</v>
      </c>
      <c r="B23" s="764">
        <v>44713</v>
      </c>
      <c r="C23" s="501"/>
      <c r="D23" s="411">
        <f t="shared" si="4"/>
        <v>260478240.71000001</v>
      </c>
      <c r="E23" s="411">
        <f t="shared" si="5"/>
        <v>368258.0351534934</v>
      </c>
      <c r="F23" s="411">
        <f t="shared" si="6"/>
        <v>48126397.417999186</v>
      </c>
      <c r="G23" s="502">
        <v>18190801.379999999</v>
      </c>
      <c r="H23" s="503">
        <f t="shared" si="7"/>
        <v>260478240.71000001</v>
      </c>
      <c r="I23" s="504">
        <f t="shared" si="13"/>
        <v>368258.0351534934</v>
      </c>
      <c r="J23" s="505">
        <f t="shared" si="8"/>
        <v>48126397.417999186</v>
      </c>
      <c r="K23" s="676">
        <f t="shared" si="14"/>
        <v>1384876.3900000006</v>
      </c>
      <c r="L23" s="559">
        <v>0.05</v>
      </c>
      <c r="M23" s="559">
        <v>9.5000000000000001E-2</v>
      </c>
      <c r="N23" s="282">
        <f t="shared" si="0"/>
        <v>69243.819500000027</v>
      </c>
      <c r="O23" s="282">
        <f t="shared" si="1"/>
        <v>131563.25705000004</v>
      </c>
      <c r="P23" s="285">
        <f t="shared" si="2"/>
        <v>336978.30089669785</v>
      </c>
      <c r="Q23" s="677"/>
      <c r="R23" s="686">
        <f t="shared" si="9"/>
        <v>443118.30055028124</v>
      </c>
      <c r="S23" s="687">
        <f t="shared" si="10"/>
        <v>368258.0351534934</v>
      </c>
      <c r="T23" s="687">
        <f t="shared" si="11"/>
        <v>-74860.265396787843</v>
      </c>
      <c r="U23" s="688">
        <f>+'Proj Att-H'!$D$136</f>
        <v>0.24594499999999997</v>
      </c>
      <c r="V23" s="689">
        <f t="shared" si="12"/>
        <v>-18411.507973012984</v>
      </c>
      <c r="W23" s="690"/>
      <c r="X23" s="678"/>
      <c r="Y23" s="678"/>
      <c r="Z23" s="678"/>
      <c r="AA23" s="677"/>
    </row>
    <row r="24" spans="1:27">
      <c r="A24" s="569">
        <f t="shared" si="3"/>
        <v>10</v>
      </c>
      <c r="B24" s="764">
        <v>44743</v>
      </c>
      <c r="C24" s="501"/>
      <c r="D24" s="411">
        <f t="shared" si="4"/>
        <v>260688898.75</v>
      </c>
      <c r="E24" s="411">
        <f t="shared" si="5"/>
        <v>370226.40612914669</v>
      </c>
      <c r="F24" s="411">
        <f t="shared" si="6"/>
        <v>48496623.82412833</v>
      </c>
      <c r="G24" s="502">
        <v>18401459.419999998</v>
      </c>
      <c r="H24" s="503">
        <f t="shared" si="7"/>
        <v>260688898.75</v>
      </c>
      <c r="I24" s="504">
        <f t="shared" si="13"/>
        <v>370226.40612914669</v>
      </c>
      <c r="J24" s="505">
        <f t="shared" si="8"/>
        <v>48496623.82412833</v>
      </c>
      <c r="K24" s="676">
        <f t="shared" si="14"/>
        <v>210658.03999999911</v>
      </c>
      <c r="L24" s="559">
        <v>0.05</v>
      </c>
      <c r="M24" s="559">
        <v>9.5000000000000001E-2</v>
      </c>
      <c r="N24" s="282">
        <f t="shared" si="0"/>
        <v>10532.901999999956</v>
      </c>
      <c r="O24" s="282">
        <f t="shared" si="1"/>
        <v>20012.513799999917</v>
      </c>
      <c r="P24" s="285">
        <f t="shared" si="2"/>
        <v>336978.30089669785</v>
      </c>
      <c r="Q24" s="677"/>
      <c r="R24" s="686">
        <f t="shared" si="9"/>
        <v>443118.30055028124</v>
      </c>
      <c r="S24" s="687">
        <f t="shared" si="10"/>
        <v>370226.40612914669</v>
      </c>
      <c r="T24" s="687">
        <f t="shared" si="11"/>
        <v>-72891.894421134552</v>
      </c>
      <c r="U24" s="688">
        <f>+'Proj Att-H'!$D$136</f>
        <v>0.24594499999999997</v>
      </c>
      <c r="V24" s="689">
        <f t="shared" si="12"/>
        <v>-17927.396973405936</v>
      </c>
      <c r="W24" s="690"/>
      <c r="X24" s="678"/>
      <c r="Y24" s="678"/>
      <c r="Z24" s="678"/>
      <c r="AA24" s="677"/>
    </row>
    <row r="25" spans="1:27">
      <c r="A25" s="569">
        <f t="shared" si="3"/>
        <v>11</v>
      </c>
      <c r="B25" s="764">
        <v>44774</v>
      </c>
      <c r="C25" s="501"/>
      <c r="D25" s="411">
        <f t="shared" si="4"/>
        <v>260700765.52000001</v>
      </c>
      <c r="E25" s="411">
        <f t="shared" si="5"/>
        <v>370525.82142333337</v>
      </c>
      <c r="F25" s="411">
        <f t="shared" si="6"/>
        <v>48867149.645551667</v>
      </c>
      <c r="G25" s="502">
        <v>18413326.189999998</v>
      </c>
      <c r="H25" s="503">
        <f t="shared" si="7"/>
        <v>260700765.52000001</v>
      </c>
      <c r="I25" s="504">
        <f t="shared" si="13"/>
        <v>370525.82142333337</v>
      </c>
      <c r="J25" s="505">
        <f t="shared" si="8"/>
        <v>48867149.645551667</v>
      </c>
      <c r="K25" s="676">
        <f t="shared" si="14"/>
        <v>11866.769999999553</v>
      </c>
      <c r="L25" s="559">
        <v>0.05</v>
      </c>
      <c r="M25" s="559">
        <v>9.5000000000000001E-2</v>
      </c>
      <c r="N25" s="282">
        <f t="shared" si="0"/>
        <v>593.33849999997767</v>
      </c>
      <c r="O25" s="282">
        <f t="shared" si="1"/>
        <v>1127.3431499999576</v>
      </c>
      <c r="P25" s="285">
        <f t="shared" si="2"/>
        <v>336978.30089669785</v>
      </c>
      <c r="Q25" s="677"/>
      <c r="R25" s="686">
        <f t="shared" si="9"/>
        <v>443118.30055028124</v>
      </c>
      <c r="S25" s="687">
        <f t="shared" si="10"/>
        <v>370525.82142333337</v>
      </c>
      <c r="T25" s="687">
        <f t="shared" si="11"/>
        <v>-72592.479126947874</v>
      </c>
      <c r="U25" s="688">
        <f>+'Proj Att-H'!$D$136</f>
        <v>0.24594499999999997</v>
      </c>
      <c r="V25" s="689">
        <f t="shared" si="12"/>
        <v>-17853.757278877194</v>
      </c>
      <c r="W25" s="690"/>
      <c r="X25" s="678"/>
      <c r="Y25" s="678"/>
      <c r="Z25" s="678"/>
      <c r="AA25" s="677"/>
    </row>
    <row r="26" spans="1:27">
      <c r="A26" s="569">
        <f t="shared" si="3"/>
        <v>12</v>
      </c>
      <c r="B26" s="764">
        <v>44805</v>
      </c>
      <c r="C26" s="501"/>
      <c r="D26" s="411">
        <f t="shared" si="4"/>
        <v>260792423.87160492</v>
      </c>
      <c r="E26" s="411">
        <f t="shared" si="5"/>
        <v>370542.68805909337</v>
      </c>
      <c r="F26" s="411">
        <f t="shared" si="6"/>
        <v>49237692.333610758</v>
      </c>
      <c r="G26" s="502">
        <v>18504984.541604899</v>
      </c>
      <c r="H26" s="503">
        <f t="shared" si="7"/>
        <v>260792423.87160492</v>
      </c>
      <c r="I26" s="504">
        <f t="shared" si="13"/>
        <v>370542.68805909337</v>
      </c>
      <c r="J26" s="505">
        <f t="shared" si="8"/>
        <v>49237692.333610758</v>
      </c>
      <c r="K26" s="676">
        <f t="shared" si="14"/>
        <v>91658.351604901254</v>
      </c>
      <c r="L26" s="559">
        <v>0.05</v>
      </c>
      <c r="M26" s="559">
        <v>9.5000000000000001E-2</v>
      </c>
      <c r="N26" s="282">
        <f t="shared" si="0"/>
        <v>4582.9175802450627</v>
      </c>
      <c r="O26" s="282">
        <f t="shared" si="1"/>
        <v>8707.5434024656188</v>
      </c>
      <c r="P26" s="285">
        <f t="shared" si="2"/>
        <v>336978.30089669785</v>
      </c>
      <c r="Q26" s="677"/>
      <c r="R26" s="686">
        <f t="shared" si="9"/>
        <v>443118.30055028124</v>
      </c>
      <c r="S26" s="687">
        <f t="shared" si="10"/>
        <v>370542.68805909337</v>
      </c>
      <c r="T26" s="687">
        <f t="shared" si="11"/>
        <v>-72575.612491187872</v>
      </c>
      <c r="U26" s="688">
        <f>+'Proj Att-H'!$D$136</f>
        <v>0.24594499999999997</v>
      </c>
      <c r="V26" s="689">
        <f t="shared" si="12"/>
        <v>-17849.6090141452</v>
      </c>
      <c r="W26" s="690"/>
      <c r="X26" s="678"/>
      <c r="Y26" s="678"/>
      <c r="Z26" s="678"/>
      <c r="AA26" s="677"/>
    </row>
    <row r="27" spans="1:27">
      <c r="A27" s="569">
        <f t="shared" si="3"/>
        <v>13</v>
      </c>
      <c r="B27" s="764">
        <v>44835</v>
      </c>
      <c r="C27" s="501"/>
      <c r="D27" s="411">
        <f t="shared" si="4"/>
        <v>260860055.98525736</v>
      </c>
      <c r="E27" s="411">
        <f t="shared" si="5"/>
        <v>370672.96512950782</v>
      </c>
      <c r="F27" s="411">
        <f t="shared" si="6"/>
        <v>49608365.298740268</v>
      </c>
      <c r="G27" s="502">
        <v>18572616.655257355</v>
      </c>
      <c r="H27" s="503">
        <f t="shared" si="7"/>
        <v>260860055.98525736</v>
      </c>
      <c r="I27" s="504">
        <f t="shared" si="13"/>
        <v>370672.96512950782</v>
      </c>
      <c r="J27" s="505">
        <f t="shared" si="8"/>
        <v>49608365.298740268</v>
      </c>
      <c r="K27" s="676">
        <f t="shared" si="14"/>
        <v>67632.113652456552</v>
      </c>
      <c r="L27" s="559">
        <v>0.05</v>
      </c>
      <c r="M27" s="559">
        <v>9.5000000000000001E-2</v>
      </c>
      <c r="N27" s="282">
        <f t="shared" si="0"/>
        <v>3381.6056826228278</v>
      </c>
      <c r="O27" s="282">
        <f t="shared" si="1"/>
        <v>6425.0507969833725</v>
      </c>
      <c r="P27" s="285">
        <f t="shared" si="2"/>
        <v>336978.30089669785</v>
      </c>
      <c r="Q27" s="677"/>
      <c r="R27" s="686">
        <f t="shared" si="9"/>
        <v>443118.30055028124</v>
      </c>
      <c r="S27" s="687">
        <f t="shared" si="10"/>
        <v>370672.96512950782</v>
      </c>
      <c r="T27" s="687">
        <f t="shared" si="11"/>
        <v>-72445.335420773423</v>
      </c>
      <c r="U27" s="688">
        <f>+'Proj Att-H'!$D$136</f>
        <v>0.24594499999999997</v>
      </c>
      <c r="V27" s="689">
        <f t="shared" si="12"/>
        <v>-17817.568020062117</v>
      </c>
      <c r="W27" s="690"/>
      <c r="X27" s="678"/>
      <c r="Y27" s="678"/>
      <c r="Z27" s="678"/>
      <c r="AA27" s="677"/>
    </row>
    <row r="28" spans="1:27">
      <c r="A28" s="569">
        <f t="shared" si="3"/>
        <v>14</v>
      </c>
      <c r="B28" s="764">
        <v>44866</v>
      </c>
      <c r="C28" s="501"/>
      <c r="D28" s="411">
        <f t="shared" si="4"/>
        <v>260971977.92779982</v>
      </c>
      <c r="E28" s="411">
        <f t="shared" si="5"/>
        <v>370769.09290704585</v>
      </c>
      <c r="F28" s="411">
        <f t="shared" si="6"/>
        <v>49979134.391647317</v>
      </c>
      <c r="G28" s="502">
        <v>18684538.597799823</v>
      </c>
      <c r="H28" s="503">
        <f t="shared" si="7"/>
        <v>260971977.92779982</v>
      </c>
      <c r="I28" s="504">
        <f t="shared" si="13"/>
        <v>370769.09290704585</v>
      </c>
      <c r="J28" s="505">
        <f t="shared" si="8"/>
        <v>49979134.391647317</v>
      </c>
      <c r="K28" s="676">
        <f t="shared" si="14"/>
        <v>111921.94254246727</v>
      </c>
      <c r="L28" s="559">
        <v>0.05</v>
      </c>
      <c r="M28" s="559">
        <v>9.5000000000000001E-2</v>
      </c>
      <c r="N28" s="282">
        <f t="shared" si="0"/>
        <v>5596.0971271233639</v>
      </c>
      <c r="O28" s="282">
        <f t="shared" si="1"/>
        <v>10632.58454153439</v>
      </c>
      <c r="P28" s="285">
        <f t="shared" si="2"/>
        <v>336978.30089669785</v>
      </c>
      <c r="Q28" s="677"/>
      <c r="R28" s="686">
        <f t="shared" si="9"/>
        <v>443118.30055028124</v>
      </c>
      <c r="S28" s="687">
        <f t="shared" si="10"/>
        <v>370769.09290704585</v>
      </c>
      <c r="T28" s="687">
        <f t="shared" si="11"/>
        <v>-72349.207643235393</v>
      </c>
      <c r="U28" s="688">
        <f>+'Proj Att-H'!$D$136</f>
        <v>0.24594499999999997</v>
      </c>
      <c r="V28" s="689">
        <f t="shared" si="12"/>
        <v>-17793.925873815526</v>
      </c>
      <c r="W28" s="690"/>
      <c r="X28" s="678"/>
      <c r="Y28" s="678"/>
      <c r="Z28" s="678"/>
      <c r="AA28" s="677"/>
    </row>
    <row r="29" spans="1:27">
      <c r="A29" s="569">
        <f t="shared" si="3"/>
        <v>15</v>
      </c>
      <c r="B29" s="764">
        <v>44896</v>
      </c>
      <c r="C29" s="501"/>
      <c r="D29" s="411">
        <f t="shared" si="4"/>
        <v>267761039.24686003</v>
      </c>
      <c r="E29" s="411">
        <f t="shared" si="5"/>
        <v>370928.17129471287</v>
      </c>
      <c r="F29" s="411">
        <f t="shared" si="6"/>
        <v>50350062.562942028</v>
      </c>
      <c r="G29" s="502">
        <v>25473599.916860014</v>
      </c>
      <c r="H29" s="503">
        <f t="shared" si="7"/>
        <v>267761039.24686003</v>
      </c>
      <c r="I29" s="504">
        <f>I$12*H28</f>
        <v>370928.17129471287</v>
      </c>
      <c r="J29" s="505">
        <f t="shared" si="8"/>
        <v>50350062.562942028</v>
      </c>
      <c r="K29" s="676">
        <f t="shared" si="14"/>
        <v>6789061.3190601915</v>
      </c>
      <c r="L29" s="559">
        <v>0.05</v>
      </c>
      <c r="M29" s="559">
        <v>9.5000000000000001E-2</v>
      </c>
      <c r="N29" s="282">
        <f t="shared" si="0"/>
        <v>339453.06595300959</v>
      </c>
      <c r="O29" s="282">
        <f t="shared" si="1"/>
        <v>644960.82531071815</v>
      </c>
      <c r="P29" s="285">
        <f t="shared" si="2"/>
        <v>336978.30089669785</v>
      </c>
      <c r="Q29" s="677"/>
      <c r="R29" s="686">
        <f t="shared" si="9"/>
        <v>443118.30055028124</v>
      </c>
      <c r="S29" s="687">
        <f t="shared" si="10"/>
        <v>370928.17129471287</v>
      </c>
      <c r="T29" s="687">
        <f t="shared" si="11"/>
        <v>-72190.129255568376</v>
      </c>
      <c r="U29" s="688">
        <f>+'Proj Att-H'!$D$136</f>
        <v>0.24594499999999997</v>
      </c>
      <c r="V29" s="689">
        <f t="shared" si="12"/>
        <v>-17754.801339760761</v>
      </c>
      <c r="W29" s="690"/>
      <c r="X29" s="678"/>
      <c r="Y29" s="678"/>
      <c r="Z29" s="678"/>
      <c r="AA29" s="677"/>
    </row>
    <row r="30" spans="1:27">
      <c r="A30" s="569">
        <f>+A29+1</f>
        <v>16</v>
      </c>
      <c r="B30" s="764">
        <v>44927</v>
      </c>
      <c r="C30" s="501"/>
      <c r="D30" s="411">
        <f t="shared" si="4"/>
        <v>307786594.28563249</v>
      </c>
      <c r="E30" s="411">
        <f t="shared" si="5"/>
        <v>380577.69044953707</v>
      </c>
      <c r="F30" s="411">
        <f t="shared" si="6"/>
        <v>50730640.253391564</v>
      </c>
      <c r="G30" s="502">
        <v>65499154.955632493</v>
      </c>
      <c r="H30" s="503">
        <f t="shared" si="7"/>
        <v>307786594.28563249</v>
      </c>
      <c r="I30" s="504">
        <f t="shared" si="13"/>
        <v>380577.69044953707</v>
      </c>
      <c r="J30" s="505">
        <f t="shared" si="8"/>
        <v>50730640.253391564</v>
      </c>
      <c r="K30" s="676">
        <f t="shared" si="14"/>
        <v>40025555.038772479</v>
      </c>
      <c r="L30" s="559">
        <v>0.05</v>
      </c>
      <c r="M30" s="559">
        <v>9.5000000000000001E-2</v>
      </c>
      <c r="N30" s="678"/>
      <c r="O30" s="282">
        <f t="shared" ref="O30:O41" si="15">K30*L30</f>
        <v>2001277.7519386241</v>
      </c>
      <c r="P30" s="678"/>
      <c r="Q30" s="675">
        <f>(Q$14)/12</f>
        <v>380777.49836315092</v>
      </c>
      <c r="R30" s="690"/>
      <c r="S30" s="678"/>
      <c r="T30" s="678"/>
      <c r="U30" s="678"/>
      <c r="V30" s="677"/>
      <c r="W30" s="694">
        <f>(O$42/12)+Q30</f>
        <v>770063.9722943448</v>
      </c>
      <c r="X30" s="687">
        <f>E30</f>
        <v>380577.69044953707</v>
      </c>
      <c r="Y30" s="687">
        <f>X30-W30</f>
        <v>-389486.28184480773</v>
      </c>
      <c r="Z30" s="688">
        <f>+'Proj Att-H'!$D$136</f>
        <v>0.24594499999999997</v>
      </c>
      <c r="AA30" s="689">
        <f>Z30*Y30</f>
        <v>-95792.203588321223</v>
      </c>
    </row>
    <row r="31" spans="1:27">
      <c r="A31" s="569">
        <f t="shared" si="3"/>
        <v>17</v>
      </c>
      <c r="B31" s="764">
        <v>44958</v>
      </c>
      <c r="C31" s="501"/>
      <c r="D31" s="411">
        <f t="shared" si="4"/>
        <v>308227565.05729526</v>
      </c>
      <c r="E31" s="411">
        <f t="shared" si="5"/>
        <v>437467.34601131233</v>
      </c>
      <c r="F31" s="411">
        <f t="shared" si="6"/>
        <v>51168107.599402875</v>
      </c>
      <c r="G31" s="502">
        <v>65940125.727295242</v>
      </c>
      <c r="H31" s="503">
        <f t="shared" si="7"/>
        <v>308227565.05729526</v>
      </c>
      <c r="I31" s="504">
        <f t="shared" si="13"/>
        <v>437467.34601131233</v>
      </c>
      <c r="J31" s="505">
        <f t="shared" si="8"/>
        <v>51168107.599402875</v>
      </c>
      <c r="K31" s="676">
        <f t="shared" si="14"/>
        <v>440970.77166274935</v>
      </c>
      <c r="L31" s="559">
        <v>0.05</v>
      </c>
      <c r="M31" s="559">
        <v>9.5000000000000001E-2</v>
      </c>
      <c r="N31" s="678"/>
      <c r="O31" s="282">
        <f t="shared" si="15"/>
        <v>22048.53858313747</v>
      </c>
      <c r="P31" s="678"/>
      <c r="Q31" s="675">
        <f t="shared" ref="Q31:Q41" si="16">(Q$14)/12</f>
        <v>380777.49836315092</v>
      </c>
      <c r="R31" s="690"/>
      <c r="S31" s="678"/>
      <c r="T31" s="678"/>
      <c r="U31" s="678"/>
      <c r="V31" s="677"/>
      <c r="W31" s="694">
        <f t="shared" ref="W31:W41" si="17">(O$42/12)+Q31</f>
        <v>770063.9722943448</v>
      </c>
      <c r="X31" s="687">
        <f t="shared" ref="X31:X41" si="18">E31</f>
        <v>437467.34601131233</v>
      </c>
      <c r="Y31" s="687">
        <f t="shared" ref="Y31:Y41" si="19">X31-W31</f>
        <v>-332596.62628303247</v>
      </c>
      <c r="Z31" s="688">
        <f>+'Proj Att-H'!$D$136</f>
        <v>0.24594499999999997</v>
      </c>
      <c r="AA31" s="689">
        <f t="shared" ref="AA31:AA41" si="20">Z31*Y31</f>
        <v>-81800.477251180404</v>
      </c>
    </row>
    <row r="32" spans="1:27">
      <c r="A32" s="569">
        <f t="shared" si="3"/>
        <v>18</v>
      </c>
      <c r="B32" s="764">
        <v>44986</v>
      </c>
      <c r="C32" s="501"/>
      <c r="D32" s="411">
        <f t="shared" si="4"/>
        <v>308717755.16453618</v>
      </c>
      <c r="E32" s="411">
        <f t="shared" si="5"/>
        <v>438094.11246810236</v>
      </c>
      <c r="F32" s="411">
        <f t="shared" si="6"/>
        <v>51606201.711870976</v>
      </c>
      <c r="G32" s="502">
        <v>66430315.834536143</v>
      </c>
      <c r="H32" s="503">
        <f t="shared" si="7"/>
        <v>308717755.16453618</v>
      </c>
      <c r="I32" s="504">
        <f t="shared" si="13"/>
        <v>438094.11246810236</v>
      </c>
      <c r="J32" s="505">
        <f t="shared" si="8"/>
        <v>51606201.711870976</v>
      </c>
      <c r="K32" s="676">
        <f t="shared" si="14"/>
        <v>490190.1072409004</v>
      </c>
      <c r="L32" s="559">
        <v>0.05</v>
      </c>
      <c r="M32" s="559">
        <v>9.5000000000000001E-2</v>
      </c>
      <c r="N32" s="678"/>
      <c r="O32" s="282">
        <f t="shared" si="15"/>
        <v>24509.50536204502</v>
      </c>
      <c r="P32" s="678"/>
      <c r="Q32" s="675">
        <f t="shared" si="16"/>
        <v>380777.49836315092</v>
      </c>
      <c r="R32" s="690"/>
      <c r="S32" s="678"/>
      <c r="T32" s="678"/>
      <c r="U32" s="678"/>
      <c r="V32" s="677"/>
      <c r="W32" s="694">
        <f t="shared" si="17"/>
        <v>770063.9722943448</v>
      </c>
      <c r="X32" s="687">
        <f t="shared" si="18"/>
        <v>438094.11246810236</v>
      </c>
      <c r="Y32" s="687">
        <f t="shared" si="19"/>
        <v>-331969.85982624243</v>
      </c>
      <c r="Z32" s="688">
        <f>+'Proj Att-H'!$D$136</f>
        <v>0.24594499999999997</v>
      </c>
      <c r="AA32" s="689">
        <f t="shared" si="20"/>
        <v>-81646.32717496519</v>
      </c>
    </row>
    <row r="33" spans="1:27">
      <c r="A33" s="569">
        <f t="shared" si="3"/>
        <v>19</v>
      </c>
      <c r="B33" s="764">
        <v>45017</v>
      </c>
      <c r="C33" s="501"/>
      <c r="D33" s="411">
        <f t="shared" si="4"/>
        <v>308819863.48522615</v>
      </c>
      <c r="E33" s="411">
        <f t="shared" si="5"/>
        <v>438790.83600719413</v>
      </c>
      <c r="F33" s="411">
        <f t="shared" si="6"/>
        <v>52044992.547878169</v>
      </c>
      <c r="G33" s="502">
        <v>66532424.155226126</v>
      </c>
      <c r="H33" s="503">
        <f t="shared" si="7"/>
        <v>308819863.48522615</v>
      </c>
      <c r="I33" s="504">
        <f t="shared" si="13"/>
        <v>438790.83600719413</v>
      </c>
      <c r="J33" s="505">
        <f t="shared" si="8"/>
        <v>52044992.547878169</v>
      </c>
      <c r="K33" s="676">
        <f t="shared" si="14"/>
        <v>102108.32068998367</v>
      </c>
      <c r="L33" s="559">
        <v>0.05</v>
      </c>
      <c r="M33" s="559">
        <v>9.5000000000000001E-2</v>
      </c>
      <c r="N33" s="678"/>
      <c r="O33" s="282">
        <f t="shared" si="15"/>
        <v>5105.4160344991833</v>
      </c>
      <c r="P33" s="678"/>
      <c r="Q33" s="675">
        <f t="shared" si="16"/>
        <v>380777.49836315092</v>
      </c>
      <c r="R33" s="690"/>
      <c r="S33" s="678"/>
      <c r="T33" s="678"/>
      <c r="U33" s="678"/>
      <c r="V33" s="677"/>
      <c r="W33" s="694">
        <f t="shared" si="17"/>
        <v>770063.9722943448</v>
      </c>
      <c r="X33" s="687">
        <f t="shared" si="18"/>
        <v>438790.83600719413</v>
      </c>
      <c r="Y33" s="687">
        <f t="shared" si="19"/>
        <v>-331273.13628715067</v>
      </c>
      <c r="Z33" s="688">
        <f>+'Proj Att-H'!$D$136</f>
        <v>0.24594499999999997</v>
      </c>
      <c r="AA33" s="689">
        <f t="shared" si="20"/>
        <v>-81474.971504143265</v>
      </c>
    </row>
    <row r="34" spans="1:27">
      <c r="A34" s="569">
        <f t="shared" si="3"/>
        <v>20</v>
      </c>
      <c r="B34" s="764">
        <v>45047</v>
      </c>
      <c r="C34" s="501"/>
      <c r="D34" s="411">
        <f t="shared" si="4"/>
        <v>308925228.98765707</v>
      </c>
      <c r="E34" s="411">
        <f t="shared" si="5"/>
        <v>438935.96596700151</v>
      </c>
      <c r="F34" s="411">
        <f t="shared" si="6"/>
        <v>52483928.513845168</v>
      </c>
      <c r="G34" s="502">
        <v>66637789.657657035</v>
      </c>
      <c r="H34" s="503">
        <f t="shared" si="7"/>
        <v>308925228.98765707</v>
      </c>
      <c r="I34" s="504">
        <f t="shared" si="13"/>
        <v>438935.96596700151</v>
      </c>
      <c r="J34" s="505">
        <f t="shared" si="8"/>
        <v>52483928.513845168</v>
      </c>
      <c r="K34" s="676">
        <f t="shared" si="14"/>
        <v>105365.50243090838</v>
      </c>
      <c r="L34" s="559">
        <v>0.05</v>
      </c>
      <c r="M34" s="559">
        <v>9.5000000000000001E-2</v>
      </c>
      <c r="N34" s="678"/>
      <c r="O34" s="282">
        <f t="shared" si="15"/>
        <v>5268.2751215454191</v>
      </c>
      <c r="P34" s="678"/>
      <c r="Q34" s="675">
        <f t="shared" si="16"/>
        <v>380777.49836315092</v>
      </c>
      <c r="R34" s="690"/>
      <c r="S34" s="678"/>
      <c r="T34" s="678"/>
      <c r="U34" s="678"/>
      <c r="V34" s="677"/>
      <c r="W34" s="694">
        <f t="shared" si="17"/>
        <v>770063.9722943448</v>
      </c>
      <c r="X34" s="687">
        <f t="shared" si="18"/>
        <v>438935.96596700151</v>
      </c>
      <c r="Y34" s="687">
        <f t="shared" si="19"/>
        <v>-331128.00632734329</v>
      </c>
      <c r="Z34" s="688">
        <f>+'Proj Att-H'!$D$136</f>
        <v>0.24594499999999997</v>
      </c>
      <c r="AA34" s="689">
        <f t="shared" si="20"/>
        <v>-81439.277516178438</v>
      </c>
    </row>
    <row r="35" spans="1:27">
      <c r="A35" s="569">
        <f t="shared" si="3"/>
        <v>21</v>
      </c>
      <c r="B35" s="764">
        <v>45078</v>
      </c>
      <c r="C35" s="501"/>
      <c r="D35" s="411">
        <f t="shared" si="4"/>
        <v>309030672.1147874</v>
      </c>
      <c r="E35" s="411">
        <f t="shared" si="5"/>
        <v>439085.72546778998</v>
      </c>
      <c r="F35" s="411">
        <f t="shared" si="6"/>
        <v>52923014.239312962</v>
      </c>
      <c r="G35" s="502">
        <v>66743232.784787372</v>
      </c>
      <c r="H35" s="503">
        <f t="shared" si="7"/>
        <v>309030672.1147874</v>
      </c>
      <c r="I35" s="504">
        <f t="shared" si="13"/>
        <v>439085.72546778998</v>
      </c>
      <c r="J35" s="505">
        <f t="shared" si="8"/>
        <v>52923014.239312962</v>
      </c>
      <c r="K35" s="676">
        <f t="shared" si="14"/>
        <v>105443.12713033706</v>
      </c>
      <c r="L35" s="559">
        <v>0.05</v>
      </c>
      <c r="M35" s="559">
        <v>9.5000000000000001E-2</v>
      </c>
      <c r="N35" s="678"/>
      <c r="O35" s="282">
        <f t="shared" si="15"/>
        <v>5272.1563565168535</v>
      </c>
      <c r="P35" s="678"/>
      <c r="Q35" s="675">
        <f t="shared" si="16"/>
        <v>380777.49836315092</v>
      </c>
      <c r="R35" s="690"/>
      <c r="S35" s="678"/>
      <c r="T35" s="678"/>
      <c r="U35" s="678"/>
      <c r="V35" s="677"/>
      <c r="W35" s="694">
        <f t="shared" si="17"/>
        <v>770063.9722943448</v>
      </c>
      <c r="X35" s="687">
        <f t="shared" si="18"/>
        <v>439085.72546778998</v>
      </c>
      <c r="Y35" s="687">
        <f t="shared" si="19"/>
        <v>-330978.24682655482</v>
      </c>
      <c r="Z35" s="688">
        <f>+'Proj Att-H'!$D$136</f>
        <v>0.24594499999999997</v>
      </c>
      <c r="AA35" s="689">
        <f t="shared" si="20"/>
        <v>-81402.44491575702</v>
      </c>
    </row>
    <row r="36" spans="1:27">
      <c r="A36" s="569">
        <f t="shared" si="3"/>
        <v>22</v>
      </c>
      <c r="B36" s="764">
        <v>45108</v>
      </c>
      <c r="C36" s="501"/>
      <c r="D36" s="411">
        <f t="shared" si="4"/>
        <v>312216062.15802234</v>
      </c>
      <c r="E36" s="411">
        <f t="shared" si="5"/>
        <v>439235.5952991512</v>
      </c>
      <c r="F36" s="411">
        <f t="shared" si="6"/>
        <v>53362249.834612116</v>
      </c>
      <c r="G36" s="502">
        <v>69928622.828022316</v>
      </c>
      <c r="H36" s="503">
        <f t="shared" si="7"/>
        <v>312216062.15802234</v>
      </c>
      <c r="I36" s="504">
        <f t="shared" si="13"/>
        <v>439235.5952991512</v>
      </c>
      <c r="J36" s="505">
        <f t="shared" si="8"/>
        <v>53362249.834612116</v>
      </c>
      <c r="K36" s="676">
        <f t="shared" si="14"/>
        <v>3185390.0432349443</v>
      </c>
      <c r="L36" s="559">
        <v>0.05</v>
      </c>
      <c r="M36" s="559">
        <v>9.5000000000000001E-2</v>
      </c>
      <c r="N36" s="678"/>
      <c r="O36" s="282">
        <f t="shared" si="15"/>
        <v>159269.50216174722</v>
      </c>
      <c r="P36" s="678"/>
      <c r="Q36" s="675">
        <f t="shared" si="16"/>
        <v>380777.49836315092</v>
      </c>
      <c r="R36" s="690"/>
      <c r="S36" s="678"/>
      <c r="T36" s="678"/>
      <c r="U36" s="678"/>
      <c r="V36" s="677"/>
      <c r="W36" s="694">
        <f t="shared" si="17"/>
        <v>770063.9722943448</v>
      </c>
      <c r="X36" s="687">
        <f t="shared" si="18"/>
        <v>439235.5952991512</v>
      </c>
      <c r="Y36" s="687">
        <f t="shared" si="19"/>
        <v>-330828.3769951936</v>
      </c>
      <c r="Z36" s="688">
        <f>+'Proj Att-H'!$D$136</f>
        <v>0.24594499999999997</v>
      </c>
      <c r="AA36" s="689">
        <f t="shared" si="20"/>
        <v>-81365.585180082882</v>
      </c>
    </row>
    <row r="37" spans="1:27">
      <c r="A37" s="569">
        <f t="shared" si="3"/>
        <v>23</v>
      </c>
      <c r="B37" s="764">
        <v>45139</v>
      </c>
      <c r="C37" s="501"/>
      <c r="D37" s="411">
        <f t="shared" si="4"/>
        <v>312319337.33383381</v>
      </c>
      <c r="E37" s="411">
        <f t="shared" si="5"/>
        <v>443763.09634726914</v>
      </c>
      <c r="F37" s="411">
        <f t="shared" si="6"/>
        <v>53806012.930959389</v>
      </c>
      <c r="G37" s="502">
        <v>70031898.003833815</v>
      </c>
      <c r="H37" s="503">
        <f t="shared" si="7"/>
        <v>312319337.33383381</v>
      </c>
      <c r="I37" s="504">
        <f t="shared" si="13"/>
        <v>443763.09634726914</v>
      </c>
      <c r="J37" s="505">
        <f t="shared" si="8"/>
        <v>53806012.930959389</v>
      </c>
      <c r="K37" s="676">
        <f t="shared" si="14"/>
        <v>103275.17581149936</v>
      </c>
      <c r="L37" s="559">
        <v>0.05</v>
      </c>
      <c r="M37" s="559">
        <v>9.5000000000000001E-2</v>
      </c>
      <c r="N37" s="678"/>
      <c r="O37" s="282">
        <f t="shared" si="15"/>
        <v>5163.7587905749679</v>
      </c>
      <c r="P37" s="678"/>
      <c r="Q37" s="675">
        <f t="shared" si="16"/>
        <v>380777.49836315092</v>
      </c>
      <c r="R37" s="690"/>
      <c r="S37" s="678"/>
      <c r="T37" s="678"/>
      <c r="U37" s="678"/>
      <c r="V37" s="677"/>
      <c r="W37" s="694">
        <f t="shared" si="17"/>
        <v>770063.9722943448</v>
      </c>
      <c r="X37" s="687">
        <f t="shared" si="18"/>
        <v>443763.09634726914</v>
      </c>
      <c r="Y37" s="687">
        <f t="shared" si="19"/>
        <v>-326300.87594707566</v>
      </c>
      <c r="Z37" s="688">
        <f>+'Proj Att-H'!$D$136</f>
        <v>0.24594499999999997</v>
      </c>
      <c r="AA37" s="689">
        <f t="shared" si="20"/>
        <v>-80252.068934803508</v>
      </c>
    </row>
    <row r="38" spans="1:27">
      <c r="A38" s="569">
        <f t="shared" si="3"/>
        <v>24</v>
      </c>
      <c r="B38" s="764">
        <v>45170</v>
      </c>
      <c r="C38" s="501"/>
      <c r="D38" s="411">
        <f t="shared" si="4"/>
        <v>312548607.03127807</v>
      </c>
      <c r="E38" s="411">
        <f t="shared" si="5"/>
        <v>443909.88479715586</v>
      </c>
      <c r="F38" s="411">
        <f t="shared" si="6"/>
        <v>54249922.815756544</v>
      </c>
      <c r="G38" s="502">
        <v>70261167.701278076</v>
      </c>
      <c r="H38" s="503">
        <f t="shared" si="7"/>
        <v>312548607.03127807</v>
      </c>
      <c r="I38" s="504">
        <f t="shared" si="13"/>
        <v>443909.88479715586</v>
      </c>
      <c r="J38" s="505">
        <f t="shared" si="8"/>
        <v>54249922.815756544</v>
      </c>
      <c r="K38" s="676">
        <f t="shared" si="14"/>
        <v>229269.69744426012</v>
      </c>
      <c r="L38" s="559">
        <v>0.05</v>
      </c>
      <c r="M38" s="559">
        <v>9.5000000000000001E-2</v>
      </c>
      <c r="N38" s="678"/>
      <c r="O38" s="282">
        <f t="shared" si="15"/>
        <v>11463.484872213006</v>
      </c>
      <c r="P38" s="678"/>
      <c r="Q38" s="675">
        <f t="shared" si="16"/>
        <v>380777.49836315092</v>
      </c>
      <c r="R38" s="690"/>
      <c r="S38" s="678"/>
      <c r="T38" s="678"/>
      <c r="U38" s="678"/>
      <c r="V38" s="677"/>
      <c r="W38" s="694">
        <f t="shared" si="17"/>
        <v>770063.9722943448</v>
      </c>
      <c r="X38" s="687">
        <f t="shared" si="18"/>
        <v>443909.88479715586</v>
      </c>
      <c r="Y38" s="687">
        <f t="shared" si="19"/>
        <v>-326154.08749718894</v>
      </c>
      <c r="Z38" s="688">
        <f>+'Proj Att-H'!$D$136</f>
        <v>0.24594499999999997</v>
      </c>
      <c r="AA38" s="689">
        <f t="shared" si="20"/>
        <v>-80215.967049496117</v>
      </c>
    </row>
    <row r="39" spans="1:27">
      <c r="A39" s="569">
        <f t="shared" si="3"/>
        <v>25</v>
      </c>
      <c r="B39" s="764">
        <v>45200</v>
      </c>
      <c r="C39" s="501"/>
      <c r="D39" s="411">
        <f t="shared" si="4"/>
        <v>312651344.36752152</v>
      </c>
      <c r="E39" s="411">
        <f t="shared" si="5"/>
        <v>444235.75346045662</v>
      </c>
      <c r="F39" s="411">
        <f t="shared" si="6"/>
        <v>54694158.569217004</v>
      </c>
      <c r="G39" s="502">
        <v>70363905.037521526</v>
      </c>
      <c r="H39" s="503">
        <f t="shared" si="7"/>
        <v>312651344.36752152</v>
      </c>
      <c r="I39" s="504">
        <f t="shared" si="13"/>
        <v>444235.75346045662</v>
      </c>
      <c r="J39" s="505">
        <f t="shared" si="8"/>
        <v>54694158.569217004</v>
      </c>
      <c r="K39" s="676">
        <f t="shared" si="14"/>
        <v>102737.33624345064</v>
      </c>
      <c r="L39" s="559">
        <v>0.05</v>
      </c>
      <c r="M39" s="559">
        <v>9.5000000000000001E-2</v>
      </c>
      <c r="N39" s="678"/>
      <c r="O39" s="282">
        <f t="shared" si="15"/>
        <v>5136.8668121725323</v>
      </c>
      <c r="P39" s="678"/>
      <c r="Q39" s="675">
        <f t="shared" si="16"/>
        <v>380777.49836315092</v>
      </c>
      <c r="R39" s="690"/>
      <c r="S39" s="678"/>
      <c r="T39" s="678"/>
      <c r="U39" s="678"/>
      <c r="V39" s="677"/>
      <c r="W39" s="694">
        <f t="shared" si="17"/>
        <v>770063.9722943448</v>
      </c>
      <c r="X39" s="687">
        <f t="shared" si="18"/>
        <v>444235.75346045662</v>
      </c>
      <c r="Y39" s="687">
        <f t="shared" si="19"/>
        <v>-325828.21883388818</v>
      </c>
      <c r="Z39" s="688">
        <f>+'Proj Att-H'!$D$136</f>
        <v>0.24594499999999997</v>
      </c>
      <c r="AA39" s="689">
        <f t="shared" si="20"/>
        <v>-80135.821281100623</v>
      </c>
    </row>
    <row r="40" spans="1:27">
      <c r="A40" s="569">
        <f t="shared" si="3"/>
        <v>26</v>
      </c>
      <c r="B40" s="764">
        <v>45231</v>
      </c>
      <c r="C40" s="501"/>
      <c r="D40" s="411">
        <f t="shared" si="4"/>
        <v>312721505.63708329</v>
      </c>
      <c r="E40" s="411">
        <f t="shared" si="5"/>
        <v>444381.77746103733</v>
      </c>
      <c r="F40" s="411">
        <f t="shared" si="6"/>
        <v>55138540.346678041</v>
      </c>
      <c r="G40" s="502">
        <v>70434066.307083294</v>
      </c>
      <c r="H40" s="503">
        <f t="shared" si="7"/>
        <v>312721505.63708329</v>
      </c>
      <c r="I40" s="504">
        <f t="shared" si="13"/>
        <v>444381.77746103733</v>
      </c>
      <c r="J40" s="505">
        <f t="shared" si="8"/>
        <v>55138540.346678041</v>
      </c>
      <c r="K40" s="676">
        <f t="shared" si="14"/>
        <v>70161.269561767578</v>
      </c>
      <c r="L40" s="559">
        <v>0.05</v>
      </c>
      <c r="M40" s="559">
        <v>9.5000000000000001E-2</v>
      </c>
      <c r="N40" s="678"/>
      <c r="O40" s="282">
        <f t="shared" si="15"/>
        <v>3508.0634780883793</v>
      </c>
      <c r="P40" s="678"/>
      <c r="Q40" s="675">
        <f t="shared" si="16"/>
        <v>380777.49836315092</v>
      </c>
      <c r="R40" s="690"/>
      <c r="S40" s="678"/>
      <c r="T40" s="678"/>
      <c r="U40" s="678"/>
      <c r="V40" s="677"/>
      <c r="W40" s="694">
        <f t="shared" si="17"/>
        <v>770063.9722943448</v>
      </c>
      <c r="X40" s="687">
        <f t="shared" si="18"/>
        <v>444381.77746103733</v>
      </c>
      <c r="Y40" s="687">
        <f t="shared" si="19"/>
        <v>-325682.19483330747</v>
      </c>
      <c r="Z40" s="688">
        <f>+'Proj Att-H'!$D$136</f>
        <v>0.24594499999999997</v>
      </c>
      <c r="AA40" s="689">
        <f t="shared" si="20"/>
        <v>-80099.907408277795</v>
      </c>
    </row>
    <row r="41" spans="1:27">
      <c r="A41" s="569">
        <f t="shared" si="3"/>
        <v>27</v>
      </c>
      <c r="B41" s="764">
        <v>45261</v>
      </c>
      <c r="C41" s="501"/>
      <c r="D41" s="411">
        <f t="shared" si="4"/>
        <v>312789953.14831257</v>
      </c>
      <c r="E41" s="411">
        <f t="shared" si="5"/>
        <v>444481.50001217442</v>
      </c>
      <c r="F41" s="411">
        <f t="shared" si="6"/>
        <v>55583021.846690215</v>
      </c>
      <c r="G41" s="502">
        <v>70502513.818312556</v>
      </c>
      <c r="H41" s="503">
        <f t="shared" si="7"/>
        <v>312789953.14831257</v>
      </c>
      <c r="I41" s="504">
        <f t="shared" si="13"/>
        <v>444481.50001217442</v>
      </c>
      <c r="J41" s="505">
        <f t="shared" si="8"/>
        <v>55583021.846690215</v>
      </c>
      <c r="K41" s="676">
        <f t="shared" si="14"/>
        <v>68447.511229261756</v>
      </c>
      <c r="L41" s="559">
        <v>0.05</v>
      </c>
      <c r="M41" s="559">
        <v>9.5000000000000001E-2</v>
      </c>
      <c r="N41" s="678"/>
      <c r="O41" s="282">
        <f t="shared" si="15"/>
        <v>3422.3755614630882</v>
      </c>
      <c r="P41" s="678"/>
      <c r="Q41" s="675">
        <f t="shared" si="16"/>
        <v>380777.49836315092</v>
      </c>
      <c r="R41" s="690"/>
      <c r="S41" s="678"/>
      <c r="T41" s="678"/>
      <c r="U41" s="678"/>
      <c r="V41" s="677"/>
      <c r="W41" s="694">
        <f t="shared" si="17"/>
        <v>770063.9722943448</v>
      </c>
      <c r="X41" s="687">
        <f t="shared" si="18"/>
        <v>444481.50001217442</v>
      </c>
      <c r="Y41" s="687">
        <f t="shared" si="19"/>
        <v>-325582.47228217038</v>
      </c>
      <c r="Z41" s="688">
        <f>+'Proj Att-H'!$D$136</f>
        <v>0.24594499999999997</v>
      </c>
      <c r="AA41" s="689">
        <f t="shared" si="20"/>
        <v>-80075.381145438383</v>
      </c>
    </row>
    <row r="42" spans="1:27">
      <c r="A42" s="568" t="s">
        <v>1144</v>
      </c>
      <c r="B42" s="506"/>
      <c r="C42" s="506"/>
      <c r="G42" s="507"/>
      <c r="H42" s="296"/>
      <c r="I42" s="296"/>
      <c r="J42" s="295"/>
      <c r="K42" s="679"/>
      <c r="L42" s="296"/>
      <c r="M42" s="282"/>
      <c r="N42" s="563">
        <f t="shared" ref="N42:T42" si="21">SUM(N18:N41)</f>
        <v>1273679.9958430007</v>
      </c>
      <c r="O42" s="563">
        <f>SUM(O18:O41)</f>
        <v>4671437.6871743267</v>
      </c>
      <c r="P42" s="588">
        <f t="shared" si="21"/>
        <v>4043739.6107603735</v>
      </c>
      <c r="Q42" s="680">
        <f t="shared" si="21"/>
        <v>4569329.9803578099</v>
      </c>
      <c r="R42" s="691">
        <f t="shared" si="21"/>
        <v>5317419.6066033738</v>
      </c>
      <c r="S42" s="563">
        <f t="shared" si="21"/>
        <v>4335672.48320028</v>
      </c>
      <c r="T42" s="563">
        <f t="shared" si="21"/>
        <v>-981747.12340309448</v>
      </c>
      <c r="U42" s="563"/>
      <c r="V42" s="692">
        <f>T42*'Proj Att-H'!D136</f>
        <v>-241455.79626537405</v>
      </c>
      <c r="W42" s="691">
        <f>SUM(W18:W41)</f>
        <v>9240767.6675321367</v>
      </c>
      <c r="X42" s="563">
        <f>SUM(X18:X41)</f>
        <v>5232959.2837481815</v>
      </c>
      <c r="Y42" s="563">
        <f>SUM(Y18:Y41)</f>
        <v>-4007808.3837839551</v>
      </c>
      <c r="Z42" s="563"/>
      <c r="AA42" s="692">
        <f>SUM(AA18:AA41)</f>
        <v>-985700.43294974486</v>
      </c>
    </row>
    <row r="43" spans="1:27">
      <c r="A43" s="569">
        <f>A41+1</f>
        <v>28</v>
      </c>
      <c r="B43" s="297" t="s">
        <v>1145</v>
      </c>
      <c r="C43" s="297"/>
      <c r="D43" s="411"/>
      <c r="E43" s="508">
        <f>SUM(E30:E41)</f>
        <v>5232959.2837481815</v>
      </c>
      <c r="F43" s="411"/>
      <c r="G43" s="354"/>
      <c r="H43" s="508"/>
      <c r="I43" s="508">
        <f>SUM(I30:I41)</f>
        <v>5232959.2837481815</v>
      </c>
      <c r="J43" s="295"/>
      <c r="K43" s="679"/>
      <c r="L43" s="296"/>
      <c r="M43" s="285"/>
      <c r="N43" s="285"/>
      <c r="O43" s="282"/>
      <c r="P43" s="282"/>
      <c r="Q43" s="675"/>
      <c r="R43" s="354"/>
      <c r="S43" s="282"/>
      <c r="T43" s="282"/>
      <c r="U43" s="282"/>
      <c r="V43" s="289"/>
      <c r="W43" s="354"/>
      <c r="X43" s="282"/>
      <c r="Y43" s="282"/>
      <c r="Z43" s="282"/>
      <c r="AA43" s="289"/>
    </row>
    <row r="44" spans="1:27">
      <c r="A44" s="569">
        <f>+A43+1</f>
        <v>29</v>
      </c>
      <c r="B44" s="297" t="s">
        <v>1146</v>
      </c>
      <c r="C44" s="411"/>
      <c r="D44" s="411">
        <f>SUM(D29:D41)/13</f>
        <v>307270425.23215735</v>
      </c>
      <c r="E44" s="296"/>
      <c r="F44" s="411">
        <f>SUM(F29:F41)/13</f>
        <v>52933911.828658231</v>
      </c>
      <c r="G44" s="509"/>
      <c r="H44" s="644">
        <f>SUM(H29:H41)/13</f>
        <v>307270425.23215735</v>
      </c>
      <c r="I44" s="510"/>
      <c r="J44" s="511">
        <f>SUM(J29:J41)/13</f>
        <v>52933911.828658231</v>
      </c>
      <c r="K44" s="681"/>
      <c r="L44" s="682"/>
      <c r="M44" s="683"/>
      <c r="N44" s="683"/>
      <c r="O44" s="684"/>
      <c r="P44" s="684"/>
      <c r="Q44" s="685"/>
      <c r="R44" s="509"/>
      <c r="S44" s="684"/>
      <c r="T44" s="684"/>
      <c r="U44" s="684"/>
      <c r="V44" s="693"/>
      <c r="W44" s="509"/>
      <c r="X44" s="684"/>
      <c r="Y44" s="684"/>
      <c r="Z44" s="684"/>
      <c r="AA44" s="693"/>
    </row>
    <row r="45" spans="1:27">
      <c r="B45" s="297"/>
      <c r="D45" s="298"/>
      <c r="E45" s="298"/>
      <c r="F45" s="298"/>
      <c r="J45" s="299"/>
      <c r="K45" s="299"/>
      <c r="L45" s="299"/>
      <c r="M45" s="282"/>
      <c r="N45" s="282"/>
      <c r="Q45" s="282"/>
    </row>
    <row r="46" spans="1:27" ht="15.75" customHeight="1">
      <c r="A46" s="569"/>
    </row>
    <row r="48" spans="1:27">
      <c r="C48" s="301"/>
      <c r="G48" s="300" t="s">
        <v>555</v>
      </c>
    </row>
    <row r="49" spans="2:12" ht="66" customHeight="1">
      <c r="D49" s="571"/>
      <c r="E49" s="571"/>
      <c r="F49" s="571"/>
      <c r="G49" s="302" t="s">
        <v>387</v>
      </c>
      <c r="H49" s="1040" t="s">
        <v>1147</v>
      </c>
      <c r="I49" s="1040"/>
      <c r="J49" s="1040"/>
      <c r="K49" s="551"/>
      <c r="L49" s="551"/>
    </row>
    <row r="50" spans="2:12">
      <c r="B50" s="302"/>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8" orientation="portrait" r:id="rId1"/>
  <headerFooter alignWithMargins="0"/>
  <colBreaks count="3" manualBreakCount="3">
    <brk id="10" max="48" man="1"/>
    <brk id="17" max="48" man="1"/>
    <brk id="22" max="48" man="1"/>
  </colBreaks>
  <ignoredErrors>
    <ignoredError sqref="H14 J14 P14:Q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H7" sqref="H1:K1048576"/>
    </sheetView>
  </sheetViews>
  <sheetFormatPr defaultColWidth="8.6640625" defaultRowHeight="12.75"/>
  <cols>
    <col min="1" max="1" width="5.21875" style="279" customWidth="1"/>
    <col min="2" max="2" width="34.5546875" style="279" customWidth="1"/>
    <col min="3" max="3" width="29.5546875" style="279" customWidth="1"/>
    <col min="4" max="4" width="13.6640625" style="279" customWidth="1"/>
    <col min="5" max="5" width="14.6640625" style="279" customWidth="1"/>
    <col min="6" max="6" width="16.5546875" style="279" customWidth="1"/>
    <col min="7" max="7" width="3.21875" style="279" customWidth="1"/>
    <col min="8" max="8" width="13.6640625" style="948" customWidth="1"/>
    <col min="9" max="9" width="11.21875" style="948" customWidth="1"/>
    <col min="10" max="10" width="3.21875" style="948" customWidth="1"/>
    <col min="11" max="11" width="14.21875" style="948" customWidth="1"/>
    <col min="12" max="12" width="13.44140625" style="279" customWidth="1"/>
    <col min="13" max="13" width="14.44140625" style="279" bestFit="1" customWidth="1"/>
    <col min="14" max="14" width="13.21875" style="279" customWidth="1"/>
    <col min="15" max="16384" width="8.6640625" style="279"/>
  </cols>
  <sheetData>
    <row r="1" spans="1:13">
      <c r="A1" s="1041" t="s">
        <v>64</v>
      </c>
      <c r="B1" s="1041"/>
      <c r="C1" s="1041"/>
      <c r="D1" s="1041"/>
      <c r="E1" s="1041"/>
      <c r="F1" s="1041"/>
    </row>
    <row r="2" spans="1:13">
      <c r="A2" s="1041" t="s">
        <v>1148</v>
      </c>
      <c r="B2" s="1041"/>
      <c r="C2" s="1041"/>
      <c r="D2" s="1041"/>
      <c r="E2" s="1041"/>
      <c r="F2" s="1041"/>
    </row>
    <row r="3" spans="1:13">
      <c r="A3" s="1041" t="str">
        <f>'Act Att-H'!C7</f>
        <v>Black Hills Colorado Electric, LLC</v>
      </c>
      <c r="B3" s="1041"/>
      <c r="C3" s="1041"/>
      <c r="D3" s="1041"/>
      <c r="E3" s="1041"/>
      <c r="F3" s="1041"/>
    </row>
    <row r="4" spans="1:13">
      <c r="A4" s="369"/>
      <c r="B4" s="369"/>
      <c r="C4" s="369"/>
      <c r="D4" s="369"/>
      <c r="E4" s="369"/>
      <c r="F4" s="387" t="s">
        <v>3</v>
      </c>
    </row>
    <row r="5" spans="1:13" s="282" customFormat="1">
      <c r="B5" s="388"/>
      <c r="D5" s="389"/>
      <c r="E5" s="389"/>
      <c r="F5" s="389"/>
      <c r="H5" s="949"/>
      <c r="I5" s="949"/>
      <c r="J5" s="949"/>
      <c r="K5" s="949"/>
    </row>
    <row r="6" spans="1:13">
      <c r="B6" s="390" t="s">
        <v>126</v>
      </c>
      <c r="C6" s="390" t="s">
        <v>127</v>
      </c>
      <c r="D6" s="390" t="s">
        <v>128</v>
      </c>
      <c r="E6" s="391" t="s">
        <v>129</v>
      </c>
      <c r="F6" s="391" t="s">
        <v>130</v>
      </c>
    </row>
    <row r="7" spans="1:13">
      <c r="B7" s="392"/>
      <c r="C7" s="282"/>
      <c r="D7" s="352"/>
      <c r="E7" s="389" t="s">
        <v>1149</v>
      </c>
      <c r="F7" s="352"/>
      <c r="G7" s="282"/>
      <c r="H7" s="949"/>
      <c r="I7" s="949"/>
      <c r="J7" s="949"/>
      <c r="K7" s="949"/>
      <c r="L7" s="282"/>
      <c r="M7" s="282"/>
    </row>
    <row r="8" spans="1:13">
      <c r="B8" s="392"/>
      <c r="C8" s="282"/>
      <c r="D8" s="393"/>
      <c r="E8" s="389" t="s">
        <v>1150</v>
      </c>
      <c r="F8" s="352"/>
      <c r="G8" s="282"/>
      <c r="H8" s="949"/>
      <c r="I8" s="949"/>
      <c r="J8" s="949"/>
      <c r="K8" s="949"/>
      <c r="L8" s="282"/>
      <c r="M8" s="282"/>
    </row>
    <row r="9" spans="1:13">
      <c r="B9" s="392"/>
      <c r="C9" s="282"/>
      <c r="D9" s="393" t="s">
        <v>1151</v>
      </c>
      <c r="E9" s="389" t="s">
        <v>1152</v>
      </c>
      <c r="F9" s="389" t="s">
        <v>1110</v>
      </c>
      <c r="G9" s="282"/>
      <c r="H9" s="949"/>
      <c r="I9" s="949"/>
      <c r="J9" s="949"/>
      <c r="K9" s="949"/>
      <c r="L9" s="282"/>
      <c r="M9" s="282"/>
    </row>
    <row r="10" spans="1:13" ht="13.5" thickBot="1">
      <c r="A10" s="394" t="s">
        <v>82</v>
      </c>
      <c r="B10" s="394" t="s">
        <v>500</v>
      </c>
      <c r="C10" s="394" t="s">
        <v>1059</v>
      </c>
      <c r="D10" s="394" t="s">
        <v>1153</v>
      </c>
      <c r="E10" s="395" t="s">
        <v>1124</v>
      </c>
      <c r="F10" s="394" t="s">
        <v>1153</v>
      </c>
      <c r="G10" s="282"/>
      <c r="H10" s="949"/>
      <c r="I10" s="949"/>
      <c r="J10" s="949"/>
      <c r="K10" s="949"/>
      <c r="L10" s="282"/>
      <c r="M10" s="282"/>
    </row>
    <row r="11" spans="1:13">
      <c r="C11" s="282"/>
      <c r="D11" s="282"/>
      <c r="E11" s="282" t="s">
        <v>1154</v>
      </c>
      <c r="F11" s="303" t="s">
        <v>1155</v>
      </c>
      <c r="G11" s="282"/>
      <c r="H11" s="949"/>
      <c r="I11" s="949"/>
      <c r="J11" s="949"/>
      <c r="K11" s="949"/>
      <c r="L11" s="282"/>
      <c r="M11" s="282"/>
    </row>
    <row r="12" spans="1:13">
      <c r="A12" s="396">
        <v>1</v>
      </c>
      <c r="B12" s="279" t="s">
        <v>1156</v>
      </c>
      <c r="C12" s="285" t="s">
        <v>1157</v>
      </c>
      <c r="D12" s="287">
        <f>'Act Att-H'!I66</f>
        <v>184845403.81780443</v>
      </c>
      <c r="E12" s="397"/>
      <c r="F12" s="299"/>
      <c r="G12" s="282"/>
      <c r="H12" s="949"/>
      <c r="I12" s="949"/>
      <c r="J12" s="949"/>
      <c r="K12" s="949"/>
      <c r="L12" s="282"/>
      <c r="M12" s="282"/>
    </row>
    <row r="13" spans="1:13">
      <c r="A13" s="398">
        <v>2</v>
      </c>
      <c r="B13" s="279" t="s">
        <v>1158</v>
      </c>
      <c r="C13" s="299" t="s">
        <v>1159</v>
      </c>
      <c r="D13" s="299"/>
      <c r="E13" s="299"/>
      <c r="F13" s="287">
        <f>'Proj Att-H'!I64</f>
        <v>241080543.36003348</v>
      </c>
      <c r="G13" s="282"/>
      <c r="H13" s="949"/>
    </row>
    <row r="14" spans="1:13">
      <c r="A14" s="281"/>
      <c r="C14" s="299"/>
      <c r="D14" s="299"/>
      <c r="E14" s="299"/>
      <c r="F14" s="299"/>
      <c r="H14" s="949"/>
    </row>
    <row r="15" spans="1:13">
      <c r="A15" s="281"/>
      <c r="B15" s="392" t="s">
        <v>1160</v>
      </c>
      <c r="C15" s="299"/>
      <c r="D15" s="299"/>
      <c r="E15" s="399"/>
      <c r="F15" s="299"/>
      <c r="H15" s="949"/>
    </row>
    <row r="16" spans="1:13">
      <c r="A16" s="398">
        <f>A13+1</f>
        <v>3</v>
      </c>
      <c r="B16" s="299" t="s">
        <v>214</v>
      </c>
      <c r="C16" s="299" t="s">
        <v>1161</v>
      </c>
      <c r="D16" s="287">
        <f>'Act Att-H'!D105</f>
        <v>7280791</v>
      </c>
      <c r="E16" s="67">
        <f>IF($D$12=0,0,D16/$D$12)</f>
        <v>3.9388542260842027E-2</v>
      </c>
      <c r="F16" s="65">
        <f>E16*F$13</f>
        <v>9495811.1704034377</v>
      </c>
      <c r="G16" s="299"/>
      <c r="H16" s="949"/>
      <c r="I16" s="950"/>
    </row>
    <row r="17" spans="1:9">
      <c r="A17" s="306">
        <f>A16+1</f>
        <v>4</v>
      </c>
      <c r="B17" s="299" t="s">
        <v>1019</v>
      </c>
      <c r="C17" s="299" t="s">
        <v>1162</v>
      </c>
      <c r="D17" s="287">
        <f>'Act Att-H'!D106</f>
        <v>830300</v>
      </c>
      <c r="E17" s="67">
        <f t="shared" ref="E17:E26" si="0">IF($D$12=0,0,D17/$D$12)</f>
        <v>4.4918617550177087E-3</v>
      </c>
      <c r="F17" s="65">
        <f t="shared" ref="F17:F26" si="1">E17*F$13</f>
        <v>1082900.4725978228</v>
      </c>
      <c r="G17" s="299"/>
      <c r="H17" s="949"/>
      <c r="I17" s="951"/>
    </row>
    <row r="18" spans="1:9">
      <c r="A18" s="306">
        <f t="shared" ref="A18:A26" si="2">A17+1</f>
        <v>5</v>
      </c>
      <c r="B18" s="299" t="s">
        <v>219</v>
      </c>
      <c r="C18" s="299" t="s">
        <v>1163</v>
      </c>
      <c r="D18" s="287">
        <f>'Act Att-H'!D107</f>
        <v>3948998</v>
      </c>
      <c r="E18" s="67">
        <f t="shared" si="0"/>
        <v>2.1363787892137085E-2</v>
      </c>
      <c r="F18" s="65">
        <f t="shared" si="1"/>
        <v>5150393.5932649132</v>
      </c>
      <c r="G18" s="299"/>
      <c r="H18" s="949"/>
      <c r="I18" s="951"/>
    </row>
    <row r="19" spans="1:9">
      <c r="A19" s="306">
        <f t="shared" si="2"/>
        <v>6</v>
      </c>
      <c r="B19" s="299" t="s">
        <v>221</v>
      </c>
      <c r="C19" s="299" t="s">
        <v>1164</v>
      </c>
      <c r="D19" s="287">
        <f>'Act Att-H'!D108</f>
        <v>26589980</v>
      </c>
      <c r="E19" s="67">
        <f t="shared" si="0"/>
        <v>0.14384983045728744</v>
      </c>
      <c r="F19" s="65">
        <f t="shared" si="1"/>
        <v>34679395.288891554</v>
      </c>
      <c r="G19" s="299"/>
      <c r="H19" s="949"/>
      <c r="I19" s="951"/>
    </row>
    <row r="20" spans="1:9">
      <c r="A20" s="306">
        <f t="shared" si="2"/>
        <v>7</v>
      </c>
      <c r="B20" s="73" t="s">
        <v>223</v>
      </c>
      <c r="C20" s="299"/>
      <c r="D20" s="299"/>
      <c r="E20" s="299"/>
      <c r="F20" s="299"/>
      <c r="G20" s="299"/>
      <c r="H20" s="949"/>
      <c r="I20" s="951"/>
    </row>
    <row r="21" spans="1:9">
      <c r="A21" s="306">
        <f t="shared" si="2"/>
        <v>8</v>
      </c>
      <c r="B21" s="299" t="s">
        <v>1165</v>
      </c>
      <c r="C21" s="299" t="s">
        <v>1166</v>
      </c>
      <c r="D21" s="287">
        <f>'Act Att-H'!D110</f>
        <v>1926109.86</v>
      </c>
      <c r="E21" s="67">
        <f t="shared" si="0"/>
        <v>1.0420112267971231E-2</v>
      </c>
      <c r="F21" s="65">
        <f t="shared" si="1"/>
        <v>2512086.3274350553</v>
      </c>
      <c r="H21" s="949"/>
      <c r="I21" s="951"/>
    </row>
    <row r="22" spans="1:9">
      <c r="A22" s="306">
        <f t="shared" si="2"/>
        <v>9</v>
      </c>
      <c r="B22" s="299" t="s">
        <v>1167</v>
      </c>
      <c r="C22" s="299" t="s">
        <v>897</v>
      </c>
      <c r="D22" s="842">
        <v>110000</v>
      </c>
      <c r="E22" s="67"/>
      <c r="F22" s="65">
        <f>D22</f>
        <v>110000</v>
      </c>
      <c r="H22" s="952"/>
      <c r="I22" s="951"/>
    </row>
    <row r="23" spans="1:9">
      <c r="A23" s="306">
        <f t="shared" si="2"/>
        <v>10</v>
      </c>
      <c r="B23" s="299" t="s">
        <v>230</v>
      </c>
      <c r="C23" s="299" t="s">
        <v>1168</v>
      </c>
      <c r="D23" s="287">
        <f>'Act Att-H'!D112</f>
        <v>447787.88760000002</v>
      </c>
      <c r="E23" s="400"/>
      <c r="F23" s="287">
        <f>D23</f>
        <v>447787.88760000002</v>
      </c>
      <c r="H23" s="949"/>
      <c r="I23" s="951"/>
    </row>
    <row r="24" spans="1:9">
      <c r="A24" s="306">
        <f t="shared" si="2"/>
        <v>11</v>
      </c>
      <c r="B24" s="299" t="s">
        <v>233</v>
      </c>
      <c r="C24" s="299" t="s">
        <v>1169</v>
      </c>
      <c r="D24" s="287">
        <f>'Act Att-H'!D113</f>
        <v>212361.73749999999</v>
      </c>
      <c r="E24" s="67">
        <f t="shared" si="0"/>
        <v>1.1488613355478258E-3</v>
      </c>
      <c r="F24" s="65">
        <f t="shared" si="1"/>
        <v>276968.11501920357</v>
      </c>
      <c r="H24" s="949"/>
      <c r="I24" s="951"/>
    </row>
    <row r="25" spans="1:9">
      <c r="A25" s="306">
        <f t="shared" si="2"/>
        <v>12</v>
      </c>
      <c r="B25" s="299" t="s">
        <v>149</v>
      </c>
      <c r="C25" s="299" t="s">
        <v>1170</v>
      </c>
      <c r="D25" s="287">
        <f>'Act Att-H'!D114</f>
        <v>0</v>
      </c>
      <c r="E25" s="67">
        <f t="shared" si="0"/>
        <v>0</v>
      </c>
      <c r="F25" s="65">
        <f t="shared" si="1"/>
        <v>0</v>
      </c>
      <c r="G25" s="299"/>
      <c r="H25" s="949"/>
      <c r="I25" s="951"/>
    </row>
    <row r="26" spans="1:9" ht="13.5" thickBot="1">
      <c r="A26" s="306">
        <f t="shared" si="2"/>
        <v>13</v>
      </c>
      <c r="B26" s="299" t="s">
        <v>236</v>
      </c>
      <c r="C26" s="299" t="s">
        <v>1171</v>
      </c>
      <c r="D26" s="287">
        <f>'Act Att-H'!D115</f>
        <v>0</v>
      </c>
      <c r="E26" s="67">
        <f t="shared" si="0"/>
        <v>0</v>
      </c>
      <c r="F26" s="65">
        <f t="shared" si="1"/>
        <v>0</v>
      </c>
      <c r="G26" s="299"/>
      <c r="H26" s="949"/>
      <c r="I26" s="951"/>
    </row>
    <row r="27" spans="1:9">
      <c r="A27" s="306">
        <f>A26+1</f>
        <v>14</v>
      </c>
      <c r="B27" s="402" t="s">
        <v>1172</v>
      </c>
      <c r="C27" s="402" t="s">
        <v>1173</v>
      </c>
      <c r="D27" s="74">
        <f>+D16-D17-D18+D19-D21+D25+D26+D22+D23-D24</f>
        <v>27510789.290100001</v>
      </c>
      <c r="E27" s="74"/>
      <c r="F27" s="74">
        <f>+F16-F17-F18+F19-F21+F25+F26+F22+F23-F24</f>
        <v>35710645.838578001</v>
      </c>
      <c r="H27" s="949"/>
    </row>
    <row r="28" spans="1:9">
      <c r="A28" s="281"/>
      <c r="C28" s="299"/>
      <c r="D28" s="299"/>
      <c r="E28" s="299"/>
      <c r="F28" s="299"/>
      <c r="H28" s="949"/>
    </row>
    <row r="29" spans="1:9">
      <c r="A29" s="281"/>
      <c r="C29" s="299"/>
      <c r="D29" s="299"/>
      <c r="E29" s="299"/>
      <c r="F29" s="299"/>
      <c r="H29" s="949"/>
    </row>
    <row r="30" spans="1:9">
      <c r="A30" s="281"/>
      <c r="B30" s="392" t="s">
        <v>1174</v>
      </c>
      <c r="C30" s="299"/>
      <c r="D30" s="299"/>
      <c r="E30" s="299"/>
      <c r="F30" s="299"/>
      <c r="H30" s="949"/>
    </row>
    <row r="31" spans="1:9">
      <c r="A31" s="281"/>
      <c r="B31" s="281" t="s">
        <v>251</v>
      </c>
      <c r="C31" s="301"/>
      <c r="D31" s="299"/>
      <c r="E31" s="299"/>
      <c r="F31" s="299"/>
      <c r="H31" s="949"/>
    </row>
    <row r="32" spans="1:9">
      <c r="A32" s="398">
        <f>A27+1</f>
        <v>15</v>
      </c>
      <c r="B32" s="281" t="s">
        <v>252</v>
      </c>
      <c r="C32" s="299" t="s">
        <v>1175</v>
      </c>
      <c r="D32" s="287">
        <f>'Act Att-H'!D127</f>
        <v>1463942.2100000018</v>
      </c>
      <c r="E32" s="67">
        <f t="shared" ref="E32:E37" si="3">IF($D$12=0,0,D32/$D$12)</f>
        <v>7.9198193721005793E-3</v>
      </c>
      <c r="F32" s="65">
        <f t="shared" ref="F32:F37" si="4">E32*F$13</f>
        <v>1909314.3575393269</v>
      </c>
      <c r="H32" s="949"/>
    </row>
    <row r="33" spans="1:9">
      <c r="A33" s="398">
        <f>A32+1</f>
        <v>16</v>
      </c>
      <c r="B33" s="281" t="s">
        <v>254</v>
      </c>
      <c r="C33" s="299" t="s">
        <v>1176</v>
      </c>
      <c r="D33" s="287">
        <f>'Act Att-H'!D128</f>
        <v>0</v>
      </c>
      <c r="E33" s="67">
        <f t="shared" si="3"/>
        <v>0</v>
      </c>
      <c r="F33" s="65">
        <f t="shared" si="4"/>
        <v>0</v>
      </c>
      <c r="H33" s="949"/>
    </row>
    <row r="34" spans="1:9">
      <c r="A34" s="398">
        <f t="shared" ref="A34:A39" si="5">A33+1</f>
        <v>17</v>
      </c>
      <c r="B34" s="281" t="s">
        <v>255</v>
      </c>
      <c r="C34" s="299"/>
      <c r="D34" s="405"/>
      <c r="E34" s="67"/>
      <c r="F34" s="65"/>
      <c r="H34" s="949"/>
    </row>
    <row r="35" spans="1:9">
      <c r="A35" s="398">
        <f t="shared" si="5"/>
        <v>18</v>
      </c>
      <c r="B35" s="719" t="s">
        <v>256</v>
      </c>
      <c r="C35" s="299" t="s">
        <v>1177</v>
      </c>
      <c r="D35" s="287">
        <f>'Act Att-H'!D130</f>
        <v>9977025</v>
      </c>
      <c r="E35" s="67">
        <f t="shared" si="3"/>
        <v>5.3974969319951285E-2</v>
      </c>
      <c r="F35" s="65">
        <f t="shared" si="4"/>
        <v>13012314.931494992</v>
      </c>
      <c r="H35" s="949"/>
    </row>
    <row r="36" spans="1:9">
      <c r="A36" s="398">
        <f t="shared" si="5"/>
        <v>19</v>
      </c>
      <c r="B36" s="281" t="s">
        <v>257</v>
      </c>
      <c r="C36" s="299" t="s">
        <v>1178</v>
      </c>
      <c r="D36" s="287">
        <f>'Act Att-H'!D131</f>
        <v>0</v>
      </c>
      <c r="E36" s="67">
        <f t="shared" si="3"/>
        <v>0</v>
      </c>
      <c r="F36" s="65">
        <f t="shared" si="4"/>
        <v>0</v>
      </c>
      <c r="H36" s="949"/>
    </row>
    <row r="37" spans="1:9">
      <c r="A37" s="398">
        <f t="shared" si="5"/>
        <v>20</v>
      </c>
      <c r="B37" s="281" t="s">
        <v>1179</v>
      </c>
      <c r="C37" s="299" t="s">
        <v>1180</v>
      </c>
      <c r="D37" s="287">
        <f>'Act Att-H'!D132</f>
        <v>0</v>
      </c>
      <c r="E37" s="67">
        <f t="shared" si="3"/>
        <v>0</v>
      </c>
      <c r="F37" s="65">
        <f t="shared" si="4"/>
        <v>0</v>
      </c>
      <c r="H37" s="949"/>
    </row>
    <row r="38" spans="1:9">
      <c r="A38" s="398">
        <f t="shared" si="5"/>
        <v>21</v>
      </c>
      <c r="B38" s="281" t="s">
        <v>1181</v>
      </c>
      <c r="C38" s="299"/>
      <c r="D38" s="299"/>
      <c r="E38" s="67"/>
      <c r="F38" s="65"/>
      <c r="H38" s="949"/>
    </row>
    <row r="39" spans="1:9">
      <c r="A39" s="398">
        <f t="shared" si="5"/>
        <v>22</v>
      </c>
      <c r="B39" s="406" t="s">
        <v>1182</v>
      </c>
      <c r="C39" s="407" t="s">
        <v>1183</v>
      </c>
      <c r="D39" s="408">
        <f>'Act Att-H'!D134</f>
        <v>11440967.210000001</v>
      </c>
      <c r="E39" s="404"/>
      <c r="F39" s="403">
        <f>SUM(F32:F38)</f>
        <v>14921629.289034318</v>
      </c>
      <c r="H39" s="949"/>
    </row>
    <row r="40" spans="1:9">
      <c r="A40" s="281"/>
      <c r="D40" s="409"/>
      <c r="E40" s="299"/>
      <c r="F40" s="409"/>
      <c r="H40" s="949"/>
    </row>
    <row r="41" spans="1:9">
      <c r="A41" s="300" t="s">
        <v>496</v>
      </c>
      <c r="C41" s="410"/>
      <c r="D41" s="410"/>
      <c r="E41" s="410"/>
      <c r="F41" s="410"/>
      <c r="I41" s="953"/>
    </row>
    <row r="42" spans="1:9">
      <c r="A42" s="843" t="s">
        <v>387</v>
      </c>
      <c r="B42" s="279" t="s">
        <v>1184</v>
      </c>
      <c r="C42" s="410"/>
      <c r="D42" s="410"/>
      <c r="E42" s="410"/>
      <c r="F42" s="410"/>
      <c r="I42" s="953"/>
    </row>
    <row r="43" spans="1:9">
      <c r="C43" s="410"/>
      <c r="D43" s="410"/>
      <c r="E43" s="410"/>
      <c r="F43" s="410"/>
      <c r="I43" s="953"/>
    </row>
    <row r="44" spans="1:9">
      <c r="C44" s="410"/>
      <c r="D44" s="410"/>
      <c r="E44" s="410"/>
      <c r="F44" s="410"/>
      <c r="I44" s="953"/>
    </row>
    <row r="45" spans="1:9">
      <c r="C45" s="410"/>
      <c r="D45" s="410"/>
      <c r="E45" s="410"/>
      <c r="F45" s="410"/>
      <c r="I45" s="953"/>
    </row>
    <row r="46" spans="1:9">
      <c r="C46" s="410"/>
      <c r="D46" s="410"/>
      <c r="E46" s="410"/>
      <c r="F46" s="410"/>
      <c r="I46" s="953"/>
    </row>
    <row r="47" spans="1:9">
      <c r="C47" s="410"/>
      <c r="D47" s="410"/>
      <c r="E47" s="410"/>
      <c r="F47" s="410"/>
      <c r="I47" s="953"/>
    </row>
    <row r="48" spans="1:9">
      <c r="C48" s="410"/>
      <c r="D48" s="410"/>
      <c r="E48" s="410"/>
      <c r="F48" s="410"/>
      <c r="I48" s="953"/>
    </row>
    <row r="49" spans="1:8">
      <c r="A49" s="283"/>
      <c r="B49" s="412"/>
      <c r="C49" s="285"/>
      <c r="D49" s="413"/>
      <c r="E49" s="414"/>
      <c r="F49" s="415"/>
      <c r="G49" s="285"/>
      <c r="H49" s="954"/>
    </row>
    <row r="50" spans="1:8">
      <c r="A50" s="283"/>
      <c r="B50" s="285"/>
      <c r="C50" s="285"/>
      <c r="D50" s="285"/>
      <c r="E50" s="285"/>
      <c r="F50" s="285"/>
      <c r="G50" s="285"/>
      <c r="H50" s="955"/>
    </row>
    <row r="51" spans="1:8">
      <c r="A51" s="283"/>
      <c r="B51" s="412"/>
      <c r="C51" s="285"/>
      <c r="D51" s="401"/>
      <c r="E51" s="414"/>
      <c r="F51" s="415"/>
      <c r="G51" s="285"/>
      <c r="H51" s="954"/>
    </row>
    <row r="52" spans="1:8">
      <c r="A52" s="283"/>
      <c r="B52" s="412"/>
      <c r="C52" s="285"/>
      <c r="D52" s="401"/>
      <c r="E52" s="285"/>
      <c r="F52" s="417"/>
      <c r="G52" s="285"/>
      <c r="H52" s="954"/>
    </row>
    <row r="53" spans="1:8">
      <c r="A53" s="282"/>
      <c r="B53" s="412"/>
      <c r="C53" s="285"/>
      <c r="D53" s="401"/>
      <c r="E53" s="285"/>
      <c r="F53" s="417"/>
      <c r="G53" s="285"/>
      <c r="H53" s="954"/>
    </row>
    <row r="54" spans="1:8">
      <c r="B54" s="412"/>
      <c r="C54" s="285"/>
      <c r="D54" s="401"/>
      <c r="E54" s="285"/>
      <c r="F54" s="417"/>
      <c r="G54" s="285"/>
      <c r="H54" s="954"/>
    </row>
    <row r="55" spans="1:8">
      <c r="B55" s="412"/>
      <c r="C55" s="285"/>
      <c r="D55" s="401"/>
      <c r="E55" s="285"/>
      <c r="F55" s="417"/>
      <c r="G55" s="285"/>
      <c r="H55" s="954"/>
    </row>
    <row r="56" spans="1:8">
      <c r="B56" s="412"/>
      <c r="C56" s="285"/>
      <c r="D56" s="416"/>
      <c r="E56" s="285"/>
      <c r="F56" s="417"/>
      <c r="G56" s="285"/>
      <c r="H56" s="954"/>
    </row>
    <row r="57" spans="1:8">
      <c r="B57" s="412"/>
      <c r="C57" s="285"/>
      <c r="D57" s="401"/>
      <c r="E57" s="285"/>
      <c r="F57" s="417"/>
      <c r="G57" s="285"/>
      <c r="H57" s="954"/>
    </row>
    <row r="58" spans="1:8">
      <c r="B58" s="412"/>
      <c r="C58" s="285"/>
      <c r="D58" s="401"/>
      <c r="E58" s="285"/>
      <c r="F58" s="417"/>
      <c r="G58" s="285"/>
      <c r="H58" s="954"/>
    </row>
    <row r="59" spans="1:8">
      <c r="B59" s="412"/>
      <c r="C59" s="285"/>
      <c r="D59" s="401"/>
      <c r="E59" s="285"/>
      <c r="F59" s="417"/>
      <c r="G59" s="285"/>
      <c r="H59" s="954"/>
    </row>
    <row r="60" spans="1:8">
      <c r="B60" s="412"/>
      <c r="C60" s="285"/>
      <c r="D60" s="401"/>
      <c r="E60" s="285"/>
      <c r="F60" s="417"/>
      <c r="G60" s="285"/>
      <c r="H60" s="954"/>
    </row>
    <row r="61" spans="1:8">
      <c r="B61" s="412"/>
      <c r="C61" s="285"/>
      <c r="D61" s="416"/>
      <c r="E61" s="285"/>
      <c r="F61" s="417"/>
      <c r="G61" s="285"/>
      <c r="H61" s="954"/>
    </row>
    <row r="62" spans="1:8">
      <c r="B62" s="412"/>
      <c r="C62" s="285"/>
      <c r="D62" s="418"/>
      <c r="E62" s="285"/>
      <c r="F62" s="417"/>
      <c r="G62" s="285"/>
      <c r="H62" s="954"/>
    </row>
    <row r="63" spans="1:8">
      <c r="B63" s="419"/>
      <c r="C63" s="285"/>
      <c r="D63" s="401"/>
      <c r="E63" s="285"/>
      <c r="F63" s="417"/>
      <c r="G63" s="285"/>
      <c r="H63" s="954"/>
    </row>
    <row r="64" spans="1:8">
      <c r="B64" s="419"/>
      <c r="C64" s="285"/>
      <c r="D64" s="418"/>
      <c r="E64" s="285"/>
      <c r="F64" s="417"/>
      <c r="G64" s="285"/>
      <c r="H64" s="954"/>
    </row>
    <row r="65" spans="2:8">
      <c r="B65" s="419"/>
      <c r="C65" s="285"/>
      <c r="D65" s="418"/>
      <c r="E65" s="285"/>
      <c r="F65" s="417"/>
      <c r="G65" s="285"/>
      <c r="H65" s="954"/>
    </row>
    <row r="66" spans="2:8">
      <c r="B66" s="419"/>
      <c r="C66" s="285"/>
      <c r="D66" s="401"/>
      <c r="E66" s="285"/>
      <c r="F66" s="417"/>
      <c r="G66" s="285"/>
      <c r="H66" s="954"/>
    </row>
    <row r="67" spans="2:8">
      <c r="B67" s="412"/>
      <c r="C67" s="285"/>
      <c r="D67" s="285"/>
      <c r="E67" s="285"/>
      <c r="F67" s="417"/>
      <c r="G67" s="285"/>
      <c r="H67" s="954"/>
    </row>
    <row r="68" spans="2:8">
      <c r="B68" s="412"/>
      <c r="C68" s="285"/>
      <c r="D68" s="285"/>
      <c r="E68" s="285"/>
      <c r="F68" s="285"/>
      <c r="G68" s="285"/>
      <c r="H68" s="954"/>
    </row>
    <row r="69" spans="2:8">
      <c r="B69" s="412"/>
      <c r="C69" s="285"/>
      <c r="D69" s="285"/>
      <c r="E69" s="285"/>
      <c r="F69" s="285"/>
      <c r="G69" s="285"/>
      <c r="H69" s="954"/>
    </row>
    <row r="70" spans="2:8">
      <c r="B70" s="412"/>
      <c r="C70" s="285"/>
      <c r="D70" s="285"/>
      <c r="E70" s="285"/>
      <c r="F70" s="285"/>
      <c r="G70" s="285"/>
      <c r="H70" s="954"/>
    </row>
    <row r="71" spans="2:8">
      <c r="B71" s="412"/>
      <c r="C71" s="285"/>
      <c r="D71" s="285"/>
      <c r="E71" s="285"/>
      <c r="F71" s="285"/>
      <c r="G71" s="285"/>
      <c r="H71" s="954"/>
    </row>
    <row r="72" spans="2:8">
      <c r="B72" s="419"/>
      <c r="C72" s="285"/>
      <c r="D72" s="416"/>
      <c r="E72" s="285"/>
      <c r="F72" s="417"/>
      <c r="G72" s="285"/>
      <c r="H72" s="954"/>
    </row>
    <row r="73" spans="2:8">
      <c r="B73" s="419"/>
      <c r="C73" s="285"/>
      <c r="D73" s="416"/>
      <c r="E73" s="285"/>
      <c r="F73" s="285"/>
      <c r="G73" s="285"/>
      <c r="H73" s="95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7 D21 F21 F23 D23:D26 D39"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zoomScaleNormal="100" workbookViewId="0">
      <selection activeCell="L19" sqref="L19"/>
    </sheetView>
  </sheetViews>
  <sheetFormatPr defaultColWidth="8.6640625" defaultRowHeight="12.75"/>
  <cols>
    <col min="1" max="1" width="5.21875" style="279" customWidth="1"/>
    <col min="2" max="2" width="15.109375" style="279" customWidth="1"/>
    <col min="3" max="3" width="19.109375" style="279" bestFit="1" customWidth="1"/>
    <col min="4" max="4" width="17.109375" style="279" customWidth="1"/>
    <col min="5" max="5" width="17.44140625" style="279" customWidth="1"/>
    <col min="6" max="6" width="13.6640625" style="279" customWidth="1"/>
    <col min="7" max="7" width="12.5546875" style="279" customWidth="1"/>
    <col min="8" max="8" width="7" style="279" customWidth="1"/>
    <col min="9" max="9" width="7.6640625" style="948" bestFit="1" customWidth="1"/>
    <col min="10" max="10" width="2.21875" style="279" customWidth="1"/>
    <col min="11" max="11" width="6.6640625" style="279" customWidth="1"/>
    <col min="12" max="16384" width="8.6640625" style="279"/>
  </cols>
  <sheetData>
    <row r="1" spans="1:14">
      <c r="A1" s="1041" t="s">
        <v>1185</v>
      </c>
      <c r="B1" s="1041"/>
      <c r="C1" s="1041"/>
      <c r="D1" s="1041"/>
      <c r="E1" s="1041"/>
      <c r="F1" s="1041"/>
      <c r="G1" s="1041"/>
    </row>
    <row r="2" spans="1:14">
      <c r="A2" s="1041" t="s">
        <v>1186</v>
      </c>
      <c r="B2" s="1041"/>
      <c r="C2" s="1041"/>
      <c r="D2" s="1041"/>
      <c r="E2" s="1041"/>
      <c r="F2" s="1041"/>
      <c r="G2" s="1041"/>
    </row>
    <row r="3" spans="1:14">
      <c r="A3" s="1041" t="str">
        <f>'P1-Trans Plant'!B3</f>
        <v>Black Hills Colorado Electric, LLC</v>
      </c>
      <c r="B3" s="1041"/>
      <c r="C3" s="1041"/>
      <c r="D3" s="1041"/>
      <c r="E3" s="1041"/>
      <c r="F3" s="1041"/>
      <c r="G3" s="1041"/>
    </row>
    <row r="4" spans="1:14">
      <c r="A4" s="299"/>
      <c r="B4" s="299"/>
      <c r="C4" s="299"/>
      <c r="D4" s="299"/>
      <c r="E4" s="299"/>
      <c r="F4" s="299"/>
      <c r="G4" s="387" t="s">
        <v>3</v>
      </c>
    </row>
    <row r="5" spans="1:14">
      <c r="A5" s="304" t="s">
        <v>571</v>
      </c>
      <c r="B5" s="299"/>
      <c r="C5" s="299"/>
      <c r="D5" s="299"/>
      <c r="E5" s="299"/>
      <c r="F5" s="299"/>
      <c r="G5" s="299"/>
    </row>
    <row r="6" spans="1:14">
      <c r="A6" s="305"/>
      <c r="B6" s="299"/>
      <c r="C6" s="299"/>
      <c r="D6" s="299"/>
      <c r="E6" s="299"/>
      <c r="F6" s="299"/>
      <c r="G6" s="299"/>
    </row>
    <row r="7" spans="1:14" ht="15" customHeight="1">
      <c r="A7" s="306">
        <v>1</v>
      </c>
      <c r="B7" s="299" t="s">
        <v>1187</v>
      </c>
      <c r="C7" s="299"/>
      <c r="D7" s="299"/>
      <c r="E7" s="299"/>
      <c r="F7" s="299"/>
      <c r="G7" s="299"/>
      <c r="I7" s="956"/>
      <c r="J7" s="299"/>
      <c r="K7" s="512"/>
      <c r="L7" s="299"/>
      <c r="M7" s="513"/>
      <c r="N7" s="299"/>
    </row>
    <row r="8" spans="1:14">
      <c r="A8" s="299"/>
      <c r="B8" s="299"/>
      <c r="C8" s="299"/>
      <c r="D8" s="299"/>
      <c r="E8" s="299"/>
      <c r="F8" s="299"/>
      <c r="G8" s="299"/>
    </row>
    <row r="9" spans="1:14">
      <c r="A9" s="299"/>
      <c r="B9" s="514" t="s">
        <v>458</v>
      </c>
      <c r="C9" s="515" t="s">
        <v>459</v>
      </c>
      <c r="D9" s="514" t="s">
        <v>460</v>
      </c>
      <c r="E9" s="514" t="s">
        <v>461</v>
      </c>
      <c r="F9" s="514" t="s">
        <v>479</v>
      </c>
      <c r="G9" s="514" t="s">
        <v>480</v>
      </c>
    </row>
    <row r="10" spans="1:14" ht="92.25" customHeight="1">
      <c r="A10" s="299"/>
      <c r="B10" s="307" t="s">
        <v>635</v>
      </c>
      <c r="C10" s="307" t="s">
        <v>1188</v>
      </c>
      <c r="D10" s="308" t="s">
        <v>1189</v>
      </c>
      <c r="E10" s="308" t="s">
        <v>1190</v>
      </c>
      <c r="F10" s="307" t="s">
        <v>1191</v>
      </c>
      <c r="G10" s="307" t="s">
        <v>1192</v>
      </c>
    </row>
    <row r="11" spans="1:14">
      <c r="A11" s="306">
        <v>2</v>
      </c>
      <c r="B11" s="516" t="s">
        <v>651</v>
      </c>
      <c r="C11" s="517"/>
      <c r="D11" s="517"/>
      <c r="E11" s="518"/>
      <c r="F11" s="519">
        <v>357000</v>
      </c>
      <c r="G11" s="520">
        <f t="shared" ref="G11:G18" si="0">F11</f>
        <v>357000</v>
      </c>
    </row>
    <row r="12" spans="1:14">
      <c r="A12" s="306">
        <v>3</v>
      </c>
      <c r="B12" s="516" t="s">
        <v>652</v>
      </c>
      <c r="C12" s="521"/>
      <c r="D12" s="521"/>
      <c r="E12" s="522"/>
      <c r="F12" s="519">
        <v>376000</v>
      </c>
      <c r="G12" s="520">
        <f t="shared" si="0"/>
        <v>376000</v>
      </c>
    </row>
    <row r="13" spans="1:14">
      <c r="A13" s="306">
        <v>4</v>
      </c>
      <c r="B13" s="516" t="s">
        <v>829</v>
      </c>
      <c r="C13" s="521"/>
      <c r="D13" s="521"/>
      <c r="E13" s="522"/>
      <c r="F13" s="519">
        <v>359000</v>
      </c>
      <c r="G13" s="520">
        <f t="shared" si="0"/>
        <v>359000</v>
      </c>
    </row>
    <row r="14" spans="1:14">
      <c r="A14" s="306">
        <v>5</v>
      </c>
      <c r="B14" s="516" t="s">
        <v>654</v>
      </c>
      <c r="C14" s="521"/>
      <c r="D14" s="521"/>
      <c r="E14" s="522"/>
      <c r="F14" s="519">
        <v>319000</v>
      </c>
      <c r="G14" s="520">
        <f t="shared" si="0"/>
        <v>319000</v>
      </c>
    </row>
    <row r="15" spans="1:14">
      <c r="A15" s="306">
        <v>6</v>
      </c>
      <c r="B15" s="516" t="s">
        <v>655</v>
      </c>
      <c r="C15" s="521"/>
      <c r="D15" s="521"/>
      <c r="E15" s="522"/>
      <c r="F15" s="519">
        <v>393000</v>
      </c>
      <c r="G15" s="520">
        <f t="shared" si="0"/>
        <v>393000</v>
      </c>
    </row>
    <row r="16" spans="1:14">
      <c r="A16" s="306">
        <v>7</v>
      </c>
      <c r="B16" s="516" t="s">
        <v>18</v>
      </c>
      <c r="C16" s="521"/>
      <c r="D16" s="521"/>
      <c r="E16" s="522"/>
      <c r="F16" s="519">
        <v>459000</v>
      </c>
      <c r="G16" s="520">
        <f t="shared" si="0"/>
        <v>459000</v>
      </c>
    </row>
    <row r="17" spans="1:15">
      <c r="A17" s="306">
        <v>8</v>
      </c>
      <c r="B17" s="516" t="s">
        <v>656</v>
      </c>
      <c r="C17" s="521"/>
      <c r="D17" s="521"/>
      <c r="E17" s="522"/>
      <c r="F17" s="519">
        <v>489000</v>
      </c>
      <c r="G17" s="520">
        <f t="shared" si="0"/>
        <v>489000</v>
      </c>
    </row>
    <row r="18" spans="1:15">
      <c r="A18" s="306">
        <v>9</v>
      </c>
      <c r="B18" s="516" t="s">
        <v>830</v>
      </c>
      <c r="C18" s="523"/>
      <c r="D18" s="523"/>
      <c r="E18" s="524"/>
      <c r="F18" s="519">
        <v>480000</v>
      </c>
      <c r="G18" s="520">
        <f t="shared" si="0"/>
        <v>480000</v>
      </c>
    </row>
    <row r="19" spans="1:15">
      <c r="A19" s="306">
        <v>10</v>
      </c>
      <c r="B19" s="525" t="s">
        <v>658</v>
      </c>
      <c r="C19" s="526">
        <f>'A6-Divisor'!G16</f>
        <v>1.2063727306409782</v>
      </c>
      <c r="D19" s="527">
        <f>AVERAGE($F$11:$F$18)</f>
        <v>404000</v>
      </c>
      <c r="E19" s="528">
        <f>C19*D19</f>
        <v>487374.58317895519</v>
      </c>
      <c r="F19" s="518"/>
      <c r="G19" s="529">
        <f>E19</f>
        <v>487374.58317895519</v>
      </c>
    </row>
    <row r="20" spans="1:15">
      <c r="A20" s="306">
        <v>11</v>
      </c>
      <c r="B20" s="525" t="s">
        <v>659</v>
      </c>
      <c r="C20" s="526">
        <f>'A6-Divisor'!G17</f>
        <v>0.85068543905150051</v>
      </c>
      <c r="D20" s="527">
        <f>AVERAGE($F$11:$F$18)</f>
        <v>404000</v>
      </c>
      <c r="E20" s="528">
        <f>C20*D20</f>
        <v>343676.9173768062</v>
      </c>
      <c r="F20" s="522"/>
      <c r="G20" s="529">
        <f>E20</f>
        <v>343676.9173768062</v>
      </c>
    </row>
    <row r="21" spans="1:15">
      <c r="A21" s="306">
        <v>12</v>
      </c>
      <c r="B21" s="525" t="s">
        <v>660</v>
      </c>
      <c r="C21" s="526">
        <f>'A6-Divisor'!G18</f>
        <v>0.84475731752500927</v>
      </c>
      <c r="D21" s="527">
        <f>AVERAGE($F$11:$F$18)</f>
        <v>404000</v>
      </c>
      <c r="E21" s="528">
        <f>C21*D21</f>
        <v>341281.95628010377</v>
      </c>
      <c r="F21" s="522"/>
      <c r="G21" s="529">
        <f>E21</f>
        <v>341281.95628010377</v>
      </c>
    </row>
    <row r="22" spans="1:15">
      <c r="A22" s="306">
        <v>13</v>
      </c>
      <c r="B22" s="525" t="s">
        <v>831</v>
      </c>
      <c r="C22" s="526">
        <f>'A6-Divisor'!G19</f>
        <v>0.88329010744720271</v>
      </c>
      <c r="D22" s="527">
        <f>AVERAGE($F$11:$F$18)</f>
        <v>404000</v>
      </c>
      <c r="E22" s="528">
        <f>C22*D22</f>
        <v>356849.20340866991</v>
      </c>
      <c r="F22" s="522"/>
      <c r="G22" s="529">
        <f>E22</f>
        <v>356849.20340866991</v>
      </c>
    </row>
    <row r="23" spans="1:15">
      <c r="A23" s="306">
        <v>14</v>
      </c>
      <c r="B23" s="530" t="s">
        <v>90</v>
      </c>
      <c r="C23" s="531"/>
      <c r="D23" s="532"/>
      <c r="E23" s="532"/>
      <c r="F23" s="531"/>
      <c r="G23" s="533">
        <f>SUM(G11:G22)</f>
        <v>4761182.6602445347</v>
      </c>
      <c r="L23" s="281"/>
    </row>
    <row r="24" spans="1:15">
      <c r="A24" s="306">
        <v>15</v>
      </c>
      <c r="B24" s="530" t="s">
        <v>832</v>
      </c>
      <c r="C24" s="531"/>
      <c r="D24" s="532"/>
      <c r="E24" s="532"/>
      <c r="F24" s="531"/>
      <c r="G24" s="534">
        <f>G23/12</f>
        <v>396765.22168704454</v>
      </c>
    </row>
    <row r="25" spans="1:15">
      <c r="A25" s="299"/>
      <c r="B25" s="299"/>
      <c r="C25" s="299"/>
      <c r="D25" s="299"/>
      <c r="E25" s="299"/>
      <c r="F25" s="299"/>
      <c r="G25" s="299"/>
    </row>
    <row r="26" spans="1:15">
      <c r="A26" s="299"/>
      <c r="B26" s="299"/>
      <c r="C26" s="299"/>
      <c r="D26" s="299"/>
      <c r="E26" s="299"/>
      <c r="F26" s="299"/>
      <c r="G26" s="299"/>
    </row>
    <row r="27" spans="1:15" ht="30" customHeight="1">
      <c r="A27" s="535" t="s">
        <v>1193</v>
      </c>
      <c r="B27" s="1042" t="s">
        <v>1194</v>
      </c>
      <c r="C27" s="1043"/>
      <c r="D27" s="1043"/>
      <c r="E27" s="1043"/>
      <c r="F27" s="1043"/>
      <c r="G27" s="1043"/>
      <c r="H27" s="536"/>
      <c r="I27" s="957"/>
      <c r="J27" s="536"/>
      <c r="K27" s="536"/>
      <c r="L27" s="536"/>
      <c r="M27" s="536"/>
      <c r="N27" s="536"/>
      <c r="O27" s="536"/>
    </row>
    <row r="28" spans="1:15">
      <c r="A28" s="299"/>
      <c r="B28" s="537" t="s">
        <v>1195</v>
      </c>
      <c r="C28" s="538"/>
      <c r="D28" s="538"/>
      <c r="E28" s="538"/>
      <c r="F28" s="538"/>
      <c r="G28" s="538"/>
      <c r="H28" s="539"/>
    </row>
    <row r="29" spans="1:15">
      <c r="A29" s="299"/>
      <c r="B29" s="301" t="s">
        <v>1196</v>
      </c>
      <c r="C29" s="538"/>
      <c r="D29" s="538"/>
      <c r="E29" s="538"/>
      <c r="F29" s="538"/>
      <c r="G29" s="538"/>
      <c r="H29" s="539"/>
    </row>
    <row r="30" spans="1:15" ht="17.25" customHeight="1">
      <c r="A30" s="299"/>
      <c r="B30" s="1044" t="s">
        <v>1197</v>
      </c>
      <c r="C30" s="1045"/>
      <c r="D30" s="1045"/>
      <c r="E30" s="1045"/>
      <c r="F30" s="1045"/>
      <c r="G30" s="1045"/>
    </row>
    <row r="35" spans="2:4" ht="13.5">
      <c r="B35" s="299"/>
      <c r="C35" s="540"/>
      <c r="D35" s="299"/>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workbookViewId="0">
      <selection activeCell="B19" sqref="B19"/>
    </sheetView>
  </sheetViews>
  <sheetFormatPr defaultColWidth="8.6640625" defaultRowHeight="15"/>
  <cols>
    <col min="1" max="1" width="5.6640625" style="1" customWidth="1"/>
    <col min="2" max="2" width="9.6640625" style="28" customWidth="1"/>
    <col min="3" max="6" width="12.6640625" style="2" customWidth="1"/>
    <col min="7" max="7" width="3" style="28" customWidth="1"/>
    <col min="8" max="11" width="12.6640625" style="2" customWidth="1"/>
    <col min="12" max="12" width="15.21875" style="2" bestFit="1" customWidth="1"/>
    <col min="13" max="15" width="12.6640625" style="2" customWidth="1"/>
    <col min="16" max="16" width="10.6640625" style="2" customWidth="1"/>
    <col min="17" max="17" width="8.6640625" style="4"/>
    <col min="18" max="16384" width="8.6640625" style="2"/>
  </cols>
  <sheetData>
    <row r="1" spans="1:19">
      <c r="A1" s="987" t="s">
        <v>70</v>
      </c>
      <c r="B1" s="987"/>
      <c r="C1" s="987"/>
      <c r="D1" s="987"/>
      <c r="E1" s="987"/>
      <c r="F1" s="987"/>
      <c r="G1" s="987"/>
      <c r="H1" s="987"/>
      <c r="I1" s="987"/>
      <c r="J1" s="987"/>
      <c r="K1" s="987"/>
      <c r="L1" s="987"/>
      <c r="M1" s="987"/>
      <c r="N1" s="987"/>
      <c r="O1" s="987"/>
    </row>
    <row r="2" spans="1:19">
      <c r="A2" s="1017" t="s">
        <v>1198</v>
      </c>
      <c r="B2" s="1017"/>
      <c r="C2" s="1017"/>
      <c r="D2" s="1017"/>
      <c r="E2" s="1017"/>
      <c r="F2" s="1017"/>
      <c r="G2" s="1017"/>
      <c r="H2" s="1017"/>
      <c r="I2" s="1017"/>
      <c r="J2" s="1017"/>
      <c r="K2" s="1017"/>
      <c r="L2" s="1017"/>
      <c r="M2" s="1017"/>
      <c r="N2" s="1017"/>
      <c r="O2" s="1017"/>
    </row>
    <row r="3" spans="1:19">
      <c r="A3" s="1018" t="str">
        <f>'Act Att-H'!C7</f>
        <v>Black Hills Colorado Electric, LLC</v>
      </c>
      <c r="B3" s="1018"/>
      <c r="C3" s="1018"/>
      <c r="D3" s="1018"/>
      <c r="E3" s="1018"/>
      <c r="F3" s="1018"/>
      <c r="G3" s="1018"/>
      <c r="H3" s="1018"/>
      <c r="I3" s="1018"/>
      <c r="J3" s="1018"/>
      <c r="K3" s="1018"/>
      <c r="L3" s="1018"/>
      <c r="M3" s="1018"/>
      <c r="N3" s="1018"/>
      <c r="O3" s="1018"/>
    </row>
    <row r="4" spans="1:19">
      <c r="A4" s="5"/>
      <c r="C4" s="3"/>
      <c r="D4" s="3"/>
      <c r="E4" s="3"/>
      <c r="F4" s="3"/>
      <c r="G4" s="346"/>
      <c r="H4" s="3"/>
      <c r="I4" s="3"/>
      <c r="J4" s="3"/>
      <c r="O4" s="6" t="s">
        <v>3</v>
      </c>
    </row>
    <row r="5" spans="1:19" ht="15" customHeight="1">
      <c r="A5" s="46"/>
      <c r="C5" s="48"/>
      <c r="D5" s="48"/>
      <c r="E5" s="48"/>
      <c r="F5" s="48"/>
      <c r="G5" s="347"/>
    </row>
    <row r="6" spans="1:19" s="316" customFormat="1">
      <c r="A6" s="350" t="s">
        <v>82</v>
      </c>
      <c r="G6" s="325"/>
      <c r="H6" s="356" t="s">
        <v>837</v>
      </c>
      <c r="I6" s="591" t="s">
        <v>526</v>
      </c>
      <c r="P6" s="2"/>
      <c r="Q6" s="4"/>
      <c r="R6" s="2"/>
      <c r="S6" s="2"/>
    </row>
    <row r="7" spans="1:19" s="316" customFormat="1">
      <c r="A7" s="348">
        <v>1</v>
      </c>
      <c r="B7" s="325"/>
      <c r="C7" s="1046"/>
      <c r="D7" s="1046"/>
      <c r="E7" s="1046"/>
      <c r="F7" s="1046"/>
      <c r="G7" s="325"/>
      <c r="H7" s="317" t="s">
        <v>839</v>
      </c>
      <c r="I7" s="338" t="s">
        <v>840</v>
      </c>
      <c r="J7" s="338"/>
      <c r="K7" s="362"/>
      <c r="L7" s="317" t="s">
        <v>839</v>
      </c>
      <c r="M7" s="338" t="s">
        <v>841</v>
      </c>
      <c r="N7" s="338"/>
      <c r="O7" s="362"/>
      <c r="P7" s="2"/>
      <c r="Q7" s="4"/>
      <c r="R7" s="2"/>
      <c r="S7" s="2"/>
    </row>
    <row r="8" spans="1:19" s="316" customFormat="1">
      <c r="A8" s="348">
        <f>A7+1</f>
        <v>2</v>
      </c>
      <c r="G8" s="325"/>
      <c r="H8" s="318" t="s">
        <v>842</v>
      </c>
      <c r="I8" s="339" t="s">
        <v>843</v>
      </c>
      <c r="J8" s="339"/>
      <c r="K8" s="319"/>
      <c r="L8" s="318" t="s">
        <v>842</v>
      </c>
      <c r="M8" s="339" t="s">
        <v>843</v>
      </c>
      <c r="N8" s="339"/>
      <c r="O8" s="319"/>
      <c r="P8" s="2"/>
      <c r="Q8" s="4"/>
      <c r="R8" s="2"/>
      <c r="S8" s="2"/>
    </row>
    <row r="9" spans="1:19" s="316" customFormat="1">
      <c r="A9" s="348">
        <f t="shared" ref="A9:A14" si="0">A8+1</f>
        <v>3</v>
      </c>
      <c r="B9" s="325"/>
      <c r="C9" s="1046"/>
      <c r="D9" s="1046"/>
      <c r="E9" s="1046"/>
      <c r="F9" s="1046"/>
      <c r="G9" s="325"/>
      <c r="H9" s="318" t="s">
        <v>1199</v>
      </c>
      <c r="I9" s="340"/>
      <c r="J9" s="340"/>
      <c r="K9" s="319" t="s">
        <v>534</v>
      </c>
      <c r="L9" s="318" t="s">
        <v>1199</v>
      </c>
      <c r="M9" s="340"/>
      <c r="N9" s="340"/>
      <c r="O9" s="319" t="s">
        <v>534</v>
      </c>
      <c r="P9" s="2"/>
      <c r="Q9" s="4"/>
      <c r="R9" s="2"/>
      <c r="S9" s="2"/>
    </row>
    <row r="10" spans="1:19" s="316" customFormat="1">
      <c r="A10" s="348">
        <f t="shared" si="0"/>
        <v>4</v>
      </c>
      <c r="G10" s="325"/>
      <c r="H10" s="318" t="s">
        <v>845</v>
      </c>
      <c r="I10" s="340">
        <v>0</v>
      </c>
      <c r="J10" s="340"/>
      <c r="K10" s="319" t="s">
        <v>535</v>
      </c>
      <c r="L10" s="318" t="s">
        <v>845</v>
      </c>
      <c r="M10" s="340">
        <v>0</v>
      </c>
      <c r="N10" s="340"/>
      <c r="O10" s="319" t="s">
        <v>535</v>
      </c>
      <c r="P10" s="2"/>
      <c r="Q10" s="4"/>
      <c r="R10" s="2"/>
      <c r="S10" s="2"/>
    </row>
    <row r="11" spans="1:19" s="316" customFormat="1">
      <c r="A11" s="348">
        <f t="shared" si="0"/>
        <v>5</v>
      </c>
      <c r="B11" s="325"/>
      <c r="C11" s="1046"/>
      <c r="D11" s="1046"/>
      <c r="E11" s="1046"/>
      <c r="F11" s="1046"/>
      <c r="G11" s="325"/>
      <c r="H11" s="318" t="s">
        <v>846</v>
      </c>
      <c r="I11" s="320">
        <f>I10*'Act Att-H'!E214</f>
        <v>0</v>
      </c>
      <c r="J11" s="320"/>
      <c r="K11" s="319"/>
      <c r="L11" s="318" t="s">
        <v>846</v>
      </c>
      <c r="M11" s="320">
        <f>M10*'Act Att-H'!E214</f>
        <v>0</v>
      </c>
      <c r="N11" s="320"/>
      <c r="O11" s="319"/>
      <c r="P11" s="2"/>
      <c r="Q11" s="4"/>
      <c r="R11" s="2"/>
      <c r="S11" s="2"/>
    </row>
    <row r="12" spans="1:19" s="316" customFormat="1">
      <c r="A12" s="348">
        <f t="shared" si="0"/>
        <v>6</v>
      </c>
      <c r="G12" s="325"/>
      <c r="H12" s="318" t="s">
        <v>847</v>
      </c>
      <c r="I12" s="342"/>
      <c r="J12" s="342"/>
      <c r="K12" s="319"/>
      <c r="L12" s="318" t="s">
        <v>847</v>
      </c>
      <c r="M12" s="342"/>
      <c r="N12" s="342"/>
      <c r="O12" s="319"/>
      <c r="P12" s="2"/>
      <c r="Q12" s="4"/>
      <c r="R12" s="2"/>
      <c r="S12" s="2"/>
    </row>
    <row r="13" spans="1:19" s="316" customFormat="1">
      <c r="A13" s="348">
        <f t="shared" si="0"/>
        <v>7</v>
      </c>
      <c r="B13" s="325"/>
      <c r="C13" s="1046"/>
      <c r="D13" s="1046"/>
      <c r="E13" s="1046"/>
      <c r="F13" s="1046"/>
      <c r="G13" s="325"/>
      <c r="H13" s="318"/>
      <c r="I13" s="3"/>
      <c r="J13" s="3"/>
      <c r="K13" s="319"/>
      <c r="L13" s="318"/>
      <c r="M13" s="3"/>
      <c r="N13" s="3"/>
      <c r="O13" s="319"/>
      <c r="P13" s="2"/>
      <c r="Q13" s="4"/>
      <c r="R13" s="2"/>
      <c r="S13" s="2"/>
    </row>
    <row r="14" spans="1:19" s="316" customFormat="1">
      <c r="A14" s="348">
        <f t="shared" si="0"/>
        <v>8</v>
      </c>
      <c r="B14" s="325"/>
      <c r="C14" s="1016" t="s">
        <v>90</v>
      </c>
      <c r="D14" s="1016"/>
      <c r="E14" s="1016"/>
      <c r="F14" s="1016"/>
      <c r="G14" s="325"/>
      <c r="H14" s="318"/>
      <c r="I14" s="3"/>
      <c r="J14" s="3"/>
      <c r="K14" s="319"/>
      <c r="L14" s="318"/>
      <c r="M14" s="3"/>
      <c r="N14" s="3"/>
      <c r="O14" s="319"/>
      <c r="P14" s="2"/>
      <c r="Q14" s="4"/>
      <c r="R14" s="2"/>
      <c r="S14" s="2"/>
    </row>
    <row r="15" spans="1:19" s="316" customFormat="1">
      <c r="A15" s="348"/>
      <c r="B15" s="325"/>
      <c r="G15" s="325"/>
      <c r="H15" s="318"/>
      <c r="I15" s="3"/>
      <c r="J15" s="3"/>
      <c r="K15" s="319"/>
      <c r="L15" s="318"/>
      <c r="M15" s="3"/>
      <c r="N15" s="3"/>
      <c r="O15" s="319"/>
      <c r="P15" s="2"/>
      <c r="Q15" s="4"/>
      <c r="R15" s="2"/>
      <c r="S15" s="2"/>
    </row>
    <row r="16" spans="1:19" s="316" customFormat="1">
      <c r="A16" s="325"/>
      <c r="B16" s="345" t="s">
        <v>1200</v>
      </c>
      <c r="C16" s="345" t="s">
        <v>1121</v>
      </c>
      <c r="D16" s="345" t="s">
        <v>849</v>
      </c>
      <c r="E16" s="345" t="s">
        <v>1122</v>
      </c>
      <c r="F16" s="345" t="s">
        <v>851</v>
      </c>
      <c r="G16" s="325"/>
      <c r="H16" s="358" t="s">
        <v>1121</v>
      </c>
      <c r="I16" s="345" t="s">
        <v>849</v>
      </c>
      <c r="J16" s="345" t="s">
        <v>1122</v>
      </c>
      <c r="K16" s="363" t="s">
        <v>850</v>
      </c>
      <c r="L16" s="358" t="s">
        <v>1121</v>
      </c>
      <c r="M16" s="345" t="s">
        <v>849</v>
      </c>
      <c r="N16" s="345" t="s">
        <v>1122</v>
      </c>
      <c r="O16" s="363" t="s">
        <v>850</v>
      </c>
      <c r="P16" s="2"/>
      <c r="Q16" s="4"/>
      <c r="R16" s="2"/>
      <c r="S16" s="2"/>
    </row>
    <row r="17" spans="1:19" s="316" customFormat="1">
      <c r="A17" s="325"/>
      <c r="B17" s="322" t="s">
        <v>458</v>
      </c>
      <c r="C17" s="322" t="s">
        <v>459</v>
      </c>
      <c r="D17" s="322" t="s">
        <v>460</v>
      </c>
      <c r="E17" s="322" t="s">
        <v>461</v>
      </c>
      <c r="F17" s="322" t="s">
        <v>479</v>
      </c>
      <c r="G17" s="322"/>
      <c r="H17" s="359" t="s">
        <v>480</v>
      </c>
      <c r="I17" s="322" t="s">
        <v>565</v>
      </c>
      <c r="J17" s="322" t="s">
        <v>566</v>
      </c>
      <c r="K17" s="321" t="s">
        <v>567</v>
      </c>
      <c r="L17" s="359" t="s">
        <v>568</v>
      </c>
      <c r="M17" s="322" t="s">
        <v>569</v>
      </c>
      <c r="N17" s="322" t="s">
        <v>570</v>
      </c>
      <c r="O17" s="321" t="s">
        <v>854</v>
      </c>
      <c r="P17" s="2"/>
      <c r="Q17" s="4"/>
      <c r="R17" s="2"/>
      <c r="S17" s="2"/>
    </row>
    <row r="18" spans="1:19" s="316" customFormat="1">
      <c r="A18" s="325"/>
      <c r="B18" s="325"/>
      <c r="G18" s="325"/>
      <c r="H18" s="343">
        <f>I12</f>
        <v>0</v>
      </c>
      <c r="I18" s="325"/>
      <c r="J18" s="325"/>
      <c r="K18" s="326"/>
      <c r="L18" s="343">
        <f>M12</f>
        <v>0</v>
      </c>
      <c r="M18" s="325"/>
      <c r="N18" s="325"/>
      <c r="O18" s="326"/>
      <c r="P18" s="2"/>
      <c r="Q18" s="4"/>
      <c r="R18" s="2"/>
      <c r="S18" s="2"/>
    </row>
    <row r="19" spans="1:19" s="316" customFormat="1">
      <c r="A19" s="348">
        <f>A14+1</f>
        <v>9</v>
      </c>
      <c r="B19" s="770">
        <f>'P1-Trans Plant'!B18</f>
        <v>44562</v>
      </c>
      <c r="C19" s="327">
        <f>+H19+L19</f>
        <v>0</v>
      </c>
      <c r="D19" s="327">
        <f t="shared" ref="D19:E19" si="1">+I19+M19</f>
        <v>0</v>
      </c>
      <c r="E19" s="327">
        <f t="shared" si="1"/>
        <v>0</v>
      </c>
      <c r="F19" s="357"/>
      <c r="G19" s="348"/>
      <c r="H19" s="343">
        <f>H18</f>
        <v>0</v>
      </c>
      <c r="I19" s="668">
        <f>H19*I$9</f>
        <v>0</v>
      </c>
      <c r="J19" s="668">
        <f>I19</f>
        <v>0</v>
      </c>
      <c r="K19" s="329">
        <f>+H19-J19</f>
        <v>0</v>
      </c>
      <c r="L19" s="343">
        <f>L18</f>
        <v>0</v>
      </c>
      <c r="M19" s="668">
        <f>L19*M$9</f>
        <v>0</v>
      </c>
      <c r="N19" s="668">
        <f>M19</f>
        <v>0</v>
      </c>
      <c r="O19" s="329">
        <f>+L19-N19</f>
        <v>0</v>
      </c>
      <c r="P19" s="2"/>
      <c r="Q19" s="4"/>
      <c r="R19" s="2"/>
      <c r="S19" s="2"/>
    </row>
    <row r="20" spans="1:19" s="316" customFormat="1">
      <c r="A20" s="348">
        <f t="shared" ref="A20:A42" si="2">A19+1</f>
        <v>10</v>
      </c>
      <c r="B20" s="770">
        <f>'P1-Trans Plant'!B19</f>
        <v>44593</v>
      </c>
      <c r="C20" s="327">
        <f t="shared" ref="C20:C42" si="3">+H20+L20</f>
        <v>0</v>
      </c>
      <c r="D20" s="327">
        <f t="shared" ref="D20:D42" si="4">+I20+M20</f>
        <v>0</v>
      </c>
      <c r="E20" s="327">
        <f t="shared" ref="E20:E42" si="5">+J20+N20</f>
        <v>0</v>
      </c>
      <c r="F20" s="357"/>
      <c r="G20" s="348"/>
      <c r="H20" s="343">
        <v>0</v>
      </c>
      <c r="I20" s="668">
        <f t="shared" ref="I20:I42" si="6">H20*I$9</f>
        <v>0</v>
      </c>
      <c r="J20" s="668">
        <f>J19+I20</f>
        <v>0</v>
      </c>
      <c r="K20" s="329">
        <f>+H20-J20</f>
        <v>0</v>
      </c>
      <c r="L20" s="343">
        <v>0</v>
      </c>
      <c r="M20" s="668">
        <f t="shared" ref="M20:M42" si="7">L20*M$9</f>
        <v>0</v>
      </c>
      <c r="N20" s="668">
        <f>N19+M20</f>
        <v>0</v>
      </c>
      <c r="O20" s="329">
        <f>+L20-N20</f>
        <v>0</v>
      </c>
      <c r="P20" s="2"/>
      <c r="Q20" s="4"/>
      <c r="R20" s="2"/>
      <c r="S20" s="2"/>
    </row>
    <row r="21" spans="1:19" s="316" customFormat="1">
      <c r="A21" s="348">
        <f t="shared" si="2"/>
        <v>11</v>
      </c>
      <c r="B21" s="770">
        <f>'P1-Trans Plant'!B20</f>
        <v>44621</v>
      </c>
      <c r="C21" s="327">
        <f t="shared" si="3"/>
        <v>0</v>
      </c>
      <c r="D21" s="327">
        <f t="shared" si="4"/>
        <v>0</v>
      </c>
      <c r="E21" s="327">
        <f t="shared" si="5"/>
        <v>0</v>
      </c>
      <c r="F21" s="357"/>
      <c r="G21" s="348"/>
      <c r="H21" s="343">
        <v>0</v>
      </c>
      <c r="I21" s="668">
        <f t="shared" si="6"/>
        <v>0</v>
      </c>
      <c r="J21" s="668">
        <f t="shared" ref="J21:J42" si="8">J20+I21</f>
        <v>0</v>
      </c>
      <c r="K21" s="329">
        <f t="shared" ref="K21:K42" si="9">+H21-J21</f>
        <v>0</v>
      </c>
      <c r="L21" s="343">
        <v>0</v>
      </c>
      <c r="M21" s="668">
        <f t="shared" si="7"/>
        <v>0</v>
      </c>
      <c r="N21" s="668">
        <f t="shared" ref="N21:N42" si="10">N20+M21</f>
        <v>0</v>
      </c>
      <c r="O21" s="329">
        <f t="shared" ref="O21:O42" si="11">+L21-N21</f>
        <v>0</v>
      </c>
      <c r="P21" s="2"/>
      <c r="Q21" s="4"/>
      <c r="R21" s="2"/>
      <c r="S21" s="2"/>
    </row>
    <row r="22" spans="1:19" s="316" customFormat="1">
      <c r="A22" s="348">
        <f t="shared" si="2"/>
        <v>12</v>
      </c>
      <c r="B22" s="770">
        <f>'P1-Trans Plant'!B21</f>
        <v>44652</v>
      </c>
      <c r="C22" s="327">
        <f t="shared" si="3"/>
        <v>0</v>
      </c>
      <c r="D22" s="327">
        <f t="shared" si="4"/>
        <v>0</v>
      </c>
      <c r="E22" s="327">
        <f t="shared" si="5"/>
        <v>0</v>
      </c>
      <c r="F22" s="357"/>
      <c r="G22" s="348"/>
      <c r="H22" s="343">
        <v>0</v>
      </c>
      <c r="I22" s="668">
        <f t="shared" si="6"/>
        <v>0</v>
      </c>
      <c r="J22" s="668">
        <f t="shared" si="8"/>
        <v>0</v>
      </c>
      <c r="K22" s="329">
        <f t="shared" si="9"/>
        <v>0</v>
      </c>
      <c r="L22" s="343">
        <v>0</v>
      </c>
      <c r="M22" s="668">
        <f t="shared" si="7"/>
        <v>0</v>
      </c>
      <c r="N22" s="668">
        <f t="shared" si="10"/>
        <v>0</v>
      </c>
      <c r="O22" s="329">
        <f t="shared" si="11"/>
        <v>0</v>
      </c>
      <c r="P22" s="2"/>
      <c r="Q22" s="4"/>
      <c r="R22" s="2"/>
      <c r="S22" s="2"/>
    </row>
    <row r="23" spans="1:19" s="316" customFormat="1">
      <c r="A23" s="348">
        <f t="shared" si="2"/>
        <v>13</v>
      </c>
      <c r="B23" s="770">
        <f>'P1-Trans Plant'!B22</f>
        <v>44682</v>
      </c>
      <c r="C23" s="327">
        <f t="shared" si="3"/>
        <v>0</v>
      </c>
      <c r="D23" s="327">
        <f t="shared" si="4"/>
        <v>0</v>
      </c>
      <c r="E23" s="327">
        <f t="shared" si="5"/>
        <v>0</v>
      </c>
      <c r="F23" s="357"/>
      <c r="G23" s="348"/>
      <c r="H23" s="343">
        <v>0</v>
      </c>
      <c r="I23" s="668">
        <f t="shared" si="6"/>
        <v>0</v>
      </c>
      <c r="J23" s="668">
        <f t="shared" si="8"/>
        <v>0</v>
      </c>
      <c r="K23" s="329">
        <f t="shared" si="9"/>
        <v>0</v>
      </c>
      <c r="L23" s="343">
        <v>0</v>
      </c>
      <c r="M23" s="668">
        <f t="shared" si="7"/>
        <v>0</v>
      </c>
      <c r="N23" s="668">
        <f t="shared" si="10"/>
        <v>0</v>
      </c>
      <c r="O23" s="329">
        <f t="shared" si="11"/>
        <v>0</v>
      </c>
      <c r="P23" s="2"/>
      <c r="Q23" s="4"/>
      <c r="R23" s="2"/>
      <c r="S23" s="2"/>
    </row>
    <row r="24" spans="1:19" s="316" customFormat="1">
      <c r="A24" s="348">
        <f t="shared" si="2"/>
        <v>14</v>
      </c>
      <c r="B24" s="770">
        <f>'P1-Trans Plant'!B23</f>
        <v>44713</v>
      </c>
      <c r="C24" s="327">
        <f t="shared" si="3"/>
        <v>0</v>
      </c>
      <c r="D24" s="327">
        <f t="shared" si="4"/>
        <v>0</v>
      </c>
      <c r="E24" s="327">
        <f t="shared" si="5"/>
        <v>0</v>
      </c>
      <c r="F24" s="357"/>
      <c r="G24" s="348"/>
      <c r="H24" s="343">
        <v>0</v>
      </c>
      <c r="I24" s="668">
        <f t="shared" si="6"/>
        <v>0</v>
      </c>
      <c r="J24" s="668">
        <f t="shared" si="8"/>
        <v>0</v>
      </c>
      <c r="K24" s="329">
        <f t="shared" si="9"/>
        <v>0</v>
      </c>
      <c r="L24" s="343">
        <v>0</v>
      </c>
      <c r="M24" s="668">
        <f t="shared" si="7"/>
        <v>0</v>
      </c>
      <c r="N24" s="668">
        <f t="shared" si="10"/>
        <v>0</v>
      </c>
      <c r="O24" s="329">
        <f t="shared" si="11"/>
        <v>0</v>
      </c>
      <c r="P24" s="2"/>
      <c r="Q24" s="4"/>
      <c r="R24" s="2"/>
      <c r="S24" s="2"/>
    </row>
    <row r="25" spans="1:19" s="316" customFormat="1">
      <c r="A25" s="348">
        <f t="shared" si="2"/>
        <v>15</v>
      </c>
      <c r="B25" s="770">
        <f>'P1-Trans Plant'!B24</f>
        <v>44743</v>
      </c>
      <c r="C25" s="327">
        <f t="shared" si="3"/>
        <v>0</v>
      </c>
      <c r="D25" s="327">
        <f t="shared" si="4"/>
        <v>0</v>
      </c>
      <c r="E25" s="327">
        <f t="shared" si="5"/>
        <v>0</v>
      </c>
      <c r="F25" s="357"/>
      <c r="G25" s="348"/>
      <c r="H25" s="343">
        <v>0</v>
      </c>
      <c r="I25" s="668">
        <f t="shared" si="6"/>
        <v>0</v>
      </c>
      <c r="J25" s="668">
        <f t="shared" si="8"/>
        <v>0</v>
      </c>
      <c r="K25" s="329">
        <f t="shared" si="9"/>
        <v>0</v>
      </c>
      <c r="L25" s="343">
        <v>0</v>
      </c>
      <c r="M25" s="668">
        <f t="shared" si="7"/>
        <v>0</v>
      </c>
      <c r="N25" s="668">
        <f t="shared" si="10"/>
        <v>0</v>
      </c>
      <c r="O25" s="329">
        <f t="shared" si="11"/>
        <v>0</v>
      </c>
      <c r="P25" s="2"/>
      <c r="Q25" s="4"/>
      <c r="R25" s="2"/>
      <c r="S25" s="2"/>
    </row>
    <row r="26" spans="1:19" s="316" customFormat="1">
      <c r="A26" s="348">
        <f t="shared" si="2"/>
        <v>16</v>
      </c>
      <c r="B26" s="770">
        <f>'P1-Trans Plant'!B25</f>
        <v>44774</v>
      </c>
      <c r="C26" s="327">
        <f t="shared" si="3"/>
        <v>0</v>
      </c>
      <c r="D26" s="327">
        <f t="shared" si="4"/>
        <v>0</v>
      </c>
      <c r="E26" s="327">
        <f t="shared" si="5"/>
        <v>0</v>
      </c>
      <c r="F26" s="357"/>
      <c r="G26" s="348"/>
      <c r="H26" s="343">
        <v>0</v>
      </c>
      <c r="I26" s="668">
        <f t="shared" si="6"/>
        <v>0</v>
      </c>
      <c r="J26" s="668">
        <f t="shared" si="8"/>
        <v>0</v>
      </c>
      <c r="K26" s="329">
        <f t="shared" si="9"/>
        <v>0</v>
      </c>
      <c r="L26" s="343">
        <v>0</v>
      </c>
      <c r="M26" s="668">
        <f t="shared" si="7"/>
        <v>0</v>
      </c>
      <c r="N26" s="668">
        <f t="shared" si="10"/>
        <v>0</v>
      </c>
      <c r="O26" s="329">
        <f t="shared" si="11"/>
        <v>0</v>
      </c>
      <c r="P26" s="2"/>
      <c r="Q26" s="4"/>
      <c r="R26" s="2"/>
      <c r="S26" s="2"/>
    </row>
    <row r="27" spans="1:19" s="316" customFormat="1">
      <c r="A27" s="348">
        <f t="shared" si="2"/>
        <v>17</v>
      </c>
      <c r="B27" s="770">
        <f>'P1-Trans Plant'!B26</f>
        <v>44805</v>
      </c>
      <c r="C27" s="327">
        <f t="shared" si="3"/>
        <v>0</v>
      </c>
      <c r="D27" s="327">
        <f t="shared" si="4"/>
        <v>0</v>
      </c>
      <c r="E27" s="327">
        <f t="shared" si="5"/>
        <v>0</v>
      </c>
      <c r="F27" s="357"/>
      <c r="G27" s="348"/>
      <c r="H27" s="343">
        <v>0</v>
      </c>
      <c r="I27" s="668">
        <f t="shared" si="6"/>
        <v>0</v>
      </c>
      <c r="J27" s="668">
        <f t="shared" si="8"/>
        <v>0</v>
      </c>
      <c r="K27" s="329">
        <f t="shared" si="9"/>
        <v>0</v>
      </c>
      <c r="L27" s="343">
        <v>0</v>
      </c>
      <c r="M27" s="668">
        <f t="shared" si="7"/>
        <v>0</v>
      </c>
      <c r="N27" s="668">
        <f t="shared" si="10"/>
        <v>0</v>
      </c>
      <c r="O27" s="329">
        <f t="shared" si="11"/>
        <v>0</v>
      </c>
      <c r="P27" s="2"/>
      <c r="Q27" s="4"/>
      <c r="R27" s="2"/>
      <c r="S27" s="2"/>
    </row>
    <row r="28" spans="1:19" s="316" customFormat="1">
      <c r="A28" s="348">
        <f t="shared" si="2"/>
        <v>18</v>
      </c>
      <c r="B28" s="770">
        <f>'P1-Trans Plant'!B27</f>
        <v>44835</v>
      </c>
      <c r="C28" s="327">
        <f t="shared" si="3"/>
        <v>0</v>
      </c>
      <c r="D28" s="327">
        <f t="shared" si="4"/>
        <v>0</v>
      </c>
      <c r="E28" s="327">
        <f t="shared" si="5"/>
        <v>0</v>
      </c>
      <c r="F28" s="357"/>
      <c r="G28" s="348"/>
      <c r="H28" s="343">
        <v>0</v>
      </c>
      <c r="I28" s="668">
        <f t="shared" si="6"/>
        <v>0</v>
      </c>
      <c r="J28" s="668">
        <f t="shared" si="8"/>
        <v>0</v>
      </c>
      <c r="K28" s="329">
        <f t="shared" si="9"/>
        <v>0</v>
      </c>
      <c r="L28" s="343">
        <v>0</v>
      </c>
      <c r="M28" s="668">
        <f t="shared" si="7"/>
        <v>0</v>
      </c>
      <c r="N28" s="668">
        <f t="shared" si="10"/>
        <v>0</v>
      </c>
      <c r="O28" s="329">
        <f t="shared" si="11"/>
        <v>0</v>
      </c>
      <c r="P28" s="2"/>
      <c r="Q28" s="4"/>
      <c r="R28" s="2"/>
      <c r="S28" s="2"/>
    </row>
    <row r="29" spans="1:19" s="316" customFormat="1">
      <c r="A29" s="348">
        <f t="shared" si="2"/>
        <v>19</v>
      </c>
      <c r="B29" s="770">
        <f>'P1-Trans Plant'!B28</f>
        <v>44866</v>
      </c>
      <c r="C29" s="327">
        <f t="shared" si="3"/>
        <v>0</v>
      </c>
      <c r="D29" s="327">
        <f t="shared" si="4"/>
        <v>0</v>
      </c>
      <c r="E29" s="327">
        <f t="shared" si="5"/>
        <v>0</v>
      </c>
      <c r="F29" s="357"/>
      <c r="G29" s="348"/>
      <c r="H29" s="343">
        <v>0</v>
      </c>
      <c r="I29" s="668">
        <f t="shared" si="6"/>
        <v>0</v>
      </c>
      <c r="J29" s="668">
        <f t="shared" si="8"/>
        <v>0</v>
      </c>
      <c r="K29" s="329">
        <f t="shared" si="9"/>
        <v>0</v>
      </c>
      <c r="L29" s="343">
        <v>0</v>
      </c>
      <c r="M29" s="668">
        <f t="shared" si="7"/>
        <v>0</v>
      </c>
      <c r="N29" s="668">
        <f t="shared" si="10"/>
        <v>0</v>
      </c>
      <c r="O29" s="329">
        <f t="shared" si="11"/>
        <v>0</v>
      </c>
      <c r="P29" s="2"/>
      <c r="Q29" s="4"/>
      <c r="R29" s="2"/>
      <c r="S29" s="2"/>
    </row>
    <row r="30" spans="1:19" s="316" customFormat="1">
      <c r="A30" s="348">
        <f t="shared" si="2"/>
        <v>20</v>
      </c>
      <c r="B30" s="770">
        <f>'P1-Trans Plant'!B29</f>
        <v>44896</v>
      </c>
      <c r="C30" s="327">
        <f t="shared" si="3"/>
        <v>0</v>
      </c>
      <c r="D30" s="327">
        <f t="shared" si="4"/>
        <v>0</v>
      </c>
      <c r="E30" s="327">
        <f t="shared" si="5"/>
        <v>0</v>
      </c>
      <c r="F30" s="357"/>
      <c r="G30" s="348"/>
      <c r="H30" s="343">
        <v>0</v>
      </c>
      <c r="I30" s="668">
        <f t="shared" si="6"/>
        <v>0</v>
      </c>
      <c r="J30" s="668">
        <f t="shared" si="8"/>
        <v>0</v>
      </c>
      <c r="K30" s="329">
        <f t="shared" si="9"/>
        <v>0</v>
      </c>
      <c r="L30" s="343">
        <v>0</v>
      </c>
      <c r="M30" s="668">
        <f t="shared" si="7"/>
        <v>0</v>
      </c>
      <c r="N30" s="668">
        <f t="shared" si="10"/>
        <v>0</v>
      </c>
      <c r="O30" s="329">
        <f t="shared" si="11"/>
        <v>0</v>
      </c>
      <c r="P30" s="2"/>
      <c r="Q30" s="4"/>
      <c r="R30" s="2"/>
      <c r="S30" s="2"/>
    </row>
    <row r="31" spans="1:19" s="316" customFormat="1">
      <c r="A31" s="348">
        <f t="shared" si="2"/>
        <v>21</v>
      </c>
      <c r="B31" s="770">
        <f>'P1-Trans Plant'!B30</f>
        <v>44927</v>
      </c>
      <c r="C31" s="327">
        <f t="shared" si="3"/>
        <v>0</v>
      </c>
      <c r="D31" s="327">
        <f t="shared" si="4"/>
        <v>0</v>
      </c>
      <c r="E31" s="327">
        <f t="shared" si="5"/>
        <v>0</v>
      </c>
      <c r="F31" s="357"/>
      <c r="G31" s="348"/>
      <c r="H31" s="343">
        <v>0</v>
      </c>
      <c r="I31" s="668">
        <f t="shared" si="6"/>
        <v>0</v>
      </c>
      <c r="J31" s="668">
        <f t="shared" si="8"/>
        <v>0</v>
      </c>
      <c r="K31" s="329">
        <f t="shared" si="9"/>
        <v>0</v>
      </c>
      <c r="L31" s="343">
        <v>0</v>
      </c>
      <c r="M31" s="668">
        <f t="shared" si="7"/>
        <v>0</v>
      </c>
      <c r="N31" s="668">
        <f t="shared" si="10"/>
        <v>0</v>
      </c>
      <c r="O31" s="329">
        <f t="shared" si="11"/>
        <v>0</v>
      </c>
      <c r="P31" s="2"/>
      <c r="Q31" s="4"/>
      <c r="R31" s="2"/>
      <c r="S31" s="2"/>
    </row>
    <row r="32" spans="1:19" s="316" customFormat="1">
      <c r="A32" s="348">
        <f t="shared" si="2"/>
        <v>22</v>
      </c>
      <c r="B32" s="770">
        <f>'P1-Trans Plant'!B31</f>
        <v>44958</v>
      </c>
      <c r="C32" s="327">
        <f t="shared" si="3"/>
        <v>0</v>
      </c>
      <c r="D32" s="327">
        <f t="shared" si="4"/>
        <v>0</v>
      </c>
      <c r="E32" s="327">
        <f t="shared" si="5"/>
        <v>0</v>
      </c>
      <c r="F32" s="357"/>
      <c r="G32" s="348"/>
      <c r="H32" s="343">
        <v>0</v>
      </c>
      <c r="I32" s="668">
        <f t="shared" si="6"/>
        <v>0</v>
      </c>
      <c r="J32" s="668">
        <f t="shared" si="8"/>
        <v>0</v>
      </c>
      <c r="K32" s="329">
        <f t="shared" si="9"/>
        <v>0</v>
      </c>
      <c r="L32" s="343">
        <v>0</v>
      </c>
      <c r="M32" s="668">
        <f t="shared" si="7"/>
        <v>0</v>
      </c>
      <c r="N32" s="668">
        <f t="shared" si="10"/>
        <v>0</v>
      </c>
      <c r="O32" s="329">
        <f t="shared" si="11"/>
        <v>0</v>
      </c>
      <c r="P32" s="2"/>
      <c r="Q32" s="4"/>
      <c r="R32" s="2"/>
      <c r="S32" s="2"/>
    </row>
    <row r="33" spans="1:19" s="316" customFormat="1">
      <c r="A33" s="348">
        <f t="shared" si="2"/>
        <v>23</v>
      </c>
      <c r="B33" s="770">
        <f>'P1-Trans Plant'!B32</f>
        <v>44986</v>
      </c>
      <c r="C33" s="327">
        <f t="shared" si="3"/>
        <v>0</v>
      </c>
      <c r="D33" s="327">
        <f t="shared" si="4"/>
        <v>0</v>
      </c>
      <c r="E33" s="327">
        <f t="shared" si="5"/>
        <v>0</v>
      </c>
      <c r="F33" s="357"/>
      <c r="G33" s="348"/>
      <c r="H33" s="343">
        <v>0</v>
      </c>
      <c r="I33" s="668">
        <f t="shared" si="6"/>
        <v>0</v>
      </c>
      <c r="J33" s="668">
        <f t="shared" si="8"/>
        <v>0</v>
      </c>
      <c r="K33" s="329">
        <f t="shared" si="9"/>
        <v>0</v>
      </c>
      <c r="L33" s="343">
        <v>0</v>
      </c>
      <c r="M33" s="668">
        <f t="shared" si="7"/>
        <v>0</v>
      </c>
      <c r="N33" s="668">
        <f t="shared" si="10"/>
        <v>0</v>
      </c>
      <c r="O33" s="329">
        <f t="shared" si="11"/>
        <v>0</v>
      </c>
      <c r="P33" s="2"/>
      <c r="Q33" s="4"/>
      <c r="R33" s="2"/>
      <c r="S33" s="2"/>
    </row>
    <row r="34" spans="1:19" s="316" customFormat="1">
      <c r="A34" s="348">
        <f t="shared" si="2"/>
        <v>24</v>
      </c>
      <c r="B34" s="770">
        <f>'P1-Trans Plant'!B33</f>
        <v>45017</v>
      </c>
      <c r="C34" s="327">
        <f t="shared" si="3"/>
        <v>0</v>
      </c>
      <c r="D34" s="327">
        <f t="shared" si="4"/>
        <v>0</v>
      </c>
      <c r="E34" s="327">
        <f t="shared" si="5"/>
        <v>0</v>
      </c>
      <c r="F34" s="357"/>
      <c r="G34" s="348"/>
      <c r="H34" s="343">
        <v>0</v>
      </c>
      <c r="I34" s="668">
        <f t="shared" si="6"/>
        <v>0</v>
      </c>
      <c r="J34" s="668">
        <f t="shared" si="8"/>
        <v>0</v>
      </c>
      <c r="K34" s="329">
        <f t="shared" si="9"/>
        <v>0</v>
      </c>
      <c r="L34" s="343">
        <v>0</v>
      </c>
      <c r="M34" s="668">
        <f t="shared" si="7"/>
        <v>0</v>
      </c>
      <c r="N34" s="668">
        <f t="shared" si="10"/>
        <v>0</v>
      </c>
      <c r="O34" s="329">
        <f t="shared" si="11"/>
        <v>0</v>
      </c>
      <c r="P34" s="2"/>
      <c r="Q34" s="4"/>
      <c r="R34" s="2"/>
      <c r="S34" s="2"/>
    </row>
    <row r="35" spans="1:19" s="316" customFormat="1">
      <c r="A35" s="348">
        <f t="shared" si="2"/>
        <v>25</v>
      </c>
      <c r="B35" s="770">
        <f>'P1-Trans Plant'!B34</f>
        <v>45047</v>
      </c>
      <c r="C35" s="327">
        <f t="shared" si="3"/>
        <v>0</v>
      </c>
      <c r="D35" s="327">
        <f t="shared" si="4"/>
        <v>0</v>
      </c>
      <c r="E35" s="327">
        <f t="shared" si="5"/>
        <v>0</v>
      </c>
      <c r="F35" s="357"/>
      <c r="G35" s="348"/>
      <c r="H35" s="343">
        <v>0</v>
      </c>
      <c r="I35" s="668">
        <f t="shared" si="6"/>
        <v>0</v>
      </c>
      <c r="J35" s="668">
        <f t="shared" si="8"/>
        <v>0</v>
      </c>
      <c r="K35" s="329">
        <f t="shared" si="9"/>
        <v>0</v>
      </c>
      <c r="L35" s="343">
        <v>0</v>
      </c>
      <c r="M35" s="668">
        <f t="shared" si="7"/>
        <v>0</v>
      </c>
      <c r="N35" s="668">
        <f t="shared" si="10"/>
        <v>0</v>
      </c>
      <c r="O35" s="329">
        <f t="shared" si="11"/>
        <v>0</v>
      </c>
      <c r="P35" s="2"/>
      <c r="Q35" s="4"/>
      <c r="R35" s="2"/>
      <c r="S35" s="2"/>
    </row>
    <row r="36" spans="1:19" s="316" customFormat="1">
      <c r="A36" s="348">
        <f t="shared" si="2"/>
        <v>26</v>
      </c>
      <c r="B36" s="770">
        <f>'P1-Trans Plant'!B35</f>
        <v>45078</v>
      </c>
      <c r="C36" s="327">
        <f t="shared" si="3"/>
        <v>0</v>
      </c>
      <c r="D36" s="327">
        <f t="shared" si="4"/>
        <v>0</v>
      </c>
      <c r="E36" s="327">
        <f t="shared" si="5"/>
        <v>0</v>
      </c>
      <c r="F36" s="357"/>
      <c r="G36" s="348"/>
      <c r="H36" s="343">
        <v>0</v>
      </c>
      <c r="I36" s="668">
        <f t="shared" si="6"/>
        <v>0</v>
      </c>
      <c r="J36" s="668">
        <f t="shared" si="8"/>
        <v>0</v>
      </c>
      <c r="K36" s="329">
        <f t="shared" si="9"/>
        <v>0</v>
      </c>
      <c r="L36" s="343">
        <v>0</v>
      </c>
      <c r="M36" s="668">
        <f t="shared" si="7"/>
        <v>0</v>
      </c>
      <c r="N36" s="668">
        <f t="shared" si="10"/>
        <v>0</v>
      </c>
      <c r="O36" s="329">
        <f t="shared" si="11"/>
        <v>0</v>
      </c>
      <c r="P36" s="2"/>
      <c r="Q36" s="4"/>
      <c r="R36" s="2"/>
      <c r="S36" s="2"/>
    </row>
    <row r="37" spans="1:19" s="316" customFormat="1">
      <c r="A37" s="348">
        <f t="shared" si="2"/>
        <v>27</v>
      </c>
      <c r="B37" s="770">
        <f>'P1-Trans Plant'!B36</f>
        <v>45108</v>
      </c>
      <c r="C37" s="327">
        <f t="shared" si="3"/>
        <v>0</v>
      </c>
      <c r="D37" s="327">
        <f t="shared" si="4"/>
        <v>0</v>
      </c>
      <c r="E37" s="327">
        <f t="shared" si="5"/>
        <v>0</v>
      </c>
      <c r="F37" s="357"/>
      <c r="G37" s="348"/>
      <c r="H37" s="343">
        <v>0</v>
      </c>
      <c r="I37" s="668">
        <f t="shared" si="6"/>
        <v>0</v>
      </c>
      <c r="J37" s="668">
        <f t="shared" si="8"/>
        <v>0</v>
      </c>
      <c r="K37" s="329">
        <f t="shared" si="9"/>
        <v>0</v>
      </c>
      <c r="L37" s="343">
        <v>0</v>
      </c>
      <c r="M37" s="668">
        <f t="shared" si="7"/>
        <v>0</v>
      </c>
      <c r="N37" s="668">
        <f t="shared" si="10"/>
        <v>0</v>
      </c>
      <c r="O37" s="329">
        <f t="shared" si="11"/>
        <v>0</v>
      </c>
      <c r="P37" s="2"/>
      <c r="Q37" s="4"/>
      <c r="R37" s="2"/>
      <c r="S37" s="2"/>
    </row>
    <row r="38" spans="1:19" s="316" customFormat="1">
      <c r="A38" s="348">
        <f t="shared" si="2"/>
        <v>28</v>
      </c>
      <c r="B38" s="770">
        <f>'P1-Trans Plant'!B37</f>
        <v>45139</v>
      </c>
      <c r="C38" s="327">
        <f t="shared" si="3"/>
        <v>0</v>
      </c>
      <c r="D38" s="327">
        <f t="shared" si="4"/>
        <v>0</v>
      </c>
      <c r="E38" s="327">
        <f t="shared" si="5"/>
        <v>0</v>
      </c>
      <c r="F38" s="357"/>
      <c r="G38" s="348"/>
      <c r="H38" s="343">
        <v>0</v>
      </c>
      <c r="I38" s="668">
        <f t="shared" si="6"/>
        <v>0</v>
      </c>
      <c r="J38" s="668">
        <f t="shared" si="8"/>
        <v>0</v>
      </c>
      <c r="K38" s="329">
        <f t="shared" si="9"/>
        <v>0</v>
      </c>
      <c r="L38" s="343">
        <v>0</v>
      </c>
      <c r="M38" s="668">
        <f t="shared" si="7"/>
        <v>0</v>
      </c>
      <c r="N38" s="668">
        <f t="shared" si="10"/>
        <v>0</v>
      </c>
      <c r="O38" s="329">
        <f t="shared" si="11"/>
        <v>0</v>
      </c>
      <c r="P38" s="2"/>
      <c r="Q38" s="4"/>
      <c r="R38" s="2"/>
      <c r="S38" s="2"/>
    </row>
    <row r="39" spans="1:19" s="316" customFormat="1">
      <c r="A39" s="348">
        <f t="shared" si="2"/>
        <v>29</v>
      </c>
      <c r="B39" s="770">
        <f>'P1-Trans Plant'!B38</f>
        <v>45170</v>
      </c>
      <c r="C39" s="327">
        <f t="shared" si="3"/>
        <v>0</v>
      </c>
      <c r="D39" s="327">
        <f t="shared" si="4"/>
        <v>0</v>
      </c>
      <c r="E39" s="327">
        <f t="shared" si="5"/>
        <v>0</v>
      </c>
      <c r="F39" s="357"/>
      <c r="G39" s="348"/>
      <c r="H39" s="343">
        <v>0</v>
      </c>
      <c r="I39" s="668">
        <f t="shared" si="6"/>
        <v>0</v>
      </c>
      <c r="J39" s="668">
        <f t="shared" si="8"/>
        <v>0</v>
      </c>
      <c r="K39" s="329">
        <f t="shared" si="9"/>
        <v>0</v>
      </c>
      <c r="L39" s="343">
        <v>0</v>
      </c>
      <c r="M39" s="668">
        <f t="shared" si="7"/>
        <v>0</v>
      </c>
      <c r="N39" s="668">
        <f t="shared" si="10"/>
        <v>0</v>
      </c>
      <c r="O39" s="329">
        <f t="shared" si="11"/>
        <v>0</v>
      </c>
      <c r="P39" s="2"/>
      <c r="Q39" s="4"/>
      <c r="R39" s="2"/>
      <c r="S39" s="2"/>
    </row>
    <row r="40" spans="1:19" s="316" customFormat="1">
      <c r="A40" s="348">
        <f t="shared" si="2"/>
        <v>30</v>
      </c>
      <c r="B40" s="770">
        <f>'P1-Trans Plant'!B39</f>
        <v>45200</v>
      </c>
      <c r="C40" s="327">
        <f t="shared" si="3"/>
        <v>0</v>
      </c>
      <c r="D40" s="327">
        <f t="shared" si="4"/>
        <v>0</v>
      </c>
      <c r="E40" s="327">
        <f t="shared" si="5"/>
        <v>0</v>
      </c>
      <c r="F40" s="357"/>
      <c r="G40" s="348"/>
      <c r="H40" s="343">
        <v>0</v>
      </c>
      <c r="I40" s="668">
        <f t="shared" si="6"/>
        <v>0</v>
      </c>
      <c r="J40" s="668">
        <f t="shared" si="8"/>
        <v>0</v>
      </c>
      <c r="K40" s="329">
        <f t="shared" si="9"/>
        <v>0</v>
      </c>
      <c r="L40" s="343">
        <v>0</v>
      </c>
      <c r="M40" s="668">
        <f t="shared" si="7"/>
        <v>0</v>
      </c>
      <c r="N40" s="668">
        <f t="shared" si="10"/>
        <v>0</v>
      </c>
      <c r="O40" s="329">
        <f t="shared" si="11"/>
        <v>0</v>
      </c>
      <c r="P40" s="2"/>
      <c r="Q40" s="4"/>
      <c r="R40" s="2"/>
      <c r="S40" s="2"/>
    </row>
    <row r="41" spans="1:19" s="316" customFormat="1">
      <c r="A41" s="348">
        <f t="shared" si="2"/>
        <v>31</v>
      </c>
      <c r="B41" s="770">
        <f>'P1-Trans Plant'!B40</f>
        <v>45231</v>
      </c>
      <c r="C41" s="327">
        <f t="shared" si="3"/>
        <v>0</v>
      </c>
      <c r="D41" s="327">
        <f t="shared" si="4"/>
        <v>0</v>
      </c>
      <c r="E41" s="327">
        <f t="shared" si="5"/>
        <v>0</v>
      </c>
      <c r="F41" s="357"/>
      <c r="G41" s="348"/>
      <c r="H41" s="343">
        <v>0</v>
      </c>
      <c r="I41" s="668">
        <f t="shared" si="6"/>
        <v>0</v>
      </c>
      <c r="J41" s="668">
        <f t="shared" si="8"/>
        <v>0</v>
      </c>
      <c r="K41" s="329">
        <f t="shared" si="9"/>
        <v>0</v>
      </c>
      <c r="L41" s="343">
        <v>0</v>
      </c>
      <c r="M41" s="668">
        <f t="shared" si="7"/>
        <v>0</v>
      </c>
      <c r="N41" s="668">
        <f t="shared" si="10"/>
        <v>0</v>
      </c>
      <c r="O41" s="329">
        <f t="shared" si="11"/>
        <v>0</v>
      </c>
      <c r="P41" s="2"/>
      <c r="Q41" s="4"/>
      <c r="R41" s="2"/>
      <c r="S41" s="2"/>
    </row>
    <row r="42" spans="1:19" s="316" customFormat="1">
      <c r="A42" s="348">
        <f t="shared" si="2"/>
        <v>32</v>
      </c>
      <c r="B42" s="770">
        <f>'P1-Trans Plant'!B41</f>
        <v>45261</v>
      </c>
      <c r="C42" s="327">
        <f t="shared" si="3"/>
        <v>0</v>
      </c>
      <c r="D42" s="327">
        <f t="shared" si="4"/>
        <v>0</v>
      </c>
      <c r="E42" s="327">
        <f t="shared" si="5"/>
        <v>0</v>
      </c>
      <c r="F42" s="357"/>
      <c r="G42" s="348"/>
      <c r="H42" s="343">
        <v>0</v>
      </c>
      <c r="I42" s="668">
        <f t="shared" si="6"/>
        <v>0</v>
      </c>
      <c r="J42" s="668">
        <f t="shared" si="8"/>
        <v>0</v>
      </c>
      <c r="K42" s="329">
        <f t="shared" si="9"/>
        <v>0</v>
      </c>
      <c r="L42" s="343">
        <v>0</v>
      </c>
      <c r="M42" s="668">
        <f t="shared" si="7"/>
        <v>0</v>
      </c>
      <c r="N42" s="668">
        <f t="shared" si="10"/>
        <v>0</v>
      </c>
      <c r="O42" s="329">
        <f t="shared" si="11"/>
        <v>0</v>
      </c>
      <c r="P42" s="2"/>
      <c r="Q42" s="4"/>
      <c r="R42" s="2"/>
      <c r="S42" s="2"/>
    </row>
    <row r="43" spans="1:19" s="316" customFormat="1">
      <c r="A43" s="348"/>
      <c r="B43" s="348"/>
      <c r="G43" s="348"/>
      <c r="H43" s="361"/>
      <c r="I43" s="335"/>
      <c r="J43" s="335"/>
      <c r="K43" s="364"/>
      <c r="L43" s="366"/>
      <c r="M43" s="335"/>
      <c r="N43" s="335"/>
      <c r="O43" s="367"/>
      <c r="P43" s="2"/>
      <c r="Q43" s="4"/>
      <c r="R43" s="2"/>
      <c r="S43" s="2"/>
    </row>
    <row r="44" spans="1:19" s="316" customFormat="1">
      <c r="A44" s="348">
        <v>33</v>
      </c>
      <c r="B44" s="286" t="s">
        <v>1145</v>
      </c>
      <c r="C44" s="291"/>
      <c r="D44" s="294">
        <f>SUM(D31:D42)</f>
        <v>0</v>
      </c>
      <c r="E44" s="291"/>
      <c r="G44" s="348"/>
      <c r="H44" s="360"/>
      <c r="I44" s="294">
        <f>SUM(I31:I42)</f>
        <v>0</v>
      </c>
      <c r="J44" s="292"/>
      <c r="K44" s="364"/>
      <c r="L44" s="360"/>
      <c r="M44" s="294">
        <f>SUM(M31:M42)</f>
        <v>0</v>
      </c>
      <c r="N44" s="292"/>
      <c r="O44" s="367"/>
      <c r="P44" s="2"/>
      <c r="Q44" s="4"/>
      <c r="R44" s="2"/>
      <c r="S44" s="2"/>
    </row>
    <row r="45" spans="1:19" s="316" customFormat="1">
      <c r="A45" s="348">
        <v>34</v>
      </c>
      <c r="B45" s="286" t="s">
        <v>1146</v>
      </c>
      <c r="C45" s="291">
        <f>SUM(C30:C42)/13</f>
        <v>0</v>
      </c>
      <c r="D45" s="296"/>
      <c r="E45" s="291">
        <f>SUM(E30:E42)/13</f>
        <v>0</v>
      </c>
      <c r="G45" s="348"/>
      <c r="H45" s="360">
        <f>SUM(H30:H42)/13</f>
        <v>0</v>
      </c>
      <c r="I45" s="296"/>
      <c r="J45" s="292">
        <f>SUM(J30:J42)/13</f>
        <v>0</v>
      </c>
      <c r="K45" s="293">
        <f>SUM(K30:K42)/13</f>
        <v>0</v>
      </c>
      <c r="L45" s="360">
        <f>SUM(L30:L42)/13</f>
        <v>0</v>
      </c>
      <c r="M45" s="296"/>
      <c r="N45" s="292">
        <f>SUM(N30:N42)/13</f>
        <v>0</v>
      </c>
      <c r="O45" s="293">
        <f>SUM(O30:O42)/13</f>
        <v>0</v>
      </c>
      <c r="P45" s="2"/>
      <c r="Q45" s="4"/>
      <c r="R45" s="2"/>
      <c r="S45" s="2"/>
    </row>
    <row r="46" spans="1:19" s="316" customFormat="1" ht="15.75" thickBot="1">
      <c r="A46" s="325"/>
      <c r="B46" s="286"/>
      <c r="G46" s="348"/>
      <c r="H46" s="361"/>
      <c r="I46" s="335"/>
      <c r="J46" s="335"/>
      <c r="K46" s="364"/>
      <c r="L46" s="366"/>
      <c r="M46" s="335"/>
      <c r="N46" s="335"/>
      <c r="O46" s="367"/>
      <c r="P46" s="2"/>
      <c r="Q46" s="4"/>
      <c r="R46" s="2"/>
      <c r="S46" s="2"/>
    </row>
    <row r="47" spans="1:19" s="316" customFormat="1" ht="15.75" thickBot="1">
      <c r="A47" s="348">
        <v>35</v>
      </c>
      <c r="B47" s="286" t="s">
        <v>1201</v>
      </c>
      <c r="F47" s="368">
        <f>O47+K47</f>
        <v>0</v>
      </c>
      <c r="G47" s="348"/>
      <c r="H47" s="361"/>
      <c r="I47" s="335"/>
      <c r="J47" s="286"/>
      <c r="K47" s="319">
        <f>ROUND(K45*I11,2)</f>
        <v>0</v>
      </c>
      <c r="L47" s="366"/>
      <c r="M47" s="335"/>
      <c r="N47" s="286"/>
      <c r="O47" s="319">
        <f>ROUND(O45*M11,2)</f>
        <v>0</v>
      </c>
      <c r="P47" s="2"/>
      <c r="Q47" s="4"/>
      <c r="R47" s="2"/>
      <c r="S47" s="2"/>
    </row>
    <row r="48" spans="1:19" s="316" customFormat="1">
      <c r="A48" s="348"/>
      <c r="F48" s="316" t="s">
        <v>838</v>
      </c>
      <c r="G48" s="348"/>
      <c r="H48" s="705"/>
      <c r="J48" s="286"/>
      <c r="K48" s="706" t="s">
        <v>838</v>
      </c>
      <c r="L48" s="707"/>
      <c r="N48" s="286"/>
      <c r="O48" s="708" t="s">
        <v>838</v>
      </c>
      <c r="P48" s="2"/>
      <c r="Q48" s="4"/>
      <c r="R48" s="2"/>
      <c r="S48" s="2"/>
    </row>
    <row r="49" spans="1:19" s="316" customFormat="1">
      <c r="A49" s="325"/>
      <c r="B49" s="348"/>
      <c r="G49" s="348"/>
      <c r="H49" s="330"/>
      <c r="I49" s="331"/>
      <c r="J49" s="331"/>
      <c r="K49" s="365"/>
      <c r="L49" s="332"/>
      <c r="M49" s="331"/>
      <c r="N49" s="331"/>
      <c r="O49" s="334"/>
      <c r="P49" s="2"/>
      <c r="Q49" s="4"/>
      <c r="R49" s="2"/>
      <c r="S49" s="2"/>
    </row>
    <row r="50" spans="1:19" s="316" customFormat="1">
      <c r="A50" s="350" t="s">
        <v>496</v>
      </c>
      <c r="B50" s="348"/>
      <c r="G50" s="348"/>
      <c r="H50" s="335"/>
      <c r="I50" s="335"/>
      <c r="J50" s="335"/>
      <c r="K50" s="335"/>
      <c r="L50" s="336"/>
      <c r="M50" s="335"/>
      <c r="N50" s="335"/>
      <c r="O50" s="337"/>
      <c r="P50" s="2"/>
      <c r="Q50" s="4"/>
      <c r="R50" s="2"/>
      <c r="S50" s="2"/>
    </row>
    <row r="51" spans="1:19" s="316" customFormat="1">
      <c r="A51" s="325" t="s">
        <v>387</v>
      </c>
      <c r="B51" s="349" t="s">
        <v>856</v>
      </c>
      <c r="G51" s="348"/>
      <c r="H51" s="335"/>
      <c r="I51" s="335"/>
      <c r="J51" s="335"/>
      <c r="K51" s="335"/>
      <c r="L51" s="336"/>
      <c r="M51" s="335"/>
      <c r="N51" s="335"/>
      <c r="O51" s="337"/>
      <c r="P51" s="2"/>
      <c r="Q51" s="4"/>
      <c r="R51" s="2"/>
      <c r="S51" s="2"/>
    </row>
    <row r="52" spans="1:19" s="16" customFormat="1" ht="15" customHeight="1">
      <c r="A52" s="325" t="s">
        <v>389</v>
      </c>
      <c r="B52" s="349" t="s">
        <v>857</v>
      </c>
      <c r="C52" s="48"/>
      <c r="D52" s="48"/>
      <c r="E52" s="48"/>
      <c r="F52" s="48"/>
      <c r="G52" s="347"/>
      <c r="H52" s="2"/>
      <c r="I52" s="2"/>
      <c r="J52" s="2"/>
      <c r="P52" s="2"/>
      <c r="Q52" s="4"/>
      <c r="R52" s="2"/>
      <c r="S52" s="2"/>
    </row>
    <row r="53" spans="1:19" s="16" customFormat="1" ht="15" customHeight="1">
      <c r="A53" s="325" t="s">
        <v>391</v>
      </c>
      <c r="B53" s="349" t="s">
        <v>1202</v>
      </c>
      <c r="C53" s="48"/>
      <c r="D53" s="48"/>
      <c r="E53" s="48"/>
      <c r="F53" s="48"/>
      <c r="G53" s="347"/>
      <c r="H53" s="2"/>
      <c r="I53" s="2"/>
      <c r="J53" s="2"/>
      <c r="P53" s="2"/>
      <c r="Q53" s="4"/>
      <c r="R53" s="2"/>
      <c r="S53" s="2"/>
    </row>
    <row r="54" spans="1:19" ht="15" customHeight="1">
      <c r="A54" s="325" t="s">
        <v>393</v>
      </c>
      <c r="B54" s="349" t="s">
        <v>1203</v>
      </c>
      <c r="C54" s="48"/>
      <c r="D54" s="48"/>
      <c r="E54" s="48"/>
      <c r="F54" s="48"/>
      <c r="G54" s="347"/>
    </row>
    <row r="55" spans="1:19" ht="15" customHeight="1">
      <c r="A55" s="46"/>
      <c r="B55" s="47"/>
      <c r="C55" s="48"/>
      <c r="D55" s="48"/>
      <c r="E55" s="48"/>
      <c r="F55" s="48"/>
      <c r="G55" s="347"/>
    </row>
    <row r="56" spans="1:19" ht="15" customHeight="1">
      <c r="A56" s="46"/>
      <c r="B56" s="47"/>
      <c r="C56" s="48"/>
      <c r="D56" s="48"/>
      <c r="E56" s="48"/>
      <c r="F56" s="48"/>
      <c r="G56" s="347"/>
    </row>
    <row r="57" spans="1:19" ht="15" customHeight="1">
      <c r="A57" s="46"/>
      <c r="B57" s="47"/>
      <c r="C57" s="48"/>
      <c r="D57" s="48"/>
      <c r="E57" s="48"/>
      <c r="F57" s="48"/>
      <c r="G57" s="347"/>
    </row>
    <row r="58" spans="1:19" ht="15" customHeight="1">
      <c r="A58" s="46"/>
      <c r="B58" s="47"/>
      <c r="C58" s="48"/>
      <c r="D58" s="48"/>
      <c r="E58" s="48"/>
      <c r="F58" s="48"/>
      <c r="G58" s="347"/>
    </row>
    <row r="59" spans="1:19" ht="15" customHeight="1">
      <c r="A59" s="46"/>
      <c r="B59" s="47"/>
      <c r="C59" s="48"/>
      <c r="D59" s="48"/>
      <c r="E59" s="48"/>
      <c r="F59" s="48"/>
      <c r="G59" s="347"/>
    </row>
    <row r="60" spans="1:19">
      <c r="A60" s="46"/>
      <c r="B60" s="47"/>
      <c r="C60" s="48"/>
      <c r="D60" s="48"/>
      <c r="E60" s="48"/>
      <c r="F60" s="48"/>
      <c r="G60" s="347"/>
    </row>
    <row r="61" spans="1:19">
      <c r="A61" s="46"/>
      <c r="B61" s="47"/>
      <c r="C61" s="48"/>
      <c r="D61" s="48"/>
      <c r="E61" s="48"/>
      <c r="F61" s="48"/>
      <c r="G61" s="347"/>
    </row>
    <row r="62" spans="1:19">
      <c r="A62" s="46"/>
      <c r="B62" s="47"/>
      <c r="C62" s="48"/>
      <c r="D62" s="48"/>
      <c r="E62" s="48"/>
      <c r="F62" s="48"/>
      <c r="G62" s="347"/>
    </row>
    <row r="63" spans="1:19">
      <c r="A63" s="46"/>
      <c r="B63" s="47"/>
      <c r="C63" s="48"/>
      <c r="D63" s="48"/>
      <c r="E63" s="48"/>
      <c r="F63" s="48"/>
      <c r="G63" s="347"/>
    </row>
    <row r="64" spans="1:19">
      <c r="A64" s="46"/>
      <c r="B64" s="47"/>
      <c r="C64" s="48"/>
      <c r="D64" s="48"/>
      <c r="E64" s="48"/>
      <c r="F64" s="48"/>
      <c r="G64" s="347"/>
    </row>
    <row r="65" spans="1:7">
      <c r="A65" s="46"/>
      <c r="B65" s="47"/>
      <c r="C65" s="48"/>
      <c r="D65" s="48"/>
      <c r="E65" s="48"/>
      <c r="F65" s="48"/>
      <c r="G65" s="347"/>
    </row>
    <row r="66" spans="1:7">
      <c r="A66" s="46"/>
      <c r="B66" s="47"/>
      <c r="C66" s="48"/>
      <c r="D66" s="48"/>
      <c r="E66" s="48"/>
      <c r="F66" s="48"/>
      <c r="G66" s="347"/>
    </row>
    <row r="67" spans="1:7">
      <c r="A67" s="46"/>
      <c r="B67" s="47"/>
      <c r="C67" s="48"/>
      <c r="D67" s="48"/>
      <c r="E67" s="48"/>
      <c r="F67" s="48"/>
      <c r="G67" s="347"/>
    </row>
    <row r="68" spans="1:7">
      <c r="A68" s="46"/>
      <c r="B68" s="47"/>
      <c r="C68" s="48"/>
      <c r="D68" s="48"/>
      <c r="E68" s="48"/>
      <c r="F68" s="48"/>
      <c r="G68" s="347"/>
    </row>
    <row r="69" spans="1:7">
      <c r="A69" s="46"/>
      <c r="B69" s="47"/>
      <c r="C69" s="48"/>
      <c r="D69" s="48"/>
      <c r="E69" s="48"/>
      <c r="F69" s="48"/>
      <c r="G69" s="347"/>
    </row>
    <row r="70" spans="1:7">
      <c r="A70" s="46"/>
      <c r="B70" s="47"/>
      <c r="C70" s="48"/>
      <c r="D70" s="48"/>
      <c r="E70" s="48"/>
      <c r="F70" s="48"/>
      <c r="G70" s="347"/>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309"/>
    </row>
    <row r="130" spans="11:15" ht="15" customHeight="1">
      <c r="K130" s="309"/>
      <c r="L130" s="6"/>
    </row>
    <row r="131" spans="11:15" ht="30.75" customHeight="1">
      <c r="K131" s="49"/>
    </row>
    <row r="132" spans="11:15">
      <c r="K132" s="49"/>
    </row>
    <row r="133" spans="11:15">
      <c r="K133" s="50"/>
      <c r="L133" s="50"/>
      <c r="M133" s="50"/>
      <c r="N133" s="50"/>
    </row>
    <row r="135" spans="11:15" ht="30.75" customHeight="1">
      <c r="K135" s="310"/>
      <c r="L135" s="310"/>
      <c r="M135" s="310"/>
      <c r="N135" s="310"/>
      <c r="O135" s="310"/>
    </row>
    <row r="136" spans="11:15" ht="15" customHeight="1">
      <c r="K136" s="310"/>
    </row>
    <row r="137" spans="11:15" ht="82.5" customHeight="1">
      <c r="K137" s="310"/>
      <c r="L137" s="310"/>
      <c r="M137" s="310"/>
      <c r="N137" s="310"/>
      <c r="O137" s="310"/>
    </row>
    <row r="138" spans="11:15" ht="15" customHeight="1">
      <c r="K138" s="52"/>
    </row>
    <row r="139" spans="11:15">
      <c r="K139" s="52"/>
    </row>
    <row r="140" spans="11:15" ht="69.75" customHeight="1">
      <c r="K140" s="52"/>
    </row>
  </sheetData>
  <mergeCells count="8">
    <mergeCell ref="C13:F13"/>
    <mergeCell ref="A1:O1"/>
    <mergeCell ref="A2:O2"/>
    <mergeCell ref="A3:O3"/>
    <mergeCell ref="C14:F14"/>
    <mergeCell ref="C7:F7"/>
    <mergeCell ref="C9:F9"/>
    <mergeCell ref="C11:F11"/>
  </mergeCells>
  <pageMargins left="0.5" right="0.25" top="1" bottom="1" header="0.5" footer="0.5"/>
  <pageSetup scale="58" orientation="landscape" r:id="rId1"/>
  <headerFooter alignWithMargins="0"/>
  <ignoredErrors>
    <ignoredError sqref="H45:J45 L45:N45" formulaRange="1"/>
    <ignoredError sqref="B19:B4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75"/>
  <sheetViews>
    <sheetView topLeftCell="A161" workbookViewId="0">
      <selection activeCell="I171" sqref="I171"/>
    </sheetView>
  </sheetViews>
  <sheetFormatPr defaultColWidth="8.6640625" defaultRowHeight="12.75"/>
  <cols>
    <col min="1" max="1" width="4.21875" style="104" customWidth="1"/>
    <col min="2" max="2" width="40.109375" style="104" customWidth="1"/>
    <col min="3" max="3" width="40.33203125" style="104" customWidth="1"/>
    <col min="4" max="4" width="14.109375" style="104" customWidth="1"/>
    <col min="5" max="5" width="5.88671875" style="104" customWidth="1"/>
    <col min="6" max="6" width="3.5546875" style="104" customWidth="1"/>
    <col min="7" max="7" width="11.5546875" style="104" customWidth="1"/>
    <col min="8" max="8" width="3.21875" style="104" bestFit="1" customWidth="1"/>
    <col min="9" max="9" width="10.6640625" style="104" customWidth="1"/>
    <col min="10" max="10" width="1.44140625" style="104" customWidth="1"/>
    <col min="11" max="11" width="6.5546875" style="104" customWidth="1"/>
    <col min="12" max="12" width="8.6640625" style="911"/>
    <col min="13" max="14" width="10.6640625" style="104" customWidth="1"/>
    <col min="15" max="15" width="9.21875" style="104" bestFit="1" customWidth="1"/>
    <col min="16" max="16" width="8.6640625" style="104"/>
    <col min="17" max="17" width="10.21875" style="104" customWidth="1"/>
    <col min="18" max="18" width="8.6640625" style="104"/>
    <col min="19" max="19" width="10.21875" style="104" customWidth="1"/>
    <col min="20" max="16384" width="8.6640625" style="104"/>
  </cols>
  <sheetData>
    <row r="1" spans="1:11">
      <c r="B1" s="73"/>
      <c r="C1" s="73"/>
      <c r="D1" s="105"/>
      <c r="E1" s="73"/>
      <c r="F1" s="73"/>
      <c r="G1" s="73"/>
      <c r="H1" s="73"/>
      <c r="I1" s="970" t="s">
        <v>16</v>
      </c>
      <c r="J1" s="970"/>
      <c r="K1" s="970"/>
    </row>
    <row r="2" spans="1:11">
      <c r="B2" s="73"/>
      <c r="C2" s="73"/>
      <c r="D2" s="105"/>
      <c r="E2" s="73"/>
      <c r="F2" s="73"/>
      <c r="G2" s="73"/>
      <c r="H2" s="73"/>
      <c r="I2" s="73"/>
      <c r="J2" s="969" t="s">
        <v>77</v>
      </c>
      <c r="K2" s="969"/>
    </row>
    <row r="3" spans="1:11">
      <c r="B3" s="73"/>
      <c r="D3" s="105"/>
      <c r="E3" s="73"/>
      <c r="F3" s="73"/>
      <c r="G3" s="73"/>
      <c r="H3" s="73"/>
      <c r="I3" s="73"/>
      <c r="J3" s="73"/>
      <c r="K3" s="106"/>
    </row>
    <row r="4" spans="1:11">
      <c r="B4" s="105" t="s">
        <v>78</v>
      </c>
      <c r="C4" s="79" t="s">
        <v>79</v>
      </c>
      <c r="E4" s="73"/>
      <c r="F4" s="73"/>
      <c r="G4" s="73"/>
      <c r="H4" s="73"/>
      <c r="I4" s="73"/>
      <c r="J4" s="73"/>
      <c r="K4" s="107" t="s">
        <v>80</v>
      </c>
    </row>
    <row r="5" spans="1:11">
      <c r="B5" s="73"/>
      <c r="C5" s="109" t="s">
        <v>81</v>
      </c>
      <c r="E5" s="108"/>
      <c r="F5" s="108"/>
      <c r="G5" s="108"/>
      <c r="H5" s="73"/>
      <c r="I5" s="73"/>
      <c r="J5" s="73"/>
      <c r="K5" s="73"/>
    </row>
    <row r="6" spans="1:11">
      <c r="B6" s="73"/>
      <c r="C6" s="108"/>
      <c r="D6" s="108"/>
      <c r="E6" s="108"/>
      <c r="F6" s="108"/>
      <c r="G6" s="108"/>
      <c r="H6" s="73"/>
      <c r="I6" s="73"/>
      <c r="J6" s="73"/>
      <c r="K6" s="73"/>
    </row>
    <row r="7" spans="1:11">
      <c r="B7" s="73"/>
      <c r="C7" s="110" t="s">
        <v>0</v>
      </c>
      <c r="E7" s="108"/>
      <c r="F7" s="108"/>
      <c r="G7" s="108"/>
      <c r="H7" s="108"/>
      <c r="I7" s="108"/>
      <c r="J7" s="108"/>
      <c r="K7" s="108"/>
    </row>
    <row r="8" spans="1:11">
      <c r="A8" s="79" t="s">
        <v>82</v>
      </c>
      <c r="B8" s="73"/>
      <c r="C8" s="73"/>
      <c r="D8" s="111"/>
      <c r="E8" s="73"/>
      <c r="F8" s="73"/>
      <c r="G8" s="73"/>
      <c r="H8" s="73"/>
      <c r="I8" s="79" t="s">
        <v>83</v>
      </c>
      <c r="J8" s="73"/>
      <c r="K8" s="73"/>
    </row>
    <row r="9" spans="1:11" ht="13.5" thickBot="1">
      <c r="A9" s="112" t="s">
        <v>84</v>
      </c>
      <c r="B9" s="73"/>
      <c r="C9" s="73"/>
      <c r="D9" s="73"/>
      <c r="E9" s="73"/>
      <c r="F9" s="73"/>
      <c r="G9" s="73"/>
      <c r="H9" s="73"/>
      <c r="I9" s="112" t="s">
        <v>85</v>
      </c>
      <c r="J9" s="73"/>
      <c r="K9" s="73"/>
    </row>
    <row r="10" spans="1:11">
      <c r="A10" s="79">
        <v>1</v>
      </c>
      <c r="B10" s="73" t="s">
        <v>86</v>
      </c>
      <c r="C10" s="73"/>
      <c r="D10" s="108"/>
      <c r="E10" s="73"/>
      <c r="F10" s="73"/>
      <c r="G10" s="73"/>
      <c r="H10" s="73"/>
      <c r="I10" s="113">
        <f>'Act Att-H'!I155</f>
        <v>26622472.110568669</v>
      </c>
      <c r="J10" s="73"/>
      <c r="K10" s="73"/>
    </row>
    <row r="11" spans="1:11">
      <c r="A11" s="79"/>
      <c r="B11" s="73"/>
      <c r="C11" s="73"/>
      <c r="D11" s="73"/>
      <c r="E11" s="73"/>
      <c r="F11" s="73"/>
      <c r="G11" s="73"/>
      <c r="H11" s="73"/>
      <c r="I11" s="108"/>
      <c r="J11" s="73"/>
      <c r="K11" s="73"/>
    </row>
    <row r="12" spans="1:11" ht="15.75" customHeight="1" thickBot="1">
      <c r="A12" s="79" t="s">
        <v>87</v>
      </c>
      <c r="B12" s="73" t="s">
        <v>88</v>
      </c>
      <c r="C12" s="108" t="s">
        <v>89</v>
      </c>
      <c r="D12" s="112" t="s">
        <v>90</v>
      </c>
      <c r="E12" s="108"/>
      <c r="F12" s="978" t="s">
        <v>91</v>
      </c>
      <c r="G12" s="978"/>
      <c r="H12" s="73"/>
      <c r="I12" s="108"/>
      <c r="J12" s="73"/>
      <c r="K12" s="73"/>
    </row>
    <row r="13" spans="1:11">
      <c r="A13" s="79">
        <v>2</v>
      </c>
      <c r="B13" s="73" t="s">
        <v>92</v>
      </c>
      <c r="C13" s="108" t="s">
        <v>93</v>
      </c>
      <c r="D13" s="174">
        <f>'A1-RevCred'!J12</f>
        <v>0</v>
      </c>
      <c r="E13" s="108"/>
      <c r="F13" s="108" t="s">
        <v>94</v>
      </c>
      <c r="G13" s="115">
        <f>$I$174</f>
        <v>0.9266113890410379</v>
      </c>
      <c r="H13" s="108"/>
      <c r="I13" s="65">
        <f>+G13*D13</f>
        <v>0</v>
      </c>
      <c r="J13" s="73"/>
      <c r="K13" s="73"/>
    </row>
    <row r="14" spans="1:11">
      <c r="A14" s="79">
        <v>3</v>
      </c>
      <c r="B14" s="73" t="s">
        <v>95</v>
      </c>
      <c r="C14" s="108" t="s">
        <v>96</v>
      </c>
      <c r="D14" s="174">
        <f>'A1-RevCred'!F48</f>
        <v>1046600.3999999999</v>
      </c>
      <c r="E14" s="108"/>
      <c r="F14" s="116" t="str">
        <f t="shared" ref="F14" si="0">+F13</f>
        <v>TP</v>
      </c>
      <c r="G14" s="115">
        <f>$I$174</f>
        <v>0.9266113890410379</v>
      </c>
      <c r="H14" s="108"/>
      <c r="I14" s="65">
        <f>+G14*D14</f>
        <v>969791.85041490581</v>
      </c>
      <c r="J14" s="73"/>
      <c r="K14" s="73"/>
    </row>
    <row r="15" spans="1:11">
      <c r="A15" s="79">
        <v>4</v>
      </c>
      <c r="B15" s="176" t="s">
        <v>97</v>
      </c>
      <c r="C15" s="108"/>
      <c r="D15" s="175"/>
      <c r="E15" s="108"/>
      <c r="F15" s="116"/>
      <c r="G15" s="115"/>
      <c r="H15" s="108"/>
      <c r="I15" s="65"/>
      <c r="J15" s="73"/>
      <c r="K15" s="73"/>
    </row>
    <row r="16" spans="1:11" ht="13.5" thickBot="1">
      <c r="A16" s="79">
        <v>5</v>
      </c>
      <c r="B16" s="176" t="s">
        <v>97</v>
      </c>
      <c r="C16" s="108"/>
      <c r="D16" s="175"/>
      <c r="E16" s="108"/>
      <c r="F16" s="116"/>
      <c r="G16" s="115"/>
      <c r="H16" s="108"/>
      <c r="I16" s="66"/>
      <c r="J16" s="73"/>
      <c r="K16" s="73"/>
    </row>
    <row r="17" spans="1:11">
      <c r="A17" s="79">
        <v>6</v>
      </c>
      <c r="B17" s="73" t="s">
        <v>98</v>
      </c>
      <c r="C17" s="73"/>
      <c r="D17" s="118" t="s">
        <v>87</v>
      </c>
      <c r="E17" s="108"/>
      <c r="F17" s="108"/>
      <c r="G17" s="119"/>
      <c r="H17" s="108"/>
      <c r="I17" s="65">
        <f>SUM(I13:I16)</f>
        <v>969791.85041490581</v>
      </c>
      <c r="J17" s="73"/>
      <c r="K17" s="73"/>
    </row>
    <row r="18" spans="1:11">
      <c r="A18" s="79"/>
      <c r="B18" s="73"/>
      <c r="C18" s="73"/>
      <c r="I18" s="65"/>
      <c r="J18" s="73"/>
      <c r="K18" s="73"/>
    </row>
    <row r="19" spans="1:11" ht="13.5" thickBot="1">
      <c r="A19" s="79">
        <v>7</v>
      </c>
      <c r="B19" s="73" t="s">
        <v>99</v>
      </c>
      <c r="C19" s="73" t="s">
        <v>100</v>
      </c>
      <c r="D19" s="118"/>
      <c r="E19" s="108"/>
      <c r="F19" s="108"/>
      <c r="G19" s="108"/>
      <c r="H19" s="108"/>
      <c r="I19" s="120">
        <f>I10-I17</f>
        <v>25652680.260153763</v>
      </c>
      <c r="J19" s="73"/>
      <c r="K19" s="73"/>
    </row>
    <row r="20" spans="1:11" ht="13.5" thickTop="1">
      <c r="A20" s="79"/>
      <c r="B20" s="73"/>
      <c r="C20" s="73"/>
      <c r="D20" s="118"/>
      <c r="E20" s="108"/>
      <c r="F20" s="108"/>
      <c r="G20" s="108"/>
      <c r="H20" s="108"/>
      <c r="I20" s="424"/>
      <c r="J20" s="73"/>
      <c r="K20" s="73"/>
    </row>
    <row r="21" spans="1:11">
      <c r="A21" s="79"/>
      <c r="B21" s="73" t="s">
        <v>101</v>
      </c>
      <c r="C21" s="73"/>
      <c r="D21" s="108"/>
      <c r="E21" s="73"/>
      <c r="F21" s="73"/>
      <c r="G21" s="73"/>
      <c r="H21" s="73"/>
      <c r="I21" s="108"/>
      <c r="J21" s="73"/>
      <c r="K21" s="73"/>
    </row>
    <row r="22" spans="1:11">
      <c r="A22" s="79">
        <v>8</v>
      </c>
      <c r="B22" s="73" t="s">
        <v>102</v>
      </c>
      <c r="C22" s="104" t="s">
        <v>103</v>
      </c>
      <c r="D22" s="108"/>
      <c r="E22" s="73"/>
      <c r="F22" s="73"/>
      <c r="G22" s="73"/>
      <c r="H22" s="73"/>
      <c r="I22" s="174">
        <f>'A6-Divisor'!E21</f>
        <v>331333.33333333331</v>
      </c>
      <c r="J22" s="73"/>
      <c r="K22" s="73"/>
    </row>
    <row r="23" spans="1:11">
      <c r="A23" s="79">
        <v>9</v>
      </c>
      <c r="B23" s="73"/>
      <c r="C23" s="108"/>
      <c r="D23" s="108"/>
      <c r="E23" s="108"/>
      <c r="F23" s="108"/>
      <c r="G23" s="108"/>
      <c r="H23" s="108"/>
      <c r="I23" s="108"/>
      <c r="J23" s="73"/>
      <c r="K23" s="73"/>
    </row>
    <row r="24" spans="1:11">
      <c r="A24" s="79">
        <v>10</v>
      </c>
      <c r="B24" s="108" t="s">
        <v>104</v>
      </c>
      <c r="C24" s="108"/>
      <c r="D24" s="108"/>
      <c r="E24" s="108"/>
      <c r="F24" s="108"/>
      <c r="G24" s="108"/>
      <c r="H24" s="108"/>
      <c r="I24" s="108"/>
      <c r="J24" s="108"/>
      <c r="K24" s="73"/>
    </row>
    <row r="25" spans="1:11">
      <c r="A25" s="79">
        <v>11</v>
      </c>
      <c r="B25" s="73" t="s">
        <v>105</v>
      </c>
      <c r="C25" s="73"/>
      <c r="D25" s="762">
        <f>ROUND(I19/I22,2)</f>
        <v>77.42</v>
      </c>
      <c r="E25" s="73" t="s">
        <v>106</v>
      </c>
      <c r="F25" s="108"/>
      <c r="G25" s="108"/>
      <c r="H25" s="108"/>
      <c r="I25" s="108"/>
      <c r="J25" s="108"/>
      <c r="K25" s="73"/>
    </row>
    <row r="26" spans="1:11">
      <c r="A26" s="79">
        <v>12</v>
      </c>
      <c r="B26" s="73" t="s">
        <v>107</v>
      </c>
      <c r="C26" s="73" t="s">
        <v>108</v>
      </c>
      <c r="D26" s="762">
        <f>ROUND(D25/12,2)</f>
        <v>6.45</v>
      </c>
      <c r="E26" s="73" t="s">
        <v>109</v>
      </c>
      <c r="F26" s="108"/>
      <c r="G26" s="108"/>
      <c r="H26" s="108"/>
      <c r="I26" s="108"/>
      <c r="J26" s="108"/>
      <c r="K26" s="73"/>
    </row>
    <row r="27" spans="1:11">
      <c r="A27" s="79">
        <v>13</v>
      </c>
      <c r="B27" s="73" t="s">
        <v>110</v>
      </c>
      <c r="C27" s="73" t="s">
        <v>111</v>
      </c>
      <c r="D27" s="762">
        <f>ROUND(D25/52,2)</f>
        <v>1.49</v>
      </c>
      <c r="E27" s="73" t="s">
        <v>112</v>
      </c>
      <c r="F27" s="108"/>
      <c r="G27" s="108"/>
      <c r="H27" s="108"/>
      <c r="I27" s="108"/>
      <c r="J27" s="108"/>
      <c r="K27" s="73"/>
    </row>
    <row r="28" spans="1:11">
      <c r="A28" s="79">
        <v>14</v>
      </c>
      <c r="B28" s="73" t="s">
        <v>113</v>
      </c>
      <c r="C28" s="73" t="s">
        <v>114</v>
      </c>
      <c r="D28" s="763">
        <f>+D27/6</f>
        <v>0.24833333333333332</v>
      </c>
      <c r="E28" s="73" t="s">
        <v>115</v>
      </c>
      <c r="F28" s="108"/>
      <c r="G28" s="108"/>
      <c r="H28" s="108"/>
      <c r="I28" s="108"/>
      <c r="J28" s="108"/>
      <c r="K28" s="73"/>
    </row>
    <row r="29" spans="1:11">
      <c r="A29" s="79">
        <v>15</v>
      </c>
      <c r="B29" s="73" t="s">
        <v>116</v>
      </c>
      <c r="C29" s="73" t="s">
        <v>117</v>
      </c>
      <c r="D29" s="763">
        <f>+D27/7</f>
        <v>0.21285714285714286</v>
      </c>
      <c r="E29" s="73" t="s">
        <v>115</v>
      </c>
      <c r="F29" s="108"/>
      <c r="G29" s="108"/>
      <c r="H29" s="108"/>
      <c r="I29" s="108"/>
      <c r="J29" s="108"/>
      <c r="K29" s="73"/>
    </row>
    <row r="30" spans="1:11">
      <c r="A30" s="79">
        <v>16</v>
      </c>
      <c r="B30" s="73" t="s">
        <v>118</v>
      </c>
      <c r="C30" s="73" t="s">
        <v>119</v>
      </c>
      <c r="D30" s="762">
        <f>+D28/16*1000</f>
        <v>15.520833333333332</v>
      </c>
      <c r="E30" s="73" t="s">
        <v>120</v>
      </c>
      <c r="F30" s="108"/>
      <c r="G30" s="108"/>
      <c r="H30" s="108"/>
      <c r="I30" s="108"/>
      <c r="J30" s="108"/>
      <c r="K30" s="73"/>
    </row>
    <row r="31" spans="1:11">
      <c r="A31" s="79">
        <v>17</v>
      </c>
      <c r="B31" s="73" t="s">
        <v>121</v>
      </c>
      <c r="C31" s="73" t="s">
        <v>122</v>
      </c>
      <c r="D31" s="762">
        <f>+D29/24*1000</f>
        <v>8.8690476190476186</v>
      </c>
      <c r="E31" s="73" t="s">
        <v>120</v>
      </c>
      <c r="F31" s="108"/>
      <c r="G31" s="108"/>
      <c r="H31" s="108"/>
      <c r="I31" s="108"/>
      <c r="J31" s="108"/>
      <c r="K31" s="73"/>
    </row>
    <row r="32" spans="1:11">
      <c r="B32" s="73"/>
      <c r="C32" s="73"/>
      <c r="D32" s="105"/>
      <c r="E32" s="73"/>
      <c r="F32" s="73"/>
      <c r="G32" s="73"/>
      <c r="H32" s="73"/>
      <c r="I32" s="970" t="str">
        <f>I1</f>
        <v>Actual Attachment H</v>
      </c>
      <c r="J32" s="970"/>
      <c r="K32" s="970"/>
    </row>
    <row r="33" spans="1:11">
      <c r="B33" s="73"/>
      <c r="C33" s="73"/>
      <c r="D33" s="105"/>
      <c r="E33" s="73"/>
      <c r="F33" s="73"/>
      <c r="G33" s="73"/>
      <c r="H33" s="73"/>
      <c r="I33" s="73"/>
      <c r="J33" s="969" t="s">
        <v>123</v>
      </c>
      <c r="K33" s="969"/>
    </row>
    <row r="34" spans="1:11">
      <c r="B34" s="73"/>
      <c r="C34" s="73"/>
      <c r="D34" s="105"/>
      <c r="E34" s="73"/>
      <c r="F34" s="73"/>
      <c r="G34" s="73"/>
      <c r="H34" s="73"/>
      <c r="I34" s="73"/>
      <c r="J34" s="73"/>
      <c r="K34" s="106"/>
    </row>
    <row r="35" spans="1:11">
      <c r="B35" s="105" t="s">
        <v>78</v>
      </c>
      <c r="C35" s="79" t="s">
        <v>124</v>
      </c>
      <c r="E35" s="73"/>
      <c r="F35" s="73"/>
      <c r="G35" s="73"/>
      <c r="H35" s="73"/>
      <c r="I35" s="73"/>
      <c r="J35" s="73"/>
      <c r="K35" s="122" t="str">
        <f>K4</f>
        <v>Actuals - For the 12 months ended 12/31/2021</v>
      </c>
    </row>
    <row r="36" spans="1:11">
      <c r="B36" s="73"/>
      <c r="C36" s="109" t="s">
        <v>125</v>
      </c>
      <c r="E36" s="108"/>
      <c r="F36" s="108"/>
      <c r="G36" s="108"/>
      <c r="H36" s="73"/>
      <c r="I36" s="73"/>
      <c r="J36" s="73"/>
      <c r="K36" s="73"/>
    </row>
    <row r="37" spans="1:11">
      <c r="B37" s="73"/>
      <c r="D37" s="108"/>
      <c r="E37" s="108"/>
      <c r="F37" s="108"/>
      <c r="G37" s="108"/>
      <c r="H37" s="73"/>
      <c r="I37" s="73"/>
      <c r="J37" s="73"/>
      <c r="K37" s="73"/>
    </row>
    <row r="38" spans="1:11">
      <c r="A38" s="79"/>
      <c r="C38" s="123" t="str">
        <f>C7</f>
        <v>Black Hills Colorado Electric, LLC</v>
      </c>
      <c r="J38" s="108"/>
      <c r="K38" s="108"/>
    </row>
    <row r="39" spans="1:11">
      <c r="B39" s="73"/>
      <c r="C39" s="73"/>
      <c r="D39" s="73"/>
      <c r="E39" s="73"/>
      <c r="F39" s="73"/>
      <c r="G39" s="73"/>
      <c r="H39" s="73"/>
      <c r="J39" s="73"/>
      <c r="K39" s="73"/>
    </row>
    <row r="40" spans="1:11">
      <c r="B40" s="79" t="s">
        <v>126</v>
      </c>
      <c r="C40" s="79" t="s">
        <v>127</v>
      </c>
      <c r="D40" s="79" t="s">
        <v>128</v>
      </c>
      <c r="E40" s="108" t="s">
        <v>87</v>
      </c>
      <c r="F40" s="108"/>
      <c r="G40" s="124" t="s">
        <v>129</v>
      </c>
      <c r="H40" s="108"/>
      <c r="I40" s="125" t="s">
        <v>130</v>
      </c>
      <c r="J40" s="108"/>
      <c r="K40" s="79"/>
    </row>
    <row r="41" spans="1:11">
      <c r="B41" s="73"/>
      <c r="C41" s="126" t="s">
        <v>131</v>
      </c>
      <c r="D41" s="108"/>
      <c r="E41" s="108"/>
      <c r="F41" s="108"/>
      <c r="G41" s="79"/>
      <c r="H41" s="108"/>
      <c r="I41" s="127" t="s">
        <v>132</v>
      </c>
      <c r="J41" s="108"/>
      <c r="K41" s="79"/>
    </row>
    <row r="42" spans="1:11">
      <c r="A42" s="79" t="s">
        <v>82</v>
      </c>
      <c r="B42" s="73"/>
      <c r="C42" s="128" t="s">
        <v>133</v>
      </c>
      <c r="D42" s="127" t="s">
        <v>134</v>
      </c>
      <c r="E42" s="129"/>
      <c r="F42" s="127" t="s">
        <v>135</v>
      </c>
      <c r="H42" s="129"/>
      <c r="I42" s="79" t="s">
        <v>136</v>
      </c>
      <c r="J42" s="108"/>
      <c r="K42" s="79"/>
    </row>
    <row r="43" spans="1:11" ht="13.5" thickBot="1">
      <c r="A43" s="112" t="s">
        <v>84</v>
      </c>
      <c r="B43" s="130" t="s">
        <v>137</v>
      </c>
      <c r="C43" s="108"/>
      <c r="D43" s="108"/>
      <c r="E43" s="108"/>
      <c r="F43" s="108"/>
      <c r="G43" s="108"/>
      <c r="H43" s="108"/>
      <c r="I43" s="108"/>
      <c r="J43" s="108"/>
      <c r="K43" s="108"/>
    </row>
    <row r="44" spans="1:11">
      <c r="A44" s="79"/>
      <c r="B44" s="73" t="s">
        <v>138</v>
      </c>
      <c r="C44" s="108"/>
      <c r="D44" s="108"/>
      <c r="E44" s="108"/>
      <c r="F44" s="108"/>
      <c r="G44" s="108"/>
      <c r="H44" s="108"/>
      <c r="I44" s="108"/>
      <c r="J44" s="108"/>
      <c r="K44" s="108"/>
    </row>
    <row r="45" spans="1:11">
      <c r="A45" s="79">
        <v>1</v>
      </c>
      <c r="B45" s="73" t="s">
        <v>139</v>
      </c>
      <c r="C45" s="53" t="s">
        <v>140</v>
      </c>
      <c r="D45" s="174">
        <f>'A4-Rate Base'!C23</f>
        <v>426311886.54999989</v>
      </c>
      <c r="E45" s="108"/>
      <c r="F45" s="108" t="s">
        <v>141</v>
      </c>
      <c r="G45" s="131" t="s">
        <v>87</v>
      </c>
      <c r="H45" s="108"/>
      <c r="I45" s="65">
        <v>0</v>
      </c>
      <c r="J45" s="108"/>
      <c r="K45" s="108"/>
    </row>
    <row r="46" spans="1:11">
      <c r="A46" s="79">
        <v>2</v>
      </c>
      <c r="B46" s="73" t="s">
        <v>142</v>
      </c>
      <c r="C46" s="53" t="s">
        <v>143</v>
      </c>
      <c r="D46" s="174">
        <f>'A4-Rate Base'!D23</f>
        <v>240320865.17461535</v>
      </c>
      <c r="E46" s="108"/>
      <c r="F46" s="108" t="s">
        <v>94</v>
      </c>
      <c r="G46" s="115">
        <f>$I$174</f>
        <v>0.9266113890410379</v>
      </c>
      <c r="H46" s="108"/>
      <c r="I46" s="65">
        <f>+G46*D46</f>
        <v>222684050.69499433</v>
      </c>
      <c r="J46" s="108"/>
      <c r="K46" s="108"/>
    </row>
    <row r="47" spans="1:11">
      <c r="A47" s="79">
        <v>3</v>
      </c>
      <c r="B47" s="73" t="s">
        <v>144</v>
      </c>
      <c r="C47" s="53" t="s">
        <v>145</v>
      </c>
      <c r="D47" s="174">
        <f>'A4-Rate Base'!E23</f>
        <v>376724642.72384614</v>
      </c>
      <c r="E47" s="108"/>
      <c r="F47" s="108" t="s">
        <v>141</v>
      </c>
      <c r="G47" s="131" t="s">
        <v>87</v>
      </c>
      <c r="H47" s="108"/>
      <c r="I47" s="65">
        <v>0</v>
      </c>
      <c r="J47" s="108"/>
      <c r="K47" s="108"/>
    </row>
    <row r="48" spans="1:11">
      <c r="A48" s="79">
        <v>4</v>
      </c>
      <c r="B48" s="73" t="s">
        <v>146</v>
      </c>
      <c r="C48" s="53" t="s">
        <v>147</v>
      </c>
      <c r="D48" s="174">
        <f>'A4-Rate Base'!F23</f>
        <v>38561692.20769231</v>
      </c>
      <c r="E48" s="108"/>
      <c r="F48" s="108" t="s">
        <v>148</v>
      </c>
      <c r="G48" s="132">
        <f>$I$191</f>
        <v>0.14403621580679662</v>
      </c>
      <c r="H48" s="108"/>
      <c r="I48" s="65">
        <f>+G48*D48</f>
        <v>5554280.2207024377</v>
      </c>
      <c r="J48" s="108"/>
      <c r="K48" s="108"/>
    </row>
    <row r="49" spans="1:11">
      <c r="A49" s="79">
        <v>5</v>
      </c>
      <c r="B49" s="73" t="s">
        <v>149</v>
      </c>
      <c r="C49" s="53" t="s">
        <v>150</v>
      </c>
      <c r="D49" s="174">
        <f>'A4-Rate Base'!G23</f>
        <v>21729960.692307692</v>
      </c>
      <c r="E49" s="108"/>
      <c r="F49" s="108" t="s">
        <v>151</v>
      </c>
      <c r="G49" s="132">
        <f>$K$195</f>
        <v>0.14094405950320033</v>
      </c>
      <c r="H49" s="108"/>
      <c r="I49" s="65">
        <f>+G49*D49</f>
        <v>3062708.8728188192</v>
      </c>
      <c r="J49" s="108"/>
      <c r="K49" s="108"/>
    </row>
    <row r="50" spans="1:11">
      <c r="A50" s="79">
        <v>6</v>
      </c>
      <c r="B50" s="73" t="s">
        <v>152</v>
      </c>
      <c r="C50" s="54" t="s">
        <v>153</v>
      </c>
      <c r="D50" s="184">
        <f>SUM(D45:D49)</f>
        <v>1103649047.3484614</v>
      </c>
      <c r="E50" s="108"/>
      <c r="F50" s="108" t="s">
        <v>154</v>
      </c>
      <c r="G50" s="115">
        <f>IF(I50&gt;0,I50/D50,0)</f>
        <v>0.20957843468829235</v>
      </c>
      <c r="H50" s="108"/>
      <c r="I50" s="184">
        <f>SUM(I45:I49)</f>
        <v>231301039.7885156</v>
      </c>
      <c r="J50" s="108"/>
      <c r="K50" s="385"/>
    </row>
    <row r="51" spans="1:11">
      <c r="B51" s="73"/>
      <c r="C51" s="108"/>
      <c r="D51" s="108"/>
      <c r="E51" s="108"/>
      <c r="F51" s="108"/>
      <c r="G51" s="134"/>
      <c r="H51" s="108"/>
      <c r="I51" s="65"/>
      <c r="J51" s="108"/>
      <c r="K51" s="134"/>
    </row>
    <row r="52" spans="1:11">
      <c r="B52" s="73" t="s">
        <v>155</v>
      </c>
      <c r="C52" s="108"/>
      <c r="D52" s="108"/>
      <c r="E52" s="108"/>
      <c r="F52" s="108"/>
      <c r="G52" s="108"/>
      <c r="H52" s="108"/>
      <c r="I52" s="108"/>
      <c r="J52" s="108"/>
      <c r="K52" s="108"/>
    </row>
    <row r="53" spans="1:11">
      <c r="A53" s="79">
        <v>7</v>
      </c>
      <c r="B53" s="135" t="str">
        <f>+B45</f>
        <v xml:space="preserve">  Production</v>
      </c>
      <c r="C53" s="53" t="s">
        <v>156</v>
      </c>
      <c r="D53" s="174">
        <f>'A4-Rate Base'!E46</f>
        <v>109488365.31940292</v>
      </c>
      <c r="E53" s="108"/>
      <c r="F53" s="116" t="str">
        <f>+F45</f>
        <v>NA</v>
      </c>
      <c r="G53" s="132"/>
      <c r="H53" s="108"/>
      <c r="I53" s="65">
        <v>0</v>
      </c>
      <c r="J53" s="108"/>
      <c r="K53" s="108"/>
    </row>
    <row r="54" spans="1:11">
      <c r="A54" s="79">
        <v>8</v>
      </c>
      <c r="B54" s="135" t="str">
        <f>+B46</f>
        <v xml:space="preserve">  Transmission</v>
      </c>
      <c r="C54" s="53" t="s">
        <v>157</v>
      </c>
      <c r="D54" s="174">
        <f>'A4-Rate Base'!F46</f>
        <v>46588620.315852948</v>
      </c>
      <c r="E54" s="108"/>
      <c r="F54" s="116" t="str">
        <f t="shared" ref="F54:F57" si="1">+F46</f>
        <v>TP</v>
      </c>
      <c r="G54" s="115">
        <f>$I$174</f>
        <v>0.9266113890410379</v>
      </c>
      <c r="H54" s="108"/>
      <c r="I54" s="65">
        <f>+G54*D54</f>
        <v>43169546.18437802</v>
      </c>
      <c r="J54" s="108"/>
      <c r="K54" s="108"/>
    </row>
    <row r="55" spans="1:11">
      <c r="A55" s="79">
        <v>9</v>
      </c>
      <c r="B55" s="135" t="str">
        <f>+B47</f>
        <v xml:space="preserve">  Distribution</v>
      </c>
      <c r="C55" s="53" t="s">
        <v>158</v>
      </c>
      <c r="D55" s="174">
        <f>'A4-Rate Base'!G46</f>
        <v>149789456.13823959</v>
      </c>
      <c r="E55" s="108"/>
      <c r="F55" s="116" t="str">
        <f t="shared" si="1"/>
        <v>NA</v>
      </c>
      <c r="G55" s="132"/>
      <c r="H55" s="108"/>
      <c r="I55" s="65">
        <v>0</v>
      </c>
      <c r="J55" s="108"/>
      <c r="K55" s="108"/>
    </row>
    <row r="56" spans="1:11">
      <c r="A56" s="79">
        <v>10</v>
      </c>
      <c r="B56" s="135" t="str">
        <f>+B48</f>
        <v xml:space="preserve">  General &amp; Intangible</v>
      </c>
      <c r="C56" s="53" t="s">
        <v>159</v>
      </c>
      <c r="D56" s="174">
        <f>'A4-Rate Base'!H46</f>
        <v>19924049.583368614</v>
      </c>
      <c r="E56" s="108"/>
      <c r="F56" s="116" t="str">
        <f t="shared" si="1"/>
        <v>W/S</v>
      </c>
      <c r="G56" s="132">
        <f>$I$191</f>
        <v>0.14403621580679662</v>
      </c>
      <c r="H56" s="108"/>
      <c r="I56" s="65">
        <f>+G56*D56</f>
        <v>2869784.7055353983</v>
      </c>
      <c r="J56" s="108"/>
      <c r="K56" s="108"/>
    </row>
    <row r="57" spans="1:11">
      <c r="A57" s="79">
        <v>11</v>
      </c>
      <c r="B57" s="135" t="str">
        <f>+B49</f>
        <v xml:space="preserve">  Common</v>
      </c>
      <c r="C57" s="53" t="s">
        <v>160</v>
      </c>
      <c r="D57" s="174">
        <f>'A4-Rate Base'!I46</f>
        <v>2953690.153846154</v>
      </c>
      <c r="E57" s="108"/>
      <c r="F57" s="116" t="str">
        <f t="shared" si="1"/>
        <v>CE</v>
      </c>
      <c r="G57" s="132">
        <f>$K$195</f>
        <v>0.14094405950320033</v>
      </c>
      <c r="H57" s="108"/>
      <c r="I57" s="61">
        <f>+G57*D57</f>
        <v>416305.08079770923</v>
      </c>
      <c r="J57" s="108"/>
      <c r="K57" s="108"/>
    </row>
    <row r="58" spans="1:11">
      <c r="A58" s="79">
        <v>12</v>
      </c>
      <c r="B58" s="73" t="s">
        <v>161</v>
      </c>
      <c r="C58" s="54" t="s">
        <v>162</v>
      </c>
      <c r="D58" s="184">
        <f>SUM(D53:D57)</f>
        <v>328744181.51071018</v>
      </c>
      <c r="E58" s="108"/>
      <c r="F58" s="108"/>
      <c r="G58" s="108"/>
      <c r="H58" s="108"/>
      <c r="I58" s="184">
        <f>SUM(I53:I57)</f>
        <v>46455635.970711127</v>
      </c>
      <c r="J58" s="108"/>
      <c r="K58" s="108"/>
    </row>
    <row r="59" spans="1:11">
      <c r="A59" s="79"/>
      <c r="C59" s="108" t="s">
        <v>87</v>
      </c>
      <c r="E59" s="108"/>
      <c r="F59" s="108"/>
      <c r="G59" s="134"/>
      <c r="H59" s="108"/>
      <c r="J59" s="108"/>
      <c r="K59" s="134"/>
    </row>
    <row r="60" spans="1:11">
      <c r="A60" s="79"/>
      <c r="B60" s="73" t="s">
        <v>163</v>
      </c>
      <c r="C60" s="108"/>
      <c r="D60" s="108"/>
      <c r="E60" s="108"/>
      <c r="F60" s="108"/>
      <c r="G60" s="108"/>
      <c r="H60" s="108"/>
      <c r="I60" s="108"/>
      <c r="J60" s="108"/>
      <c r="K60" s="108"/>
    </row>
    <row r="61" spans="1:11">
      <c r="A61" s="79">
        <v>13</v>
      </c>
      <c r="B61" s="135" t="str">
        <f>+B53</f>
        <v xml:space="preserve">  Production</v>
      </c>
      <c r="C61" s="54" t="str">
        <f>"(Line "&amp;A45&amp;" - Line "&amp;A53&amp;")"</f>
        <v>(Line 1 - Line 7)</v>
      </c>
      <c r="D61" s="65">
        <f>D45-D53</f>
        <v>316823521.23059696</v>
      </c>
      <c r="E61" s="108"/>
      <c r="F61" s="108"/>
      <c r="G61" s="134"/>
      <c r="H61" s="108"/>
      <c r="I61" s="108" t="s">
        <v>87</v>
      </c>
      <c r="J61" s="108"/>
      <c r="K61" s="134"/>
    </row>
    <row r="62" spans="1:11">
      <c r="A62" s="79">
        <v>14</v>
      </c>
      <c r="B62" s="135" t="str">
        <f>+B54</f>
        <v xml:space="preserve">  Transmission</v>
      </c>
      <c r="C62" s="54" t="str">
        <f>"(Line "&amp;A46&amp;" - Line "&amp;A54&amp;")"</f>
        <v>(Line 2 - Line 8)</v>
      </c>
      <c r="D62" s="65">
        <f>D46-D54</f>
        <v>193732244.85876241</v>
      </c>
      <c r="E62" s="108"/>
      <c r="F62" s="108"/>
      <c r="G62" s="131"/>
      <c r="H62" s="108"/>
      <c r="I62" s="65">
        <f>I46-I54</f>
        <v>179514504.5106163</v>
      </c>
      <c r="J62" s="108"/>
      <c r="K62" s="134"/>
    </row>
    <row r="63" spans="1:11">
      <c r="A63" s="79">
        <v>15</v>
      </c>
      <c r="B63" s="135" t="str">
        <f>+B55</f>
        <v xml:space="preserve">  Distribution</v>
      </c>
      <c r="C63" s="54" t="str">
        <f>"(Line "&amp;A47&amp;" - Line "&amp;A55&amp;")"</f>
        <v>(Line 3 - Line 9)</v>
      </c>
      <c r="D63" s="65">
        <f>D47-D55</f>
        <v>226935186.58560655</v>
      </c>
      <c r="E63" s="108"/>
      <c r="F63" s="108"/>
      <c r="G63" s="134"/>
      <c r="H63" s="108"/>
      <c r="I63" s="65" t="s">
        <v>87</v>
      </c>
      <c r="J63" s="108"/>
      <c r="K63" s="134"/>
    </row>
    <row r="64" spans="1:11">
      <c r="A64" s="79">
        <v>16</v>
      </c>
      <c r="B64" s="135" t="str">
        <f>+B56</f>
        <v xml:space="preserve">  General &amp; Intangible</v>
      </c>
      <c r="C64" s="54" t="str">
        <f>"(Line "&amp;A48&amp;" - Line "&amp;A56&amp;")"</f>
        <v>(Line 4 - Line 10)</v>
      </c>
      <c r="D64" s="65">
        <f>D48-D56</f>
        <v>18637642.624323696</v>
      </c>
      <c r="E64" s="108"/>
      <c r="F64" s="108"/>
      <c r="G64" s="134"/>
      <c r="H64" s="108"/>
      <c r="I64" s="65">
        <f>I48-I56</f>
        <v>2684495.5151670394</v>
      </c>
      <c r="J64" s="108"/>
      <c r="K64" s="134"/>
    </row>
    <row r="65" spans="1:12" ht="13.5" thickBot="1">
      <c r="A65" s="79">
        <v>17</v>
      </c>
      <c r="B65" s="135" t="str">
        <f>+B57</f>
        <v xml:space="preserve">  Common</v>
      </c>
      <c r="C65" s="54" t="str">
        <f>"(Line "&amp;A49&amp;" - Line "&amp;A57&amp;")"</f>
        <v>(Line 5 - Line 11)</v>
      </c>
      <c r="D65" s="66">
        <f>D49-D57</f>
        <v>18776270.538461536</v>
      </c>
      <c r="E65" s="108"/>
      <c r="F65" s="108"/>
      <c r="G65" s="134"/>
      <c r="H65" s="108"/>
      <c r="I65" s="61">
        <f>I49-I57</f>
        <v>2646403.7920211102</v>
      </c>
      <c r="J65" s="108"/>
      <c r="K65" s="134"/>
    </row>
    <row r="66" spans="1:12">
      <c r="A66" s="79">
        <v>18</v>
      </c>
      <c r="B66" s="73" t="s">
        <v>164</v>
      </c>
      <c r="C66" s="54" t="s">
        <v>165</v>
      </c>
      <c r="D66" s="65">
        <f>SUM(D61:D65)</f>
        <v>774904865.83775127</v>
      </c>
      <c r="E66" s="108"/>
      <c r="F66" s="108" t="s">
        <v>166</v>
      </c>
      <c r="G66" s="115">
        <f>IF(I66&gt;0,I66/D66,0)</f>
        <v>0.23853948009213707</v>
      </c>
      <c r="H66" s="108"/>
      <c r="I66" s="184">
        <f>SUM(I61:I65)</f>
        <v>184845403.81780443</v>
      </c>
      <c r="J66" s="108"/>
      <c r="K66" s="108"/>
    </row>
    <row r="67" spans="1:12" s="2" customFormat="1">
      <c r="A67" s="55"/>
      <c r="B67" s="56"/>
      <c r="C67" s="54"/>
      <c r="D67" s="57"/>
      <c r="E67" s="53"/>
      <c r="F67" s="53"/>
      <c r="G67" s="58"/>
      <c r="H67" s="53"/>
      <c r="I67" s="65"/>
      <c r="J67" s="54"/>
      <c r="K67" s="54"/>
      <c r="L67" s="884"/>
    </row>
    <row r="68" spans="1:12" s="2" customFormat="1">
      <c r="A68" s="55" t="s">
        <v>167</v>
      </c>
      <c r="B68" s="59" t="s">
        <v>168</v>
      </c>
      <c r="C68" s="60" t="s">
        <v>169</v>
      </c>
      <c r="D68" s="174">
        <f>'A4-Rate Base'!H23</f>
        <v>0</v>
      </c>
      <c r="E68" s="60"/>
      <c r="F68" s="75"/>
      <c r="G68" s="669"/>
      <c r="H68" s="60"/>
      <c r="I68" s="62">
        <f>+G68*D68</f>
        <v>0</v>
      </c>
      <c r="J68" s="54"/>
      <c r="K68" s="54"/>
      <c r="L68" s="884"/>
    </row>
    <row r="69" spans="1:12" s="2" customFormat="1">
      <c r="A69" s="55"/>
      <c r="B69" s="63"/>
      <c r="C69" s="54"/>
      <c r="D69" s="57"/>
      <c r="E69" s="54"/>
      <c r="F69" s="63"/>
      <c r="G69" s="63"/>
      <c r="H69" s="54"/>
      <c r="I69" s="57"/>
      <c r="J69" s="54"/>
      <c r="K69" s="64"/>
      <c r="L69" s="884"/>
    </row>
    <row r="70" spans="1:12">
      <c r="A70" s="79"/>
      <c r="B70" s="73" t="s">
        <v>170</v>
      </c>
      <c r="C70" s="108"/>
      <c r="D70" s="108"/>
      <c r="E70" s="108"/>
      <c r="F70" s="108"/>
      <c r="G70" s="108"/>
      <c r="H70" s="108"/>
      <c r="I70" s="108"/>
      <c r="J70" s="108"/>
      <c r="K70" s="108"/>
    </row>
    <row r="71" spans="1:12">
      <c r="A71" s="55">
        <f>+A66+1</f>
        <v>19</v>
      </c>
      <c r="B71" s="56" t="s">
        <v>171</v>
      </c>
      <c r="C71" s="54" t="s">
        <v>172</v>
      </c>
      <c r="D71" s="174">
        <f>'A4-Rate Base'!E89</f>
        <v>0</v>
      </c>
      <c r="E71" s="54"/>
      <c r="F71" s="104" t="s">
        <v>173</v>
      </c>
      <c r="G71" s="67">
        <f>GP</f>
        <v>0.20957843468829235</v>
      </c>
      <c r="H71" s="53"/>
      <c r="I71" s="57">
        <f t="shared" ref="I71:I77" si="2">D71*G71</f>
        <v>0</v>
      </c>
      <c r="J71" s="108"/>
      <c r="K71" s="134"/>
    </row>
    <row r="72" spans="1:12">
      <c r="A72" s="55">
        <f t="shared" ref="A72:A75" si="3">+A71+1</f>
        <v>20</v>
      </c>
      <c r="B72" s="56" t="s">
        <v>174</v>
      </c>
      <c r="C72" s="54" t="s">
        <v>175</v>
      </c>
      <c r="D72" s="174">
        <f>'A4-Rate Base'!F89</f>
        <v>-127277843.5</v>
      </c>
      <c r="E72" s="54"/>
      <c r="F72" s="104" t="s">
        <v>173</v>
      </c>
      <c r="G72" s="67">
        <f>GP</f>
        <v>0.20957843468829235</v>
      </c>
      <c r="H72" s="53"/>
      <c r="I72" s="57">
        <f t="shared" si="2"/>
        <v>-26674691.211231444</v>
      </c>
      <c r="J72" s="108"/>
      <c r="K72" s="134"/>
    </row>
    <row r="73" spans="1:12">
      <c r="A73" s="55">
        <f t="shared" si="3"/>
        <v>21</v>
      </c>
      <c r="B73" s="56" t="s">
        <v>176</v>
      </c>
      <c r="C73" s="54" t="s">
        <v>177</v>
      </c>
      <c r="D73" s="174">
        <f>'A4-Rate Base'!G89</f>
        <v>-36839757</v>
      </c>
      <c r="E73" s="54"/>
      <c r="F73" s="104" t="s">
        <v>173</v>
      </c>
      <c r="G73" s="67">
        <f>GP</f>
        <v>0.20957843468829235</v>
      </c>
      <c r="H73" s="53"/>
      <c r="I73" s="57">
        <f t="shared" si="2"/>
        <v>-7720818.6063570604</v>
      </c>
      <c r="J73" s="108"/>
      <c r="K73" s="134"/>
    </row>
    <row r="74" spans="1:12">
      <c r="A74" s="55">
        <f t="shared" si="3"/>
        <v>22</v>
      </c>
      <c r="B74" s="56" t="s">
        <v>178</v>
      </c>
      <c r="C74" s="54" t="s">
        <v>179</v>
      </c>
      <c r="D74" s="174">
        <f>'A4-Rate Base'!H89</f>
        <v>70212655</v>
      </c>
      <c r="E74" s="54"/>
      <c r="F74" s="104" t="s">
        <v>173</v>
      </c>
      <c r="G74" s="67">
        <f>GP</f>
        <v>0.20957843468829235</v>
      </c>
      <c r="H74" s="53"/>
      <c r="I74" s="57">
        <f t="shared" si="2"/>
        <v>14715058.330209102</v>
      </c>
      <c r="J74" s="108"/>
      <c r="K74" s="134"/>
    </row>
    <row r="75" spans="1:12">
      <c r="A75" s="55">
        <f t="shared" si="3"/>
        <v>23</v>
      </c>
      <c r="B75" s="63" t="s">
        <v>180</v>
      </c>
      <c r="C75" s="63" t="s">
        <v>181</v>
      </c>
      <c r="D75" s="544">
        <v>0</v>
      </c>
      <c r="E75" s="54"/>
      <c r="F75" s="54"/>
      <c r="G75" s="68">
        <v>0</v>
      </c>
      <c r="H75" s="53"/>
      <c r="I75" s="62">
        <f t="shared" si="2"/>
        <v>0</v>
      </c>
      <c r="J75" s="108"/>
      <c r="K75" s="134"/>
    </row>
    <row r="76" spans="1:12">
      <c r="A76" s="55" t="s">
        <v>182</v>
      </c>
      <c r="B76" s="59" t="s">
        <v>183</v>
      </c>
      <c r="C76" s="60" t="s">
        <v>184</v>
      </c>
      <c r="D76" s="174">
        <f>'A4-Rate Base'!C89</f>
        <v>0</v>
      </c>
      <c r="E76" s="60"/>
      <c r="F76" s="75"/>
      <c r="G76" s="669"/>
      <c r="H76" s="60"/>
      <c r="I76" s="62">
        <f t="shared" si="2"/>
        <v>0</v>
      </c>
      <c r="J76" s="108"/>
      <c r="K76" s="134"/>
    </row>
    <row r="77" spans="1:12">
      <c r="A77" s="55" t="s">
        <v>185</v>
      </c>
      <c r="B77" s="59" t="s">
        <v>186</v>
      </c>
      <c r="C77" s="60" t="s">
        <v>187</v>
      </c>
      <c r="D77" s="174">
        <f>'A4-Rate Base'!D89</f>
        <v>0</v>
      </c>
      <c r="E77" s="60"/>
      <c r="F77" s="75"/>
      <c r="G77" s="669"/>
      <c r="H77" s="60"/>
      <c r="I77" s="62">
        <f t="shared" si="2"/>
        <v>0</v>
      </c>
      <c r="J77" s="108"/>
      <c r="K77" s="134"/>
    </row>
    <row r="78" spans="1:12">
      <c r="A78" s="55" t="s">
        <v>188</v>
      </c>
      <c r="B78" s="59" t="s">
        <v>189</v>
      </c>
      <c r="C78" s="60" t="s">
        <v>190</v>
      </c>
      <c r="D78" s="174">
        <f>'A4-Rate Base'!I101</f>
        <v>0</v>
      </c>
      <c r="E78" s="60"/>
      <c r="F78" s="60"/>
      <c r="G78" s="69"/>
      <c r="H78" s="60"/>
      <c r="I78" s="62">
        <f t="shared" ref="I78" si="4">D78</f>
        <v>0</v>
      </c>
      <c r="J78" s="108"/>
      <c r="K78" s="134"/>
    </row>
    <row r="79" spans="1:12">
      <c r="A79" s="55">
        <v>24</v>
      </c>
      <c r="B79" s="135" t="s">
        <v>191</v>
      </c>
      <c r="C79" s="135" t="s">
        <v>192</v>
      </c>
      <c r="D79" s="174">
        <f>'A3-ADIT'!F24</f>
        <v>-492821.49</v>
      </c>
      <c r="E79" s="108"/>
      <c r="F79" s="104" t="s">
        <v>173</v>
      </c>
      <c r="G79" s="67">
        <f>GP</f>
        <v>0.20957843468829235</v>
      </c>
      <c r="H79" s="108"/>
      <c r="I79" s="62">
        <f t="shared" ref="I79" si="5">D79*G79</f>
        <v>-103284.75645495192</v>
      </c>
      <c r="J79" s="108"/>
      <c r="K79" s="134"/>
    </row>
    <row r="80" spans="1:12" ht="13.5" thickBot="1">
      <c r="A80" s="79">
        <v>25</v>
      </c>
      <c r="B80" s="135" t="s">
        <v>193</v>
      </c>
      <c r="C80" s="135" t="s">
        <v>194</v>
      </c>
      <c r="D80" s="858">
        <f>'A3.1-EDIT-DDIT'!I42</f>
        <v>-43293957.685000002</v>
      </c>
      <c r="E80" s="108"/>
      <c r="F80" s="108"/>
      <c r="G80" s="108"/>
      <c r="H80" s="108"/>
      <c r="I80" s="858">
        <f>'A3.1-EDIT-DDIT'!O42</f>
        <v>-9819422.4170110691</v>
      </c>
      <c r="J80" s="108"/>
      <c r="K80" s="134"/>
    </row>
    <row r="81" spans="1:11">
      <c r="A81" s="79">
        <v>26</v>
      </c>
      <c r="B81" s="73" t="s">
        <v>195</v>
      </c>
      <c r="C81" s="54" t="s">
        <v>196</v>
      </c>
      <c r="D81" s="65">
        <f>SUM(D71:D80)</f>
        <v>-137691724.67500001</v>
      </c>
      <c r="E81" s="108"/>
      <c r="F81" s="108"/>
      <c r="G81" s="108"/>
      <c r="H81" s="108"/>
      <c r="I81" s="65">
        <f>SUM(I71:I80)</f>
        <v>-29603158.660845429</v>
      </c>
      <c r="J81" s="108"/>
      <c r="K81" s="108"/>
    </row>
    <row r="82" spans="1:11">
      <c r="A82" s="79"/>
      <c r="C82" s="108"/>
      <c r="E82" s="108"/>
      <c r="F82" s="108"/>
      <c r="G82" s="134"/>
      <c r="H82" s="108"/>
      <c r="J82" s="108"/>
      <c r="K82" s="134"/>
    </row>
    <row r="83" spans="1:11">
      <c r="A83" s="79">
        <v>27</v>
      </c>
      <c r="B83" s="73" t="s">
        <v>197</v>
      </c>
      <c r="C83" s="71" t="s">
        <v>198</v>
      </c>
      <c r="D83" s="174">
        <f>'A4-Rate Base'!I23</f>
        <v>0</v>
      </c>
      <c r="E83" s="108"/>
      <c r="F83" s="116" t="str">
        <f>+F54</f>
        <v>TP</v>
      </c>
      <c r="G83" s="115">
        <f>$I$174</f>
        <v>0.9266113890410379</v>
      </c>
      <c r="H83" s="108"/>
      <c r="I83" s="65">
        <f>+G83*D83</f>
        <v>0</v>
      </c>
      <c r="J83" s="108"/>
      <c r="K83" s="108"/>
    </row>
    <row r="84" spans="1:11">
      <c r="A84" s="79"/>
      <c r="B84" s="73"/>
      <c r="C84" s="108"/>
      <c r="D84" s="108"/>
      <c r="E84" s="108"/>
      <c r="F84" s="108"/>
      <c r="G84" s="108"/>
      <c r="H84" s="108"/>
      <c r="I84" s="108"/>
      <c r="J84" s="108"/>
      <c r="K84" s="108"/>
    </row>
    <row r="85" spans="1:11">
      <c r="A85" s="79"/>
      <c r="B85" s="73" t="s">
        <v>199</v>
      </c>
      <c r="C85" s="54" t="s">
        <v>200</v>
      </c>
      <c r="D85" s="108"/>
      <c r="E85" s="108"/>
      <c r="F85" s="108"/>
      <c r="G85" s="108"/>
      <c r="H85" s="108"/>
      <c r="I85" s="108"/>
      <c r="J85" s="108"/>
      <c r="K85" s="108"/>
    </row>
    <row r="86" spans="1:11">
      <c r="A86" s="79">
        <v>28</v>
      </c>
      <c r="B86" s="73" t="s">
        <v>201</v>
      </c>
      <c r="C86" s="63" t="s">
        <v>202</v>
      </c>
      <c r="D86" s="65">
        <f>+D116/8</f>
        <v>3428413.1612625001</v>
      </c>
      <c r="E86" s="108"/>
      <c r="F86" s="108"/>
      <c r="G86" s="134"/>
      <c r="H86" s="108"/>
      <c r="I86" s="65">
        <f>+I116/8</f>
        <v>741110.29310955724</v>
      </c>
      <c r="J86" s="73"/>
      <c r="K86" s="134"/>
    </row>
    <row r="87" spans="1:11">
      <c r="A87" s="79">
        <v>29</v>
      </c>
      <c r="B87" s="73" t="s">
        <v>203</v>
      </c>
      <c r="C87" s="71" t="s">
        <v>204</v>
      </c>
      <c r="D87" s="174">
        <f>'A4-Rate Base'!F126</f>
        <v>134762.61119928438</v>
      </c>
      <c r="E87" s="108"/>
      <c r="F87" s="108" t="s">
        <v>205</v>
      </c>
      <c r="G87" s="132">
        <f>$I$183</f>
        <v>0.9266113890410379</v>
      </c>
      <c r="H87" s="108"/>
      <c r="I87" s="65">
        <f>+G87*D87</f>
        <v>124872.57035416624</v>
      </c>
      <c r="J87" s="108" t="s">
        <v>87</v>
      </c>
      <c r="K87" s="134"/>
    </row>
    <row r="88" spans="1:11" ht="13.5" thickBot="1">
      <c r="A88" s="79">
        <v>30</v>
      </c>
      <c r="B88" s="73" t="s">
        <v>206</v>
      </c>
      <c r="C88" s="53" t="s">
        <v>207</v>
      </c>
      <c r="D88" s="174">
        <f>'A8-Prepmts'!H16</f>
        <v>180871.03304225235</v>
      </c>
      <c r="E88" s="108"/>
      <c r="F88" s="108"/>
      <c r="G88" s="132"/>
      <c r="H88" s="108"/>
      <c r="I88" s="66">
        <f>D88</f>
        <v>180871.03304225235</v>
      </c>
      <c r="J88" s="108"/>
      <c r="K88" s="134"/>
    </row>
    <row r="89" spans="1:11">
      <c r="A89" s="79">
        <v>31</v>
      </c>
      <c r="B89" s="73" t="s">
        <v>208</v>
      </c>
      <c r="C89" s="54" t="s">
        <v>209</v>
      </c>
      <c r="D89" s="184">
        <f>D86+D87+D88</f>
        <v>3744046.8055040371</v>
      </c>
      <c r="E89" s="73"/>
      <c r="F89" s="73"/>
      <c r="G89" s="73"/>
      <c r="H89" s="73"/>
      <c r="I89" s="65">
        <f>I86+I87+I88</f>
        <v>1046853.8965059759</v>
      </c>
      <c r="J89" s="73"/>
      <c r="K89" s="73"/>
    </row>
    <row r="90" spans="1:11" ht="13.5" thickBot="1">
      <c r="C90" s="108"/>
      <c r="E90" s="108"/>
      <c r="F90" s="108"/>
      <c r="G90" s="108"/>
      <c r="H90" s="108"/>
      <c r="I90" s="136"/>
      <c r="J90" s="108"/>
      <c r="K90" s="108"/>
    </row>
    <row r="91" spans="1:11" ht="13.5" thickBot="1">
      <c r="A91" s="79">
        <v>32</v>
      </c>
      <c r="B91" s="73" t="s">
        <v>210</v>
      </c>
      <c r="C91" s="73" t="s">
        <v>211</v>
      </c>
      <c r="D91" s="72">
        <f>+D89+D83+D81+D66</f>
        <v>640957187.96825528</v>
      </c>
      <c r="E91" s="108"/>
      <c r="F91" s="108"/>
      <c r="G91" s="134"/>
      <c r="H91" s="108"/>
      <c r="I91" s="72">
        <f>+I89+I83+I81+I66</f>
        <v>156289099.05346498</v>
      </c>
      <c r="J91" s="108"/>
      <c r="K91" s="134"/>
    </row>
    <row r="92" spans="1:11" ht="13.5" thickTop="1">
      <c r="B92" s="73"/>
      <c r="C92" s="73"/>
      <c r="D92" s="105"/>
      <c r="E92" s="73"/>
      <c r="F92" s="73"/>
      <c r="G92" s="73"/>
      <c r="H92" s="73"/>
      <c r="I92" s="106"/>
      <c r="J92" s="106"/>
      <c r="K92" s="106"/>
    </row>
    <row r="93" spans="1:11">
      <c r="B93" s="73"/>
      <c r="C93" s="73"/>
      <c r="D93" s="105"/>
      <c r="E93" s="73"/>
      <c r="F93" s="73"/>
      <c r="G93" s="73"/>
      <c r="H93" s="73"/>
      <c r="I93" s="970" t="str">
        <f>I1</f>
        <v>Actual Attachment H</v>
      </c>
      <c r="J93" s="970"/>
      <c r="K93" s="970"/>
    </row>
    <row r="94" spans="1:11">
      <c r="B94" s="73"/>
      <c r="C94" s="73"/>
      <c r="D94" s="105"/>
      <c r="E94" s="73"/>
      <c r="F94" s="73"/>
      <c r="G94" s="73"/>
      <c r="H94" s="73"/>
      <c r="I94" s="73"/>
      <c r="J94" s="969" t="s">
        <v>212</v>
      </c>
      <c r="K94" s="969"/>
    </row>
    <row r="95" spans="1:11">
      <c r="B95" s="73"/>
      <c r="C95" s="73"/>
      <c r="D95" s="105"/>
      <c r="E95" s="73"/>
      <c r="F95" s="73"/>
      <c r="G95" s="73"/>
      <c r="H95" s="73"/>
      <c r="I95" s="73"/>
      <c r="J95" s="73"/>
      <c r="K95" s="106"/>
    </row>
    <row r="96" spans="1:11">
      <c r="B96" s="105" t="s">
        <v>78</v>
      </c>
      <c r="C96" s="79" t="s">
        <v>124</v>
      </c>
      <c r="E96" s="73"/>
      <c r="F96" s="73"/>
      <c r="G96" s="73"/>
      <c r="H96" s="73"/>
      <c r="I96" s="73"/>
      <c r="J96" s="73"/>
      <c r="K96" s="122" t="str">
        <f>K4</f>
        <v>Actuals - For the 12 months ended 12/31/2021</v>
      </c>
    </row>
    <row r="97" spans="1:11">
      <c r="B97" s="73"/>
      <c r="C97" s="109" t="s">
        <v>125</v>
      </c>
      <c r="E97" s="108"/>
      <c r="F97" s="108"/>
      <c r="G97" s="108"/>
      <c r="H97" s="73"/>
      <c r="I97" s="73"/>
      <c r="J97" s="73"/>
      <c r="K97" s="73"/>
    </row>
    <row r="98" spans="1:11">
      <c r="B98" s="73"/>
      <c r="C98" s="108"/>
      <c r="E98" s="108"/>
      <c r="F98" s="108"/>
      <c r="G98" s="108"/>
      <c r="H98" s="73"/>
      <c r="I98" s="73"/>
      <c r="J98" s="73"/>
      <c r="K98" s="73"/>
    </row>
    <row r="99" spans="1:11">
      <c r="A99" s="79"/>
      <c r="C99" s="123" t="str">
        <f>C7</f>
        <v>Black Hills Colorado Electric, LLC</v>
      </c>
      <c r="J99" s="108"/>
      <c r="K99" s="108"/>
    </row>
    <row r="100" spans="1:11">
      <c r="A100" s="79"/>
      <c r="C100" s="137"/>
      <c r="J100" s="108"/>
      <c r="K100" s="108"/>
    </row>
    <row r="101" spans="1:11">
      <c r="A101" s="79"/>
      <c r="B101" s="79" t="s">
        <v>126</v>
      </c>
      <c r="C101" s="79" t="s">
        <v>127</v>
      </c>
      <c r="D101" s="79" t="s">
        <v>128</v>
      </c>
      <c r="E101" s="108" t="s">
        <v>87</v>
      </c>
      <c r="F101" s="108"/>
      <c r="G101" s="124" t="s">
        <v>129</v>
      </c>
      <c r="H101" s="108"/>
      <c r="I101" s="125" t="s">
        <v>130</v>
      </c>
      <c r="J101" s="108"/>
      <c r="K101" s="108"/>
    </row>
    <row r="102" spans="1:11">
      <c r="A102" s="79" t="s">
        <v>82</v>
      </c>
      <c r="B102" s="73"/>
      <c r="C102" s="126" t="s">
        <v>131</v>
      </c>
      <c r="D102" s="108"/>
      <c r="E102" s="108"/>
      <c r="F102" s="108"/>
      <c r="G102" s="79"/>
      <c r="H102" s="108"/>
      <c r="I102" s="127" t="s">
        <v>132</v>
      </c>
      <c r="J102" s="108"/>
      <c r="K102" s="127"/>
    </row>
    <row r="103" spans="1:11" ht="13.5" thickBot="1">
      <c r="A103" s="112" t="s">
        <v>84</v>
      </c>
      <c r="B103" s="73"/>
      <c r="C103" s="128" t="s">
        <v>133</v>
      </c>
      <c r="D103" s="127" t="s">
        <v>134</v>
      </c>
      <c r="E103" s="129"/>
      <c r="F103" s="127" t="s">
        <v>135</v>
      </c>
      <c r="H103" s="129"/>
      <c r="I103" s="79" t="s">
        <v>136</v>
      </c>
      <c r="J103" s="108"/>
      <c r="K103" s="127"/>
    </row>
    <row r="104" spans="1:11">
      <c r="A104" s="79"/>
      <c r="B104" s="73" t="s">
        <v>213</v>
      </c>
      <c r="C104" s="108"/>
      <c r="D104" s="108"/>
      <c r="E104" s="108"/>
      <c r="F104" s="108"/>
      <c r="G104" s="108"/>
      <c r="H104" s="108"/>
      <c r="I104" s="108"/>
      <c r="J104" s="108"/>
      <c r="K104" s="108"/>
    </row>
    <row r="105" spans="1:11">
      <c r="A105" s="79">
        <v>1</v>
      </c>
      <c r="B105" s="73" t="s">
        <v>214</v>
      </c>
      <c r="C105" s="108" t="s">
        <v>215</v>
      </c>
      <c r="D105" s="75">
        <v>7280791</v>
      </c>
      <c r="E105" s="108"/>
      <c r="F105" s="108" t="s">
        <v>205</v>
      </c>
      <c r="G105" s="132">
        <f>$I$183</f>
        <v>0.9266113890410379</v>
      </c>
      <c r="H105" s="108"/>
      <c r="I105" s="65">
        <f>+G105*D105</f>
        <v>6746463.8618274871</v>
      </c>
      <c r="J105" s="73"/>
      <c r="K105" s="108"/>
    </row>
    <row r="106" spans="1:11">
      <c r="A106" s="79">
        <v>2</v>
      </c>
      <c r="B106" s="73" t="s">
        <v>216</v>
      </c>
      <c r="C106" s="108" t="s">
        <v>217</v>
      </c>
      <c r="D106" s="75">
        <f>115724+586923+127653</f>
        <v>830300</v>
      </c>
      <c r="E106" s="108"/>
      <c r="F106" s="108" t="s">
        <v>205</v>
      </c>
      <c r="G106" s="132">
        <f>$I$183</f>
        <v>0.9266113890410379</v>
      </c>
      <c r="H106" s="108"/>
      <c r="I106" s="57">
        <f t="shared" ref="I106:I115" si="6">+G106*D106</f>
        <v>769365.43632077379</v>
      </c>
      <c r="J106" s="73"/>
      <c r="K106" s="108"/>
    </row>
    <row r="107" spans="1:11">
      <c r="A107" s="79" t="s">
        <v>218</v>
      </c>
      <c r="B107" s="73" t="s">
        <v>219</v>
      </c>
      <c r="C107" s="108" t="s">
        <v>220</v>
      </c>
      <c r="D107" s="75">
        <v>3948998</v>
      </c>
      <c r="E107" s="108"/>
      <c r="F107" s="108" t="s">
        <v>205</v>
      </c>
      <c r="G107" s="132">
        <f>$I$183</f>
        <v>0.9266113890410379</v>
      </c>
      <c r="H107" s="108"/>
      <c r="I107" s="57">
        <f t="shared" ref="I107" si="7">+G107*D107</f>
        <v>3659186.5221002805</v>
      </c>
      <c r="J107" s="73"/>
      <c r="K107" s="108"/>
    </row>
    <row r="108" spans="1:11">
      <c r="A108" s="79">
        <v>3</v>
      </c>
      <c r="B108" s="73" t="s">
        <v>221</v>
      </c>
      <c r="C108" s="108" t="s">
        <v>222</v>
      </c>
      <c r="D108" s="75">
        <v>26589980</v>
      </c>
      <c r="E108" s="108"/>
      <c r="F108" s="108" t="s">
        <v>148</v>
      </c>
      <c r="G108" s="132">
        <f>$I$191</f>
        <v>0.14403621580679662</v>
      </c>
      <c r="H108" s="108"/>
      <c r="I108" s="65">
        <f t="shared" si="6"/>
        <v>3829920.0975784063</v>
      </c>
      <c r="J108" s="108"/>
      <c r="K108" s="108" t="s">
        <v>87</v>
      </c>
    </row>
    <row r="109" spans="1:11">
      <c r="A109" s="79">
        <v>4</v>
      </c>
      <c r="B109" s="73" t="s">
        <v>223</v>
      </c>
      <c r="C109" s="108"/>
      <c r="D109" s="108"/>
      <c r="E109" s="108"/>
      <c r="F109" s="116"/>
      <c r="G109" s="132"/>
      <c r="H109" s="108"/>
      <c r="I109" s="65"/>
      <c r="J109" s="108"/>
      <c r="K109" s="108"/>
    </row>
    <row r="110" spans="1:11">
      <c r="A110" s="79">
        <v>5</v>
      </c>
      <c r="B110" s="73" t="s">
        <v>224</v>
      </c>
      <c r="C110" s="108" t="s">
        <v>225</v>
      </c>
      <c r="D110" s="174">
        <f>'A2-A&amp;G'!D14</f>
        <v>1926109.86</v>
      </c>
      <c r="E110" s="108"/>
      <c r="F110" s="116" t="str">
        <f>F108</f>
        <v>W/S</v>
      </c>
      <c r="G110" s="132">
        <f>$I$191</f>
        <v>0.14403621580679662</v>
      </c>
      <c r="H110" s="108"/>
      <c r="I110" s="57">
        <f t="shared" si="6"/>
        <v>277429.57546255883</v>
      </c>
      <c r="J110" s="108"/>
      <c r="K110" s="108"/>
    </row>
    <row r="111" spans="1:11">
      <c r="A111" s="79" t="s">
        <v>226</v>
      </c>
      <c r="B111" s="73" t="s">
        <v>227</v>
      </c>
      <c r="C111" s="108" t="s">
        <v>228</v>
      </c>
      <c r="D111" s="174">
        <f>'A2-A&amp;G'!D23</f>
        <v>26516</v>
      </c>
      <c r="E111" s="108"/>
      <c r="F111" s="138" t="str">
        <f>+F105</f>
        <v>TE</v>
      </c>
      <c r="G111" s="132">
        <f>$I$183</f>
        <v>0.9266113890410379</v>
      </c>
      <c r="H111" s="108"/>
      <c r="I111" s="57">
        <f>+G111*D111</f>
        <v>24570.027591812162</v>
      </c>
      <c r="J111" s="108"/>
      <c r="K111" s="108"/>
    </row>
    <row r="112" spans="1:11">
      <c r="A112" s="79" t="s">
        <v>229</v>
      </c>
      <c r="B112" s="73" t="s">
        <v>230</v>
      </c>
      <c r="C112" s="108" t="s">
        <v>231</v>
      </c>
      <c r="D112" s="711">
        <v>447787.88760000002</v>
      </c>
      <c r="E112" s="108"/>
      <c r="F112" s="116" t="s">
        <v>148</v>
      </c>
      <c r="G112" s="132">
        <f>$I$191</f>
        <v>0.14403621580679662</v>
      </c>
      <c r="H112" s="108"/>
      <c r="I112" s="62">
        <f t="shared" ref="I112:I113" si="8">+G112*D112</f>
        <v>64497.672814023193</v>
      </c>
      <c r="J112" s="108"/>
      <c r="K112" s="108"/>
    </row>
    <row r="113" spans="1:12">
      <c r="A113" s="79" t="s">
        <v>232</v>
      </c>
      <c r="B113" s="73" t="s">
        <v>233</v>
      </c>
      <c r="C113" s="108" t="s">
        <v>234</v>
      </c>
      <c r="D113" s="174">
        <f>'A2-A&amp;G'!D31</f>
        <v>212361.73749999999</v>
      </c>
      <c r="E113" s="108"/>
      <c r="F113" s="116" t="str">
        <f>+F112</f>
        <v>W/S</v>
      </c>
      <c r="G113" s="132">
        <f>$I$191</f>
        <v>0.14403621580679662</v>
      </c>
      <c r="H113" s="108"/>
      <c r="I113" s="62">
        <f t="shared" si="8"/>
        <v>30587.781051656293</v>
      </c>
      <c r="J113" s="108"/>
      <c r="K113" s="108"/>
    </row>
    <row r="114" spans="1:12">
      <c r="A114" s="79">
        <v>6</v>
      </c>
      <c r="B114" s="73" t="s">
        <v>149</v>
      </c>
      <c r="C114" s="589" t="s">
        <v>235</v>
      </c>
      <c r="D114" s="75">
        <v>0</v>
      </c>
      <c r="E114" s="108"/>
      <c r="F114" s="108" t="s">
        <v>151</v>
      </c>
      <c r="G114" s="132">
        <f>$K$195</f>
        <v>0.14094405950320033</v>
      </c>
      <c r="H114" s="108"/>
      <c r="I114" s="65">
        <f t="shared" si="6"/>
        <v>0</v>
      </c>
      <c r="J114" s="108"/>
      <c r="K114" s="108"/>
    </row>
    <row r="115" spans="1:12" ht="13.5" thickBot="1">
      <c r="A115" s="79">
        <v>7</v>
      </c>
      <c r="B115" s="73" t="s">
        <v>236</v>
      </c>
      <c r="C115" s="108" t="s">
        <v>237</v>
      </c>
      <c r="D115" s="75">
        <v>0</v>
      </c>
      <c r="E115" s="108"/>
      <c r="F115" s="108" t="s">
        <v>238</v>
      </c>
      <c r="G115" s="131">
        <v>1</v>
      </c>
      <c r="H115" s="108"/>
      <c r="I115" s="66">
        <f t="shared" si="6"/>
        <v>0</v>
      </c>
      <c r="J115" s="108"/>
      <c r="K115" s="108"/>
    </row>
    <row r="116" spans="1:12">
      <c r="A116" s="79">
        <v>8</v>
      </c>
      <c r="B116" s="73" t="s">
        <v>239</v>
      </c>
      <c r="C116" s="108"/>
      <c r="D116" s="74">
        <f>+D105-D106-D107+D108-D110+D114+D115+D111+D112-D113</f>
        <v>27427305.290100001</v>
      </c>
      <c r="E116" s="108"/>
      <c r="F116" s="108"/>
      <c r="G116" s="108"/>
      <c r="H116" s="108"/>
      <c r="I116" s="74">
        <f>+I105-I106-I107+I108-I110+I114+I115+I111+I112-I113</f>
        <v>5928882.3448764579</v>
      </c>
      <c r="J116" s="108"/>
      <c r="K116" s="108"/>
    </row>
    <row r="117" spans="1:12">
      <c r="A117" s="79"/>
      <c r="C117" s="108"/>
      <c r="E117" s="108"/>
      <c r="F117" s="108"/>
      <c r="G117" s="108"/>
      <c r="H117" s="108"/>
      <c r="J117" s="108"/>
      <c r="K117" s="108"/>
    </row>
    <row r="118" spans="1:12">
      <c r="A118" s="79"/>
      <c r="B118" s="73" t="s">
        <v>240</v>
      </c>
      <c r="C118" s="108"/>
      <c r="D118" s="108"/>
      <c r="E118" s="108"/>
      <c r="F118" s="108"/>
      <c r="G118" s="108"/>
      <c r="H118" s="108"/>
      <c r="I118" s="108"/>
      <c r="J118" s="108"/>
      <c r="K118" s="108"/>
    </row>
    <row r="119" spans="1:12">
      <c r="A119" s="79">
        <v>9</v>
      </c>
      <c r="B119" s="135" t="str">
        <f>+B105</f>
        <v xml:space="preserve">  Transmission </v>
      </c>
      <c r="C119" s="108" t="s">
        <v>241</v>
      </c>
      <c r="D119" s="859">
        <f>4099002-0</f>
        <v>4099002</v>
      </c>
      <c r="E119" s="108"/>
      <c r="F119" s="108" t="s">
        <v>94</v>
      </c>
      <c r="G119" s="115">
        <f>$I$174</f>
        <v>0.9266113890410379</v>
      </c>
      <c r="H119" s="108"/>
      <c r="I119" s="65">
        <f>+G119*D119</f>
        <v>3798181.9369019927</v>
      </c>
      <c r="J119" s="108"/>
      <c r="K119" s="134"/>
    </row>
    <row r="120" spans="1:12">
      <c r="A120" s="79">
        <v>10</v>
      </c>
      <c r="B120" s="73" t="s">
        <v>242</v>
      </c>
      <c r="C120" s="108" t="s">
        <v>243</v>
      </c>
      <c r="D120" s="859">
        <f>(4224428+8274)-(0+0)</f>
        <v>4232702</v>
      </c>
      <c r="E120" s="108"/>
      <c r="F120" s="108" t="s">
        <v>148</v>
      </c>
      <c r="G120" s="132">
        <f>$I$191</f>
        <v>0.14403621580679662</v>
      </c>
      <c r="H120" s="108"/>
      <c r="I120" s="65">
        <f>+G120*D120</f>
        <v>609662.37871785974</v>
      </c>
      <c r="J120" s="108"/>
      <c r="K120" s="134"/>
    </row>
    <row r="121" spans="1:12">
      <c r="A121" s="79">
        <v>11</v>
      </c>
      <c r="B121" s="135" t="str">
        <f>+B114</f>
        <v xml:space="preserve">  Common</v>
      </c>
      <c r="C121" s="108" t="s">
        <v>244</v>
      </c>
      <c r="D121" s="75">
        <f>0-0</f>
        <v>0</v>
      </c>
      <c r="E121" s="108"/>
      <c r="F121" s="108" t="s">
        <v>151</v>
      </c>
      <c r="G121" s="132">
        <f>$K$195</f>
        <v>0.14094405950320033</v>
      </c>
      <c r="H121" s="108"/>
      <c r="I121" s="65">
        <f>+G121*D121</f>
        <v>0</v>
      </c>
      <c r="J121" s="108"/>
      <c r="K121" s="134"/>
    </row>
    <row r="122" spans="1:12" s="2" customFormat="1" ht="13.5" thickBot="1">
      <c r="A122" s="76" t="s">
        <v>245</v>
      </c>
      <c r="B122" s="59" t="s">
        <v>246</v>
      </c>
      <c r="C122" s="855" t="s">
        <v>247</v>
      </c>
      <c r="D122" s="75">
        <v>0</v>
      </c>
      <c r="E122" s="57"/>
      <c r="F122" s="75"/>
      <c r="G122" s="669"/>
      <c r="H122" s="57"/>
      <c r="I122" s="70">
        <f>+G122*D122</f>
        <v>0</v>
      </c>
      <c r="J122" s="54"/>
      <c r="K122" s="64"/>
      <c r="L122" s="884"/>
    </row>
    <row r="123" spans="1:12">
      <c r="A123" s="79">
        <v>12</v>
      </c>
      <c r="B123" s="73" t="s">
        <v>248</v>
      </c>
      <c r="C123" s="54" t="s">
        <v>249</v>
      </c>
      <c r="D123" s="74">
        <f>SUM(D119:D122)</f>
        <v>8331704</v>
      </c>
      <c r="E123" s="108"/>
      <c r="F123" s="108"/>
      <c r="G123" s="108"/>
      <c r="H123" s="108"/>
      <c r="I123" s="65">
        <f>SUM(I119:I122)</f>
        <v>4407844.3156198524</v>
      </c>
      <c r="J123" s="108"/>
      <c r="K123" s="108"/>
    </row>
    <row r="124" spans="1:12">
      <c r="A124" s="79"/>
      <c r="B124" s="73"/>
      <c r="C124" s="108"/>
      <c r="D124" s="108"/>
      <c r="E124" s="108"/>
      <c r="F124" s="108"/>
      <c r="G124" s="108"/>
      <c r="H124" s="108"/>
      <c r="I124" s="108"/>
      <c r="J124" s="108"/>
      <c r="K124" s="108"/>
    </row>
    <row r="125" spans="1:12">
      <c r="A125" s="79" t="s">
        <v>87</v>
      </c>
      <c r="B125" s="73" t="s">
        <v>250</v>
      </c>
      <c r="D125" s="108"/>
      <c r="E125" s="108"/>
      <c r="F125" s="108"/>
      <c r="G125" s="108"/>
      <c r="H125" s="108"/>
      <c r="I125" s="108"/>
      <c r="J125" s="108"/>
      <c r="K125" s="108"/>
    </row>
    <row r="126" spans="1:12">
      <c r="A126" s="79"/>
      <c r="B126" s="73" t="s">
        <v>251</v>
      </c>
      <c r="E126" s="108"/>
      <c r="F126" s="108"/>
      <c r="H126" s="108"/>
      <c r="J126" s="108"/>
      <c r="K126" s="134"/>
    </row>
    <row r="127" spans="1:12">
      <c r="A127" s="79">
        <v>13</v>
      </c>
      <c r="B127" s="73" t="s">
        <v>252</v>
      </c>
      <c r="C127" s="108" t="s">
        <v>253</v>
      </c>
      <c r="D127" s="75">
        <v>1463942.2100000018</v>
      </c>
      <c r="E127" s="108"/>
      <c r="F127" s="108" t="s">
        <v>148</v>
      </c>
      <c r="G127" s="132">
        <f>$I$191</f>
        <v>0.14403621580679662</v>
      </c>
      <c r="H127" s="108"/>
      <c r="I127" s="65">
        <f>+G127*D127</f>
        <v>210860.69608823906</v>
      </c>
      <c r="J127" s="108"/>
      <c r="K127" s="134"/>
    </row>
    <row r="128" spans="1:12">
      <c r="A128" s="79">
        <v>14</v>
      </c>
      <c r="B128" s="73" t="s">
        <v>254</v>
      </c>
      <c r="C128" s="116" t="str">
        <f>+C127</f>
        <v>263.i</v>
      </c>
      <c r="D128" s="75">
        <v>0</v>
      </c>
      <c r="E128" s="108"/>
      <c r="F128" s="116" t="str">
        <f>+F127</f>
        <v>W/S</v>
      </c>
      <c r="G128" s="132">
        <f>$I$191</f>
        <v>0.14403621580679662</v>
      </c>
      <c r="H128" s="108"/>
      <c r="I128" s="65">
        <f>+G128*D128</f>
        <v>0</v>
      </c>
      <c r="J128" s="108"/>
      <c r="K128" s="134"/>
    </row>
    <row r="129" spans="1:12">
      <c r="A129" s="79">
        <v>15</v>
      </c>
      <c r="B129" s="73" t="s">
        <v>255</v>
      </c>
      <c r="C129" s="108" t="s">
        <v>87</v>
      </c>
      <c r="E129" s="108"/>
      <c r="F129" s="108"/>
      <c r="H129" s="108"/>
      <c r="J129" s="108"/>
      <c r="K129" s="134"/>
    </row>
    <row r="130" spans="1:12">
      <c r="A130" s="79">
        <v>16</v>
      </c>
      <c r="B130" s="73" t="s">
        <v>256</v>
      </c>
      <c r="C130" s="108" t="s">
        <v>253</v>
      </c>
      <c r="D130" s="75">
        <v>9977025</v>
      </c>
      <c r="E130" s="108"/>
      <c r="F130" s="108" t="s">
        <v>173</v>
      </c>
      <c r="G130" s="132">
        <f>+$G$50</f>
        <v>0.20957843468829235</v>
      </c>
      <c r="H130" s="108"/>
      <c r="I130" s="65">
        <f>+G130*D130</f>
        <v>2090969.2823459599</v>
      </c>
      <c r="J130" s="108"/>
      <c r="K130" s="134"/>
    </row>
    <row r="131" spans="1:12">
      <c r="A131" s="79">
        <v>17</v>
      </c>
      <c r="B131" s="73" t="s">
        <v>257</v>
      </c>
      <c r="C131" s="108" t="s">
        <v>253</v>
      </c>
      <c r="D131" s="75">
        <v>0</v>
      </c>
      <c r="E131" s="108"/>
      <c r="F131" s="116" t="s">
        <v>141</v>
      </c>
      <c r="G131" s="139">
        <v>0</v>
      </c>
      <c r="H131" s="108"/>
      <c r="I131" s="65">
        <v>0</v>
      </c>
      <c r="J131" s="108"/>
      <c r="K131" s="134"/>
    </row>
    <row r="132" spans="1:12">
      <c r="A132" s="79">
        <v>18</v>
      </c>
      <c r="B132" s="73" t="s">
        <v>258</v>
      </c>
      <c r="C132" s="116" t="str">
        <f>+C131</f>
        <v>263.i</v>
      </c>
      <c r="D132" s="75">
        <v>0</v>
      </c>
      <c r="E132" s="108"/>
      <c r="F132" s="75"/>
      <c r="G132" s="669"/>
      <c r="H132" s="108"/>
      <c r="I132" s="65">
        <f>+G132*D132</f>
        <v>0</v>
      </c>
      <c r="J132" s="108"/>
      <c r="K132" s="134"/>
    </row>
    <row r="133" spans="1:12" ht="13.5" thickBot="1">
      <c r="A133" s="79">
        <v>19</v>
      </c>
      <c r="B133" s="73" t="s">
        <v>259</v>
      </c>
      <c r="C133" s="108"/>
      <c r="D133" s="175"/>
      <c r="E133" s="108"/>
      <c r="F133" s="108"/>
      <c r="G133" s="132"/>
      <c r="H133" s="108"/>
      <c r="I133" s="65"/>
      <c r="J133" s="108"/>
      <c r="K133" s="134"/>
    </row>
    <row r="134" spans="1:12">
      <c r="A134" s="79">
        <v>20</v>
      </c>
      <c r="B134" s="73" t="s">
        <v>260</v>
      </c>
      <c r="C134" s="54" t="s">
        <v>261</v>
      </c>
      <c r="D134" s="74">
        <f>SUM(D127:D133)</f>
        <v>11440967.210000001</v>
      </c>
      <c r="E134" s="108"/>
      <c r="F134" s="108"/>
      <c r="G134" s="119"/>
      <c r="H134" s="108"/>
      <c r="I134" s="74">
        <f>SUM(I127:I133)</f>
        <v>2301829.978434199</v>
      </c>
      <c r="J134" s="108"/>
      <c r="K134" s="108"/>
    </row>
    <row r="135" spans="1:12">
      <c r="A135" s="79"/>
      <c r="B135" s="73"/>
      <c r="C135" s="108"/>
      <c r="D135" s="108"/>
      <c r="E135" s="108"/>
      <c r="F135" s="108"/>
      <c r="G135" s="119"/>
      <c r="H135" s="108"/>
      <c r="I135" s="108"/>
      <c r="J135" s="108"/>
      <c r="K135" s="108"/>
    </row>
    <row r="136" spans="1:12">
      <c r="A136" s="79" t="s">
        <v>87</v>
      </c>
      <c r="B136" s="73" t="s">
        <v>262</v>
      </c>
      <c r="C136" s="108" t="s">
        <v>263</v>
      </c>
      <c r="D136" s="108"/>
      <c r="E136" s="108"/>
      <c r="G136" s="140"/>
      <c r="H136" s="108"/>
      <c r="J136" s="108"/>
    </row>
    <row r="137" spans="1:12">
      <c r="A137" s="79">
        <v>21</v>
      </c>
      <c r="B137" s="141" t="s">
        <v>264</v>
      </c>
      <c r="C137" s="108"/>
      <c r="D137" s="142">
        <f>IF(D243&gt;0,1-(((1-D244)*(1-D243))/(1-D244*D243*D245)),0)</f>
        <v>0.24594499999999997</v>
      </c>
      <c r="E137" s="108"/>
      <c r="G137" s="140"/>
      <c r="H137" s="108"/>
      <c r="J137" s="108"/>
    </row>
    <row r="138" spans="1:12">
      <c r="A138" s="79">
        <v>22</v>
      </c>
      <c r="B138" s="104" t="s">
        <v>265</v>
      </c>
      <c r="C138" s="108"/>
      <c r="D138" s="142">
        <f>IF(I215&gt;0,(D137/(1-D137))*(1-I212/I215),0)</f>
        <v>0.2383472206971837</v>
      </c>
      <c r="E138" s="108"/>
      <c r="G138" s="140"/>
      <c r="H138" s="108"/>
      <c r="J138" s="108"/>
    </row>
    <row r="139" spans="1:12">
      <c r="A139" s="79"/>
      <c r="B139" s="73" t="s">
        <v>266</v>
      </c>
      <c r="C139" s="108"/>
      <c r="D139" s="108"/>
      <c r="E139" s="108"/>
      <c r="G139" s="140"/>
      <c r="H139" s="108"/>
      <c r="J139" s="108"/>
    </row>
    <row r="140" spans="1:12">
      <c r="A140" s="79"/>
      <c r="B140" s="73" t="s">
        <v>267</v>
      </c>
      <c r="C140" s="108"/>
      <c r="D140" s="108"/>
      <c r="E140" s="108"/>
      <c r="G140" s="140"/>
      <c r="H140" s="108"/>
      <c r="J140" s="108"/>
    </row>
    <row r="141" spans="1:12">
      <c r="A141" s="79">
        <v>23</v>
      </c>
      <c r="B141" s="141" t="s">
        <v>268</v>
      </c>
      <c r="C141" s="108"/>
      <c r="D141" s="386">
        <f>IF(D137&gt;0,1/(1-D137),0)</f>
        <v>1.3261632109063661</v>
      </c>
      <c r="E141" s="108"/>
      <c r="G141" s="140"/>
      <c r="H141" s="108"/>
      <c r="J141" s="108"/>
    </row>
    <row r="142" spans="1:12">
      <c r="A142" s="79">
        <v>24</v>
      </c>
      <c r="B142" s="73" t="s">
        <v>269</v>
      </c>
      <c r="C142" s="108" t="s">
        <v>270</v>
      </c>
      <c r="D142" s="75">
        <v>955399</v>
      </c>
      <c r="E142" s="108"/>
      <c r="G142" s="140"/>
      <c r="H142" s="108"/>
      <c r="J142" s="108"/>
    </row>
    <row r="143" spans="1:12" ht="25.5">
      <c r="A143" s="79" t="s">
        <v>271</v>
      </c>
      <c r="B143" s="860" t="s">
        <v>272</v>
      </c>
      <c r="C143" s="135" t="s">
        <v>273</v>
      </c>
      <c r="D143" s="174">
        <f>'A3.1-EDIT-DDIT'!M41</f>
        <v>182044.87409192324</v>
      </c>
      <c r="E143" s="108"/>
      <c r="G143" s="140"/>
      <c r="H143" s="108"/>
      <c r="J143" s="108"/>
      <c r="L143" s="924"/>
    </row>
    <row r="144" spans="1:12" ht="15">
      <c r="A144" s="79" t="s">
        <v>274</v>
      </c>
      <c r="B144" s="56" t="s">
        <v>275</v>
      </c>
      <c r="C144" s="54" t="s">
        <v>276</v>
      </c>
      <c r="D144" s="174">
        <f>'A9-PermDiffs'!G19</f>
        <v>5280.6402119382847</v>
      </c>
      <c r="E144" s="108"/>
      <c r="G144" s="140"/>
      <c r="H144" s="108"/>
      <c r="J144" s="108"/>
      <c r="L144" s="924"/>
    </row>
    <row r="145" spans="1:12" ht="15">
      <c r="A145" s="79" t="s">
        <v>277</v>
      </c>
      <c r="B145" s="56" t="s">
        <v>278</v>
      </c>
      <c r="C145" s="54" t="s">
        <v>279</v>
      </c>
      <c r="D145" s="65">
        <f>D144*D137</f>
        <v>1298.7470569251614</v>
      </c>
      <c r="E145" s="108"/>
      <c r="G145" s="140"/>
      <c r="H145" s="108"/>
      <c r="J145" s="108"/>
      <c r="L145" s="924"/>
    </row>
    <row r="146" spans="1:12" ht="15">
      <c r="A146" s="79">
        <v>25</v>
      </c>
      <c r="B146" s="141" t="s">
        <v>280</v>
      </c>
      <c r="C146" s="143" t="s">
        <v>281</v>
      </c>
      <c r="D146" s="65">
        <f>D138*D153</f>
        <v>11436970.531311339</v>
      </c>
      <c r="E146" s="108"/>
      <c r="F146" s="108"/>
      <c r="G146" s="119"/>
      <c r="H146" s="108"/>
      <c r="I146" s="65">
        <f>D138*I153</f>
        <v>2788756.9619208421</v>
      </c>
      <c r="J146" s="108"/>
      <c r="K146" s="144" t="s">
        <v>87</v>
      </c>
      <c r="L146" s="924"/>
    </row>
    <row r="147" spans="1:12" ht="15">
      <c r="A147" s="79">
        <v>26</v>
      </c>
      <c r="B147" s="104" t="s">
        <v>282</v>
      </c>
      <c r="C147" s="143" t="s">
        <v>283</v>
      </c>
      <c r="D147" s="65">
        <f>D141*D142</f>
        <v>1267015.0055367313</v>
      </c>
      <c r="E147" s="108"/>
      <c r="F147" s="104" t="s">
        <v>173</v>
      </c>
      <c r="G147" s="67">
        <f>GP</f>
        <v>0.20957843468829235</v>
      </c>
      <c r="H147" s="108"/>
      <c r="I147" s="65">
        <f>G147*D147</f>
        <v>265539.02158696624</v>
      </c>
      <c r="J147" s="108"/>
      <c r="K147" s="144"/>
      <c r="L147" s="924"/>
    </row>
    <row r="148" spans="1:12" ht="15">
      <c r="A148" s="79" t="s">
        <v>284</v>
      </c>
      <c r="B148" s="63" t="s">
        <v>285</v>
      </c>
      <c r="C148" s="77" t="s">
        <v>286</v>
      </c>
      <c r="D148" s="65">
        <f>D141*D143</f>
        <v>241421.21475479007</v>
      </c>
      <c r="E148" s="108"/>
      <c r="G148" s="68"/>
      <c r="H148" s="108"/>
      <c r="I148" s="65">
        <f>D148</f>
        <v>241421.21475479007</v>
      </c>
      <c r="J148" s="108"/>
      <c r="K148" s="144"/>
      <c r="L148" s="924"/>
    </row>
    <row r="149" spans="1:12" ht="15.75" thickBot="1">
      <c r="A149" s="79" t="s">
        <v>287</v>
      </c>
      <c r="B149" s="63" t="s">
        <v>288</v>
      </c>
      <c r="C149" s="77" t="s">
        <v>289</v>
      </c>
      <c r="D149" s="65">
        <f>D141*D145</f>
        <v>1722.350567167065</v>
      </c>
      <c r="E149" s="108"/>
      <c r="G149" s="68"/>
      <c r="H149" s="108"/>
      <c r="I149" s="65">
        <f>D149</f>
        <v>1722.350567167065</v>
      </c>
      <c r="J149" s="108"/>
      <c r="K149" s="144"/>
      <c r="L149" s="924"/>
    </row>
    <row r="150" spans="1:12" ht="15">
      <c r="A150" s="79">
        <v>27</v>
      </c>
      <c r="B150" s="141" t="s">
        <v>290</v>
      </c>
      <c r="C150" s="63" t="s">
        <v>291</v>
      </c>
      <c r="D150" s="74">
        <f>D146+D149-D147-D148</f>
        <v>9930256.661586985</v>
      </c>
      <c r="E150" s="108"/>
      <c r="F150" s="108" t="s">
        <v>87</v>
      </c>
      <c r="G150" s="119" t="s">
        <v>87</v>
      </c>
      <c r="H150" s="108"/>
      <c r="I150" s="74">
        <f>I146+I149-I147-I148</f>
        <v>2283519.0761462529</v>
      </c>
      <c r="J150" s="108"/>
      <c r="K150" s="108"/>
      <c r="L150" s="924"/>
    </row>
    <row r="151" spans="1:12" ht="15">
      <c r="A151" s="79" t="s">
        <v>87</v>
      </c>
      <c r="C151" s="145"/>
      <c r="D151" s="108"/>
      <c r="E151" s="108"/>
      <c r="F151" s="108"/>
      <c r="G151" s="119"/>
      <c r="H151" s="108"/>
      <c r="I151" s="108"/>
      <c r="J151" s="108"/>
      <c r="K151" s="108"/>
      <c r="L151" s="924"/>
    </row>
    <row r="152" spans="1:12" ht="15">
      <c r="B152" s="73" t="s">
        <v>292</v>
      </c>
      <c r="C152" s="134"/>
      <c r="J152" s="108"/>
      <c r="L152" s="924"/>
    </row>
    <row r="153" spans="1:12">
      <c r="A153" s="79">
        <v>28</v>
      </c>
      <c r="B153" s="141" t="s">
        <v>293</v>
      </c>
      <c r="C153" s="725" t="s">
        <v>294</v>
      </c>
      <c r="D153" s="174">
        <f>+$I215*D91+I218</f>
        <v>47984492.950483471</v>
      </c>
      <c r="E153" s="108"/>
      <c r="F153" s="108"/>
      <c r="G153" s="140"/>
      <c r="H153" s="108"/>
      <c r="I153" s="65">
        <f>+$I215*I91+I218</f>
        <v>11700396.395491907</v>
      </c>
      <c r="J153" s="108"/>
      <c r="K153" s="134"/>
    </row>
    <row r="154" spans="1:12">
      <c r="A154" s="79"/>
      <c r="B154" s="73"/>
      <c r="D154" s="108"/>
      <c r="E154" s="108"/>
      <c r="F154" s="108"/>
      <c r="G154" s="140"/>
      <c r="H154" s="108"/>
      <c r="I154" s="108"/>
      <c r="J154" s="108"/>
      <c r="K154" s="134"/>
    </row>
    <row r="155" spans="1:12" ht="13.5" thickBot="1">
      <c r="A155" s="79">
        <v>29</v>
      </c>
      <c r="B155" s="73" t="s">
        <v>295</v>
      </c>
      <c r="C155" s="108" t="s">
        <v>296</v>
      </c>
      <c r="D155" s="78">
        <f>+D116+D123+D134+D150+D153</f>
        <v>105114726.11217046</v>
      </c>
      <c r="E155" s="108"/>
      <c r="F155" s="108"/>
      <c r="G155" s="108"/>
      <c r="H155" s="108"/>
      <c r="I155" s="78">
        <f>+I116+I123+I134+I150+I153</f>
        <v>26622472.110568669</v>
      </c>
      <c r="J155" s="73"/>
      <c r="K155" s="73"/>
    </row>
    <row r="156" spans="1:12" ht="13.5" thickTop="1">
      <c r="A156" s="79"/>
      <c r="B156" s="73"/>
      <c r="C156" s="108"/>
      <c r="D156" s="116"/>
      <c r="E156" s="108"/>
      <c r="F156" s="108"/>
      <c r="G156" s="108"/>
      <c r="H156" s="108"/>
      <c r="I156" s="116"/>
      <c r="J156" s="73"/>
      <c r="K156" s="73"/>
    </row>
    <row r="157" spans="1:12">
      <c r="B157" s="73"/>
      <c r="C157" s="73"/>
      <c r="D157" s="105"/>
      <c r="E157" s="73"/>
      <c r="F157" s="969"/>
      <c r="G157" s="969"/>
      <c r="H157" s="969"/>
      <c r="I157" s="969"/>
      <c r="J157" s="969"/>
      <c r="K157" s="969"/>
    </row>
    <row r="158" spans="1:12">
      <c r="B158" s="73"/>
      <c r="C158" s="73"/>
      <c r="D158" s="105"/>
      <c r="E158" s="73"/>
      <c r="F158" s="73"/>
      <c r="G158" s="73"/>
      <c r="H158" s="73"/>
      <c r="I158" s="970" t="str">
        <f>I1</f>
        <v>Actual Attachment H</v>
      </c>
      <c r="J158" s="970"/>
      <c r="K158" s="970"/>
    </row>
    <row r="159" spans="1:12">
      <c r="B159" s="73"/>
      <c r="C159" s="73"/>
      <c r="D159" s="105"/>
      <c r="E159" s="73"/>
      <c r="F159" s="73"/>
      <c r="G159" s="73"/>
      <c r="H159" s="73"/>
      <c r="I159" s="73"/>
      <c r="J159" s="969" t="s">
        <v>297</v>
      </c>
      <c r="K159" s="969"/>
    </row>
    <row r="160" spans="1:12">
      <c r="B160" s="73"/>
      <c r="C160" s="73"/>
      <c r="D160" s="105"/>
      <c r="E160" s="73"/>
      <c r="F160" s="73"/>
      <c r="G160" s="73"/>
      <c r="H160" s="73"/>
      <c r="I160" s="73"/>
      <c r="J160" s="106"/>
      <c r="K160" s="106"/>
    </row>
    <row r="161" spans="1:19">
      <c r="B161" s="105" t="s">
        <v>78</v>
      </c>
      <c r="C161" s="79" t="s">
        <v>124</v>
      </c>
      <c r="E161" s="73"/>
      <c r="F161" s="73"/>
      <c r="G161" s="975" t="str">
        <f>K4</f>
        <v>Actuals - For the 12 months ended 12/31/2021</v>
      </c>
      <c r="H161" s="975"/>
      <c r="I161" s="975"/>
      <c r="J161" s="975"/>
      <c r="K161" s="975"/>
    </row>
    <row r="162" spans="1:19">
      <c r="B162" s="73"/>
      <c r="C162" s="109" t="s">
        <v>125</v>
      </c>
      <c r="E162" s="108"/>
      <c r="F162" s="108"/>
      <c r="G162" s="108"/>
      <c r="H162" s="73"/>
      <c r="I162" s="73"/>
      <c r="J162" s="73"/>
      <c r="K162" s="73"/>
    </row>
    <row r="163" spans="1:19" ht="9" customHeight="1">
      <c r="A163" s="79"/>
      <c r="J163" s="108"/>
      <c r="K163" s="108"/>
    </row>
    <row r="164" spans="1:19">
      <c r="A164" s="79"/>
      <c r="C164" s="123" t="str">
        <f>C7</f>
        <v>Black Hills Colorado Electric, LLC</v>
      </c>
      <c r="J164" s="108"/>
      <c r="K164" s="108"/>
    </row>
    <row r="165" spans="1:19">
      <c r="A165" s="79"/>
      <c r="C165" s="137"/>
      <c r="J165" s="108"/>
      <c r="K165" s="108"/>
    </row>
    <row r="166" spans="1:19">
      <c r="A166" s="79"/>
      <c r="C166" s="127" t="s">
        <v>298</v>
      </c>
      <c r="E166" s="73"/>
      <c r="F166" s="73"/>
      <c r="G166" s="73"/>
      <c r="H166" s="73"/>
      <c r="I166" s="73"/>
      <c r="J166" s="108"/>
      <c r="K166" s="108"/>
    </row>
    <row r="167" spans="1:19">
      <c r="A167" s="79" t="s">
        <v>82</v>
      </c>
      <c r="B167" s="79" t="s">
        <v>126</v>
      </c>
      <c r="C167" s="79" t="s">
        <v>127</v>
      </c>
      <c r="D167" s="79" t="s">
        <v>128</v>
      </c>
      <c r="E167" s="108" t="s">
        <v>87</v>
      </c>
      <c r="F167" s="108"/>
      <c r="G167" s="125" t="s">
        <v>129</v>
      </c>
      <c r="H167" s="108"/>
      <c r="I167" s="125" t="s">
        <v>130</v>
      </c>
      <c r="J167" s="108"/>
      <c r="K167" s="108"/>
    </row>
    <row r="168" spans="1:19" ht="13.5" thickBot="1">
      <c r="A168" s="112" t="s">
        <v>84</v>
      </c>
      <c r="B168" s="73" t="s">
        <v>299</v>
      </c>
      <c r="C168" s="73"/>
      <c r="D168" s="73"/>
      <c r="E168" s="73"/>
      <c r="F168" s="73"/>
      <c r="G168" s="73"/>
      <c r="J168" s="108"/>
      <c r="K168" s="108"/>
    </row>
    <row r="169" spans="1:19">
      <c r="A169" s="79">
        <v>1</v>
      </c>
      <c r="B169" s="73" t="s">
        <v>300</v>
      </c>
      <c r="C169" s="73" t="s">
        <v>301</v>
      </c>
      <c r="D169" s="108"/>
      <c r="E169" s="108"/>
      <c r="F169" s="108"/>
      <c r="G169" s="108"/>
      <c r="H169" s="108"/>
      <c r="I169" s="174">
        <f>D46</f>
        <v>240320865.17461535</v>
      </c>
      <c r="J169" s="108"/>
      <c r="K169" s="108"/>
    </row>
    <row r="170" spans="1:19">
      <c r="A170" s="79">
        <v>2</v>
      </c>
      <c r="B170" s="73" t="s">
        <v>302</v>
      </c>
      <c r="C170" s="104" t="s">
        <v>303</v>
      </c>
      <c r="I170" s="117">
        <v>9393294.2996210083</v>
      </c>
      <c r="J170" s="108"/>
      <c r="K170" s="108"/>
    </row>
    <row r="171" spans="1:19" ht="26.25" thickBot="1">
      <c r="A171" s="79">
        <v>3</v>
      </c>
      <c r="B171" s="772" t="s">
        <v>304</v>
      </c>
      <c r="C171" s="146" t="s">
        <v>305</v>
      </c>
      <c r="D171" s="108"/>
      <c r="E171" s="108"/>
      <c r="F171" s="108"/>
      <c r="G171" s="109"/>
      <c r="H171" s="108"/>
      <c r="I171" s="147">
        <v>8243520.1799999988</v>
      </c>
      <c r="J171" s="108"/>
      <c r="K171" s="108"/>
    </row>
    <row r="172" spans="1:19">
      <c r="A172" s="79">
        <v>4</v>
      </c>
      <c r="B172" s="73" t="s">
        <v>306</v>
      </c>
      <c r="C172" s="73" t="s">
        <v>307</v>
      </c>
      <c r="D172" s="108"/>
      <c r="E172" s="108"/>
      <c r="F172" s="108"/>
      <c r="G172" s="109"/>
      <c r="H172" s="108"/>
      <c r="I172" s="116">
        <f>I169-I170-I171</f>
        <v>222684050.69499433</v>
      </c>
      <c r="J172" s="108"/>
      <c r="K172" s="108"/>
    </row>
    <row r="173" spans="1:19" ht="9" customHeight="1">
      <c r="A173" s="79"/>
      <c r="C173" s="73"/>
      <c r="D173" s="108"/>
      <c r="E173" s="108"/>
      <c r="F173" s="108"/>
      <c r="G173" s="109"/>
      <c r="H173" s="108"/>
      <c r="J173" s="108"/>
      <c r="K173" s="108"/>
    </row>
    <row r="174" spans="1:19">
      <c r="A174" s="79">
        <v>5</v>
      </c>
      <c r="B174" s="73" t="s">
        <v>308</v>
      </c>
      <c r="C174" s="111" t="s">
        <v>309</v>
      </c>
      <c r="D174" s="111"/>
      <c r="E174" s="111"/>
      <c r="F174" s="111"/>
      <c r="G174" s="125"/>
      <c r="H174" s="108" t="s">
        <v>310</v>
      </c>
      <c r="I174" s="148">
        <f>IF(I169&gt;0,I172/I169,0)</f>
        <v>0.9266113890410379</v>
      </c>
      <c r="J174" s="108"/>
      <c r="K174" s="108"/>
      <c r="N174" s="149"/>
      <c r="O174" s="149"/>
      <c r="P174" s="149"/>
    </row>
    <row r="175" spans="1:19" ht="9" customHeight="1">
      <c r="A175" s="79"/>
      <c r="J175" s="108"/>
      <c r="K175" s="108"/>
      <c r="N175" s="73"/>
      <c r="P175" s="108"/>
      <c r="Q175" s="73"/>
    </row>
    <row r="176" spans="1:19">
      <c r="A176" s="79"/>
      <c r="B176" s="73" t="s">
        <v>311</v>
      </c>
      <c r="J176" s="108"/>
      <c r="K176" s="108"/>
      <c r="N176" s="976"/>
      <c r="O176" s="976"/>
      <c r="P176" s="976"/>
      <c r="Q176" s="976"/>
      <c r="R176" s="976"/>
      <c r="S176" s="976"/>
    </row>
    <row r="177" spans="1:17">
      <c r="A177" s="79">
        <v>6</v>
      </c>
      <c r="B177" s="104" t="s">
        <v>312</v>
      </c>
      <c r="C177" s="104" t="s">
        <v>313</v>
      </c>
      <c r="D177" s="73"/>
      <c r="E177" s="73"/>
      <c r="F177" s="73"/>
      <c r="G177" s="79"/>
      <c r="H177" s="73"/>
      <c r="I177" s="174">
        <f>D105</f>
        <v>7280791</v>
      </c>
      <c r="J177" s="108"/>
      <c r="K177" s="108"/>
      <c r="P177" s="108"/>
      <c r="Q177" s="73"/>
    </row>
    <row r="178" spans="1:17" ht="13.5" thickBot="1">
      <c r="A178" s="79">
        <v>7</v>
      </c>
      <c r="B178" s="146" t="s">
        <v>314</v>
      </c>
      <c r="C178" s="146" t="s">
        <v>315</v>
      </c>
      <c r="D178" s="108"/>
      <c r="E178" s="108"/>
      <c r="F178" s="108"/>
      <c r="G178" s="108"/>
      <c r="H178" s="108"/>
      <c r="I178" s="150">
        <v>0</v>
      </c>
      <c r="J178" s="108"/>
      <c r="K178" s="108"/>
      <c r="N178" s="151"/>
      <c r="O178" s="152"/>
      <c r="P178" s="108"/>
      <c r="Q178" s="73"/>
    </row>
    <row r="179" spans="1:17">
      <c r="A179" s="79">
        <v>8</v>
      </c>
      <c r="B179" s="73" t="s">
        <v>316</v>
      </c>
      <c r="C179" s="111" t="s">
        <v>317</v>
      </c>
      <c r="D179" s="111"/>
      <c r="E179" s="111"/>
      <c r="F179" s="111"/>
      <c r="G179" s="125"/>
      <c r="H179" s="111"/>
      <c r="I179" s="116">
        <f>+I177-I178</f>
        <v>7280791</v>
      </c>
      <c r="N179" s="153"/>
      <c r="O179" s="154"/>
      <c r="P179" s="155"/>
      <c r="Q179" s="155"/>
    </row>
    <row r="180" spans="1:17">
      <c r="A180" s="79"/>
      <c r="B180" s="73"/>
      <c r="C180" s="73"/>
      <c r="D180" s="108"/>
      <c r="E180" s="108"/>
      <c r="F180" s="108"/>
      <c r="G180" s="108"/>
      <c r="N180" s="153"/>
      <c r="O180" s="154"/>
    </row>
    <row r="181" spans="1:17">
      <c r="A181" s="79">
        <v>9</v>
      </c>
      <c r="B181" s="73" t="s">
        <v>318</v>
      </c>
      <c r="C181" s="73" t="s">
        <v>319</v>
      </c>
      <c r="D181" s="108"/>
      <c r="E181" s="108"/>
      <c r="F181" s="108"/>
      <c r="G181" s="108"/>
      <c r="H181" s="108"/>
      <c r="I181" s="132">
        <f>IF(I177&gt;0,I179/I177,0)</f>
        <v>1</v>
      </c>
      <c r="N181" s="73"/>
      <c r="O181" s="156"/>
      <c r="P181" s="154"/>
      <c r="Q181" s="154"/>
    </row>
    <row r="182" spans="1:17">
      <c r="A182" s="79">
        <v>10</v>
      </c>
      <c r="B182" s="73" t="s">
        <v>320</v>
      </c>
      <c r="C182" s="73" t="s">
        <v>321</v>
      </c>
      <c r="D182" s="108"/>
      <c r="E182" s="108"/>
      <c r="F182" s="108"/>
      <c r="G182" s="108"/>
      <c r="H182" s="73" t="s">
        <v>94</v>
      </c>
      <c r="I182" s="132">
        <f>$I$174</f>
        <v>0.9266113890410379</v>
      </c>
      <c r="N182" s="151"/>
      <c r="O182" s="154"/>
      <c r="Q182" s="154"/>
    </row>
    <row r="183" spans="1:17">
      <c r="A183" s="79">
        <v>11</v>
      </c>
      <c r="B183" s="73" t="s">
        <v>322</v>
      </c>
      <c r="C183" s="73" t="s">
        <v>323</v>
      </c>
      <c r="D183" s="73"/>
      <c r="E183" s="73"/>
      <c r="F183" s="73"/>
      <c r="G183" s="73"/>
      <c r="H183" s="73" t="s">
        <v>324</v>
      </c>
      <c r="I183" s="115">
        <f>+I182*I181</f>
        <v>0.9266113890410379</v>
      </c>
      <c r="N183" s="151"/>
      <c r="O183" s="154"/>
      <c r="Q183" s="154"/>
    </row>
    <row r="184" spans="1:17">
      <c r="A184" s="79"/>
      <c r="C184" s="73"/>
      <c r="D184" s="108"/>
      <c r="E184" s="108"/>
      <c r="F184" s="108"/>
      <c r="G184" s="109"/>
      <c r="H184" s="108"/>
      <c r="N184" s="151"/>
      <c r="O184" s="154"/>
      <c r="Q184" s="157"/>
    </row>
    <row r="185" spans="1:17">
      <c r="A185" s="79" t="s">
        <v>87</v>
      </c>
      <c r="B185" s="73" t="s">
        <v>325</v>
      </c>
      <c r="C185" s="108"/>
      <c r="D185" s="108"/>
      <c r="E185" s="108"/>
      <c r="F185" s="108"/>
      <c r="G185" s="108"/>
      <c r="H185" s="108"/>
      <c r="I185" s="108"/>
      <c r="J185" s="108"/>
      <c r="K185" s="108"/>
      <c r="N185" s="153"/>
      <c r="O185" s="154"/>
      <c r="P185" s="108"/>
      <c r="Q185" s="73"/>
    </row>
    <row r="186" spans="1:17" ht="13.5" thickBot="1">
      <c r="A186" s="79" t="s">
        <v>87</v>
      </c>
      <c r="B186" s="73"/>
      <c r="C186" s="158" t="s">
        <v>326</v>
      </c>
      <c r="D186" s="159" t="s">
        <v>327</v>
      </c>
      <c r="E186" s="159" t="s">
        <v>94</v>
      </c>
      <c r="F186" s="108"/>
      <c r="G186" s="159" t="s">
        <v>328</v>
      </c>
      <c r="H186" s="108"/>
      <c r="I186" s="108"/>
      <c r="J186" s="108"/>
      <c r="K186" s="108"/>
      <c r="N186" s="153"/>
      <c r="O186" s="154"/>
      <c r="P186" s="108"/>
      <c r="Q186" s="73"/>
    </row>
    <row r="187" spans="1:17">
      <c r="A187" s="79">
        <v>12</v>
      </c>
      <c r="B187" s="73" t="s">
        <v>139</v>
      </c>
      <c r="C187" s="108" t="s">
        <v>329</v>
      </c>
      <c r="D187" s="117">
        <v>2014764</v>
      </c>
      <c r="E187" s="160">
        <v>0</v>
      </c>
      <c r="F187" s="160"/>
      <c r="G187" s="116">
        <f>D187*E187</f>
        <v>0</v>
      </c>
      <c r="H187" s="108"/>
      <c r="I187" s="108"/>
      <c r="J187" s="108"/>
      <c r="K187" s="108"/>
    </row>
    <row r="188" spans="1:17">
      <c r="A188" s="79">
        <v>13</v>
      </c>
      <c r="B188" s="73" t="s">
        <v>142</v>
      </c>
      <c r="C188" s="108" t="s">
        <v>330</v>
      </c>
      <c r="D188" s="117">
        <v>1574668</v>
      </c>
      <c r="E188" s="546">
        <f>$I$174</f>
        <v>0.9266113890410379</v>
      </c>
      <c r="F188" s="160"/>
      <c r="G188" s="116">
        <f>D188*E188</f>
        <v>1459105.302758473</v>
      </c>
      <c r="H188" s="108"/>
      <c r="I188" s="108"/>
      <c r="J188" s="108"/>
      <c r="K188" s="108"/>
    </row>
    <row r="189" spans="1:17">
      <c r="A189" s="79">
        <v>14</v>
      </c>
      <c r="B189" s="73" t="s">
        <v>144</v>
      </c>
      <c r="C189" s="108" t="s">
        <v>331</v>
      </c>
      <c r="D189" s="117">
        <v>5287196</v>
      </c>
      <c r="E189" s="160">
        <v>0</v>
      </c>
      <c r="F189" s="160"/>
      <c r="G189" s="116">
        <f>D189*E189</f>
        <v>0</v>
      </c>
      <c r="H189" s="108"/>
      <c r="I189" s="109" t="s">
        <v>332</v>
      </c>
      <c r="J189" s="108"/>
      <c r="K189" s="108"/>
    </row>
    <row r="190" spans="1:17" ht="13.5" thickBot="1">
      <c r="A190" s="79">
        <v>15</v>
      </c>
      <c r="B190" s="73" t="s">
        <v>333</v>
      </c>
      <c r="C190" s="108" t="s">
        <v>334</v>
      </c>
      <c r="D190" s="147">
        <f>1036700+205367+11433</f>
        <v>1253500</v>
      </c>
      <c r="E190" s="160">
        <v>0</v>
      </c>
      <c r="F190" s="160"/>
      <c r="G190" s="162">
        <f>D190*E190</f>
        <v>0</v>
      </c>
      <c r="H190" s="108"/>
      <c r="I190" s="112" t="s">
        <v>335</v>
      </c>
      <c r="J190" s="108"/>
      <c r="K190" s="108"/>
    </row>
    <row r="191" spans="1:17">
      <c r="A191" s="79">
        <v>16</v>
      </c>
      <c r="B191" s="73" t="s">
        <v>336</v>
      </c>
      <c r="C191" s="108" t="s">
        <v>337</v>
      </c>
      <c r="D191" s="116">
        <f>SUM(D187:D190)</f>
        <v>10130128</v>
      </c>
      <c r="E191" s="108"/>
      <c r="F191" s="108"/>
      <c r="G191" s="116">
        <f>SUM(G187:G190)</f>
        <v>1459105.302758473</v>
      </c>
      <c r="H191" s="79" t="s">
        <v>338</v>
      </c>
      <c r="I191" s="132">
        <f>IF(G191&gt;0,G191/D191,0)</f>
        <v>0.14403621580679662</v>
      </c>
      <c r="J191" s="109" t="s">
        <v>338</v>
      </c>
      <c r="K191" s="144" t="s">
        <v>148</v>
      </c>
    </row>
    <row r="192" spans="1:17" ht="9" customHeight="1">
      <c r="A192" s="79"/>
      <c r="B192" s="73"/>
      <c r="C192" s="108"/>
      <c r="D192" s="108"/>
      <c r="E192" s="108"/>
      <c r="F192" s="108"/>
      <c r="G192" s="108"/>
      <c r="H192" s="108"/>
      <c r="I192" s="108"/>
      <c r="J192" s="108"/>
      <c r="K192" s="108"/>
    </row>
    <row r="193" spans="1:11">
      <c r="A193" s="79"/>
      <c r="B193" s="73" t="s">
        <v>339</v>
      </c>
      <c r="C193" s="108"/>
      <c r="D193" s="126" t="s">
        <v>327</v>
      </c>
      <c r="E193" s="108"/>
      <c r="F193" s="108"/>
      <c r="G193" s="109" t="s">
        <v>340</v>
      </c>
      <c r="H193" s="140" t="s">
        <v>87</v>
      </c>
      <c r="I193" s="133" t="str">
        <f>+I189</f>
        <v>W&amp;S Allocator</v>
      </c>
      <c r="J193" s="108"/>
      <c r="K193" s="108"/>
    </row>
    <row r="194" spans="1:11">
      <c r="A194" s="79">
        <v>17</v>
      </c>
      <c r="B194" s="73" t="s">
        <v>341</v>
      </c>
      <c r="C194" s="108" t="s">
        <v>342</v>
      </c>
      <c r="D194" s="117">
        <v>1043453947</v>
      </c>
      <c r="E194" s="108"/>
      <c r="G194" s="79" t="s">
        <v>343</v>
      </c>
      <c r="H194" s="140"/>
      <c r="I194" s="79" t="s">
        <v>344</v>
      </c>
      <c r="J194" s="108"/>
      <c r="K194" s="79" t="s">
        <v>151</v>
      </c>
    </row>
    <row r="195" spans="1:11">
      <c r="A195" s="79">
        <v>18</v>
      </c>
      <c r="B195" s="73" t="s">
        <v>345</v>
      </c>
      <c r="C195" s="108" t="s">
        <v>346</v>
      </c>
      <c r="D195" s="117">
        <v>0</v>
      </c>
      <c r="E195" s="108"/>
      <c r="G195" s="115">
        <f>IF(D197&gt;0,D194/D197,0)</f>
        <v>0.97853209148632481</v>
      </c>
      <c r="H195" s="109" t="s">
        <v>347</v>
      </c>
      <c r="I195" s="115">
        <f>I191</f>
        <v>0.14403621580679662</v>
      </c>
      <c r="J195" s="140" t="s">
        <v>338</v>
      </c>
      <c r="K195" s="163">
        <f>I195*G195</f>
        <v>0.14094405950320033</v>
      </c>
    </row>
    <row r="196" spans="1:11" ht="13.5" thickBot="1">
      <c r="A196" s="79">
        <v>19</v>
      </c>
      <c r="B196" s="146" t="s">
        <v>333</v>
      </c>
      <c r="C196" s="158" t="s">
        <v>348</v>
      </c>
      <c r="D196" s="147">
        <v>22892222</v>
      </c>
      <c r="E196" s="108"/>
      <c r="F196" s="108"/>
      <c r="G196" s="108" t="s">
        <v>87</v>
      </c>
      <c r="H196" s="108"/>
      <c r="I196" s="108"/>
      <c r="J196" s="108"/>
      <c r="K196" s="108"/>
    </row>
    <row r="197" spans="1:11">
      <c r="A197" s="79">
        <v>20</v>
      </c>
      <c r="B197" s="73" t="s">
        <v>336</v>
      </c>
      <c r="C197" s="108" t="s">
        <v>349</v>
      </c>
      <c r="D197" s="116">
        <f>D194+D195+D196</f>
        <v>1066346169</v>
      </c>
      <c r="E197" s="108"/>
      <c r="F197" s="108"/>
      <c r="G197" s="108"/>
      <c r="H197" s="108"/>
      <c r="I197" s="108"/>
      <c r="J197" s="108"/>
      <c r="K197" s="108"/>
    </row>
    <row r="198" spans="1:11" ht="9" customHeight="1">
      <c r="A198" s="79"/>
      <c r="B198" s="73"/>
      <c r="C198" s="108"/>
      <c r="E198" s="108"/>
      <c r="F198" s="108"/>
      <c r="G198" s="108"/>
      <c r="H198" s="108"/>
      <c r="I198" s="108"/>
      <c r="J198" s="108"/>
      <c r="K198" s="108"/>
    </row>
    <row r="199" spans="1:11" ht="13.5" thickBot="1">
      <c r="A199" s="79"/>
      <c r="B199" s="73" t="s">
        <v>350</v>
      </c>
      <c r="C199" s="108"/>
      <c r="D199" s="108"/>
      <c r="E199" s="108"/>
      <c r="F199" s="108"/>
      <c r="G199" s="108"/>
      <c r="H199" s="108"/>
      <c r="I199" s="159" t="s">
        <v>327</v>
      </c>
      <c r="J199" s="108"/>
      <c r="K199" s="108"/>
    </row>
    <row r="200" spans="1:11">
      <c r="A200" s="79">
        <v>21</v>
      </c>
      <c r="B200" s="108" t="s">
        <v>351</v>
      </c>
      <c r="C200" s="108" t="s">
        <v>352</v>
      </c>
      <c r="D200" s="108"/>
      <c r="E200" s="108"/>
      <c r="F200" s="108"/>
      <c r="G200" s="108"/>
      <c r="H200" s="108"/>
      <c r="I200" s="164">
        <v>18183485.469999999</v>
      </c>
      <c r="J200" s="108"/>
      <c r="K200" s="108"/>
    </row>
    <row r="201" spans="1:11" ht="9" customHeight="1">
      <c r="A201" s="79"/>
      <c r="B201" s="108"/>
      <c r="C201" s="108"/>
      <c r="D201" s="108"/>
      <c r="E201" s="108"/>
      <c r="F201" s="108"/>
      <c r="G201" s="108"/>
      <c r="H201" s="108"/>
      <c r="I201" s="108"/>
      <c r="J201" s="108"/>
      <c r="K201" s="108"/>
    </row>
    <row r="202" spans="1:11">
      <c r="A202" s="79">
        <v>22</v>
      </c>
      <c r="B202" s="108" t="s">
        <v>353</v>
      </c>
      <c r="C202" s="108" t="s">
        <v>354</v>
      </c>
      <c r="D202" s="108"/>
      <c r="E202" s="108"/>
      <c r="F202" s="108"/>
      <c r="G202" s="108"/>
      <c r="H202" s="108"/>
      <c r="I202" s="165">
        <v>0</v>
      </c>
      <c r="J202" s="108"/>
      <c r="K202" s="108"/>
    </row>
    <row r="203" spans="1:11" ht="9" customHeight="1">
      <c r="A203" s="79"/>
      <c r="B203" s="73"/>
      <c r="C203" s="108"/>
      <c r="D203" s="108"/>
      <c r="E203" s="108"/>
      <c r="F203" s="108"/>
      <c r="G203" s="108"/>
      <c r="H203" s="108"/>
      <c r="I203" s="108"/>
      <c r="J203" s="108"/>
      <c r="K203" s="108"/>
    </row>
    <row r="204" spans="1:11">
      <c r="A204" s="79"/>
      <c r="B204" s="166" t="s">
        <v>355</v>
      </c>
      <c r="C204" s="108"/>
      <c r="D204" s="108"/>
      <c r="E204" s="108"/>
      <c r="F204" s="108"/>
      <c r="G204" s="108"/>
      <c r="H204" s="108"/>
      <c r="I204" s="108"/>
      <c r="J204" s="108"/>
      <c r="K204" s="108"/>
    </row>
    <row r="205" spans="1:11">
      <c r="A205" s="79">
        <v>23</v>
      </c>
      <c r="B205" s="108" t="s">
        <v>356</v>
      </c>
      <c r="C205" s="108" t="s">
        <v>357</v>
      </c>
      <c r="D205" s="73"/>
      <c r="E205" s="108"/>
      <c r="F205" s="108"/>
      <c r="G205" s="108"/>
      <c r="H205" s="108"/>
      <c r="I205" s="117">
        <v>472729957</v>
      </c>
      <c r="J205" s="108"/>
      <c r="K205" s="108"/>
    </row>
    <row r="206" spans="1:11">
      <c r="A206" s="79">
        <v>24</v>
      </c>
      <c r="B206" s="108" t="s">
        <v>358</v>
      </c>
      <c r="C206" s="108" t="s">
        <v>359</v>
      </c>
      <c r="D206" s="108"/>
      <c r="E206" s="108"/>
      <c r="F206" s="108"/>
      <c r="G206" s="108"/>
      <c r="H206" s="108"/>
      <c r="I206" s="116">
        <f>+D213</f>
        <v>0</v>
      </c>
      <c r="J206" s="108"/>
      <c r="K206" s="108"/>
    </row>
    <row r="207" spans="1:11">
      <c r="A207" s="79">
        <v>25</v>
      </c>
      <c r="B207" s="73" t="s">
        <v>360</v>
      </c>
      <c r="C207" s="73" t="s">
        <v>361</v>
      </c>
      <c r="D207" s="108"/>
      <c r="E207" s="108"/>
      <c r="F207" s="108"/>
      <c r="G207" s="108"/>
      <c r="H207" s="108"/>
      <c r="I207" s="117">
        <v>0</v>
      </c>
      <c r="J207" s="108"/>
      <c r="K207" s="108"/>
    </row>
    <row r="208" spans="1:11" ht="13.5" thickBot="1">
      <c r="A208" s="79">
        <v>26</v>
      </c>
      <c r="B208" s="146" t="s">
        <v>362</v>
      </c>
      <c r="C208" s="146" t="s">
        <v>363</v>
      </c>
      <c r="D208" s="108"/>
      <c r="E208" s="108"/>
      <c r="F208" s="108"/>
      <c r="G208" s="108"/>
      <c r="H208" s="108"/>
      <c r="I208" s="117">
        <v>0</v>
      </c>
      <c r="J208" s="108"/>
      <c r="K208" s="108"/>
    </row>
    <row r="209" spans="1:12">
      <c r="A209" s="79">
        <v>27</v>
      </c>
      <c r="B209" s="73" t="s">
        <v>364</v>
      </c>
      <c r="C209" s="111" t="s">
        <v>365</v>
      </c>
      <c r="D209" s="116"/>
      <c r="E209" s="73"/>
      <c r="F209" s="73"/>
      <c r="G209" s="73"/>
      <c r="H209" s="73"/>
      <c r="I209" s="180">
        <f>I205-I206-I207-I208</f>
        <v>472729957</v>
      </c>
      <c r="J209" s="108"/>
      <c r="K209" s="108"/>
    </row>
    <row r="210" spans="1:12">
      <c r="A210" s="79"/>
      <c r="B210" s="73"/>
      <c r="C210" s="108"/>
      <c r="D210" s="108"/>
      <c r="E210" s="108"/>
      <c r="F210" s="108"/>
      <c r="G210" s="109" t="s">
        <v>366</v>
      </c>
      <c r="H210" s="108"/>
      <c r="I210" s="108"/>
      <c r="J210" s="108"/>
      <c r="K210" s="108"/>
    </row>
    <row r="211" spans="1:12" ht="13.5" thickBot="1">
      <c r="A211" s="79"/>
      <c r="B211" s="73"/>
      <c r="C211" s="108"/>
      <c r="D211" s="112" t="s">
        <v>327</v>
      </c>
      <c r="E211" s="112" t="s">
        <v>367</v>
      </c>
      <c r="F211" s="108"/>
      <c r="G211" s="112" t="s">
        <v>368</v>
      </c>
      <c r="H211" s="108"/>
      <c r="I211" s="112" t="s">
        <v>369</v>
      </c>
      <c r="J211" s="108"/>
      <c r="K211" s="108"/>
    </row>
    <row r="212" spans="1:12" s="850" customFormat="1">
      <c r="A212" s="80">
        <v>28</v>
      </c>
      <c r="B212" s="845" t="s">
        <v>370</v>
      </c>
      <c r="C212" s="445" t="s">
        <v>371</v>
      </c>
      <c r="D212" s="846">
        <v>429394833</v>
      </c>
      <c r="E212" s="847">
        <f>IF($D$215&gt;0,D212/$D$215,0)</f>
        <v>0.47598163553403738</v>
      </c>
      <c r="F212" s="848"/>
      <c r="G212" s="849">
        <f>IF(D212&gt;0,I200/D212,0)</f>
        <v>4.2346772882569828E-2</v>
      </c>
      <c r="I212" s="849">
        <f>G212*E212</f>
        <v>2.0156286216234009E-2</v>
      </c>
      <c r="J212" s="851" t="s">
        <v>372</v>
      </c>
      <c r="L212" s="911"/>
    </row>
    <row r="213" spans="1:12">
      <c r="A213" s="79">
        <v>29</v>
      </c>
      <c r="B213" s="73" t="s">
        <v>373</v>
      </c>
      <c r="C213" s="73" t="s">
        <v>374</v>
      </c>
      <c r="D213" s="117">
        <v>0</v>
      </c>
      <c r="E213" s="167">
        <f>IF($D$215&gt;0,D213/$D$215,0)</f>
        <v>0</v>
      </c>
      <c r="F213" s="168"/>
      <c r="G213" s="169">
        <f>IF(D213&gt;0,I202/D213,0)</f>
        <v>0</v>
      </c>
      <c r="I213" s="169">
        <f>G213*E213</f>
        <v>0</v>
      </c>
      <c r="J213" s="108"/>
    </row>
    <row r="214" spans="1:12" ht="13.5" thickBot="1">
      <c r="A214" s="79">
        <v>30</v>
      </c>
      <c r="B214" s="146" t="s">
        <v>375</v>
      </c>
      <c r="C214" s="146" t="s">
        <v>376</v>
      </c>
      <c r="D214" s="162">
        <f>I209</f>
        <v>472729957</v>
      </c>
      <c r="E214" s="167">
        <f>IF($D$215&gt;0,D214/$D$215,0)</f>
        <v>0.52401836446596262</v>
      </c>
      <c r="F214" s="168"/>
      <c r="G214" s="169">
        <v>0.10440000000000001</v>
      </c>
      <c r="I214" s="171">
        <f>G214*E214</f>
        <v>5.4707517250246501E-2</v>
      </c>
      <c r="J214" s="108"/>
    </row>
    <row r="215" spans="1:12">
      <c r="A215" s="79">
        <v>31</v>
      </c>
      <c r="B215" s="73" t="s">
        <v>377</v>
      </c>
      <c r="C215" s="111" t="s">
        <v>378</v>
      </c>
      <c r="D215" s="116">
        <f>D214+D213+D212</f>
        <v>902124790</v>
      </c>
      <c r="E215" s="108" t="s">
        <v>87</v>
      </c>
      <c r="F215" s="108"/>
      <c r="G215" s="108"/>
      <c r="H215" s="108"/>
      <c r="I215" s="169">
        <f>SUM(I212:I214)</f>
        <v>7.4863803466480514E-2</v>
      </c>
      <c r="J215" s="170" t="s">
        <v>379</v>
      </c>
    </row>
    <row r="216" spans="1:12" ht="9" customHeight="1">
      <c r="E216" s="108"/>
      <c r="F216" s="108"/>
      <c r="G216" s="108"/>
      <c r="H216" s="108"/>
    </row>
    <row r="217" spans="1:12">
      <c r="A217" s="1058"/>
      <c r="B217" s="1058"/>
      <c r="C217" s="1058"/>
      <c r="D217" s="108"/>
      <c r="E217" s="108"/>
      <c r="F217" s="134"/>
      <c r="G217" s="977"/>
      <c r="H217" s="977"/>
      <c r="I217" s="977"/>
      <c r="J217" s="977"/>
      <c r="K217" s="977"/>
    </row>
    <row r="218" spans="1:12">
      <c r="A218" s="79">
        <v>32</v>
      </c>
      <c r="B218" s="73" t="s">
        <v>380</v>
      </c>
      <c r="C218" s="73" t="s">
        <v>381</v>
      </c>
      <c r="D218" s="105"/>
      <c r="E218" s="73"/>
      <c r="F218" s="73"/>
      <c r="G218" s="73"/>
      <c r="H218" s="351"/>
      <c r="I218" s="165">
        <v>0</v>
      </c>
      <c r="J218" s="351"/>
      <c r="K218" s="351"/>
    </row>
    <row r="219" spans="1:12">
      <c r="B219" s="73"/>
      <c r="C219" s="73"/>
      <c r="D219" s="105"/>
      <c r="E219" s="73"/>
      <c r="F219" s="73"/>
      <c r="G219" s="969"/>
      <c r="H219" s="969"/>
      <c r="I219" s="969"/>
      <c r="J219" s="969"/>
      <c r="K219" s="969"/>
    </row>
    <row r="220" spans="1:12">
      <c r="B220" s="73"/>
      <c r="C220" s="73"/>
      <c r="D220" s="105"/>
      <c r="E220" s="73"/>
      <c r="F220" s="73"/>
      <c r="G220" s="73"/>
      <c r="H220" s="73"/>
      <c r="I220" s="970" t="str">
        <f>I1</f>
        <v>Actual Attachment H</v>
      </c>
      <c r="J220" s="970"/>
      <c r="K220" s="970"/>
    </row>
    <row r="221" spans="1:12">
      <c r="B221" s="73"/>
      <c r="C221" s="73"/>
      <c r="D221" s="105"/>
      <c r="E221" s="73"/>
      <c r="F221" s="73"/>
      <c r="G221" s="73"/>
      <c r="H221" s="73"/>
      <c r="I221" s="73"/>
      <c r="J221" s="969" t="s">
        <v>382</v>
      </c>
      <c r="K221" s="969"/>
    </row>
    <row r="222" spans="1:12">
      <c r="B222" s="73"/>
      <c r="C222" s="73"/>
      <c r="D222" s="105"/>
      <c r="E222" s="73"/>
      <c r="F222" s="73"/>
      <c r="G222" s="73"/>
      <c r="H222" s="73"/>
      <c r="I222" s="73"/>
      <c r="J222" s="73"/>
      <c r="K222" s="106"/>
    </row>
    <row r="223" spans="1:12">
      <c r="B223" s="105" t="s">
        <v>78</v>
      </c>
      <c r="C223" s="73"/>
      <c r="D223" s="79" t="s">
        <v>124</v>
      </c>
      <c r="E223" s="73"/>
      <c r="F223" s="73"/>
      <c r="G223" s="73"/>
      <c r="H223" s="73"/>
      <c r="I223" s="73"/>
      <c r="J223" s="73"/>
      <c r="K223" s="122" t="str">
        <f>K4</f>
        <v>Actuals - For the 12 months ended 12/31/2021</v>
      </c>
    </row>
    <row r="224" spans="1:12">
      <c r="B224" s="73"/>
      <c r="C224" s="108"/>
      <c r="D224" s="109" t="s">
        <v>125</v>
      </c>
      <c r="E224" s="108"/>
      <c r="F224" s="108"/>
      <c r="G224" s="108"/>
      <c r="H224" s="73"/>
      <c r="I224" s="73"/>
      <c r="J224" s="73"/>
      <c r="K224" s="73"/>
    </row>
    <row r="225" spans="1:11">
      <c r="A225" s="79"/>
      <c r="C225" s="79"/>
      <c r="D225" s="108"/>
      <c r="E225" s="108"/>
      <c r="F225" s="108"/>
      <c r="G225" s="108"/>
      <c r="H225" s="73"/>
      <c r="I225" s="153"/>
      <c r="K225" s="108"/>
    </row>
    <row r="226" spans="1:11">
      <c r="A226" s="79"/>
      <c r="C226" s="79"/>
      <c r="D226" s="172" t="str">
        <f>C7</f>
        <v>Black Hills Colorado Electric, LLC</v>
      </c>
      <c r="E226" s="108"/>
      <c r="F226" s="108"/>
      <c r="G226" s="108"/>
      <c r="H226" s="73"/>
      <c r="I226" s="153"/>
      <c r="K226" s="108"/>
    </row>
    <row r="227" spans="1:11">
      <c r="A227" s="79"/>
      <c r="C227" s="79"/>
      <c r="D227" s="108"/>
      <c r="E227" s="108"/>
      <c r="F227" s="108"/>
      <c r="G227" s="108"/>
      <c r="H227" s="73"/>
      <c r="I227" s="153"/>
      <c r="K227" s="108"/>
    </row>
    <row r="228" spans="1:11">
      <c r="A228" s="79"/>
      <c r="B228" s="73" t="s">
        <v>383</v>
      </c>
      <c r="C228" s="79"/>
      <c r="D228" s="108"/>
      <c r="E228" s="108"/>
      <c r="F228" s="108"/>
      <c r="G228" s="108"/>
      <c r="H228" s="73"/>
      <c r="I228" s="108"/>
      <c r="J228" s="73"/>
      <c r="K228" s="108"/>
    </row>
    <row r="229" spans="1:11">
      <c r="A229" s="79"/>
      <c r="B229" s="105" t="s">
        <v>384</v>
      </c>
      <c r="C229" s="79"/>
      <c r="D229" s="108"/>
      <c r="E229" s="108"/>
      <c r="F229" s="108"/>
      <c r="G229" s="108"/>
      <c r="H229" s="73"/>
      <c r="I229" s="108"/>
      <c r="J229" s="73"/>
      <c r="K229" s="108"/>
    </row>
    <row r="230" spans="1:11">
      <c r="A230" s="79" t="s">
        <v>385</v>
      </c>
      <c r="B230" s="73"/>
      <c r="C230" s="73"/>
      <c r="D230" s="108"/>
      <c r="E230" s="108"/>
      <c r="F230" s="108"/>
      <c r="G230" s="108"/>
      <c r="H230" s="73"/>
      <c r="I230" s="108"/>
      <c r="J230" s="73"/>
      <c r="K230" s="108"/>
    </row>
    <row r="231" spans="1:11" ht="13.5" thickBot="1">
      <c r="A231" s="112" t="s">
        <v>386</v>
      </c>
      <c r="B231" s="73"/>
      <c r="C231" s="73"/>
      <c r="D231" s="108"/>
      <c r="E231" s="108"/>
      <c r="F231" s="108"/>
      <c r="G231" s="108"/>
      <c r="H231" s="73"/>
      <c r="I231" s="108"/>
      <c r="J231" s="73"/>
      <c r="K231" s="108"/>
    </row>
    <row r="232" spans="1:11">
      <c r="A232" s="80" t="s">
        <v>387</v>
      </c>
      <c r="B232" s="83" t="s">
        <v>388</v>
      </c>
      <c r="C232" s="84"/>
      <c r="D232" s="85"/>
      <c r="E232" s="85"/>
      <c r="F232" s="85"/>
      <c r="G232" s="85"/>
      <c r="H232" s="84"/>
      <c r="I232" s="85"/>
      <c r="J232" s="84"/>
      <c r="K232" s="85"/>
    </row>
    <row r="233" spans="1:11" ht="30.75" customHeight="1">
      <c r="A233" s="80" t="s">
        <v>389</v>
      </c>
      <c r="B233" s="974" t="s">
        <v>390</v>
      </c>
      <c r="C233" s="974"/>
      <c r="D233" s="974"/>
      <c r="E233" s="974"/>
      <c r="F233" s="974"/>
      <c r="G233" s="974"/>
      <c r="H233" s="974"/>
      <c r="I233" s="974"/>
      <c r="J233" s="974"/>
      <c r="K233" s="974"/>
    </row>
    <row r="234" spans="1:11" ht="26.25" customHeight="1">
      <c r="A234" s="80" t="s">
        <v>391</v>
      </c>
      <c r="B234" s="971" t="s">
        <v>392</v>
      </c>
      <c r="C234" s="971"/>
      <c r="D234" s="971"/>
      <c r="E234" s="971"/>
      <c r="F234" s="971"/>
      <c r="G234" s="971"/>
      <c r="H234" s="971"/>
      <c r="I234" s="971"/>
      <c r="J234" s="971"/>
      <c r="K234" s="971"/>
    </row>
    <row r="235" spans="1:11" ht="27" customHeight="1">
      <c r="A235" s="80" t="s">
        <v>393</v>
      </c>
      <c r="B235" s="973" t="s">
        <v>394</v>
      </c>
      <c r="C235" s="973"/>
      <c r="D235" s="973"/>
      <c r="E235" s="973"/>
      <c r="F235" s="973"/>
      <c r="G235" s="973"/>
      <c r="H235" s="973"/>
      <c r="I235" s="973"/>
      <c r="J235" s="84"/>
      <c r="K235" s="84"/>
    </row>
    <row r="236" spans="1:11">
      <c r="A236" s="80" t="s">
        <v>395</v>
      </c>
      <c r="B236" s="971" t="s">
        <v>396</v>
      </c>
      <c r="C236" s="971"/>
      <c r="D236" s="971"/>
      <c r="E236" s="971"/>
      <c r="F236" s="971"/>
      <c r="G236" s="971"/>
      <c r="H236" s="971"/>
      <c r="I236" s="971"/>
      <c r="J236" s="971"/>
      <c r="K236" s="971"/>
    </row>
    <row r="237" spans="1:11" ht="28.5" customHeight="1">
      <c r="A237" s="80" t="s">
        <v>397</v>
      </c>
      <c r="B237" s="972" t="s">
        <v>398</v>
      </c>
      <c r="C237" s="972"/>
      <c r="D237" s="972"/>
      <c r="E237" s="972"/>
      <c r="F237" s="972"/>
      <c r="G237" s="972"/>
      <c r="H237" s="972"/>
      <c r="I237" s="972"/>
      <c r="J237" s="87"/>
      <c r="K237" s="87"/>
    </row>
    <row r="238" spans="1:11">
      <c r="A238" s="80" t="s">
        <v>399</v>
      </c>
      <c r="B238" s="81" t="s">
        <v>400</v>
      </c>
      <c r="C238" s="73"/>
      <c r="D238" s="73"/>
      <c r="E238" s="73"/>
      <c r="F238" s="73"/>
      <c r="G238" s="73"/>
      <c r="H238" s="73"/>
      <c r="I238" s="73"/>
      <c r="J238" s="84"/>
      <c r="K238" s="84"/>
    </row>
    <row r="239" spans="1:11" ht="29.25" customHeight="1">
      <c r="A239" s="80" t="s">
        <v>401</v>
      </c>
      <c r="B239" s="973" t="s">
        <v>402</v>
      </c>
      <c r="C239" s="973"/>
      <c r="D239" s="973"/>
      <c r="E239" s="973"/>
      <c r="F239" s="973"/>
      <c r="G239" s="973"/>
      <c r="H239" s="973"/>
      <c r="I239" s="973"/>
      <c r="J239" s="88"/>
      <c r="K239" s="84"/>
    </row>
    <row r="240" spans="1:11">
      <c r="A240" s="80" t="s">
        <v>403</v>
      </c>
      <c r="B240" s="973" t="s">
        <v>404</v>
      </c>
      <c r="C240" s="973"/>
      <c r="D240" s="973"/>
      <c r="E240" s="973"/>
      <c r="F240" s="973"/>
      <c r="G240" s="973"/>
      <c r="H240" s="973"/>
      <c r="I240" s="973"/>
      <c r="J240" s="84"/>
      <c r="K240" s="84"/>
    </row>
    <row r="241" spans="1:11">
      <c r="A241" s="80" t="s">
        <v>405</v>
      </c>
      <c r="B241" s="973" t="s">
        <v>406</v>
      </c>
      <c r="C241" s="973"/>
      <c r="D241" s="973"/>
      <c r="E241" s="973"/>
      <c r="F241" s="973"/>
      <c r="G241" s="973"/>
      <c r="H241" s="973"/>
      <c r="I241" s="973"/>
      <c r="J241" s="84"/>
      <c r="K241" s="84"/>
    </row>
    <row r="242" spans="1:11" ht="53.25" customHeight="1">
      <c r="A242" s="80" t="s">
        <v>407</v>
      </c>
      <c r="B242" s="971" t="s">
        <v>408</v>
      </c>
      <c r="C242" s="971"/>
      <c r="D242" s="971"/>
      <c r="E242" s="971"/>
      <c r="F242" s="971"/>
      <c r="G242" s="971"/>
      <c r="H242" s="971"/>
      <c r="I242" s="971"/>
      <c r="J242" s="971"/>
      <c r="K242" s="971"/>
    </row>
    <row r="243" spans="1:11">
      <c r="A243" s="86" t="s">
        <v>87</v>
      </c>
      <c r="B243" s="73" t="s">
        <v>409</v>
      </c>
      <c r="C243" s="73" t="s">
        <v>410</v>
      </c>
      <c r="D243" s="173">
        <v>0.21</v>
      </c>
      <c r="E243" s="73" t="s">
        <v>411</v>
      </c>
      <c r="F243" s="73"/>
      <c r="G243" s="73"/>
      <c r="H243" s="73"/>
      <c r="I243" s="73"/>
      <c r="J243" s="73"/>
      <c r="K243" s="73"/>
    </row>
    <row r="244" spans="1:11">
      <c r="A244" s="86"/>
      <c r="B244" s="73"/>
      <c r="C244" s="73" t="s">
        <v>412</v>
      </c>
      <c r="D244" s="173">
        <v>4.5499999999999999E-2</v>
      </c>
      <c r="E244" s="73" t="s">
        <v>413</v>
      </c>
      <c r="F244" s="73"/>
      <c r="G244" s="73"/>
      <c r="H244" s="73"/>
      <c r="I244" s="73"/>
      <c r="J244" s="73"/>
      <c r="K244" s="73"/>
    </row>
    <row r="245" spans="1:11">
      <c r="A245" s="86"/>
      <c r="B245" s="73"/>
      <c r="C245" s="73" t="s">
        <v>414</v>
      </c>
      <c r="D245" s="173">
        <v>0</v>
      </c>
      <c r="E245" s="73" t="s">
        <v>415</v>
      </c>
      <c r="F245" s="73"/>
      <c r="G245" s="73"/>
      <c r="H245" s="73"/>
      <c r="I245" s="73"/>
      <c r="J245" s="73"/>
      <c r="K245" s="73"/>
    </row>
    <row r="246" spans="1:11" ht="29.45" customHeight="1">
      <c r="A246" s="80" t="s">
        <v>416</v>
      </c>
      <c r="B246" s="973" t="s">
        <v>417</v>
      </c>
      <c r="C246" s="973"/>
      <c r="D246" s="973"/>
      <c r="E246" s="973"/>
      <c r="F246" s="973"/>
      <c r="G246" s="973"/>
      <c r="H246" s="973"/>
      <c r="I246" s="973"/>
      <c r="J246" s="84"/>
      <c r="K246" s="84"/>
    </row>
    <row r="247" spans="1:11" ht="27" customHeight="1">
      <c r="A247" s="80" t="s">
        <v>418</v>
      </c>
      <c r="B247" s="973" t="s">
        <v>419</v>
      </c>
      <c r="C247" s="973"/>
      <c r="D247" s="973"/>
      <c r="E247" s="973"/>
      <c r="F247" s="973"/>
      <c r="G247" s="973"/>
      <c r="H247" s="973"/>
      <c r="I247" s="973"/>
      <c r="J247" s="89"/>
      <c r="K247" s="84"/>
    </row>
    <row r="248" spans="1:11" ht="30" customHeight="1">
      <c r="A248" s="80" t="s">
        <v>420</v>
      </c>
      <c r="B248" s="982" t="s">
        <v>421</v>
      </c>
      <c r="C248" s="982"/>
      <c r="D248" s="982"/>
      <c r="E248" s="982"/>
      <c r="F248" s="982"/>
      <c r="G248" s="982"/>
      <c r="H248" s="982"/>
      <c r="I248" s="982"/>
      <c r="J248" s="982"/>
      <c r="K248" s="982"/>
    </row>
    <row r="249" spans="1:11">
      <c r="A249" s="80" t="s">
        <v>422</v>
      </c>
      <c r="B249" s="972" t="s">
        <v>423</v>
      </c>
      <c r="C249" s="972"/>
      <c r="D249" s="972"/>
      <c r="E249" s="972"/>
      <c r="F249" s="972"/>
      <c r="G249" s="972"/>
      <c r="H249" s="972"/>
      <c r="I249" s="972"/>
      <c r="J249" s="87"/>
      <c r="K249" s="87"/>
    </row>
    <row r="250" spans="1:11">
      <c r="A250" s="80" t="s">
        <v>424</v>
      </c>
      <c r="B250" s="967" t="s">
        <v>425</v>
      </c>
      <c r="C250" s="967"/>
      <c r="D250" s="967"/>
      <c r="E250" s="967"/>
      <c r="F250" s="967"/>
      <c r="G250" s="967"/>
      <c r="H250" s="967"/>
      <c r="I250" s="967"/>
      <c r="J250" s="967"/>
      <c r="K250" s="967"/>
    </row>
    <row r="251" spans="1:11">
      <c r="A251" s="80" t="s">
        <v>426</v>
      </c>
      <c r="B251" s="968" t="s">
        <v>427</v>
      </c>
      <c r="C251" s="968"/>
      <c r="D251" s="968"/>
      <c r="E251" s="968"/>
      <c r="F251" s="968"/>
      <c r="G251" s="968"/>
      <c r="H251" s="968"/>
      <c r="I251" s="968"/>
      <c r="J251" s="84"/>
      <c r="K251" s="84"/>
    </row>
    <row r="252" spans="1:11" ht="15.75" customHeight="1">
      <c r="A252" s="80" t="s">
        <v>428</v>
      </c>
      <c r="B252" s="984" t="s">
        <v>429</v>
      </c>
      <c r="C252" s="984"/>
      <c r="D252" s="984"/>
      <c r="E252" s="984"/>
      <c r="F252" s="984"/>
      <c r="G252" s="984"/>
      <c r="H252" s="984"/>
      <c r="I252" s="984"/>
      <c r="J252" s="90"/>
      <c r="K252" s="90"/>
    </row>
    <row r="253" spans="1:11" ht="29.25" customHeight="1">
      <c r="A253" s="80" t="s">
        <v>430</v>
      </c>
      <c r="B253" s="983" t="s">
        <v>431</v>
      </c>
      <c r="C253" s="983"/>
      <c r="D253" s="983"/>
      <c r="E253" s="983"/>
      <c r="F253" s="983"/>
      <c r="G253" s="983"/>
      <c r="H253" s="983"/>
      <c r="I253" s="983"/>
      <c r="J253" s="84"/>
      <c r="K253" s="84"/>
    </row>
    <row r="254" spans="1:11" ht="26.25" customHeight="1">
      <c r="A254" s="82" t="s">
        <v>432</v>
      </c>
      <c r="B254" s="966" t="s">
        <v>433</v>
      </c>
      <c r="C254" s="966"/>
      <c r="D254" s="966"/>
      <c r="E254" s="966"/>
      <c r="F254" s="966"/>
      <c r="G254" s="966"/>
      <c r="H254" s="966"/>
      <c r="I254" s="966"/>
      <c r="J254" s="92"/>
      <c r="K254" s="92"/>
    </row>
    <row r="255" spans="1:11" ht="13.15" customHeight="1">
      <c r="A255" s="82" t="s">
        <v>434</v>
      </c>
      <c r="B255" s="980" t="s">
        <v>423</v>
      </c>
      <c r="C255" s="980"/>
      <c r="D255" s="980"/>
      <c r="E255" s="980"/>
      <c r="F255" s="980"/>
      <c r="G255" s="980"/>
      <c r="H255" s="980"/>
      <c r="I255" s="980"/>
      <c r="J255" s="93"/>
      <c r="K255" s="93"/>
    </row>
    <row r="256" spans="1:11" ht="13.15" customHeight="1">
      <c r="A256" s="82" t="s">
        <v>435</v>
      </c>
      <c r="B256" s="966" t="s">
        <v>436</v>
      </c>
      <c r="C256" s="966"/>
      <c r="D256" s="966"/>
      <c r="E256" s="966"/>
      <c r="F256" s="966"/>
      <c r="G256" s="966"/>
      <c r="H256" s="966"/>
      <c r="I256" s="966"/>
      <c r="J256" s="93"/>
      <c r="K256" s="93"/>
    </row>
    <row r="257" spans="1:11" ht="12.75" customHeight="1">
      <c r="A257" s="82" t="s">
        <v>437</v>
      </c>
      <c r="B257" s="966" t="s">
        <v>438</v>
      </c>
      <c r="C257" s="966"/>
      <c r="D257" s="966"/>
      <c r="E257" s="966"/>
      <c r="F257" s="966"/>
      <c r="G257" s="966"/>
      <c r="H257" s="966"/>
      <c r="I257" s="966"/>
      <c r="J257" s="93"/>
      <c r="K257" s="93"/>
    </row>
    <row r="258" spans="1:11" ht="27.75" customHeight="1">
      <c r="A258" s="82" t="s">
        <v>439</v>
      </c>
      <c r="B258" s="966" t="s">
        <v>440</v>
      </c>
      <c r="C258" s="966"/>
      <c r="D258" s="966"/>
      <c r="E258" s="966"/>
      <c r="F258" s="966"/>
      <c r="G258" s="966"/>
      <c r="H258" s="966"/>
      <c r="I258" s="966"/>
      <c r="J258" s="93"/>
      <c r="K258" s="93"/>
    </row>
    <row r="259" spans="1:11" ht="56.25" customHeight="1">
      <c r="A259" s="82" t="s">
        <v>441</v>
      </c>
      <c r="B259" s="966" t="s">
        <v>442</v>
      </c>
      <c r="C259" s="966"/>
      <c r="D259" s="966"/>
      <c r="E259" s="966"/>
      <c r="F259" s="966"/>
      <c r="G259" s="966"/>
      <c r="H259" s="966"/>
      <c r="I259" s="966"/>
      <c r="J259" s="93"/>
      <c r="K259" s="93"/>
    </row>
    <row r="260" spans="1:11" ht="13.15" customHeight="1">
      <c r="A260" s="82" t="s">
        <v>443</v>
      </c>
      <c r="B260" s="980" t="s">
        <v>423</v>
      </c>
      <c r="C260" s="980"/>
      <c r="D260" s="980"/>
      <c r="E260" s="980"/>
      <c r="F260" s="980"/>
      <c r="G260" s="980"/>
      <c r="H260" s="980"/>
      <c r="I260" s="980"/>
      <c r="J260" s="93"/>
      <c r="K260" s="93"/>
    </row>
    <row r="261" spans="1:11" ht="114" customHeight="1">
      <c r="A261" s="82" t="s">
        <v>444</v>
      </c>
      <c r="B261" s="980" t="s">
        <v>445</v>
      </c>
      <c r="C261" s="980"/>
      <c r="D261" s="980"/>
      <c r="E261" s="980"/>
      <c r="F261" s="980"/>
      <c r="G261" s="980"/>
      <c r="H261" s="980"/>
      <c r="I261" s="980"/>
      <c r="J261" s="93"/>
      <c r="K261" s="93"/>
    </row>
    <row r="262" spans="1:11" ht="16.5" customHeight="1">
      <c r="A262" s="82" t="s">
        <v>446</v>
      </c>
      <c r="B262" s="965" t="s">
        <v>447</v>
      </c>
      <c r="C262" s="965"/>
      <c r="D262" s="965"/>
      <c r="E262" s="965"/>
      <c r="F262" s="965"/>
      <c r="G262" s="965"/>
      <c r="H262" s="965"/>
      <c r="I262" s="965"/>
      <c r="J262" s="93"/>
      <c r="K262" s="93"/>
    </row>
    <row r="263" spans="1:11" ht="14.25" customHeight="1">
      <c r="A263" s="82" t="s">
        <v>448</v>
      </c>
      <c r="B263" s="965" t="s">
        <v>449</v>
      </c>
      <c r="C263" s="965"/>
      <c r="D263" s="965"/>
      <c r="E263" s="965"/>
      <c r="F263" s="965"/>
      <c r="G263" s="965"/>
      <c r="H263" s="965"/>
      <c r="I263" s="965"/>
      <c r="J263" s="90"/>
      <c r="K263" s="90"/>
    </row>
    <row r="264" spans="1:11" ht="30.75" customHeight="1">
      <c r="A264" s="82" t="s">
        <v>450</v>
      </c>
      <c r="B264" s="965" t="s">
        <v>451</v>
      </c>
      <c r="C264" s="965"/>
      <c r="D264" s="965"/>
      <c r="E264" s="965"/>
      <c r="F264" s="965"/>
      <c r="G264" s="965"/>
      <c r="H264" s="965"/>
      <c r="I264" s="965"/>
      <c r="J264" s="90"/>
      <c r="K264" s="90"/>
    </row>
    <row r="265" spans="1:11">
      <c r="A265" s="94"/>
      <c r="B265" s="981"/>
      <c r="C265" s="981"/>
      <c r="D265" s="981"/>
      <c r="E265" s="981"/>
      <c r="F265" s="981"/>
      <c r="G265" s="981"/>
      <c r="H265" s="981"/>
      <c r="I265" s="981"/>
      <c r="J265" s="97"/>
      <c r="K265" s="97"/>
    </row>
    <row r="266" spans="1:11">
      <c r="A266" s="94"/>
    </row>
    <row r="267" spans="1:11">
      <c r="A267" s="94"/>
    </row>
    <row r="268" spans="1:11">
      <c r="A268" s="91"/>
      <c r="B268" s="98"/>
      <c r="C268" s="98"/>
      <c r="D268" s="98"/>
      <c r="E268" s="98"/>
      <c r="F268" s="98"/>
      <c r="G268" s="98"/>
      <c r="H268" s="99"/>
      <c r="I268" s="100"/>
      <c r="J268" s="101"/>
      <c r="K268" s="101"/>
    </row>
    <row r="269" spans="1:11" ht="25.5" customHeight="1">
      <c r="A269" s="91"/>
      <c r="J269" s="102"/>
      <c r="K269" s="102"/>
    </row>
    <row r="270" spans="1:11">
      <c r="A270" s="91"/>
      <c r="B270" s="90"/>
      <c r="C270" s="90"/>
      <c r="D270" s="90"/>
      <c r="E270" s="90"/>
      <c r="F270" s="90"/>
      <c r="G270" s="90"/>
      <c r="H270" s="90"/>
      <c r="I270" s="90"/>
      <c r="J270" s="90"/>
      <c r="K270" s="90"/>
    </row>
    <row r="271" spans="1:11">
      <c r="A271" s="91"/>
      <c r="B271" s="90"/>
      <c r="C271" s="90"/>
      <c r="D271" s="90"/>
      <c r="E271" s="90"/>
      <c r="F271" s="90"/>
      <c r="G271" s="90"/>
      <c r="H271" s="90"/>
      <c r="I271" s="90"/>
      <c r="J271" s="90"/>
      <c r="K271" s="90"/>
    </row>
    <row r="272" spans="1:11">
      <c r="A272" s="91"/>
      <c r="C272" s="90"/>
      <c r="D272" s="90"/>
      <c r="E272" s="90"/>
      <c r="F272" s="90"/>
      <c r="G272" s="90"/>
      <c r="H272" s="90"/>
      <c r="I272" s="90"/>
      <c r="J272" s="90"/>
      <c r="K272" s="90"/>
    </row>
    <row r="273" spans="1:11">
      <c r="A273" s="94"/>
      <c r="B273" s="979"/>
      <c r="C273" s="979"/>
      <c r="D273" s="979"/>
      <c r="E273" s="979"/>
      <c r="F273" s="979"/>
      <c r="G273" s="979"/>
      <c r="H273" s="979"/>
      <c r="I273" s="979"/>
      <c r="J273" s="90"/>
      <c r="K273" s="90"/>
    </row>
    <row r="274" spans="1:11">
      <c r="A274" s="91"/>
      <c r="B274" s="103"/>
      <c r="C274" s="90"/>
      <c r="D274" s="90"/>
      <c r="E274" s="90"/>
      <c r="F274" s="90"/>
      <c r="G274" s="90"/>
      <c r="H274" s="90"/>
      <c r="I274" s="90"/>
      <c r="J274" s="90"/>
      <c r="K274" s="90"/>
    </row>
    <row r="275" spans="1:11">
      <c r="A275" s="90"/>
      <c r="B275" s="103"/>
      <c r="C275" s="90"/>
      <c r="D275" s="90"/>
      <c r="E275" s="90"/>
      <c r="F275" s="90"/>
      <c r="G275" s="90"/>
      <c r="H275" s="90"/>
      <c r="I275" s="90"/>
      <c r="J275" s="90"/>
      <c r="K275" s="90"/>
    </row>
  </sheetData>
  <sheetProtection formatCells="0" formatColumns="0"/>
  <mergeCells count="47">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G219:K219"/>
    <mergeCell ref="I220:K220"/>
    <mergeCell ref="J221:K221"/>
    <mergeCell ref="B242:K242"/>
    <mergeCell ref="B234:K234"/>
    <mergeCell ref="B237:I237"/>
    <mergeCell ref="B239:I239"/>
    <mergeCell ref="B240:I240"/>
    <mergeCell ref="B241:I241"/>
    <mergeCell ref="B233:K233"/>
    <mergeCell ref="B262:I262"/>
    <mergeCell ref="B263:I263"/>
    <mergeCell ref="B264:I264"/>
    <mergeCell ref="B259:I259"/>
    <mergeCell ref="B250:K250"/>
    <mergeCell ref="B254:I254"/>
    <mergeCell ref="B251:I251"/>
  </mergeCells>
  <pageMargins left="0.5" right="0.25" top="1" bottom="1" header="0.5" footer="0.5"/>
  <pageSetup scale="58" fitToHeight="6" orientation="portrait" r:id="rId1"/>
  <headerFooter alignWithMargins="0"/>
  <rowBreaks count="4" manualBreakCount="4">
    <brk id="31" max="10" man="1"/>
    <brk id="92" max="10" man="1"/>
    <brk id="157" max="10" man="1"/>
    <brk id="219" max="10" man="1"/>
  </rowBreaks>
  <ignoredErrors>
    <ignoredError sqref="C114 G40:I40 B40:D40 B101 C101:I101 B167:I167" numberStoredAsText="1"/>
    <ignoredError sqref="G111 I78:I79" formula="1"/>
    <ignoredError sqref="D25 D26:D29 D30:D31 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M1" sqref="M1:M1048576"/>
    </sheetView>
  </sheetViews>
  <sheetFormatPr defaultColWidth="8.6640625" defaultRowHeight="12.75"/>
  <cols>
    <col min="1" max="1" width="5.21875" style="605" customWidth="1"/>
    <col min="2" max="2" width="9.109375" style="605" customWidth="1"/>
    <col min="3" max="4" width="7.5546875" style="605" customWidth="1"/>
    <col min="5" max="5" width="8.6640625" style="605" customWidth="1"/>
    <col min="6" max="6" width="7.5546875" style="605" customWidth="1"/>
    <col min="7" max="7" width="2.109375" style="605" customWidth="1"/>
    <col min="8" max="9" width="11.44140625" style="605" customWidth="1"/>
    <col min="10" max="10" width="13.44140625" style="605" customWidth="1"/>
    <col min="11" max="11" width="1.44140625" style="607" customWidth="1"/>
    <col min="12" max="13" width="10.21875" style="605" bestFit="1" customWidth="1"/>
    <col min="14" max="14" width="10.6640625" style="917" bestFit="1" customWidth="1"/>
    <col min="15" max="16384" width="8.6640625" style="605"/>
  </cols>
  <sheetData>
    <row r="1" spans="1:16" s="604" customFormat="1">
      <c r="A1" s="990" t="s">
        <v>73</v>
      </c>
      <c r="B1" s="990"/>
      <c r="C1" s="990"/>
      <c r="D1" s="990"/>
      <c r="E1" s="990"/>
      <c r="F1" s="990"/>
      <c r="G1" s="990"/>
      <c r="H1" s="990"/>
      <c r="I1" s="990"/>
      <c r="J1" s="990"/>
      <c r="K1" s="990"/>
      <c r="M1" s="608"/>
      <c r="N1" s="642"/>
    </row>
    <row r="2" spans="1:16" s="604" customFormat="1">
      <c r="A2" s="990" t="s">
        <v>531</v>
      </c>
      <c r="B2" s="990"/>
      <c r="C2" s="990"/>
      <c r="D2" s="990"/>
      <c r="E2" s="990"/>
      <c r="F2" s="990"/>
      <c r="G2" s="990"/>
      <c r="H2" s="990"/>
      <c r="I2" s="990"/>
      <c r="J2" s="990"/>
      <c r="K2" s="990"/>
      <c r="M2" s="608"/>
      <c r="N2" s="642"/>
    </row>
    <row r="3" spans="1:16" s="604" customFormat="1">
      <c r="A3" s="991" t="s">
        <v>0</v>
      </c>
      <c r="B3" s="991"/>
      <c r="C3" s="991"/>
      <c r="D3" s="991"/>
      <c r="E3" s="991"/>
      <c r="F3" s="991"/>
      <c r="G3" s="991"/>
      <c r="H3" s="991"/>
      <c r="I3" s="991"/>
      <c r="J3" s="991"/>
      <c r="K3" s="991"/>
      <c r="M3" s="608"/>
      <c r="N3" s="642"/>
    </row>
    <row r="4" spans="1:16" s="604" customFormat="1">
      <c r="A4" s="603"/>
      <c r="B4" s="603"/>
      <c r="C4" s="603"/>
      <c r="D4" s="603"/>
      <c r="E4" s="603"/>
      <c r="F4" s="603"/>
      <c r="G4" s="603"/>
      <c r="H4" s="603"/>
      <c r="I4" s="603"/>
      <c r="J4" s="557" t="s">
        <v>1204</v>
      </c>
      <c r="M4" s="608"/>
      <c r="N4" s="642"/>
    </row>
    <row r="5" spans="1:16">
      <c r="I5" s="606" t="s">
        <v>1205</v>
      </c>
      <c r="J5" s="720">
        <v>2023</v>
      </c>
    </row>
    <row r="6" spans="1:16">
      <c r="A6" s="605">
        <v>1</v>
      </c>
      <c r="B6" s="608" t="s">
        <v>1206</v>
      </c>
      <c r="H6" s="609"/>
      <c r="I6" s="609"/>
      <c r="J6" s="609"/>
      <c r="K6" s="610"/>
    </row>
    <row r="7" spans="1:16">
      <c r="A7" s="605">
        <f>+A6+1</f>
        <v>2</v>
      </c>
      <c r="B7" s="1048" t="s">
        <v>1207</v>
      </c>
      <c r="C7" s="1049"/>
      <c r="D7" s="1049"/>
      <c r="E7" s="1049"/>
      <c r="F7" s="1050"/>
      <c r="G7" s="611"/>
      <c r="H7" s="1048" t="s">
        <v>1208</v>
      </c>
      <c r="I7" s="1049"/>
      <c r="J7" s="1050"/>
      <c r="K7" s="610"/>
    </row>
    <row r="8" spans="1:16">
      <c r="B8" s="612" t="s">
        <v>387</v>
      </c>
      <c r="C8" s="612" t="s">
        <v>389</v>
      </c>
      <c r="D8" s="612" t="s">
        <v>391</v>
      </c>
      <c r="E8" s="612" t="s">
        <v>393</v>
      </c>
      <c r="F8" s="612" t="s">
        <v>395</v>
      </c>
      <c r="G8" s="611"/>
      <c r="H8" s="612" t="s">
        <v>397</v>
      </c>
      <c r="I8" s="612" t="s">
        <v>399</v>
      </c>
      <c r="J8" s="612" t="s">
        <v>401</v>
      </c>
      <c r="K8" s="610"/>
    </row>
    <row r="9" spans="1:16" ht="51">
      <c r="A9" s="605">
        <f>+A7+1</f>
        <v>3</v>
      </c>
      <c r="B9" s="613" t="s">
        <v>635</v>
      </c>
      <c r="C9" s="613" t="s">
        <v>1209</v>
      </c>
      <c r="D9" s="613" t="s">
        <v>1210</v>
      </c>
      <c r="E9" s="613" t="s">
        <v>1211</v>
      </c>
      <c r="F9" s="613" t="s">
        <v>1212</v>
      </c>
      <c r="G9" s="614"/>
      <c r="H9" s="613" t="s">
        <v>1213</v>
      </c>
      <c r="I9" s="613" t="s">
        <v>1214</v>
      </c>
      <c r="J9" s="613" t="s">
        <v>1215</v>
      </c>
      <c r="K9" s="614"/>
    </row>
    <row r="10" spans="1:16">
      <c r="A10" s="605">
        <f t="shared" ref="A10:A24" si="0">+A9+1</f>
        <v>4</v>
      </c>
      <c r="C10" s="614"/>
      <c r="D10" s="614"/>
      <c r="E10" s="614"/>
      <c r="F10" s="614"/>
      <c r="G10" s="614"/>
      <c r="H10" s="614"/>
      <c r="I10" s="614"/>
      <c r="J10" s="614"/>
      <c r="K10" s="614"/>
    </row>
    <row r="11" spans="1:16">
      <c r="A11" s="605">
        <f t="shared" si="0"/>
        <v>5</v>
      </c>
      <c r="B11" s="615" t="s">
        <v>1216</v>
      </c>
      <c r="C11" s="616"/>
      <c r="D11" s="617"/>
      <c r="E11" s="617"/>
      <c r="F11" s="617"/>
      <c r="G11" s="617"/>
      <c r="H11" s="618"/>
      <c r="I11" s="618"/>
      <c r="J11" s="622">
        <v>0</v>
      </c>
      <c r="K11" s="620"/>
    </row>
    <row r="12" spans="1:16">
      <c r="A12" s="605">
        <f t="shared" si="0"/>
        <v>6</v>
      </c>
      <c r="B12" s="616" t="s">
        <v>651</v>
      </c>
      <c r="C12" s="621">
        <v>31</v>
      </c>
      <c r="D12" s="584">
        <f>E12-C12</f>
        <v>334</v>
      </c>
      <c r="E12" s="721">
        <v>365</v>
      </c>
      <c r="F12" s="555">
        <f>IF(E12=0,0,D12/E12)</f>
        <v>0.91506849315068495</v>
      </c>
      <c r="G12" s="552"/>
      <c r="H12" s="619">
        <f>-H152*0.21</f>
        <v>-18627.510836135509</v>
      </c>
      <c r="I12" s="582">
        <f>+H12*F12</f>
        <v>-17045.448271970574</v>
      </c>
      <c r="J12" s="582">
        <f t="shared" ref="J12:J23" si="1">+I12+J11</f>
        <v>-17045.448271970574</v>
      </c>
      <c r="K12" s="620"/>
      <c r="O12" s="641"/>
      <c r="P12" s="641"/>
    </row>
    <row r="13" spans="1:16">
      <c r="A13" s="605">
        <f t="shared" si="0"/>
        <v>7</v>
      </c>
      <c r="B13" s="616" t="s">
        <v>652</v>
      </c>
      <c r="C13" s="622">
        <v>28</v>
      </c>
      <c r="D13" s="584">
        <f>D12-C13</f>
        <v>306</v>
      </c>
      <c r="E13" s="584">
        <f>$E$12</f>
        <v>365</v>
      </c>
      <c r="F13" s="555">
        <f t="shared" ref="F13:F23" si="2">IF(E13=0,0,D13/E13)</f>
        <v>0.83835616438356164</v>
      </c>
      <c r="G13" s="552"/>
      <c r="H13" s="619">
        <f t="shared" ref="H13:H23" si="3">-H153*0.21</f>
        <v>-18627.510836135509</v>
      </c>
      <c r="I13" s="582">
        <f t="shared" ref="I13:I23" si="4">+H13*F13</f>
        <v>-15616.488536595796</v>
      </c>
      <c r="J13" s="582">
        <f t="shared" si="1"/>
        <v>-32661.93680856637</v>
      </c>
      <c r="K13" s="620"/>
      <c r="O13" s="641"/>
      <c r="P13" s="641"/>
    </row>
    <row r="14" spans="1:16">
      <c r="A14" s="605">
        <f t="shared" si="0"/>
        <v>8</v>
      </c>
      <c r="B14" s="616" t="s">
        <v>829</v>
      </c>
      <c r="C14" s="621">
        <v>31</v>
      </c>
      <c r="D14" s="584">
        <f t="shared" ref="D14:D22" si="5">D13-C14</f>
        <v>275</v>
      </c>
      <c r="E14" s="584">
        <f t="shared" ref="E14:E23" si="6">$E$12</f>
        <v>365</v>
      </c>
      <c r="F14" s="555">
        <f t="shared" si="2"/>
        <v>0.75342465753424659</v>
      </c>
      <c r="G14" s="552"/>
      <c r="H14" s="619">
        <f t="shared" si="3"/>
        <v>-18627.510836135509</v>
      </c>
      <c r="I14" s="582">
        <f t="shared" si="4"/>
        <v>-14034.425972430863</v>
      </c>
      <c r="J14" s="582">
        <f t="shared" si="1"/>
        <v>-46696.362780997231</v>
      </c>
      <c r="K14" s="620"/>
      <c r="O14" s="641"/>
      <c r="P14" s="641"/>
    </row>
    <row r="15" spans="1:16">
      <c r="A15" s="605">
        <f t="shared" si="0"/>
        <v>9</v>
      </c>
      <c r="B15" s="616" t="s">
        <v>654</v>
      </c>
      <c r="C15" s="621">
        <v>30</v>
      </c>
      <c r="D15" s="584">
        <f t="shared" si="5"/>
        <v>245</v>
      </c>
      <c r="E15" s="584">
        <f t="shared" si="6"/>
        <v>365</v>
      </c>
      <c r="F15" s="555">
        <f t="shared" si="2"/>
        <v>0.67123287671232879</v>
      </c>
      <c r="G15" s="552"/>
      <c r="H15" s="619">
        <f t="shared" si="3"/>
        <v>-18627.510836135509</v>
      </c>
      <c r="I15" s="582">
        <f t="shared" si="4"/>
        <v>-12503.397684529315</v>
      </c>
      <c r="J15" s="582">
        <f t="shared" si="1"/>
        <v>-59199.760465526546</v>
      </c>
      <c r="K15" s="620"/>
      <c r="O15" s="641"/>
      <c r="P15" s="641"/>
    </row>
    <row r="16" spans="1:16">
      <c r="A16" s="605">
        <f t="shared" si="0"/>
        <v>10</v>
      </c>
      <c r="B16" s="616" t="s">
        <v>655</v>
      </c>
      <c r="C16" s="621">
        <v>31</v>
      </c>
      <c r="D16" s="584">
        <f t="shared" si="5"/>
        <v>214</v>
      </c>
      <c r="E16" s="584">
        <f t="shared" si="6"/>
        <v>365</v>
      </c>
      <c r="F16" s="555">
        <f t="shared" si="2"/>
        <v>0.58630136986301373</v>
      </c>
      <c r="G16" s="552"/>
      <c r="H16" s="619">
        <f t="shared" si="3"/>
        <v>-18627.510836135509</v>
      </c>
      <c r="I16" s="582">
        <f t="shared" si="4"/>
        <v>-10921.335120364382</v>
      </c>
      <c r="J16" s="582">
        <f t="shared" si="1"/>
        <v>-70121.095585890929</v>
      </c>
      <c r="K16" s="620"/>
      <c r="O16" s="641"/>
      <c r="P16" s="641"/>
    </row>
    <row r="17" spans="1:16">
      <c r="A17" s="605">
        <f t="shared" si="0"/>
        <v>11</v>
      </c>
      <c r="B17" s="616" t="s">
        <v>18</v>
      </c>
      <c r="C17" s="621">
        <v>30</v>
      </c>
      <c r="D17" s="584">
        <f t="shared" si="5"/>
        <v>184</v>
      </c>
      <c r="E17" s="584">
        <f t="shared" si="6"/>
        <v>365</v>
      </c>
      <c r="F17" s="555">
        <f t="shared" si="2"/>
        <v>0.50410958904109593</v>
      </c>
      <c r="G17" s="552"/>
      <c r="H17" s="619">
        <f t="shared" si="3"/>
        <v>-18627.510836135509</v>
      </c>
      <c r="I17" s="582">
        <f t="shared" si="4"/>
        <v>-9390.306832462833</v>
      </c>
      <c r="J17" s="582">
        <f t="shared" si="1"/>
        <v>-79511.402418353769</v>
      </c>
      <c r="K17" s="620"/>
      <c r="O17" s="641"/>
      <c r="P17" s="641"/>
    </row>
    <row r="18" spans="1:16">
      <c r="A18" s="605">
        <f t="shared" si="0"/>
        <v>12</v>
      </c>
      <c r="B18" s="616" t="s">
        <v>656</v>
      </c>
      <c r="C18" s="621">
        <v>31</v>
      </c>
      <c r="D18" s="584">
        <f t="shared" si="5"/>
        <v>153</v>
      </c>
      <c r="E18" s="584">
        <f t="shared" si="6"/>
        <v>365</v>
      </c>
      <c r="F18" s="555">
        <f t="shared" si="2"/>
        <v>0.41917808219178082</v>
      </c>
      <c r="G18" s="552"/>
      <c r="H18" s="619">
        <f t="shared" si="3"/>
        <v>-18627.510836135509</v>
      </c>
      <c r="I18" s="582">
        <f t="shared" si="4"/>
        <v>-7808.2442682978981</v>
      </c>
      <c r="J18" s="582">
        <f t="shared" si="1"/>
        <v>-87319.646686651671</v>
      </c>
      <c r="K18" s="620"/>
      <c r="O18" s="641"/>
      <c r="P18" s="641"/>
    </row>
    <row r="19" spans="1:16">
      <c r="A19" s="605">
        <f t="shared" si="0"/>
        <v>13</v>
      </c>
      <c r="B19" s="616" t="s">
        <v>830</v>
      </c>
      <c r="C19" s="621">
        <v>31</v>
      </c>
      <c r="D19" s="584">
        <f t="shared" si="5"/>
        <v>122</v>
      </c>
      <c r="E19" s="584">
        <f t="shared" si="6"/>
        <v>365</v>
      </c>
      <c r="F19" s="555">
        <f t="shared" si="2"/>
        <v>0.33424657534246577</v>
      </c>
      <c r="G19" s="552"/>
      <c r="H19" s="619">
        <f t="shared" si="3"/>
        <v>-18627.510836135509</v>
      </c>
      <c r="I19" s="582">
        <f t="shared" si="4"/>
        <v>-6226.181704132965</v>
      </c>
      <c r="J19" s="582">
        <f t="shared" si="1"/>
        <v>-93545.828390784634</v>
      </c>
      <c r="K19" s="620"/>
      <c r="O19" s="641"/>
      <c r="P19" s="641"/>
    </row>
    <row r="20" spans="1:16">
      <c r="A20" s="605">
        <f t="shared" si="0"/>
        <v>14</v>
      </c>
      <c r="B20" s="616" t="s">
        <v>658</v>
      </c>
      <c r="C20" s="621">
        <v>30</v>
      </c>
      <c r="D20" s="584">
        <f t="shared" si="5"/>
        <v>92</v>
      </c>
      <c r="E20" s="584">
        <f t="shared" si="6"/>
        <v>365</v>
      </c>
      <c r="F20" s="555">
        <f t="shared" si="2"/>
        <v>0.25205479452054796</v>
      </c>
      <c r="G20" s="552"/>
      <c r="H20" s="619">
        <f t="shared" si="3"/>
        <v>-18627.510836135509</v>
      </c>
      <c r="I20" s="582">
        <f t="shared" si="4"/>
        <v>-4695.1534162314165</v>
      </c>
      <c r="J20" s="582">
        <f t="shared" si="1"/>
        <v>-98240.981807016055</v>
      </c>
      <c r="K20" s="620"/>
      <c r="O20" s="641"/>
      <c r="P20" s="641"/>
    </row>
    <row r="21" spans="1:16">
      <c r="A21" s="605">
        <f t="shared" si="0"/>
        <v>15</v>
      </c>
      <c r="B21" s="616" t="s">
        <v>659</v>
      </c>
      <c r="C21" s="621">
        <v>31</v>
      </c>
      <c r="D21" s="584">
        <f t="shared" si="5"/>
        <v>61</v>
      </c>
      <c r="E21" s="584">
        <f t="shared" si="6"/>
        <v>365</v>
      </c>
      <c r="F21" s="555">
        <f t="shared" si="2"/>
        <v>0.16712328767123288</v>
      </c>
      <c r="G21" s="552"/>
      <c r="H21" s="619">
        <f t="shared" si="3"/>
        <v>-18627.510836135509</v>
      </c>
      <c r="I21" s="582">
        <f t="shared" si="4"/>
        <v>-3113.0908520664825</v>
      </c>
      <c r="J21" s="582">
        <f t="shared" si="1"/>
        <v>-101354.07265908254</v>
      </c>
      <c r="K21" s="620"/>
      <c r="O21" s="641"/>
      <c r="P21" s="641"/>
    </row>
    <row r="22" spans="1:16">
      <c r="A22" s="605">
        <f t="shared" si="0"/>
        <v>16</v>
      </c>
      <c r="B22" s="616" t="s">
        <v>660</v>
      </c>
      <c r="C22" s="621">
        <v>30</v>
      </c>
      <c r="D22" s="584">
        <f t="shared" si="5"/>
        <v>31</v>
      </c>
      <c r="E22" s="584">
        <f t="shared" si="6"/>
        <v>365</v>
      </c>
      <c r="F22" s="555">
        <f t="shared" si="2"/>
        <v>8.4931506849315067E-2</v>
      </c>
      <c r="G22" s="552"/>
      <c r="H22" s="619">
        <f t="shared" si="3"/>
        <v>-18627.510836135509</v>
      </c>
      <c r="I22" s="582">
        <f t="shared" si="4"/>
        <v>-1582.0625641649335</v>
      </c>
      <c r="J22" s="582">
        <f t="shared" si="1"/>
        <v>-102936.13522324747</v>
      </c>
      <c r="K22" s="620"/>
      <c r="O22" s="641"/>
      <c r="P22" s="641"/>
    </row>
    <row r="23" spans="1:16">
      <c r="A23" s="605">
        <f t="shared" si="0"/>
        <v>17</v>
      </c>
      <c r="B23" s="616" t="s">
        <v>831</v>
      </c>
      <c r="C23" s="621">
        <v>31</v>
      </c>
      <c r="D23" s="584">
        <v>1</v>
      </c>
      <c r="E23" s="584">
        <f t="shared" si="6"/>
        <v>365</v>
      </c>
      <c r="F23" s="555">
        <f t="shared" si="2"/>
        <v>2.7397260273972603E-3</v>
      </c>
      <c r="G23" s="552"/>
      <c r="H23" s="619">
        <f t="shared" si="3"/>
        <v>-18627.510836135509</v>
      </c>
      <c r="I23" s="582">
        <f t="shared" si="4"/>
        <v>-51.034276263384953</v>
      </c>
      <c r="J23" s="582">
        <f t="shared" si="1"/>
        <v>-102987.16949951086</v>
      </c>
      <c r="K23" s="620"/>
      <c r="L23" s="639"/>
      <c r="M23" s="641"/>
      <c r="N23" s="918"/>
      <c r="O23" s="641"/>
      <c r="P23" s="641"/>
    </row>
    <row r="24" spans="1:16">
      <c r="A24" s="605">
        <f t="shared" si="0"/>
        <v>18</v>
      </c>
      <c r="B24" s="623"/>
      <c r="C24" s="623" t="s">
        <v>90</v>
      </c>
      <c r="D24" s="623"/>
      <c r="E24" s="623"/>
      <c r="F24" s="624"/>
      <c r="G24" s="617"/>
      <c r="H24" s="625">
        <f>SUM(H12:H23)</f>
        <v>-223530.1300336261</v>
      </c>
      <c r="I24" s="625">
        <f>SUM(I12:I23)</f>
        <v>-102987.16949951086</v>
      </c>
      <c r="J24" s="624"/>
      <c r="K24" s="614"/>
    </row>
    <row r="25" spans="1:16">
      <c r="B25" s="626"/>
      <c r="C25" s="626"/>
      <c r="D25" s="626"/>
      <c r="E25" s="626"/>
      <c r="F25" s="627"/>
      <c r="G25" s="627"/>
      <c r="I25" s="628"/>
      <c r="J25" s="627"/>
      <c r="K25" s="614"/>
      <c r="L25" s="639"/>
    </row>
    <row r="26" spans="1:16">
      <c r="A26" s="605">
        <f>+A24+1</f>
        <v>19</v>
      </c>
      <c r="B26" s="605" t="s">
        <v>1217</v>
      </c>
      <c r="F26" s="605" t="s">
        <v>1218</v>
      </c>
      <c r="G26" s="627"/>
      <c r="I26" s="627"/>
      <c r="J26" s="174">
        <f>'A3-ADIT'!E15</f>
        <v>74956049</v>
      </c>
    </row>
    <row r="27" spans="1:16">
      <c r="A27" s="605">
        <f>+A26+1</f>
        <v>20</v>
      </c>
      <c r="B27" s="605" t="s">
        <v>1219</v>
      </c>
      <c r="F27" s="605" t="s">
        <v>1220</v>
      </c>
      <c r="G27" s="627"/>
      <c r="I27" s="627"/>
      <c r="J27" s="640">
        <f>J166*-(('Proj Att-H'!D254*'Proj Att-H'!D255)+'Proj Att-H'!D255)</f>
        <v>2282558.49822</v>
      </c>
    </row>
    <row r="28" spans="1:16">
      <c r="A28" s="605">
        <f t="shared" ref="A28" si="7">+A27+1</f>
        <v>21</v>
      </c>
      <c r="B28" s="605" t="s">
        <v>1221</v>
      </c>
      <c r="F28" s="605" t="s">
        <v>1222</v>
      </c>
      <c r="G28" s="627"/>
      <c r="I28" s="627"/>
      <c r="J28" s="640">
        <f>J26-J27</f>
        <v>72673490.501780003</v>
      </c>
    </row>
    <row r="29" spans="1:16">
      <c r="A29" s="605">
        <f>+A28+1</f>
        <v>22</v>
      </c>
      <c r="B29" s="893" t="s">
        <v>1223</v>
      </c>
      <c r="F29" s="605" t="s">
        <v>1224</v>
      </c>
      <c r="G29" s="627"/>
      <c r="I29" s="627"/>
      <c r="J29" s="640">
        <f>J27</f>
        <v>2282558.49822</v>
      </c>
    </row>
    <row r="30" spans="1:16">
      <c r="A30" s="605">
        <f>+A29+1</f>
        <v>23</v>
      </c>
      <c r="B30" s="605" t="s">
        <v>1225</v>
      </c>
      <c r="F30" s="605" t="s">
        <v>511</v>
      </c>
      <c r="G30" s="627"/>
      <c r="I30" s="627"/>
      <c r="J30" s="622">
        <v>0</v>
      </c>
    </row>
    <row r="31" spans="1:16">
      <c r="A31" s="605">
        <f>+A30+1</f>
        <v>24</v>
      </c>
      <c r="B31" s="893" t="s">
        <v>1226</v>
      </c>
      <c r="F31" s="605" t="s">
        <v>1227</v>
      </c>
      <c r="G31" s="627"/>
      <c r="I31" s="627"/>
      <c r="J31" s="629">
        <f>J29+J30</f>
        <v>2282558.49822</v>
      </c>
    </row>
    <row r="32" spans="1:16">
      <c r="A32" s="605">
        <v>25</v>
      </c>
      <c r="B32" s="605" t="s">
        <v>1228</v>
      </c>
      <c r="F32" s="605" t="s">
        <v>1229</v>
      </c>
      <c r="G32" s="627"/>
      <c r="I32" s="614"/>
      <c r="J32" s="630">
        <f>J23</f>
        <v>-102987.16949951086</v>
      </c>
    </row>
    <row r="33" spans="1:11">
      <c r="A33" s="605">
        <v>26</v>
      </c>
      <c r="B33" s="605" t="s">
        <v>1230</v>
      </c>
      <c r="F33" s="605" t="s">
        <v>1231</v>
      </c>
      <c r="J33" s="641">
        <f>J31+J32</f>
        <v>2179571.3287204891</v>
      </c>
    </row>
    <row r="34" spans="1:11">
      <c r="A34" s="605">
        <v>27</v>
      </c>
      <c r="B34" s="892" t="s">
        <v>1232</v>
      </c>
      <c r="F34" s="135" t="s">
        <v>1233</v>
      </c>
      <c r="J34" s="894">
        <f>'A3.1-EDIT-DDIT'!O43</f>
        <v>0.22680814926774848</v>
      </c>
    </row>
    <row r="35" spans="1:11">
      <c r="A35" s="605">
        <v>28</v>
      </c>
      <c r="B35" s="608" t="s">
        <v>1234</v>
      </c>
      <c r="F35" s="605" t="s">
        <v>1235</v>
      </c>
      <c r="J35" s="649">
        <f>J33*J34</f>
        <v>494344.53926414158</v>
      </c>
    </row>
    <row r="36" spans="1:11">
      <c r="J36" s="641"/>
    </row>
    <row r="37" spans="1:11">
      <c r="J37" s="641"/>
    </row>
    <row r="38" spans="1:11" ht="15">
      <c r="A38"/>
      <c r="B38"/>
      <c r="C38"/>
      <c r="D38"/>
      <c r="E38"/>
      <c r="F38"/>
      <c r="G38"/>
      <c r="H38"/>
      <c r="I38"/>
      <c r="J38"/>
    </row>
    <row r="39" spans="1:11">
      <c r="A39" s="1047" t="str">
        <f>A1</f>
        <v>Worksheet P5</v>
      </c>
      <c r="B39" s="1047"/>
      <c r="C39" s="1047"/>
      <c r="D39" s="1047"/>
      <c r="E39" s="1047"/>
      <c r="F39" s="1047"/>
      <c r="G39" s="1047"/>
      <c r="H39" s="1047"/>
      <c r="I39" s="1047"/>
      <c r="J39" s="1047"/>
      <c r="K39" s="1047"/>
    </row>
    <row r="40" spans="1:11">
      <c r="A40" s="1047" t="str">
        <f>A2</f>
        <v>Accumulated Deferred Income Taxes</v>
      </c>
      <c r="B40" s="1047"/>
      <c r="C40" s="1047"/>
      <c r="D40" s="1047"/>
      <c r="E40" s="1047"/>
      <c r="F40" s="1047"/>
      <c r="G40" s="1047"/>
      <c r="H40" s="1047"/>
      <c r="I40" s="1047"/>
      <c r="J40" s="1047"/>
      <c r="K40" s="1047"/>
    </row>
    <row r="41" spans="1:11">
      <c r="A41" s="1051" t="str">
        <f>A3</f>
        <v>Black Hills Colorado Electric, LLC</v>
      </c>
      <c r="B41" s="1051"/>
      <c r="C41" s="1051"/>
      <c r="D41" s="1051"/>
      <c r="E41" s="1051"/>
      <c r="F41" s="1051"/>
      <c r="G41" s="1051"/>
      <c r="H41" s="1051"/>
      <c r="I41" s="1051"/>
      <c r="J41" s="1051"/>
      <c r="K41" s="1051"/>
    </row>
    <row r="42" spans="1:11">
      <c r="J42" s="607" t="s">
        <v>1236</v>
      </c>
    </row>
    <row r="43" spans="1:11">
      <c r="B43" s="608"/>
      <c r="J43" s="606"/>
      <c r="K43" s="632"/>
    </row>
    <row r="44" spans="1:11">
      <c r="A44" s="605">
        <f>A35+1</f>
        <v>29</v>
      </c>
      <c r="B44" s="608" t="s">
        <v>1237</v>
      </c>
      <c r="H44" s="609"/>
      <c r="I44" s="609"/>
      <c r="J44" s="609"/>
    </row>
    <row r="45" spans="1:11">
      <c r="A45" s="605">
        <f>+A44+1</f>
        <v>30</v>
      </c>
      <c r="B45" s="1048" t="s">
        <v>1207</v>
      </c>
      <c r="C45" s="1049"/>
      <c r="D45" s="1049"/>
      <c r="E45" s="1049"/>
      <c r="F45" s="1050"/>
      <c r="G45" s="611"/>
      <c r="H45" s="1048" t="s">
        <v>1208</v>
      </c>
      <c r="I45" s="1049"/>
      <c r="J45" s="1050"/>
    </row>
    <row r="46" spans="1:11">
      <c r="B46" s="612" t="s">
        <v>387</v>
      </c>
      <c r="C46" s="612" t="s">
        <v>389</v>
      </c>
      <c r="D46" s="612" t="s">
        <v>391</v>
      </c>
      <c r="E46" s="612" t="s">
        <v>393</v>
      </c>
      <c r="F46" s="612" t="s">
        <v>395</v>
      </c>
      <c r="G46" s="611"/>
      <c r="H46" s="612" t="s">
        <v>397</v>
      </c>
      <c r="I46" s="612" t="s">
        <v>399</v>
      </c>
      <c r="J46" s="612" t="s">
        <v>401</v>
      </c>
    </row>
    <row r="47" spans="1:11" ht="51">
      <c r="A47" s="605">
        <f>+A45+1</f>
        <v>31</v>
      </c>
      <c r="B47" s="613" t="s">
        <v>635</v>
      </c>
      <c r="C47" s="613" t="s">
        <v>1209</v>
      </c>
      <c r="D47" s="613" t="s">
        <v>1210</v>
      </c>
      <c r="E47" s="613" t="s">
        <v>1211</v>
      </c>
      <c r="F47" s="613" t="s">
        <v>1212</v>
      </c>
      <c r="G47" s="614"/>
      <c r="H47" s="613" t="s">
        <v>1213</v>
      </c>
      <c r="I47" s="613" t="s">
        <v>1214</v>
      </c>
      <c r="J47" s="613" t="s">
        <v>1215</v>
      </c>
    </row>
    <row r="48" spans="1:11">
      <c r="A48" s="605">
        <f t="shared" ref="A48:A62" si="8">+A47+1</f>
        <v>32</v>
      </c>
      <c r="C48" s="614"/>
      <c r="D48" s="614"/>
      <c r="E48" s="614"/>
      <c r="F48" s="614"/>
      <c r="G48" s="614"/>
      <c r="H48" s="614"/>
      <c r="I48" s="614"/>
      <c r="J48" s="614"/>
    </row>
    <row r="49" spans="1:16">
      <c r="A49" s="605">
        <f t="shared" si="8"/>
        <v>33</v>
      </c>
      <c r="B49" s="615" t="s">
        <v>1216</v>
      </c>
      <c r="C49" s="616"/>
      <c r="D49" s="617"/>
      <c r="E49" s="617"/>
      <c r="F49" s="617"/>
      <c r="G49" s="617"/>
      <c r="H49" s="618"/>
      <c r="I49" s="618"/>
      <c r="J49" s="622">
        <v>0</v>
      </c>
      <c r="K49" s="633"/>
    </row>
    <row r="50" spans="1:16">
      <c r="A50" s="605">
        <f t="shared" si="8"/>
        <v>34</v>
      </c>
      <c r="B50" s="616" t="s">
        <v>651</v>
      </c>
      <c r="C50" s="640">
        <v>31</v>
      </c>
      <c r="D50" s="584">
        <f>E50-C50</f>
        <v>334</v>
      </c>
      <c r="E50" s="584">
        <f t="shared" ref="E50:E61" si="9">$E$12</f>
        <v>365</v>
      </c>
      <c r="F50" s="555">
        <f>IF(E50=0,0,D50/E50)</f>
        <v>0.91506849315068495</v>
      </c>
      <c r="G50" s="552"/>
      <c r="H50" s="619"/>
      <c r="I50" s="553">
        <f>+H50*F50</f>
        <v>0</v>
      </c>
      <c r="J50" s="553">
        <f t="shared" ref="J50:J61" si="10">+I50+J49</f>
        <v>0</v>
      </c>
      <c r="N50" s="919"/>
      <c r="O50" s="641"/>
      <c r="P50" s="641"/>
    </row>
    <row r="51" spans="1:16">
      <c r="A51" s="605">
        <f t="shared" si="8"/>
        <v>35</v>
      </c>
      <c r="B51" s="616" t="s">
        <v>652</v>
      </c>
      <c r="C51" s="584">
        <f>C13</f>
        <v>28</v>
      </c>
      <c r="D51" s="584">
        <f>D50-C51</f>
        <v>306</v>
      </c>
      <c r="E51" s="584">
        <f t="shared" si="9"/>
        <v>365</v>
      </c>
      <c r="F51" s="555">
        <f t="shared" ref="F51:F61" si="11">IF(E51=0,0,D51/E51)</f>
        <v>0.83835616438356164</v>
      </c>
      <c r="G51" s="552"/>
      <c r="H51" s="619"/>
      <c r="I51" s="553">
        <f t="shared" ref="I51:I61" si="12">+H51*F51</f>
        <v>0</v>
      </c>
      <c r="J51" s="553">
        <f t="shared" si="10"/>
        <v>0</v>
      </c>
      <c r="N51" s="919"/>
      <c r="O51" s="641"/>
      <c r="P51" s="641"/>
    </row>
    <row r="52" spans="1:16">
      <c r="A52" s="605">
        <f t="shared" si="8"/>
        <v>36</v>
      </c>
      <c r="B52" s="616" t="s">
        <v>829</v>
      </c>
      <c r="C52" s="640">
        <v>31</v>
      </c>
      <c r="D52" s="584">
        <f t="shared" ref="D52:D60" si="13">D51-C52</f>
        <v>275</v>
      </c>
      <c r="E52" s="584">
        <f t="shared" si="9"/>
        <v>365</v>
      </c>
      <c r="F52" s="555">
        <f t="shared" si="11"/>
        <v>0.75342465753424659</v>
      </c>
      <c r="G52" s="552"/>
      <c r="H52" s="619"/>
      <c r="I52" s="553">
        <f t="shared" si="12"/>
        <v>0</v>
      </c>
      <c r="J52" s="553">
        <f t="shared" si="10"/>
        <v>0</v>
      </c>
      <c r="N52" s="919"/>
      <c r="O52" s="641"/>
      <c r="P52" s="641"/>
    </row>
    <row r="53" spans="1:16">
      <c r="A53" s="605">
        <f t="shared" si="8"/>
        <v>37</v>
      </c>
      <c r="B53" s="616" t="s">
        <v>654</v>
      </c>
      <c r="C53" s="640">
        <v>30</v>
      </c>
      <c r="D53" s="584">
        <f t="shared" si="13"/>
        <v>245</v>
      </c>
      <c r="E53" s="584">
        <f t="shared" si="9"/>
        <v>365</v>
      </c>
      <c r="F53" s="555">
        <f t="shared" si="11"/>
        <v>0.67123287671232879</v>
      </c>
      <c r="G53" s="552"/>
      <c r="H53" s="619"/>
      <c r="I53" s="553">
        <f t="shared" si="12"/>
        <v>0</v>
      </c>
      <c r="J53" s="553">
        <f t="shared" si="10"/>
        <v>0</v>
      </c>
      <c r="N53" s="919"/>
      <c r="O53" s="641"/>
      <c r="P53" s="641"/>
    </row>
    <row r="54" spans="1:16">
      <c r="A54" s="605">
        <f t="shared" si="8"/>
        <v>38</v>
      </c>
      <c r="B54" s="616" t="s">
        <v>655</v>
      </c>
      <c r="C54" s="640">
        <v>31</v>
      </c>
      <c r="D54" s="584">
        <f t="shared" si="13"/>
        <v>214</v>
      </c>
      <c r="E54" s="584">
        <f t="shared" si="9"/>
        <v>365</v>
      </c>
      <c r="F54" s="555">
        <f t="shared" si="11"/>
        <v>0.58630136986301373</v>
      </c>
      <c r="G54" s="552"/>
      <c r="H54" s="619"/>
      <c r="I54" s="553">
        <f t="shared" si="12"/>
        <v>0</v>
      </c>
      <c r="J54" s="553">
        <f t="shared" si="10"/>
        <v>0</v>
      </c>
      <c r="N54" s="919"/>
      <c r="O54" s="641"/>
      <c r="P54" s="641"/>
    </row>
    <row r="55" spans="1:16">
      <c r="A55" s="605">
        <f t="shared" si="8"/>
        <v>39</v>
      </c>
      <c r="B55" s="616" t="s">
        <v>18</v>
      </c>
      <c r="C55" s="640">
        <v>30</v>
      </c>
      <c r="D55" s="584">
        <f t="shared" si="13"/>
        <v>184</v>
      </c>
      <c r="E55" s="584">
        <f t="shared" si="9"/>
        <v>365</v>
      </c>
      <c r="F55" s="555">
        <f t="shared" si="11"/>
        <v>0.50410958904109593</v>
      </c>
      <c r="G55" s="552"/>
      <c r="H55" s="619"/>
      <c r="I55" s="553">
        <f t="shared" si="12"/>
        <v>0</v>
      </c>
      <c r="J55" s="553">
        <f t="shared" si="10"/>
        <v>0</v>
      </c>
      <c r="N55" s="919"/>
      <c r="O55" s="641"/>
      <c r="P55" s="641"/>
    </row>
    <row r="56" spans="1:16">
      <c r="A56" s="605">
        <f t="shared" si="8"/>
        <v>40</v>
      </c>
      <c r="B56" s="616" t="s">
        <v>656</v>
      </c>
      <c r="C56" s="640">
        <v>31</v>
      </c>
      <c r="D56" s="584">
        <f t="shared" si="13"/>
        <v>153</v>
      </c>
      <c r="E56" s="584">
        <f t="shared" si="9"/>
        <v>365</v>
      </c>
      <c r="F56" s="555">
        <f t="shared" si="11"/>
        <v>0.41917808219178082</v>
      </c>
      <c r="G56" s="552"/>
      <c r="H56" s="619"/>
      <c r="I56" s="553">
        <f t="shared" si="12"/>
        <v>0</v>
      </c>
      <c r="J56" s="553">
        <f t="shared" si="10"/>
        <v>0</v>
      </c>
      <c r="N56" s="919"/>
      <c r="O56" s="641"/>
      <c r="P56" s="641"/>
    </row>
    <row r="57" spans="1:16">
      <c r="A57" s="605">
        <f t="shared" si="8"/>
        <v>41</v>
      </c>
      <c r="B57" s="616" t="s">
        <v>830</v>
      </c>
      <c r="C57" s="640">
        <v>31</v>
      </c>
      <c r="D57" s="584">
        <f t="shared" si="13"/>
        <v>122</v>
      </c>
      <c r="E57" s="584">
        <f t="shared" si="9"/>
        <v>365</v>
      </c>
      <c r="F57" s="555">
        <f t="shared" si="11"/>
        <v>0.33424657534246577</v>
      </c>
      <c r="G57" s="552"/>
      <c r="H57" s="619"/>
      <c r="I57" s="553">
        <f t="shared" si="12"/>
        <v>0</v>
      </c>
      <c r="J57" s="553">
        <f t="shared" si="10"/>
        <v>0</v>
      </c>
      <c r="N57" s="919"/>
      <c r="O57" s="641"/>
      <c r="P57" s="641"/>
    </row>
    <row r="58" spans="1:16">
      <c r="A58" s="605">
        <f t="shared" si="8"/>
        <v>42</v>
      </c>
      <c r="B58" s="616" t="s">
        <v>658</v>
      </c>
      <c r="C58" s="640">
        <v>30</v>
      </c>
      <c r="D58" s="584">
        <f t="shared" si="13"/>
        <v>92</v>
      </c>
      <c r="E58" s="584">
        <f t="shared" si="9"/>
        <v>365</v>
      </c>
      <c r="F58" s="555">
        <f t="shared" si="11"/>
        <v>0.25205479452054796</v>
      </c>
      <c r="G58" s="552"/>
      <c r="H58" s="619"/>
      <c r="I58" s="553">
        <f t="shared" si="12"/>
        <v>0</v>
      </c>
      <c r="J58" s="553">
        <f t="shared" si="10"/>
        <v>0</v>
      </c>
      <c r="N58" s="919"/>
      <c r="O58" s="641"/>
      <c r="P58" s="641"/>
    </row>
    <row r="59" spans="1:16">
      <c r="A59" s="605">
        <f t="shared" si="8"/>
        <v>43</v>
      </c>
      <c r="B59" s="616" t="s">
        <v>659</v>
      </c>
      <c r="C59" s="640">
        <v>31</v>
      </c>
      <c r="D59" s="584">
        <f t="shared" si="13"/>
        <v>61</v>
      </c>
      <c r="E59" s="584">
        <f t="shared" si="9"/>
        <v>365</v>
      </c>
      <c r="F59" s="555">
        <f t="shared" si="11"/>
        <v>0.16712328767123288</v>
      </c>
      <c r="G59" s="552"/>
      <c r="H59" s="619"/>
      <c r="I59" s="553">
        <f t="shared" si="12"/>
        <v>0</v>
      </c>
      <c r="J59" s="553">
        <f t="shared" si="10"/>
        <v>0</v>
      </c>
      <c r="N59" s="919"/>
      <c r="O59" s="641"/>
      <c r="P59" s="641"/>
    </row>
    <row r="60" spans="1:16">
      <c r="A60" s="605">
        <f t="shared" si="8"/>
        <v>44</v>
      </c>
      <c r="B60" s="616" t="s">
        <v>660</v>
      </c>
      <c r="C60" s="640">
        <v>30</v>
      </c>
      <c r="D60" s="584">
        <f t="shared" si="13"/>
        <v>31</v>
      </c>
      <c r="E60" s="584">
        <f t="shared" si="9"/>
        <v>365</v>
      </c>
      <c r="F60" s="555">
        <f t="shared" si="11"/>
        <v>8.4931506849315067E-2</v>
      </c>
      <c r="G60" s="552"/>
      <c r="H60" s="619"/>
      <c r="I60" s="553">
        <f t="shared" si="12"/>
        <v>0</v>
      </c>
      <c r="J60" s="553">
        <f t="shared" si="10"/>
        <v>0</v>
      </c>
      <c r="N60" s="919"/>
      <c r="O60" s="641"/>
      <c r="P60" s="641"/>
    </row>
    <row r="61" spans="1:16">
      <c r="A61" s="605">
        <f t="shared" si="8"/>
        <v>45</v>
      </c>
      <c r="B61" s="616" t="s">
        <v>831</v>
      </c>
      <c r="C61" s="640">
        <v>31</v>
      </c>
      <c r="D61" s="584">
        <v>1</v>
      </c>
      <c r="E61" s="584">
        <f t="shared" si="9"/>
        <v>365</v>
      </c>
      <c r="F61" s="555">
        <f t="shared" si="11"/>
        <v>2.7397260273972603E-3</v>
      </c>
      <c r="G61" s="552"/>
      <c r="H61" s="619"/>
      <c r="I61" s="553">
        <f t="shared" si="12"/>
        <v>0</v>
      </c>
      <c r="J61" s="553">
        <f t="shared" si="10"/>
        <v>0</v>
      </c>
      <c r="N61" s="919"/>
      <c r="O61" s="641"/>
      <c r="P61" s="641"/>
    </row>
    <row r="62" spans="1:16">
      <c r="A62" s="605">
        <f t="shared" si="8"/>
        <v>46</v>
      </c>
      <c r="B62" s="623"/>
      <c r="C62" s="623" t="s">
        <v>90</v>
      </c>
      <c r="D62" s="623"/>
      <c r="E62" s="623"/>
      <c r="F62" s="624"/>
      <c r="G62" s="617"/>
      <c r="H62" s="625">
        <f>SUM(H50:H61)</f>
        <v>0</v>
      </c>
      <c r="I62" s="625">
        <f>SUM(I50:I61)</f>
        <v>0</v>
      </c>
      <c r="J62" s="624"/>
    </row>
    <row r="63" spans="1:16">
      <c r="B63" s="626"/>
      <c r="C63" s="626"/>
      <c r="D63" s="626"/>
      <c r="E63" s="626"/>
      <c r="F63" s="627"/>
      <c r="G63" s="627"/>
      <c r="I63" s="628"/>
      <c r="J63" s="627"/>
    </row>
    <row r="64" spans="1:16">
      <c r="A64" s="605">
        <f>+A62+1</f>
        <v>47</v>
      </c>
      <c r="B64" s="605" t="s">
        <v>1238</v>
      </c>
      <c r="F64" s="605" t="s">
        <v>1239</v>
      </c>
      <c r="G64" s="627"/>
      <c r="I64" s="627"/>
      <c r="J64" s="622">
        <v>0</v>
      </c>
    </row>
    <row r="65" spans="1:11">
      <c r="A65" s="605">
        <f>+A64+1</f>
        <v>48</v>
      </c>
      <c r="B65" s="605" t="s">
        <v>1240</v>
      </c>
      <c r="F65" s="605" t="str">
        <f>"(Line "&amp;A64&amp;" less line "&amp;A66&amp;")"</f>
        <v>(Line 47 less line 49)</v>
      </c>
      <c r="G65" s="627"/>
      <c r="I65" s="627"/>
      <c r="J65" s="629">
        <f>+J64-J66</f>
        <v>0</v>
      </c>
    </row>
    <row r="66" spans="1:11">
      <c r="A66" s="605">
        <f t="shared" ref="A66:A72" si="14">+A65+1</f>
        <v>49</v>
      </c>
      <c r="B66" s="605" t="s">
        <v>1241</v>
      </c>
      <c r="F66" s="605" t="str">
        <f>"(Line "&amp;A49&amp;", Col H)"</f>
        <v>(Line 33, Col H)</v>
      </c>
      <c r="G66" s="627"/>
      <c r="I66" s="627"/>
      <c r="J66" s="618">
        <f>+J49</f>
        <v>0</v>
      </c>
    </row>
    <row r="67" spans="1:11">
      <c r="A67" s="605">
        <f t="shared" si="14"/>
        <v>50</v>
      </c>
      <c r="B67" s="605" t="s">
        <v>1242</v>
      </c>
      <c r="F67" s="605" t="s">
        <v>1243</v>
      </c>
      <c r="G67" s="627"/>
      <c r="I67" s="627"/>
      <c r="J67" s="622">
        <v>0</v>
      </c>
    </row>
    <row r="68" spans="1:11">
      <c r="A68" s="605">
        <f t="shared" si="14"/>
        <v>51</v>
      </c>
      <c r="B68" s="605" t="str">
        <f>+B65</f>
        <v>Less non Prorated Items</v>
      </c>
      <c r="F68" s="605" t="str">
        <f>"(Line "&amp;A67&amp;" less line "&amp;A69&amp;")"</f>
        <v>(Line 50 less line 52)</v>
      </c>
      <c r="G68" s="627"/>
      <c r="I68" s="627"/>
      <c r="J68" s="629">
        <f>+J67-J69</f>
        <v>0</v>
      </c>
    </row>
    <row r="69" spans="1:11">
      <c r="A69" s="605">
        <f t="shared" si="14"/>
        <v>52</v>
      </c>
      <c r="B69" s="605" t="s">
        <v>1228</v>
      </c>
      <c r="F69" s="605" t="str">
        <f>"(Line "&amp;A61&amp;", Col H)"</f>
        <v>(Line 45, Col H)</v>
      </c>
      <c r="G69" s="627"/>
      <c r="I69" s="627"/>
      <c r="J69" s="618">
        <f>+J61</f>
        <v>0</v>
      </c>
    </row>
    <row r="70" spans="1:11">
      <c r="A70" s="605">
        <f t="shared" si="14"/>
        <v>53</v>
      </c>
      <c r="B70" s="605" t="s">
        <v>537</v>
      </c>
      <c r="F70" s="605" t="str">
        <f>"([Lines "&amp;A66&amp;" + "&amp;A69&amp;"] /2)+([Lines "&amp;A65&amp;" +"&amp;A68&amp;")/2])"</f>
        <v>([Lines 49 + 52] /2)+([Lines 48 +51)/2])</v>
      </c>
      <c r="G70" s="627"/>
      <c r="I70" s="614"/>
      <c r="J70" s="630">
        <f>(J66+J69)/2+(J65+J68)/2</f>
        <v>0</v>
      </c>
    </row>
    <row r="71" spans="1:11">
      <c r="A71" s="605">
        <f t="shared" si="14"/>
        <v>54</v>
      </c>
      <c r="B71" s="605" t="s">
        <v>423</v>
      </c>
      <c r="G71" s="627"/>
      <c r="I71" s="614"/>
      <c r="J71" s="640">
        <v>0</v>
      </c>
    </row>
    <row r="72" spans="1:11">
      <c r="A72" s="605">
        <f t="shared" si="14"/>
        <v>55</v>
      </c>
      <c r="B72" s="605" t="s">
        <v>1234</v>
      </c>
      <c r="F72" s="605" t="s">
        <v>1244</v>
      </c>
      <c r="J72" s="631">
        <f>+J70</f>
        <v>0</v>
      </c>
    </row>
    <row r="73" spans="1:11">
      <c r="A73" s="1047" t="str">
        <f>A1</f>
        <v>Worksheet P5</v>
      </c>
      <c r="B73" s="1047"/>
      <c r="C73" s="1047"/>
      <c r="D73" s="1047"/>
      <c r="E73" s="1047"/>
      <c r="F73" s="1047"/>
      <c r="G73" s="1047"/>
      <c r="H73" s="1047"/>
      <c r="I73" s="1047"/>
      <c r="J73" s="1047"/>
      <c r="K73" s="1047"/>
    </row>
    <row r="74" spans="1:11">
      <c r="A74" s="1047" t="str">
        <f>A2</f>
        <v>Accumulated Deferred Income Taxes</v>
      </c>
      <c r="B74" s="1047"/>
      <c r="C74" s="1047"/>
      <c r="D74" s="1047"/>
      <c r="E74" s="1047"/>
      <c r="F74" s="1047"/>
      <c r="G74" s="1047"/>
      <c r="H74" s="1047"/>
      <c r="I74" s="1047"/>
      <c r="J74" s="1047"/>
      <c r="K74" s="1047"/>
    </row>
    <row r="75" spans="1:11">
      <c r="A75" s="1047" t="str">
        <f>A3</f>
        <v>Black Hills Colorado Electric, LLC</v>
      </c>
      <c r="B75" s="1047"/>
      <c r="C75" s="1047"/>
      <c r="D75" s="1047"/>
      <c r="E75" s="1047"/>
      <c r="F75" s="1047"/>
      <c r="G75" s="1047"/>
      <c r="H75" s="1047"/>
      <c r="I75" s="1047"/>
      <c r="J75" s="1047"/>
      <c r="K75" s="1047"/>
    </row>
    <row r="76" spans="1:11">
      <c r="A76" s="634"/>
      <c r="B76" s="634"/>
      <c r="C76" s="634"/>
      <c r="D76" s="634"/>
      <c r="E76" s="634"/>
      <c r="F76" s="634"/>
      <c r="G76" s="634"/>
      <c r="H76" s="634"/>
      <c r="I76" s="634"/>
      <c r="J76" s="607" t="s">
        <v>1245</v>
      </c>
      <c r="K76" s="634"/>
    </row>
    <row r="78" spans="1:11">
      <c r="A78" s="605">
        <f>+A72+1</f>
        <v>56</v>
      </c>
      <c r="B78" s="608" t="s">
        <v>1246</v>
      </c>
      <c r="H78" s="609"/>
      <c r="I78" s="609"/>
      <c r="J78" s="609"/>
    </row>
    <row r="79" spans="1:11">
      <c r="A79" s="605">
        <f>+A78+1</f>
        <v>57</v>
      </c>
      <c r="B79" s="1052" t="s">
        <v>1207</v>
      </c>
      <c r="C79" s="1053"/>
      <c r="D79" s="1053"/>
      <c r="E79" s="1053"/>
      <c r="F79" s="1054"/>
      <c r="G79" s="611"/>
      <c r="H79" s="1048" t="s">
        <v>1208</v>
      </c>
      <c r="I79" s="1049"/>
      <c r="J79" s="1050"/>
    </row>
    <row r="80" spans="1:11">
      <c r="B80" s="612" t="s">
        <v>387</v>
      </c>
      <c r="C80" s="612" t="s">
        <v>389</v>
      </c>
      <c r="D80" s="612" t="s">
        <v>391</v>
      </c>
      <c r="E80" s="612" t="s">
        <v>393</v>
      </c>
      <c r="F80" s="612" t="s">
        <v>395</v>
      </c>
      <c r="G80" s="611"/>
      <c r="H80" s="612" t="s">
        <v>397</v>
      </c>
      <c r="I80" s="612" t="s">
        <v>399</v>
      </c>
      <c r="J80" s="612" t="s">
        <v>401</v>
      </c>
    </row>
    <row r="81" spans="1:16" ht="51">
      <c r="A81" s="605">
        <f>+A79+1</f>
        <v>58</v>
      </c>
      <c r="B81" s="613" t="s">
        <v>635</v>
      </c>
      <c r="C81" s="613" t="s">
        <v>1209</v>
      </c>
      <c r="D81" s="613" t="s">
        <v>1210</v>
      </c>
      <c r="E81" s="613" t="s">
        <v>1211</v>
      </c>
      <c r="F81" s="613" t="s">
        <v>1212</v>
      </c>
      <c r="G81" s="614"/>
      <c r="H81" s="613" t="s">
        <v>1213</v>
      </c>
      <c r="I81" s="613" t="s">
        <v>1214</v>
      </c>
      <c r="J81" s="613" t="s">
        <v>1215</v>
      </c>
    </row>
    <row r="82" spans="1:16">
      <c r="A82" s="605">
        <f t="shared" ref="A82:A96" si="15">+A81+1</f>
        <v>59</v>
      </c>
      <c r="C82" s="614"/>
      <c r="D82" s="614"/>
      <c r="E82" s="614"/>
      <c r="F82" s="614"/>
      <c r="G82" s="614"/>
      <c r="H82" s="614"/>
      <c r="I82" s="614"/>
      <c r="J82" s="614"/>
      <c r="L82" s="635"/>
      <c r="M82" s="635"/>
      <c r="N82" s="920"/>
      <c r="O82" s="635"/>
      <c r="P82" s="635"/>
    </row>
    <row r="83" spans="1:16">
      <c r="A83" s="605">
        <f>+A82+1</f>
        <v>60</v>
      </c>
      <c r="B83" s="605" t="s">
        <v>1241</v>
      </c>
      <c r="C83" s="616"/>
      <c r="D83" s="617"/>
      <c r="E83" s="617"/>
      <c r="F83" s="617"/>
      <c r="G83" s="617"/>
      <c r="H83" s="618"/>
      <c r="I83" s="618"/>
      <c r="J83" s="622">
        <v>0</v>
      </c>
      <c r="L83" s="636"/>
      <c r="M83" s="635"/>
      <c r="O83" s="635"/>
      <c r="P83" s="635"/>
    </row>
    <row r="84" spans="1:16">
      <c r="A84" s="605">
        <f t="shared" si="15"/>
        <v>61</v>
      </c>
      <c r="B84" s="616" t="s">
        <v>651</v>
      </c>
      <c r="C84" s="640">
        <v>31</v>
      </c>
      <c r="D84" s="584">
        <f>E84-C84</f>
        <v>334</v>
      </c>
      <c r="E84" s="584">
        <f t="shared" ref="E84:E95" si="16">$E$12</f>
        <v>365</v>
      </c>
      <c r="F84" s="572">
        <f>IF(E84=0,0,D84/E84)</f>
        <v>0.91506849315068495</v>
      </c>
      <c r="G84" s="637"/>
      <c r="H84" s="619">
        <f>'P1-Trans Plant'!AA30</f>
        <v>-95792.203588321223</v>
      </c>
      <c r="I84" s="582">
        <f>+H84*F84</f>
        <v>-87656.427393148741</v>
      </c>
      <c r="J84" s="582">
        <f>+I84+J83</f>
        <v>-87656.427393148741</v>
      </c>
      <c r="L84" s="554"/>
      <c r="M84" s="958"/>
      <c r="O84" s="641"/>
      <c r="P84" s="641"/>
    </row>
    <row r="85" spans="1:16">
      <c r="A85" s="605">
        <f t="shared" si="15"/>
        <v>62</v>
      </c>
      <c r="B85" s="616" t="s">
        <v>652</v>
      </c>
      <c r="C85" s="584">
        <f>C13</f>
        <v>28</v>
      </c>
      <c r="D85" s="584">
        <f>D84-C85</f>
        <v>306</v>
      </c>
      <c r="E85" s="584">
        <f t="shared" si="16"/>
        <v>365</v>
      </c>
      <c r="F85" s="572">
        <f t="shared" ref="F85:F95" si="17">IF(E85=0,0,D85/E85)</f>
        <v>0.83835616438356164</v>
      </c>
      <c r="G85" s="556"/>
      <c r="H85" s="619">
        <f>'P1-Trans Plant'!AA31</f>
        <v>-81800.477251180404</v>
      </c>
      <c r="I85" s="582">
        <f t="shared" ref="I85:I95" si="18">+H85*F85</f>
        <v>-68577.934353044388</v>
      </c>
      <c r="J85" s="582">
        <f t="shared" ref="J85:J95" si="19">+I85+J84</f>
        <v>-156234.36174619314</v>
      </c>
      <c r="K85" s="638"/>
      <c r="L85" s="554"/>
      <c r="M85" s="554"/>
      <c r="O85" s="641"/>
      <c r="P85" s="641"/>
    </row>
    <row r="86" spans="1:16">
      <c r="A86" s="605">
        <f t="shared" si="15"/>
        <v>63</v>
      </c>
      <c r="B86" s="616" t="s">
        <v>829</v>
      </c>
      <c r="C86" s="640">
        <v>31</v>
      </c>
      <c r="D86" s="584">
        <f t="shared" ref="D86:D94" si="20">D85-C86</f>
        <v>275</v>
      </c>
      <c r="E86" s="584">
        <f t="shared" si="16"/>
        <v>365</v>
      </c>
      <c r="F86" s="572">
        <f t="shared" si="17"/>
        <v>0.75342465753424659</v>
      </c>
      <c r="G86" s="556"/>
      <c r="H86" s="619">
        <f>'P1-Trans Plant'!AA32</f>
        <v>-81646.32717496519</v>
      </c>
      <c r="I86" s="582">
        <f t="shared" si="18"/>
        <v>-61514.356090727197</v>
      </c>
      <c r="J86" s="582">
        <f t="shared" si="19"/>
        <v>-217748.71783692035</v>
      </c>
      <c r="L86" s="554"/>
      <c r="M86" s="554"/>
      <c r="O86" s="641"/>
      <c r="P86" s="641"/>
    </row>
    <row r="87" spans="1:16">
      <c r="A87" s="605">
        <f t="shared" si="15"/>
        <v>64</v>
      </c>
      <c r="B87" s="616" t="s">
        <v>654</v>
      </c>
      <c r="C87" s="640">
        <v>30</v>
      </c>
      <c r="D87" s="584">
        <f t="shared" si="20"/>
        <v>245</v>
      </c>
      <c r="E87" s="584">
        <f t="shared" si="16"/>
        <v>365</v>
      </c>
      <c r="F87" s="572">
        <f t="shared" si="17"/>
        <v>0.67123287671232879</v>
      </c>
      <c r="G87" s="556"/>
      <c r="H87" s="619">
        <f>'P1-Trans Plant'!AA33</f>
        <v>-81474.971504143265</v>
      </c>
      <c r="I87" s="582">
        <f t="shared" si="18"/>
        <v>-54688.679502781095</v>
      </c>
      <c r="J87" s="582">
        <f t="shared" si="19"/>
        <v>-272437.39733970142</v>
      </c>
      <c r="L87" s="554"/>
      <c r="M87" s="554"/>
      <c r="O87" s="641"/>
      <c r="P87" s="641"/>
    </row>
    <row r="88" spans="1:16">
      <c r="A88" s="605">
        <f t="shared" si="15"/>
        <v>65</v>
      </c>
      <c r="B88" s="616" t="s">
        <v>655</v>
      </c>
      <c r="C88" s="640">
        <v>31</v>
      </c>
      <c r="D88" s="584">
        <f t="shared" si="20"/>
        <v>214</v>
      </c>
      <c r="E88" s="584">
        <f t="shared" si="16"/>
        <v>365</v>
      </c>
      <c r="F88" s="572">
        <f t="shared" si="17"/>
        <v>0.58630136986301373</v>
      </c>
      <c r="G88" s="556"/>
      <c r="H88" s="619">
        <f>'P1-Trans Plant'!AA34</f>
        <v>-81439.277516178438</v>
      </c>
      <c r="I88" s="582">
        <f t="shared" si="18"/>
        <v>-47747.95996838955</v>
      </c>
      <c r="J88" s="582">
        <f t="shared" si="19"/>
        <v>-320185.35730809096</v>
      </c>
      <c r="L88" s="554"/>
      <c r="M88" s="554"/>
      <c r="O88" s="641"/>
      <c r="P88" s="641"/>
    </row>
    <row r="89" spans="1:16">
      <c r="A89" s="605">
        <f t="shared" si="15"/>
        <v>66</v>
      </c>
      <c r="B89" s="616" t="s">
        <v>18</v>
      </c>
      <c r="C89" s="640">
        <v>30</v>
      </c>
      <c r="D89" s="584">
        <f t="shared" si="20"/>
        <v>184</v>
      </c>
      <c r="E89" s="584">
        <f t="shared" si="16"/>
        <v>365</v>
      </c>
      <c r="F89" s="572">
        <f t="shared" si="17"/>
        <v>0.50410958904109593</v>
      </c>
      <c r="G89" s="556"/>
      <c r="H89" s="619">
        <f>'P1-Trans Plant'!AA35</f>
        <v>-81402.44491575702</v>
      </c>
      <c r="I89" s="582">
        <f t="shared" si="18"/>
        <v>-41035.753053422719</v>
      </c>
      <c r="J89" s="582">
        <f t="shared" si="19"/>
        <v>-361221.11036151368</v>
      </c>
      <c r="L89" s="554"/>
      <c r="M89" s="554"/>
      <c r="O89" s="641"/>
      <c r="P89" s="641"/>
    </row>
    <row r="90" spans="1:16">
      <c r="A90" s="605">
        <f t="shared" si="15"/>
        <v>67</v>
      </c>
      <c r="B90" s="616" t="s">
        <v>656</v>
      </c>
      <c r="C90" s="640">
        <v>31</v>
      </c>
      <c r="D90" s="584">
        <f t="shared" si="20"/>
        <v>153</v>
      </c>
      <c r="E90" s="584">
        <f t="shared" si="16"/>
        <v>365</v>
      </c>
      <c r="F90" s="572">
        <f t="shared" si="17"/>
        <v>0.41917808219178082</v>
      </c>
      <c r="G90" s="556"/>
      <c r="H90" s="619">
        <f>'P1-Trans Plant'!AA36</f>
        <v>-81365.585180082882</v>
      </c>
      <c r="I90" s="582">
        <f t="shared" si="18"/>
        <v>-34106.669952199125</v>
      </c>
      <c r="J90" s="582">
        <f t="shared" si="19"/>
        <v>-395327.78031371278</v>
      </c>
      <c r="L90" s="554"/>
      <c r="M90" s="554"/>
      <c r="O90" s="641"/>
      <c r="P90" s="641"/>
    </row>
    <row r="91" spans="1:16">
      <c r="A91" s="605">
        <f t="shared" si="15"/>
        <v>68</v>
      </c>
      <c r="B91" s="616" t="s">
        <v>830</v>
      </c>
      <c r="C91" s="640">
        <v>31</v>
      </c>
      <c r="D91" s="584">
        <f t="shared" si="20"/>
        <v>122</v>
      </c>
      <c r="E91" s="584">
        <f t="shared" si="16"/>
        <v>365</v>
      </c>
      <c r="F91" s="572">
        <f t="shared" si="17"/>
        <v>0.33424657534246577</v>
      </c>
      <c r="G91" s="556"/>
      <c r="H91" s="619">
        <f>'P1-Trans Plant'!AA37</f>
        <v>-80252.068934803508</v>
      </c>
      <c r="I91" s="582">
        <f t="shared" si="18"/>
        <v>-26823.979205605556</v>
      </c>
      <c r="J91" s="582">
        <f t="shared" si="19"/>
        <v>-422151.75951931835</v>
      </c>
      <c r="L91" s="554"/>
      <c r="M91" s="554"/>
      <c r="O91" s="641"/>
      <c r="P91" s="641"/>
    </row>
    <row r="92" spans="1:16">
      <c r="A92" s="605">
        <f t="shared" si="15"/>
        <v>69</v>
      </c>
      <c r="B92" s="616" t="s">
        <v>658</v>
      </c>
      <c r="C92" s="640">
        <v>30</v>
      </c>
      <c r="D92" s="584">
        <f t="shared" si="20"/>
        <v>92</v>
      </c>
      <c r="E92" s="584">
        <f t="shared" si="16"/>
        <v>365</v>
      </c>
      <c r="F92" s="572">
        <f t="shared" si="17"/>
        <v>0.25205479452054796</v>
      </c>
      <c r="G92" s="556"/>
      <c r="H92" s="619">
        <f>'P1-Trans Plant'!AA38</f>
        <v>-80215.967049496117</v>
      </c>
      <c r="I92" s="582">
        <f t="shared" si="18"/>
        <v>-20218.819091927791</v>
      </c>
      <c r="J92" s="582">
        <f t="shared" si="19"/>
        <v>-442370.57861124614</v>
      </c>
      <c r="L92" s="554"/>
      <c r="M92" s="554"/>
      <c r="O92" s="641"/>
      <c r="P92" s="641"/>
    </row>
    <row r="93" spans="1:16">
      <c r="A93" s="605">
        <f t="shared" si="15"/>
        <v>70</v>
      </c>
      <c r="B93" s="616" t="s">
        <v>659</v>
      </c>
      <c r="C93" s="640">
        <v>31</v>
      </c>
      <c r="D93" s="584">
        <f t="shared" si="20"/>
        <v>61</v>
      </c>
      <c r="E93" s="584">
        <f t="shared" si="16"/>
        <v>365</v>
      </c>
      <c r="F93" s="572">
        <f t="shared" si="17"/>
        <v>0.16712328767123288</v>
      </c>
      <c r="G93" s="556"/>
      <c r="H93" s="619">
        <f>'P1-Trans Plant'!AA39</f>
        <v>-80135.821281100623</v>
      </c>
      <c r="I93" s="582">
        <f t="shared" si="18"/>
        <v>-13392.561912731886</v>
      </c>
      <c r="J93" s="582">
        <f t="shared" si="19"/>
        <v>-455763.14052397804</v>
      </c>
      <c r="L93" s="554"/>
      <c r="M93" s="554"/>
      <c r="O93" s="641"/>
      <c r="P93" s="641"/>
    </row>
    <row r="94" spans="1:16">
      <c r="A94" s="605">
        <f t="shared" si="15"/>
        <v>71</v>
      </c>
      <c r="B94" s="616" t="s">
        <v>660</v>
      </c>
      <c r="C94" s="640">
        <v>30</v>
      </c>
      <c r="D94" s="584">
        <f t="shared" si="20"/>
        <v>31</v>
      </c>
      <c r="E94" s="584">
        <f t="shared" si="16"/>
        <v>365</v>
      </c>
      <c r="F94" s="572">
        <f t="shared" si="17"/>
        <v>8.4931506849315067E-2</v>
      </c>
      <c r="G94" s="556"/>
      <c r="H94" s="619">
        <f>'P1-Trans Plant'!AA40</f>
        <v>-80099.907408277795</v>
      </c>
      <c r="I94" s="582">
        <f t="shared" si="18"/>
        <v>-6803.0058346756487</v>
      </c>
      <c r="J94" s="582">
        <f t="shared" si="19"/>
        <v>-462566.14635865367</v>
      </c>
      <c r="L94" s="554"/>
      <c r="M94" s="554"/>
      <c r="O94" s="641"/>
      <c r="P94" s="641"/>
    </row>
    <row r="95" spans="1:16">
      <c r="A95" s="605">
        <f t="shared" si="15"/>
        <v>72</v>
      </c>
      <c r="B95" s="616" t="s">
        <v>831</v>
      </c>
      <c r="C95" s="640">
        <v>31</v>
      </c>
      <c r="D95" s="584">
        <v>1</v>
      </c>
      <c r="E95" s="584">
        <f t="shared" si="16"/>
        <v>365</v>
      </c>
      <c r="F95" s="572">
        <f t="shared" si="17"/>
        <v>2.7397260273972603E-3</v>
      </c>
      <c r="G95" s="556"/>
      <c r="H95" s="619">
        <f>'P1-Trans Plant'!AA41</f>
        <v>-80075.381145438383</v>
      </c>
      <c r="I95" s="582">
        <f t="shared" si="18"/>
        <v>-219.38460587791337</v>
      </c>
      <c r="J95" s="582">
        <f t="shared" si="19"/>
        <v>-462785.53096453159</v>
      </c>
      <c r="L95" s="554"/>
      <c r="M95" s="554"/>
      <c r="O95" s="641"/>
      <c r="P95" s="641"/>
    </row>
    <row r="96" spans="1:16">
      <c r="A96" s="605">
        <f t="shared" si="15"/>
        <v>73</v>
      </c>
      <c r="B96" s="623"/>
      <c r="C96" s="623" t="s">
        <v>90</v>
      </c>
      <c r="D96" s="623"/>
      <c r="E96" s="623"/>
      <c r="F96" s="624"/>
      <c r="G96" s="617"/>
      <c r="H96" s="625">
        <f>SUM(H84:H95)</f>
        <v>-985700.43294974486</v>
      </c>
      <c r="I96" s="625">
        <f>SUM(I84:I95)</f>
        <v>-462785.53096453159</v>
      </c>
      <c r="J96" s="624"/>
      <c r="L96" s="639"/>
    </row>
    <row r="97" spans="1:16">
      <c r="B97" s="626"/>
      <c r="C97" s="626"/>
      <c r="D97" s="626"/>
      <c r="E97" s="626"/>
      <c r="F97" s="627"/>
      <c r="G97" s="617"/>
      <c r="H97" s="618"/>
      <c r="I97" s="618"/>
      <c r="J97" s="627"/>
      <c r="L97" s="639"/>
    </row>
    <row r="98" spans="1:16">
      <c r="A98" s="605">
        <f>+A96+1</f>
        <v>74</v>
      </c>
      <c r="B98" s="615" t="s">
        <v>1247</v>
      </c>
      <c r="C98" s="614"/>
      <c r="D98" s="614"/>
      <c r="E98" s="614"/>
      <c r="F98" s="615" t="s">
        <v>1248</v>
      </c>
      <c r="G98" s="614"/>
      <c r="H98" s="614"/>
      <c r="I98" s="614"/>
      <c r="J98" s="174">
        <f>'A3-ADIT'!E13</f>
        <v>-130446407</v>
      </c>
      <c r="L98" s="635"/>
      <c r="M98" s="635"/>
      <c r="N98" s="920"/>
      <c r="O98" s="635"/>
      <c r="P98" s="635"/>
    </row>
    <row r="99" spans="1:16">
      <c r="A99" s="605">
        <f>A98+1</f>
        <v>75</v>
      </c>
      <c r="B99" s="605" t="s">
        <v>1249</v>
      </c>
      <c r="C99" s="614"/>
      <c r="D99" s="614"/>
      <c r="E99" s="614"/>
      <c r="F99" s="615" t="s">
        <v>1250</v>
      </c>
      <c r="G99" s="614"/>
      <c r="H99" s="614"/>
      <c r="I99" s="614"/>
      <c r="J99" s="895">
        <f>'Proj Att-H'!G237</f>
        <v>0.25058740269574026</v>
      </c>
      <c r="L99" s="635"/>
      <c r="M99" s="635"/>
      <c r="N99" s="920"/>
      <c r="O99" s="635"/>
      <c r="P99" s="635"/>
    </row>
    <row r="100" spans="1:16">
      <c r="A100" s="605">
        <f t="shared" ref="A100:A106" si="21">+A99+1</f>
        <v>76</v>
      </c>
      <c r="B100" s="605" t="s">
        <v>1251</v>
      </c>
      <c r="C100" s="614"/>
      <c r="D100" s="614"/>
      <c r="E100" s="614"/>
      <c r="F100" s="615" t="s">
        <v>1252</v>
      </c>
      <c r="G100" s="614"/>
      <c r="H100" s="614"/>
      <c r="I100" s="614"/>
      <c r="J100" s="709">
        <f>J98*J99</f>
        <v>-32688226.321121432</v>
      </c>
      <c r="L100" s="635"/>
      <c r="M100" s="635"/>
      <c r="N100" s="920"/>
      <c r="O100" s="635"/>
      <c r="P100" s="635"/>
    </row>
    <row r="101" spans="1:16">
      <c r="A101" s="605">
        <f t="shared" si="21"/>
        <v>77</v>
      </c>
      <c r="B101" s="605" t="s">
        <v>1225</v>
      </c>
      <c r="C101" s="614"/>
      <c r="D101" s="614"/>
      <c r="E101" s="614"/>
      <c r="F101" s="615" t="s">
        <v>1253</v>
      </c>
      <c r="G101" s="614"/>
      <c r="H101" s="614"/>
      <c r="I101" s="614"/>
      <c r="J101" s="174">
        <f>'P1-Trans Plant'!V42</f>
        <v>-241455.79626537405</v>
      </c>
      <c r="L101" s="635"/>
      <c r="M101" s="635"/>
      <c r="N101" s="920"/>
      <c r="O101" s="635"/>
      <c r="P101" s="635"/>
    </row>
    <row r="102" spans="1:16">
      <c r="A102" s="605">
        <f t="shared" si="21"/>
        <v>78</v>
      </c>
      <c r="B102" s="605" t="s">
        <v>1254</v>
      </c>
      <c r="F102" s="605" t="s">
        <v>1255</v>
      </c>
      <c r="G102" s="627"/>
      <c r="I102" s="627"/>
      <c r="J102" s="640">
        <f>J100+J101</f>
        <v>-32929682.117386807</v>
      </c>
    </row>
    <row r="103" spans="1:16">
      <c r="A103" s="605">
        <f t="shared" si="21"/>
        <v>79</v>
      </c>
      <c r="B103" s="605" t="s">
        <v>1228</v>
      </c>
      <c r="F103" s="605" t="str">
        <f>"(Line "&amp;A95&amp;", Col H)"</f>
        <v>(Line 72, Col H)</v>
      </c>
      <c r="G103" s="627"/>
      <c r="I103" s="627"/>
      <c r="J103" s="618">
        <f>+J95</f>
        <v>-462785.53096453159</v>
      </c>
    </row>
    <row r="104" spans="1:16">
      <c r="A104" s="605">
        <f t="shared" si="21"/>
        <v>80</v>
      </c>
      <c r="B104" s="605" t="s">
        <v>1256</v>
      </c>
      <c r="F104" s="605" t="s">
        <v>1257</v>
      </c>
      <c r="G104" s="627"/>
      <c r="I104" s="614"/>
      <c r="J104" s="630">
        <f>J102+J103</f>
        <v>-33392467.648351338</v>
      </c>
      <c r="L104" s="641"/>
    </row>
    <row r="105" spans="1:16">
      <c r="A105" s="605">
        <f t="shared" si="21"/>
        <v>81</v>
      </c>
      <c r="B105" s="605" t="s">
        <v>423</v>
      </c>
      <c r="G105" s="627"/>
      <c r="I105" s="614"/>
      <c r="J105" s="640">
        <v>0</v>
      </c>
    </row>
    <row r="106" spans="1:16">
      <c r="A106" s="605">
        <f t="shared" si="21"/>
        <v>82</v>
      </c>
      <c r="B106" s="605" t="s">
        <v>1234</v>
      </c>
      <c r="F106" s="605" t="s">
        <v>1258</v>
      </c>
      <c r="J106" s="631">
        <f>+J104</f>
        <v>-33392467.648351338</v>
      </c>
    </row>
    <row r="107" spans="1:16">
      <c r="A107" s="1047" t="str">
        <f>A1</f>
        <v>Worksheet P5</v>
      </c>
      <c r="B107" s="1047"/>
      <c r="C107" s="1047"/>
      <c r="D107" s="1047"/>
      <c r="E107" s="1047"/>
      <c r="F107" s="1047"/>
      <c r="G107" s="1047"/>
      <c r="H107" s="1047"/>
      <c r="I107" s="1047"/>
      <c r="J107" s="1047"/>
      <c r="K107" s="1047"/>
    </row>
    <row r="108" spans="1:16">
      <c r="A108" s="1047" t="str">
        <f>A2</f>
        <v>Accumulated Deferred Income Taxes</v>
      </c>
      <c r="B108" s="1047"/>
      <c r="C108" s="1047"/>
      <c r="D108" s="1047"/>
      <c r="E108" s="1047"/>
      <c r="F108" s="1047"/>
      <c r="G108" s="1047"/>
      <c r="H108" s="1047"/>
      <c r="I108" s="1047"/>
      <c r="J108" s="1047"/>
      <c r="K108" s="1047"/>
    </row>
    <row r="109" spans="1:16">
      <c r="A109" s="1047" t="str">
        <f>A3</f>
        <v>Black Hills Colorado Electric, LLC</v>
      </c>
      <c r="B109" s="1047"/>
      <c r="C109" s="1047"/>
      <c r="D109" s="1047"/>
      <c r="E109" s="1047"/>
      <c r="F109" s="1047"/>
      <c r="G109" s="1047"/>
      <c r="H109" s="1047"/>
      <c r="I109" s="1047"/>
      <c r="J109" s="1047"/>
      <c r="K109" s="1047"/>
    </row>
    <row r="110" spans="1:16">
      <c r="J110" s="607" t="s">
        <v>1259</v>
      </c>
    </row>
    <row r="111" spans="1:16">
      <c r="A111" s="642"/>
      <c r="B111" s="642"/>
      <c r="C111" s="642"/>
      <c r="D111" s="642"/>
      <c r="E111" s="642"/>
      <c r="F111" s="642"/>
      <c r="G111" s="642"/>
      <c r="H111" s="642"/>
    </row>
    <row r="112" spans="1:16">
      <c r="A112" s="605">
        <f>A106+1</f>
        <v>83</v>
      </c>
      <c r="B112" s="608" t="s">
        <v>1260</v>
      </c>
      <c r="H112" s="609"/>
      <c r="I112" s="609"/>
      <c r="J112" s="609"/>
    </row>
    <row r="113" spans="1:16">
      <c r="A113" s="605">
        <f>+A112+1</f>
        <v>84</v>
      </c>
      <c r="B113" s="1048" t="s">
        <v>1207</v>
      </c>
      <c r="C113" s="1049"/>
      <c r="D113" s="1049"/>
      <c r="E113" s="1049"/>
      <c r="F113" s="1050"/>
      <c r="G113" s="611"/>
      <c r="H113" s="1048" t="s">
        <v>1208</v>
      </c>
      <c r="I113" s="1049"/>
      <c r="J113" s="1050"/>
    </row>
    <row r="114" spans="1:16">
      <c r="B114" s="612" t="s">
        <v>387</v>
      </c>
      <c r="C114" s="612" t="s">
        <v>389</v>
      </c>
      <c r="D114" s="612" t="s">
        <v>391</v>
      </c>
      <c r="E114" s="612" t="s">
        <v>393</v>
      </c>
      <c r="F114" s="612" t="s">
        <v>395</v>
      </c>
      <c r="G114" s="611"/>
      <c r="H114" s="612" t="s">
        <v>397</v>
      </c>
      <c r="I114" s="612" t="s">
        <v>399</v>
      </c>
      <c r="J114" s="612" t="s">
        <v>401</v>
      </c>
    </row>
    <row r="115" spans="1:16" ht="51">
      <c r="A115" s="605">
        <f>+A113+1</f>
        <v>85</v>
      </c>
      <c r="B115" s="613" t="s">
        <v>635</v>
      </c>
      <c r="C115" s="613" t="s">
        <v>1209</v>
      </c>
      <c r="D115" s="613" t="s">
        <v>1210</v>
      </c>
      <c r="E115" s="613" t="s">
        <v>1211</v>
      </c>
      <c r="F115" s="613" t="s">
        <v>1212</v>
      </c>
      <c r="G115" s="614"/>
      <c r="H115" s="613" t="s">
        <v>1213</v>
      </c>
      <c r="I115" s="613" t="s">
        <v>1214</v>
      </c>
      <c r="J115" s="613" t="s">
        <v>1215</v>
      </c>
    </row>
    <row r="116" spans="1:16">
      <c r="A116" s="605">
        <f t="shared" ref="A116:A130" si="22">+A115+1</f>
        <v>86</v>
      </c>
      <c r="C116" s="614"/>
      <c r="D116" s="614"/>
      <c r="E116" s="614"/>
      <c r="F116" s="614"/>
      <c r="G116" s="614"/>
      <c r="H116" s="614"/>
      <c r="I116" s="614"/>
      <c r="J116" s="614"/>
    </row>
    <row r="117" spans="1:16">
      <c r="A117" s="605">
        <f t="shared" si="22"/>
        <v>87</v>
      </c>
      <c r="B117" s="615" t="s">
        <v>1216</v>
      </c>
      <c r="C117" s="616"/>
      <c r="D117" s="617"/>
      <c r="E117" s="617"/>
      <c r="F117" s="617"/>
      <c r="G117" s="617"/>
      <c r="H117" s="618"/>
      <c r="I117" s="618"/>
      <c r="J117" s="622">
        <v>0</v>
      </c>
    </row>
    <row r="118" spans="1:16">
      <c r="A118" s="605">
        <f t="shared" si="22"/>
        <v>88</v>
      </c>
      <c r="B118" s="616" t="s">
        <v>651</v>
      </c>
      <c r="C118" s="640">
        <v>31</v>
      </c>
      <c r="D118" s="584">
        <f>E118-C118</f>
        <v>334</v>
      </c>
      <c r="E118" s="584">
        <f t="shared" ref="E118:E129" si="23">$E$12</f>
        <v>365</v>
      </c>
      <c r="F118" s="555">
        <f>IF(E118=0,0,D118/E118)</f>
        <v>0.91506849315068495</v>
      </c>
      <c r="G118" s="552"/>
      <c r="H118" s="619">
        <v>0</v>
      </c>
      <c r="I118" s="553">
        <f>+H118*F118</f>
        <v>0</v>
      </c>
      <c r="J118" s="553">
        <f t="shared" ref="J118:J129" si="24">+I118+J117</f>
        <v>0</v>
      </c>
      <c r="O118" s="641"/>
      <c r="P118" s="641"/>
    </row>
    <row r="119" spans="1:16">
      <c r="A119" s="605">
        <f t="shared" si="22"/>
        <v>89</v>
      </c>
      <c r="B119" s="616" t="s">
        <v>652</v>
      </c>
      <c r="C119" s="584">
        <f>C13</f>
        <v>28</v>
      </c>
      <c r="D119" s="584">
        <f>D118-C119</f>
        <v>306</v>
      </c>
      <c r="E119" s="584">
        <f t="shared" si="23"/>
        <v>365</v>
      </c>
      <c r="F119" s="555">
        <f t="shared" ref="F119:F129" si="25">IF(E119=0,0,D119/E119)</f>
        <v>0.83835616438356164</v>
      </c>
      <c r="G119" s="552"/>
      <c r="H119" s="619">
        <v>0</v>
      </c>
      <c r="I119" s="553">
        <f t="shared" ref="I119:I129" si="26">+H119*F119</f>
        <v>0</v>
      </c>
      <c r="J119" s="553">
        <f t="shared" si="24"/>
        <v>0</v>
      </c>
      <c r="O119" s="641"/>
      <c r="P119" s="641"/>
    </row>
    <row r="120" spans="1:16">
      <c r="A120" s="605">
        <f t="shared" si="22"/>
        <v>90</v>
      </c>
      <c r="B120" s="616" t="s">
        <v>829</v>
      </c>
      <c r="C120" s="640">
        <v>31</v>
      </c>
      <c r="D120" s="584">
        <f t="shared" ref="D120:D128" si="27">D119-C120</f>
        <v>275</v>
      </c>
      <c r="E120" s="584">
        <f t="shared" si="23"/>
        <v>365</v>
      </c>
      <c r="F120" s="555">
        <f t="shared" si="25"/>
        <v>0.75342465753424659</v>
      </c>
      <c r="G120" s="552"/>
      <c r="H120" s="619">
        <v>0</v>
      </c>
      <c r="I120" s="553">
        <f t="shared" si="26"/>
        <v>0</v>
      </c>
      <c r="J120" s="553">
        <f t="shared" si="24"/>
        <v>0</v>
      </c>
      <c r="O120" s="641"/>
      <c r="P120" s="641"/>
    </row>
    <row r="121" spans="1:16">
      <c r="A121" s="605">
        <f t="shared" si="22"/>
        <v>91</v>
      </c>
      <c r="B121" s="616" t="s">
        <v>654</v>
      </c>
      <c r="C121" s="640">
        <v>30</v>
      </c>
      <c r="D121" s="584">
        <f t="shared" si="27"/>
        <v>245</v>
      </c>
      <c r="E121" s="584">
        <f t="shared" si="23"/>
        <v>365</v>
      </c>
      <c r="F121" s="555">
        <f t="shared" si="25"/>
        <v>0.67123287671232879</v>
      </c>
      <c r="G121" s="552"/>
      <c r="H121" s="619">
        <v>0</v>
      </c>
      <c r="I121" s="553">
        <f t="shared" si="26"/>
        <v>0</v>
      </c>
      <c r="J121" s="553">
        <f t="shared" si="24"/>
        <v>0</v>
      </c>
      <c r="O121" s="641"/>
      <c r="P121" s="641"/>
    </row>
    <row r="122" spans="1:16">
      <c r="A122" s="605">
        <f t="shared" si="22"/>
        <v>92</v>
      </c>
      <c r="B122" s="616" t="s">
        <v>655</v>
      </c>
      <c r="C122" s="640">
        <v>31</v>
      </c>
      <c r="D122" s="584">
        <f t="shared" si="27"/>
        <v>214</v>
      </c>
      <c r="E122" s="584">
        <f t="shared" si="23"/>
        <v>365</v>
      </c>
      <c r="F122" s="555">
        <f t="shared" si="25"/>
        <v>0.58630136986301373</v>
      </c>
      <c r="G122" s="552"/>
      <c r="H122" s="619">
        <v>0</v>
      </c>
      <c r="I122" s="553">
        <f t="shared" si="26"/>
        <v>0</v>
      </c>
      <c r="J122" s="553">
        <f t="shared" si="24"/>
        <v>0</v>
      </c>
      <c r="O122" s="641"/>
      <c r="P122" s="641"/>
    </row>
    <row r="123" spans="1:16">
      <c r="A123" s="605">
        <f t="shared" si="22"/>
        <v>93</v>
      </c>
      <c r="B123" s="616" t="s">
        <v>18</v>
      </c>
      <c r="C123" s="640">
        <v>30</v>
      </c>
      <c r="D123" s="584">
        <f t="shared" si="27"/>
        <v>184</v>
      </c>
      <c r="E123" s="584">
        <f t="shared" si="23"/>
        <v>365</v>
      </c>
      <c r="F123" s="555">
        <f t="shared" si="25"/>
        <v>0.50410958904109593</v>
      </c>
      <c r="G123" s="552"/>
      <c r="H123" s="619">
        <v>0</v>
      </c>
      <c r="I123" s="553">
        <f t="shared" si="26"/>
        <v>0</v>
      </c>
      <c r="J123" s="553">
        <f t="shared" si="24"/>
        <v>0</v>
      </c>
      <c r="O123" s="641"/>
      <c r="P123" s="641"/>
    </row>
    <row r="124" spans="1:16">
      <c r="A124" s="605">
        <f t="shared" si="22"/>
        <v>94</v>
      </c>
      <c r="B124" s="616" t="s">
        <v>656</v>
      </c>
      <c r="C124" s="640">
        <v>31</v>
      </c>
      <c r="D124" s="584">
        <f t="shared" si="27"/>
        <v>153</v>
      </c>
      <c r="E124" s="584">
        <f t="shared" si="23"/>
        <v>365</v>
      </c>
      <c r="F124" s="555">
        <f t="shared" si="25"/>
        <v>0.41917808219178082</v>
      </c>
      <c r="G124" s="552"/>
      <c r="H124" s="619">
        <v>0</v>
      </c>
      <c r="I124" s="553">
        <f t="shared" si="26"/>
        <v>0</v>
      </c>
      <c r="J124" s="553">
        <f t="shared" si="24"/>
        <v>0</v>
      </c>
      <c r="O124" s="641"/>
      <c r="P124" s="641"/>
    </row>
    <row r="125" spans="1:16">
      <c r="A125" s="605">
        <f t="shared" si="22"/>
        <v>95</v>
      </c>
      <c r="B125" s="616" t="s">
        <v>830</v>
      </c>
      <c r="C125" s="640">
        <v>31</v>
      </c>
      <c r="D125" s="584">
        <f t="shared" si="27"/>
        <v>122</v>
      </c>
      <c r="E125" s="584">
        <f t="shared" si="23"/>
        <v>365</v>
      </c>
      <c r="F125" s="555">
        <f t="shared" si="25"/>
        <v>0.33424657534246577</v>
      </c>
      <c r="G125" s="552"/>
      <c r="H125" s="619">
        <v>0</v>
      </c>
      <c r="I125" s="553">
        <f t="shared" si="26"/>
        <v>0</v>
      </c>
      <c r="J125" s="553">
        <f t="shared" si="24"/>
        <v>0</v>
      </c>
      <c r="O125" s="641"/>
      <c r="P125" s="641"/>
    </row>
    <row r="126" spans="1:16">
      <c r="A126" s="605">
        <f t="shared" si="22"/>
        <v>96</v>
      </c>
      <c r="B126" s="616" t="s">
        <v>658</v>
      </c>
      <c r="C126" s="640">
        <v>30</v>
      </c>
      <c r="D126" s="584">
        <f t="shared" si="27"/>
        <v>92</v>
      </c>
      <c r="E126" s="584">
        <f t="shared" si="23"/>
        <v>365</v>
      </c>
      <c r="F126" s="555">
        <f t="shared" si="25"/>
        <v>0.25205479452054796</v>
      </c>
      <c r="G126" s="552"/>
      <c r="H126" s="619">
        <v>0</v>
      </c>
      <c r="I126" s="553">
        <f t="shared" si="26"/>
        <v>0</v>
      </c>
      <c r="J126" s="553">
        <f t="shared" si="24"/>
        <v>0</v>
      </c>
      <c r="O126" s="641"/>
      <c r="P126" s="641"/>
    </row>
    <row r="127" spans="1:16">
      <c r="A127" s="605">
        <f t="shared" si="22"/>
        <v>97</v>
      </c>
      <c r="B127" s="616" t="s">
        <v>659</v>
      </c>
      <c r="C127" s="640">
        <v>31</v>
      </c>
      <c r="D127" s="584">
        <f t="shared" si="27"/>
        <v>61</v>
      </c>
      <c r="E127" s="584">
        <f t="shared" si="23"/>
        <v>365</v>
      </c>
      <c r="F127" s="555">
        <f t="shared" si="25"/>
        <v>0.16712328767123288</v>
      </c>
      <c r="G127" s="552"/>
      <c r="H127" s="619">
        <v>0</v>
      </c>
      <c r="I127" s="553">
        <f t="shared" si="26"/>
        <v>0</v>
      </c>
      <c r="J127" s="553">
        <f t="shared" si="24"/>
        <v>0</v>
      </c>
      <c r="O127" s="641"/>
      <c r="P127" s="641"/>
    </row>
    <row r="128" spans="1:16">
      <c r="A128" s="605">
        <f t="shared" si="22"/>
        <v>98</v>
      </c>
      <c r="B128" s="616" t="s">
        <v>660</v>
      </c>
      <c r="C128" s="640">
        <v>30</v>
      </c>
      <c r="D128" s="584">
        <f t="shared" si="27"/>
        <v>31</v>
      </c>
      <c r="E128" s="584">
        <f t="shared" si="23"/>
        <v>365</v>
      </c>
      <c r="F128" s="555">
        <f t="shared" si="25"/>
        <v>8.4931506849315067E-2</v>
      </c>
      <c r="G128" s="552"/>
      <c r="H128" s="619">
        <v>0</v>
      </c>
      <c r="I128" s="553">
        <f t="shared" si="26"/>
        <v>0</v>
      </c>
      <c r="J128" s="553">
        <f t="shared" si="24"/>
        <v>0</v>
      </c>
      <c r="O128" s="641"/>
      <c r="P128" s="641"/>
    </row>
    <row r="129" spans="1:16">
      <c r="A129" s="605">
        <f t="shared" si="22"/>
        <v>99</v>
      </c>
      <c r="B129" s="616" t="s">
        <v>831</v>
      </c>
      <c r="C129" s="640">
        <v>31</v>
      </c>
      <c r="D129" s="584">
        <v>1</v>
      </c>
      <c r="E129" s="584">
        <f t="shared" si="23"/>
        <v>365</v>
      </c>
      <c r="F129" s="555">
        <f t="shared" si="25"/>
        <v>2.7397260273972603E-3</v>
      </c>
      <c r="G129" s="552"/>
      <c r="H129" s="619">
        <v>0</v>
      </c>
      <c r="I129" s="553">
        <f t="shared" si="26"/>
        <v>0</v>
      </c>
      <c r="J129" s="553">
        <f t="shared" si="24"/>
        <v>0</v>
      </c>
      <c r="O129" s="641"/>
      <c r="P129" s="641"/>
    </row>
    <row r="130" spans="1:16">
      <c r="A130" s="605">
        <f t="shared" si="22"/>
        <v>100</v>
      </c>
      <c r="B130" s="623"/>
      <c r="C130" s="623" t="s">
        <v>90</v>
      </c>
      <c r="D130" s="623"/>
      <c r="E130" s="623"/>
      <c r="F130" s="624"/>
      <c r="G130" s="617"/>
      <c r="H130" s="625">
        <f>SUM(H118:H129)</f>
        <v>0</v>
      </c>
      <c r="I130" s="625">
        <f>SUM(I118:I129)</f>
        <v>0</v>
      </c>
      <c r="J130" s="624"/>
    </row>
    <row r="131" spans="1:16">
      <c r="B131" s="626"/>
      <c r="C131" s="626"/>
      <c r="D131" s="626"/>
      <c r="E131" s="626"/>
      <c r="F131" s="627"/>
      <c r="G131" s="627"/>
      <c r="I131" s="628"/>
      <c r="J131" s="627"/>
    </row>
    <row r="132" spans="1:16">
      <c r="A132" s="605">
        <f>+A130+1</f>
        <v>101</v>
      </c>
      <c r="B132" s="605" t="s">
        <v>1254</v>
      </c>
      <c r="F132" s="605" t="s">
        <v>1261</v>
      </c>
      <c r="G132" s="627"/>
      <c r="I132" s="627"/>
      <c r="J132" s="622">
        <f>'A3-ADIT'!D14</f>
        <v>-32090758</v>
      </c>
    </row>
    <row r="133" spans="1:16">
      <c r="A133" s="605">
        <f>+A132+1</f>
        <v>102</v>
      </c>
      <c r="B133" s="605" t="s">
        <v>1240</v>
      </c>
      <c r="F133" s="605" t="str">
        <f>"(Line "&amp;A132&amp;" less line "&amp;A134&amp;")"</f>
        <v>(Line 101 less line 103)</v>
      </c>
      <c r="G133" s="627"/>
      <c r="I133" s="627"/>
      <c r="J133" s="629">
        <f>+J132-J134</f>
        <v>-32090758</v>
      </c>
    </row>
    <row r="134" spans="1:16">
      <c r="A134" s="605">
        <f t="shared" ref="A134:A140" si="28">+A133+1</f>
        <v>103</v>
      </c>
      <c r="B134" s="605" t="s">
        <v>1241</v>
      </c>
      <c r="F134" s="605" t="str">
        <f>"(Line "&amp;A117&amp;", Col H)"</f>
        <v>(Line 87, Col H)</v>
      </c>
      <c r="G134" s="627"/>
      <c r="I134" s="627"/>
      <c r="J134" s="618">
        <f>+J117</f>
        <v>0</v>
      </c>
    </row>
    <row r="135" spans="1:16">
      <c r="A135" s="605">
        <f t="shared" si="28"/>
        <v>104</v>
      </c>
      <c r="B135" s="605" t="s">
        <v>1242</v>
      </c>
      <c r="F135" s="605" t="s">
        <v>1262</v>
      </c>
      <c r="G135" s="627"/>
      <c r="I135" s="627"/>
      <c r="J135" s="174">
        <f>'A3-ADIT'!E14</f>
        <v>-41588756</v>
      </c>
    </row>
    <row r="136" spans="1:16">
      <c r="A136" s="605">
        <f t="shared" si="28"/>
        <v>105</v>
      </c>
      <c r="B136" s="605" t="str">
        <f>+B133</f>
        <v>Less non Prorated Items</v>
      </c>
      <c r="F136" s="605" t="str">
        <f>"(Line "&amp;A135&amp;" less line "&amp;A137&amp;")"</f>
        <v>(Line 104 less line 106)</v>
      </c>
      <c r="G136" s="627"/>
      <c r="I136" s="627"/>
      <c r="J136" s="629">
        <f>+J135-J137</f>
        <v>-41588756</v>
      </c>
    </row>
    <row r="137" spans="1:16">
      <c r="A137" s="605">
        <f t="shared" si="28"/>
        <v>106</v>
      </c>
      <c r="B137" s="605" t="s">
        <v>1228</v>
      </c>
      <c r="F137" s="605" t="str">
        <f>"(Line "&amp;A129&amp;", Col H)"</f>
        <v>(Line 99, Col H)</v>
      </c>
      <c r="G137" s="627"/>
      <c r="I137" s="627"/>
      <c r="J137" s="618">
        <f>+J129</f>
        <v>0</v>
      </c>
    </row>
    <row r="138" spans="1:16">
      <c r="A138" s="605">
        <f t="shared" si="28"/>
        <v>107</v>
      </c>
      <c r="B138" s="605" t="s">
        <v>537</v>
      </c>
      <c r="F138" s="605" t="str">
        <f>"([Lines "&amp;A134&amp;" + "&amp;A137&amp;"] /2)+([Lines "&amp;A133&amp;" +"&amp;A136&amp;")/2])"</f>
        <v>([Lines 103 + 106] /2)+([Lines 102 +105)/2])</v>
      </c>
      <c r="G138" s="627"/>
      <c r="I138" s="614"/>
      <c r="J138" s="630">
        <f>(J134+J137)/2+(J133+J136)/2</f>
        <v>-36839757</v>
      </c>
    </row>
    <row r="139" spans="1:16">
      <c r="A139" s="605">
        <f t="shared" si="28"/>
        <v>108</v>
      </c>
      <c r="B139" s="605" t="s">
        <v>423</v>
      </c>
      <c r="G139" s="627"/>
      <c r="I139" s="614"/>
      <c r="J139" s="640">
        <v>0</v>
      </c>
    </row>
    <row r="140" spans="1:16">
      <c r="A140" s="605">
        <f t="shared" si="28"/>
        <v>109</v>
      </c>
      <c r="B140" s="605" t="s">
        <v>1234</v>
      </c>
      <c r="F140" s="605" t="s">
        <v>1263</v>
      </c>
      <c r="J140" s="631">
        <f>+J138</f>
        <v>-36839757</v>
      </c>
    </row>
    <row r="141" spans="1:16">
      <c r="A141" s="1047" t="str">
        <f>A39</f>
        <v>Worksheet P5</v>
      </c>
      <c r="B141" s="1047"/>
      <c r="C141" s="1047"/>
      <c r="D141" s="1047"/>
      <c r="E141" s="1047"/>
      <c r="F141" s="1047"/>
      <c r="G141" s="1047"/>
      <c r="H141" s="1047"/>
      <c r="I141" s="1047"/>
      <c r="J141" s="1047"/>
      <c r="K141" s="1047"/>
    </row>
    <row r="142" spans="1:16">
      <c r="A142" s="1047" t="str">
        <f>"Excess "&amp;A40</f>
        <v>Excess Accumulated Deferred Income Taxes</v>
      </c>
      <c r="B142" s="1047"/>
      <c r="C142" s="1047"/>
      <c r="D142" s="1047"/>
      <c r="E142" s="1047"/>
      <c r="F142" s="1047"/>
      <c r="G142" s="1047"/>
      <c r="H142" s="1047"/>
      <c r="I142" s="1047"/>
      <c r="J142" s="1047"/>
      <c r="K142" s="1047"/>
    </row>
    <row r="143" spans="1:16">
      <c r="A143" s="1047" t="str">
        <f>A41</f>
        <v>Black Hills Colorado Electric, LLC</v>
      </c>
      <c r="B143" s="1047"/>
      <c r="C143" s="1047"/>
      <c r="D143" s="1047"/>
      <c r="E143" s="1047"/>
      <c r="F143" s="1047"/>
      <c r="G143" s="1047"/>
      <c r="H143" s="1047"/>
      <c r="I143" s="1047"/>
      <c r="J143" s="1047"/>
      <c r="K143" s="1047"/>
    </row>
    <row r="144" spans="1:16">
      <c r="J144" s="607" t="s">
        <v>1264</v>
      </c>
    </row>
    <row r="145" spans="1:16">
      <c r="A145" s="642"/>
      <c r="B145" s="642"/>
      <c r="C145" s="642"/>
      <c r="D145" s="642"/>
      <c r="E145" s="642"/>
      <c r="F145" s="642"/>
      <c r="G145" s="642"/>
      <c r="H145" s="642"/>
    </row>
    <row r="146" spans="1:16">
      <c r="A146" s="605">
        <f>A140+1</f>
        <v>110</v>
      </c>
      <c r="B146" s="608" t="s">
        <v>1265</v>
      </c>
      <c r="H146" s="609"/>
      <c r="I146" s="609"/>
      <c r="J146" s="609"/>
    </row>
    <row r="147" spans="1:16">
      <c r="A147" s="605">
        <f>+A146+1</f>
        <v>111</v>
      </c>
      <c r="B147" s="1048" t="s">
        <v>1207</v>
      </c>
      <c r="C147" s="1049"/>
      <c r="D147" s="1049"/>
      <c r="E147" s="1049"/>
      <c r="F147" s="1050"/>
      <c r="G147" s="611"/>
      <c r="H147" s="1048" t="s">
        <v>1208</v>
      </c>
      <c r="I147" s="1049"/>
      <c r="J147" s="1050"/>
    </row>
    <row r="148" spans="1:16">
      <c r="B148" s="612" t="s">
        <v>387</v>
      </c>
      <c r="C148" s="612" t="s">
        <v>389</v>
      </c>
      <c r="D148" s="612" t="s">
        <v>391</v>
      </c>
      <c r="E148" s="612" t="s">
        <v>393</v>
      </c>
      <c r="F148" s="612" t="s">
        <v>395</v>
      </c>
      <c r="G148" s="611"/>
      <c r="H148" s="612" t="s">
        <v>397</v>
      </c>
      <c r="I148" s="612" t="s">
        <v>399</v>
      </c>
      <c r="J148" s="612" t="s">
        <v>401</v>
      </c>
    </row>
    <row r="149" spans="1:16" ht="51">
      <c r="A149" s="605">
        <f>+A147+1</f>
        <v>112</v>
      </c>
      <c r="B149" s="613" t="s">
        <v>635</v>
      </c>
      <c r="C149" s="613" t="s">
        <v>1209</v>
      </c>
      <c r="D149" s="613" t="s">
        <v>1210</v>
      </c>
      <c r="E149" s="613" t="s">
        <v>1211</v>
      </c>
      <c r="F149" s="613" t="s">
        <v>1212</v>
      </c>
      <c r="G149" s="614"/>
      <c r="H149" s="613" t="s">
        <v>1213</v>
      </c>
      <c r="I149" s="613" t="s">
        <v>1214</v>
      </c>
      <c r="J149" s="613" t="s">
        <v>1215</v>
      </c>
    </row>
    <row r="150" spans="1:16">
      <c r="A150" s="605">
        <f t="shared" ref="A150:A164" si="29">+A149+1</f>
        <v>113</v>
      </c>
      <c r="C150" s="614"/>
      <c r="D150" s="614"/>
      <c r="E150" s="614"/>
      <c r="F150" s="614"/>
      <c r="G150" s="614"/>
      <c r="H150" s="614"/>
      <c r="I150" s="614"/>
      <c r="J150" s="614"/>
    </row>
    <row r="151" spans="1:16">
      <c r="A151" s="605">
        <f t="shared" si="29"/>
        <v>114</v>
      </c>
      <c r="B151" s="615" t="s">
        <v>1216</v>
      </c>
      <c r="C151" s="616"/>
      <c r="D151" s="617"/>
      <c r="E151" s="617"/>
      <c r="F151" s="617"/>
      <c r="G151" s="617"/>
      <c r="H151" s="618"/>
      <c r="I151" s="618"/>
      <c r="J151" s="619"/>
    </row>
    <row r="152" spans="1:16">
      <c r="A152" s="605">
        <f t="shared" si="29"/>
        <v>115</v>
      </c>
      <c r="B152" s="616" t="s">
        <v>651</v>
      </c>
      <c r="C152" s="640">
        <v>31</v>
      </c>
      <c r="D152" s="584">
        <f>E152-C152</f>
        <v>334</v>
      </c>
      <c r="E152" s="584">
        <f t="shared" ref="E152:E163" si="30">$E$12</f>
        <v>365</v>
      </c>
      <c r="F152" s="555">
        <f>IF(E152=0,0,D152/E152)</f>
        <v>0.91506849315068495</v>
      </c>
      <c r="G152" s="552"/>
      <c r="H152" s="643">
        <f>'A3.1-EDIT-DDIT'!$G$39/12</f>
        <v>88702.432553026243</v>
      </c>
      <c r="I152" s="553">
        <f>+H152*F152</f>
        <v>81168.80129509799</v>
      </c>
      <c r="J152" s="582">
        <f t="shared" ref="J152:J163" si="31">+I152+J151</f>
        <v>81168.80129509799</v>
      </c>
      <c r="O152" s="641"/>
      <c r="P152" s="641"/>
    </row>
    <row r="153" spans="1:16">
      <c r="A153" s="605">
        <f t="shared" si="29"/>
        <v>116</v>
      </c>
      <c r="B153" s="616" t="s">
        <v>652</v>
      </c>
      <c r="C153" s="584">
        <f>C13</f>
        <v>28</v>
      </c>
      <c r="D153" s="584">
        <f>D152-C153</f>
        <v>306</v>
      </c>
      <c r="E153" s="584">
        <f t="shared" si="30"/>
        <v>365</v>
      </c>
      <c r="F153" s="555">
        <f t="shared" ref="F153:F163" si="32">IF(E153=0,0,D153/E153)</f>
        <v>0.83835616438356164</v>
      </c>
      <c r="G153" s="552"/>
      <c r="H153" s="643">
        <f>'A3.1-EDIT-DDIT'!$G$39/12</f>
        <v>88702.432553026243</v>
      </c>
      <c r="I153" s="553">
        <f t="shared" ref="I153:I163" si="33">+H153*F153</f>
        <v>74364.231126646657</v>
      </c>
      <c r="J153" s="582">
        <f t="shared" si="31"/>
        <v>155533.03242174466</v>
      </c>
      <c r="O153" s="641"/>
      <c r="P153" s="641"/>
    </row>
    <row r="154" spans="1:16">
      <c r="A154" s="605">
        <f t="shared" si="29"/>
        <v>117</v>
      </c>
      <c r="B154" s="616" t="s">
        <v>829</v>
      </c>
      <c r="C154" s="640">
        <v>31</v>
      </c>
      <c r="D154" s="584">
        <f t="shared" ref="D154:D162" si="34">D153-C154</f>
        <v>275</v>
      </c>
      <c r="E154" s="584">
        <f t="shared" si="30"/>
        <v>365</v>
      </c>
      <c r="F154" s="555">
        <f t="shared" si="32"/>
        <v>0.75342465753424659</v>
      </c>
      <c r="G154" s="552"/>
      <c r="H154" s="643">
        <f>'A3.1-EDIT-DDIT'!$G$39/12</f>
        <v>88702.432553026243</v>
      </c>
      <c r="I154" s="553">
        <f t="shared" si="33"/>
        <v>66830.599868718404</v>
      </c>
      <c r="J154" s="582">
        <f t="shared" si="31"/>
        <v>222363.63229046308</v>
      </c>
      <c r="O154" s="641"/>
      <c r="P154" s="641"/>
    </row>
    <row r="155" spans="1:16">
      <c r="A155" s="605">
        <f t="shared" si="29"/>
        <v>118</v>
      </c>
      <c r="B155" s="616" t="s">
        <v>654</v>
      </c>
      <c r="C155" s="640">
        <v>30</v>
      </c>
      <c r="D155" s="584">
        <f t="shared" si="34"/>
        <v>245</v>
      </c>
      <c r="E155" s="584">
        <f t="shared" si="30"/>
        <v>365</v>
      </c>
      <c r="F155" s="555">
        <f t="shared" si="32"/>
        <v>0.67123287671232879</v>
      </c>
      <c r="G155" s="552"/>
      <c r="H155" s="643">
        <f>'A3.1-EDIT-DDIT'!$G$39/12</f>
        <v>88702.432553026243</v>
      </c>
      <c r="I155" s="553">
        <f t="shared" si="33"/>
        <v>59539.988973949126</v>
      </c>
      <c r="J155" s="582">
        <f t="shared" si="31"/>
        <v>281903.62126441218</v>
      </c>
      <c r="O155" s="641"/>
      <c r="P155" s="641"/>
    </row>
    <row r="156" spans="1:16">
      <c r="A156" s="605">
        <f t="shared" si="29"/>
        <v>119</v>
      </c>
      <c r="B156" s="616" t="s">
        <v>655</v>
      </c>
      <c r="C156" s="640">
        <v>31</v>
      </c>
      <c r="D156" s="584">
        <f t="shared" si="34"/>
        <v>214</v>
      </c>
      <c r="E156" s="584">
        <f t="shared" si="30"/>
        <v>365</v>
      </c>
      <c r="F156" s="555">
        <f t="shared" si="32"/>
        <v>0.58630136986301373</v>
      </c>
      <c r="G156" s="552"/>
      <c r="H156" s="643">
        <f>'A3.1-EDIT-DDIT'!$G$39/12</f>
        <v>88702.432553026243</v>
      </c>
      <c r="I156" s="553">
        <f t="shared" si="33"/>
        <v>52006.357716020866</v>
      </c>
      <c r="J156" s="582">
        <f t="shared" si="31"/>
        <v>333909.97898043308</v>
      </c>
      <c r="O156" s="641"/>
      <c r="P156" s="641"/>
    </row>
    <row r="157" spans="1:16">
      <c r="A157" s="605">
        <f t="shared" si="29"/>
        <v>120</v>
      </c>
      <c r="B157" s="616" t="s">
        <v>18</v>
      </c>
      <c r="C157" s="640">
        <v>30</v>
      </c>
      <c r="D157" s="584">
        <f t="shared" si="34"/>
        <v>184</v>
      </c>
      <c r="E157" s="584">
        <f t="shared" si="30"/>
        <v>365</v>
      </c>
      <c r="F157" s="555">
        <f t="shared" si="32"/>
        <v>0.50410958904109593</v>
      </c>
      <c r="G157" s="552"/>
      <c r="H157" s="643">
        <f>'A3.1-EDIT-DDIT'!$G$39/12</f>
        <v>88702.432553026243</v>
      </c>
      <c r="I157" s="553">
        <f t="shared" si="33"/>
        <v>44715.746821251589</v>
      </c>
      <c r="J157" s="582">
        <f t="shared" si="31"/>
        <v>378625.72580168466</v>
      </c>
      <c r="O157" s="641"/>
      <c r="P157" s="641"/>
    </row>
    <row r="158" spans="1:16">
      <c r="A158" s="605">
        <f t="shared" si="29"/>
        <v>121</v>
      </c>
      <c r="B158" s="616" t="s">
        <v>656</v>
      </c>
      <c r="C158" s="640">
        <v>31</v>
      </c>
      <c r="D158" s="584">
        <f t="shared" si="34"/>
        <v>153</v>
      </c>
      <c r="E158" s="584">
        <f t="shared" si="30"/>
        <v>365</v>
      </c>
      <c r="F158" s="555">
        <f t="shared" si="32"/>
        <v>0.41917808219178082</v>
      </c>
      <c r="G158" s="552"/>
      <c r="H158" s="643">
        <f>'A3.1-EDIT-DDIT'!$G$39/12</f>
        <v>88702.432553026243</v>
      </c>
      <c r="I158" s="553">
        <f t="shared" si="33"/>
        <v>37182.115563323328</v>
      </c>
      <c r="J158" s="582">
        <f t="shared" si="31"/>
        <v>415807.84136500797</v>
      </c>
      <c r="O158" s="641"/>
      <c r="P158" s="641"/>
    </row>
    <row r="159" spans="1:16">
      <c r="A159" s="605">
        <f t="shared" si="29"/>
        <v>122</v>
      </c>
      <c r="B159" s="616" t="s">
        <v>830</v>
      </c>
      <c r="C159" s="640">
        <v>31</v>
      </c>
      <c r="D159" s="584">
        <f t="shared" si="34"/>
        <v>122</v>
      </c>
      <c r="E159" s="584">
        <f t="shared" si="30"/>
        <v>365</v>
      </c>
      <c r="F159" s="555">
        <f t="shared" si="32"/>
        <v>0.33424657534246577</v>
      </c>
      <c r="G159" s="552"/>
      <c r="H159" s="643">
        <f>'A3.1-EDIT-DDIT'!$G$39/12</f>
        <v>88702.432553026243</v>
      </c>
      <c r="I159" s="553">
        <f t="shared" si="33"/>
        <v>29648.484305395075</v>
      </c>
      <c r="J159" s="582">
        <f t="shared" si="31"/>
        <v>445456.32567040308</v>
      </c>
      <c r="O159" s="641"/>
      <c r="P159" s="641"/>
    </row>
    <row r="160" spans="1:16">
      <c r="A160" s="605">
        <f t="shared" si="29"/>
        <v>123</v>
      </c>
      <c r="B160" s="616" t="s">
        <v>658</v>
      </c>
      <c r="C160" s="640">
        <v>30</v>
      </c>
      <c r="D160" s="584">
        <f t="shared" si="34"/>
        <v>92</v>
      </c>
      <c r="E160" s="584">
        <f t="shared" si="30"/>
        <v>365</v>
      </c>
      <c r="F160" s="555">
        <f t="shared" si="32"/>
        <v>0.25205479452054796</v>
      </c>
      <c r="G160" s="552"/>
      <c r="H160" s="643">
        <f>'A3.1-EDIT-DDIT'!$G$39/12</f>
        <v>88702.432553026243</v>
      </c>
      <c r="I160" s="553">
        <f t="shared" si="33"/>
        <v>22357.873410625794</v>
      </c>
      <c r="J160" s="582">
        <f t="shared" si="31"/>
        <v>467814.19908102887</v>
      </c>
      <c r="O160" s="641"/>
      <c r="P160" s="641"/>
    </row>
    <row r="161" spans="1:16">
      <c r="A161" s="605">
        <f t="shared" si="29"/>
        <v>124</v>
      </c>
      <c r="B161" s="616" t="s">
        <v>659</v>
      </c>
      <c r="C161" s="640">
        <v>31</v>
      </c>
      <c r="D161" s="584">
        <f t="shared" si="34"/>
        <v>61</v>
      </c>
      <c r="E161" s="584">
        <f t="shared" si="30"/>
        <v>365</v>
      </c>
      <c r="F161" s="555">
        <f t="shared" si="32"/>
        <v>0.16712328767123288</v>
      </c>
      <c r="G161" s="552"/>
      <c r="H161" s="643">
        <f>'A3.1-EDIT-DDIT'!$G$39/12</f>
        <v>88702.432553026243</v>
      </c>
      <c r="I161" s="553">
        <f t="shared" si="33"/>
        <v>14824.242152697538</v>
      </c>
      <c r="J161" s="582">
        <f t="shared" si="31"/>
        <v>482638.44123372639</v>
      </c>
      <c r="O161" s="641"/>
      <c r="P161" s="641"/>
    </row>
    <row r="162" spans="1:16">
      <c r="A162" s="605">
        <f t="shared" si="29"/>
        <v>125</v>
      </c>
      <c r="B162" s="616" t="s">
        <v>660</v>
      </c>
      <c r="C162" s="640">
        <v>30</v>
      </c>
      <c r="D162" s="584">
        <f t="shared" si="34"/>
        <v>31</v>
      </c>
      <c r="E162" s="584">
        <f t="shared" si="30"/>
        <v>365</v>
      </c>
      <c r="F162" s="555">
        <f t="shared" si="32"/>
        <v>8.4931506849315067E-2</v>
      </c>
      <c r="G162" s="552"/>
      <c r="H162" s="643">
        <f>'A3.1-EDIT-DDIT'!$G$39/12</f>
        <v>88702.432553026243</v>
      </c>
      <c r="I162" s="553">
        <f t="shared" si="33"/>
        <v>7533.6312579282558</v>
      </c>
      <c r="J162" s="582">
        <f t="shared" si="31"/>
        <v>490172.07249165466</v>
      </c>
      <c r="O162" s="641"/>
      <c r="P162" s="641"/>
    </row>
    <row r="163" spans="1:16">
      <c r="A163" s="605">
        <f t="shared" si="29"/>
        <v>126</v>
      </c>
      <c r="B163" s="616" t="s">
        <v>831</v>
      </c>
      <c r="C163" s="640">
        <v>31</v>
      </c>
      <c r="D163" s="584">
        <v>1</v>
      </c>
      <c r="E163" s="584">
        <f t="shared" si="30"/>
        <v>365</v>
      </c>
      <c r="F163" s="555">
        <f t="shared" si="32"/>
        <v>2.7397260273972603E-3</v>
      </c>
      <c r="G163" s="552"/>
      <c r="H163" s="643">
        <f>'A3.1-EDIT-DDIT'!$G$39/12</f>
        <v>88702.432553026243</v>
      </c>
      <c r="I163" s="553">
        <f t="shared" si="33"/>
        <v>243.02036315897601</v>
      </c>
      <c r="J163" s="582">
        <f t="shared" si="31"/>
        <v>490415.09285481361</v>
      </c>
      <c r="L163" s="639"/>
      <c r="O163" s="641"/>
      <c r="P163" s="641"/>
    </row>
    <row r="164" spans="1:16">
      <c r="A164" s="605">
        <f t="shared" si="29"/>
        <v>127</v>
      </c>
      <c r="B164" s="623"/>
      <c r="C164" s="623" t="s">
        <v>90</v>
      </c>
      <c r="D164" s="623"/>
      <c r="E164" s="623"/>
      <c r="F164" s="624"/>
      <c r="G164" s="617"/>
      <c r="H164" s="625">
        <f>SUM(H152:H163)</f>
        <v>1064429.1906363149</v>
      </c>
      <c r="I164" s="625">
        <f>SUM(I152:I163)</f>
        <v>490415.09285481361</v>
      </c>
      <c r="J164" s="624"/>
    </row>
    <row r="165" spans="1:16">
      <c r="B165" s="626"/>
      <c r="C165" s="626"/>
      <c r="D165" s="626"/>
      <c r="E165" s="626"/>
      <c r="F165" s="627"/>
      <c r="G165" s="627"/>
      <c r="I165" s="647"/>
      <c r="J165" s="627"/>
    </row>
    <row r="166" spans="1:16">
      <c r="A166" s="605">
        <f>+A164+1</f>
        <v>128</v>
      </c>
      <c r="B166" s="605" t="s">
        <v>1266</v>
      </c>
      <c r="F166" s="605" t="s">
        <v>1267</v>
      </c>
      <c r="G166" s="627"/>
      <c r="I166" s="627"/>
      <c r="J166" s="174">
        <f>'A3.1-EDIT-DDIT'!I39</f>
        <v>-41459604</v>
      </c>
      <c r="M166" s="639"/>
    </row>
    <row r="167" spans="1:16">
      <c r="A167" s="605">
        <f t="shared" ref="A167:A175" si="35">+A166+1</f>
        <v>129</v>
      </c>
      <c r="B167" s="605" t="s">
        <v>1225</v>
      </c>
      <c r="F167" s="605" t="s">
        <v>1268</v>
      </c>
      <c r="G167" s="627"/>
      <c r="I167" s="627"/>
      <c r="J167" s="174">
        <f>'A3.1-EDIT-DDIT'!G39</f>
        <v>1064429.1906363149</v>
      </c>
    </row>
    <row r="168" spans="1:16">
      <c r="A168" s="605">
        <f t="shared" si="35"/>
        <v>130</v>
      </c>
      <c r="B168" s="605" t="s">
        <v>1269</v>
      </c>
      <c r="F168" s="605" t="s">
        <v>1270</v>
      </c>
      <c r="G168" s="627"/>
      <c r="I168" s="627"/>
      <c r="J168" s="640">
        <f>J166+J167</f>
        <v>-40395174.809363686</v>
      </c>
    </row>
    <row r="169" spans="1:16">
      <c r="A169" s="605">
        <f t="shared" si="35"/>
        <v>131</v>
      </c>
      <c r="B169" s="605" t="s">
        <v>1271</v>
      </c>
      <c r="F169" s="615" t="s">
        <v>1272</v>
      </c>
      <c r="G169" s="627"/>
      <c r="I169" s="627"/>
      <c r="J169" s="629">
        <f>J168</f>
        <v>-40395174.809363686</v>
      </c>
      <c r="L169" s="615"/>
    </row>
    <row r="170" spans="1:16">
      <c r="A170" s="605">
        <f t="shared" si="35"/>
        <v>132</v>
      </c>
      <c r="B170" s="605" t="s">
        <v>1228</v>
      </c>
      <c r="F170" s="605" t="s">
        <v>1273</v>
      </c>
      <c r="G170" s="627"/>
      <c r="I170" s="614"/>
      <c r="J170" s="630">
        <f>J163</f>
        <v>490415.09285481361</v>
      </c>
    </row>
    <row r="171" spans="1:16">
      <c r="A171" s="605">
        <f t="shared" si="35"/>
        <v>133</v>
      </c>
      <c r="B171" s="605" t="s">
        <v>1256</v>
      </c>
      <c r="F171" s="605" t="s">
        <v>1274</v>
      </c>
      <c r="G171" s="627"/>
      <c r="I171" s="614"/>
      <c r="J171" s="640">
        <f>J169+J170</f>
        <v>-39904759.716508873</v>
      </c>
    </row>
    <row r="172" spans="1:16">
      <c r="A172" s="605">
        <f t="shared" si="35"/>
        <v>134</v>
      </c>
      <c r="B172" s="605" t="s">
        <v>423</v>
      </c>
      <c r="G172" s="627"/>
      <c r="I172" s="614"/>
      <c r="J172" s="640">
        <v>0</v>
      </c>
    </row>
    <row r="173" spans="1:16">
      <c r="A173" s="605">
        <f t="shared" si="35"/>
        <v>135</v>
      </c>
      <c r="B173" s="605" t="s">
        <v>1230</v>
      </c>
      <c r="F173" s="605" t="s">
        <v>1275</v>
      </c>
      <c r="J173" s="641">
        <f>J171</f>
        <v>-39904759.716508873</v>
      </c>
    </row>
    <row r="174" spans="1:16">
      <c r="A174" s="605">
        <f t="shared" si="35"/>
        <v>136</v>
      </c>
      <c r="B174" s="892" t="s">
        <v>1232</v>
      </c>
      <c r="F174" s="135" t="s">
        <v>1233</v>
      </c>
      <c r="J174" s="894">
        <f>'A3.1-EDIT-DDIT'!O43</f>
        <v>0.22680814926774848</v>
      </c>
    </row>
    <row r="175" spans="1:16">
      <c r="A175" s="605">
        <f t="shared" si="35"/>
        <v>137</v>
      </c>
      <c r="B175" s="608" t="s">
        <v>1234</v>
      </c>
      <c r="F175" s="605" t="s">
        <v>1276</v>
      </c>
      <c r="J175" s="631">
        <f>J173*J174</f>
        <v>-9050724.698275581</v>
      </c>
      <c r="L175" s="639"/>
      <c r="M175" s="641"/>
      <c r="N175" s="918"/>
    </row>
    <row r="176" spans="1:16">
      <c r="J176" s="645"/>
      <c r="M176" s="639"/>
      <c r="N176" s="918"/>
    </row>
    <row r="177" spans="10:12">
      <c r="J177" s="646"/>
      <c r="L177" s="646"/>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opLeftCell="A43" workbookViewId="0">
      <selection activeCell="I21" sqref="I21"/>
    </sheetView>
  </sheetViews>
  <sheetFormatPr defaultColWidth="8.6640625" defaultRowHeight="12.75"/>
  <cols>
    <col min="1" max="1" width="5.6640625" style="370" bestFit="1" customWidth="1"/>
    <col min="2" max="2" width="50.21875" style="370" customWidth="1"/>
    <col min="3" max="3" width="19.5546875" style="372" bestFit="1" customWidth="1"/>
    <col min="4" max="4" width="12.109375" style="375" customWidth="1"/>
    <col min="5" max="5" width="7.5546875" style="370" bestFit="1" customWidth="1"/>
    <col min="6" max="6" width="8.6640625" style="370"/>
    <col min="7" max="7" width="8.6640625" style="960"/>
    <col min="8" max="16384" width="8.6640625" style="370"/>
  </cols>
  <sheetData>
    <row r="1" spans="1:7">
      <c r="A1" s="990" t="s">
        <v>75</v>
      </c>
      <c r="B1" s="990"/>
      <c r="C1" s="990"/>
      <c r="D1" s="990"/>
      <c r="E1" s="990"/>
      <c r="F1" s="218"/>
      <c r="G1" s="932"/>
    </row>
    <row r="2" spans="1:7">
      <c r="A2" s="990" t="s">
        <v>76</v>
      </c>
      <c r="B2" s="990"/>
      <c r="C2" s="990"/>
      <c r="D2" s="990"/>
      <c r="E2" s="990"/>
      <c r="F2" s="218"/>
      <c r="G2" s="932"/>
    </row>
    <row r="3" spans="1:7">
      <c r="A3" s="991" t="str">
        <f>'Act Att-H'!C7</f>
        <v>Black Hills Colorado Electric, LLC</v>
      </c>
      <c r="B3" s="991"/>
      <c r="C3" s="991"/>
      <c r="D3" s="991"/>
      <c r="E3" s="991"/>
      <c r="F3" s="230"/>
      <c r="G3" s="959"/>
    </row>
    <row r="4" spans="1:7" ht="12.75" customHeight="1">
      <c r="A4" s="371"/>
      <c r="D4" s="373" t="s">
        <v>77</v>
      </c>
      <c r="E4" s="373"/>
    </row>
    <row r="6" spans="1:7">
      <c r="A6" s="433" t="s">
        <v>571</v>
      </c>
      <c r="B6" s="433" t="s">
        <v>13</v>
      </c>
      <c r="C6" s="380" t="s">
        <v>1059</v>
      </c>
      <c r="D6" s="434" t="s">
        <v>85</v>
      </c>
    </row>
    <row r="7" spans="1:7">
      <c r="C7" s="441"/>
    </row>
    <row r="8" spans="1:7">
      <c r="A8" s="372">
        <v>1</v>
      </c>
      <c r="B8" s="374" t="s">
        <v>1277</v>
      </c>
      <c r="C8" s="441"/>
    </row>
    <row r="9" spans="1:7">
      <c r="A9" s="372">
        <f>A8+1</f>
        <v>2</v>
      </c>
      <c r="B9" s="376" t="s">
        <v>1278</v>
      </c>
      <c r="C9" s="441" t="s">
        <v>1279</v>
      </c>
      <c r="D9" s="722">
        <f>115724+586923+127653+0+597065+331+87465+98722</f>
        <v>1613883</v>
      </c>
    </row>
    <row r="10" spans="1:7">
      <c r="A10" s="372">
        <f t="shared" ref="A10:A41" si="0">A9+1</f>
        <v>3</v>
      </c>
      <c r="B10" s="378" t="s">
        <v>1280</v>
      </c>
      <c r="C10" s="441" t="s">
        <v>1281</v>
      </c>
      <c r="D10" s="722">
        <v>0</v>
      </c>
    </row>
    <row r="11" spans="1:7">
      <c r="A11" s="372">
        <f t="shared" si="0"/>
        <v>4</v>
      </c>
      <c r="B11" s="379" t="s">
        <v>1282</v>
      </c>
      <c r="C11" s="441" t="s">
        <v>1283</v>
      </c>
      <c r="D11" s="722">
        <v>597065</v>
      </c>
    </row>
    <row r="12" spans="1:7">
      <c r="A12" s="372">
        <f t="shared" si="0"/>
        <v>5</v>
      </c>
      <c r="B12" s="379" t="s">
        <v>1284</v>
      </c>
      <c r="C12" s="441" t="s">
        <v>1285</v>
      </c>
      <c r="D12" s="722">
        <v>331</v>
      </c>
    </row>
    <row r="13" spans="1:7">
      <c r="A13" s="372">
        <f t="shared" si="0"/>
        <v>6</v>
      </c>
      <c r="B13" s="379" t="s">
        <v>1286</v>
      </c>
      <c r="C13" s="441" t="s">
        <v>1287</v>
      </c>
      <c r="D13" s="722">
        <v>87465</v>
      </c>
    </row>
    <row r="14" spans="1:7">
      <c r="A14" s="372">
        <f t="shared" si="0"/>
        <v>7</v>
      </c>
      <c r="B14" s="379" t="s">
        <v>1288</v>
      </c>
      <c r="C14" s="441" t="s">
        <v>1289</v>
      </c>
      <c r="D14" s="722">
        <v>98722</v>
      </c>
    </row>
    <row r="15" spans="1:7">
      <c r="A15" s="372">
        <f t="shared" si="0"/>
        <v>8</v>
      </c>
      <c r="B15" s="437" t="s">
        <v>1290</v>
      </c>
      <c r="C15" s="724" t="s">
        <v>1291</v>
      </c>
      <c r="D15" s="436">
        <f>D9-D10-D11-D12-D13-D14</f>
        <v>830300</v>
      </c>
    </row>
    <row r="16" spans="1:7">
      <c r="A16" s="372">
        <f t="shared" si="0"/>
        <v>9</v>
      </c>
      <c r="B16" s="376"/>
      <c r="D16" s="377"/>
    </row>
    <row r="17" spans="1:11">
      <c r="A17" s="372">
        <f t="shared" si="0"/>
        <v>10</v>
      </c>
      <c r="B17" s="376" t="s">
        <v>1292</v>
      </c>
      <c r="C17" s="441" t="s">
        <v>1293</v>
      </c>
      <c r="D17" s="722">
        <v>54445</v>
      </c>
    </row>
    <row r="18" spans="1:11">
      <c r="A18" s="372">
        <f t="shared" si="0"/>
        <v>11</v>
      </c>
      <c r="B18" s="376"/>
      <c r="D18" s="377"/>
    </row>
    <row r="19" spans="1:11">
      <c r="A19" s="372">
        <f t="shared" si="0"/>
        <v>12</v>
      </c>
      <c r="B19" s="376" t="s">
        <v>1294</v>
      </c>
      <c r="C19" s="441" t="s">
        <v>1295</v>
      </c>
      <c r="D19" s="443">
        <f>D15-D17</f>
        <v>775855</v>
      </c>
    </row>
    <row r="20" spans="1:11">
      <c r="A20" s="372">
        <f t="shared" si="0"/>
        <v>13</v>
      </c>
      <c r="B20" s="376"/>
      <c r="C20" s="441"/>
      <c r="D20" s="442"/>
    </row>
    <row r="21" spans="1:11">
      <c r="A21" s="372">
        <f t="shared" si="0"/>
        <v>14</v>
      </c>
      <c r="B21" s="374" t="s">
        <v>1296</v>
      </c>
      <c r="D21" s="377"/>
    </row>
    <row r="22" spans="1:11">
      <c r="A22" s="372">
        <f t="shared" si="0"/>
        <v>15</v>
      </c>
      <c r="B22" s="242" t="s">
        <v>1297</v>
      </c>
      <c r="C22" s="441" t="s">
        <v>1298</v>
      </c>
      <c r="D22" s="439">
        <f>D15</f>
        <v>830300</v>
      </c>
    </row>
    <row r="23" spans="1:11">
      <c r="A23" s="372">
        <f t="shared" si="0"/>
        <v>16</v>
      </c>
      <c r="B23" s="242" t="s">
        <v>1299</v>
      </c>
      <c r="C23" s="441" t="s">
        <v>1300</v>
      </c>
      <c r="D23" s="435">
        <f>D22</f>
        <v>830300</v>
      </c>
    </row>
    <row r="24" spans="1:11">
      <c r="A24" s="372">
        <f t="shared" si="0"/>
        <v>17</v>
      </c>
      <c r="B24" s="242" t="s">
        <v>1301</v>
      </c>
      <c r="C24" s="441" t="s">
        <v>1302</v>
      </c>
      <c r="D24" s="440">
        <f>D22-D23</f>
        <v>0</v>
      </c>
    </row>
    <row r="25" spans="1:11" s="242" customFormat="1">
      <c r="A25" s="372">
        <f t="shared" si="0"/>
        <v>18</v>
      </c>
      <c r="B25" s="242" t="s">
        <v>1303</v>
      </c>
      <c r="C25" s="246" t="s">
        <v>1304</v>
      </c>
      <c r="D25" s="272">
        <f>'TU-TrueUp'!H53</f>
        <v>3.2500000000000001E-2</v>
      </c>
      <c r="G25" s="960"/>
      <c r="I25" s="249"/>
      <c r="J25" s="249"/>
      <c r="K25" s="249"/>
    </row>
    <row r="26" spans="1:11" s="242" customFormat="1">
      <c r="A26" s="372">
        <f t="shared" si="0"/>
        <v>19</v>
      </c>
      <c r="B26" s="242" t="s">
        <v>1305</v>
      </c>
      <c r="C26" s="242" t="s">
        <v>1306</v>
      </c>
      <c r="D26" s="274">
        <f>D25*D24*24/12</f>
        <v>0</v>
      </c>
      <c r="G26" s="943"/>
      <c r="I26" s="249"/>
      <c r="J26" s="249"/>
      <c r="K26" s="249"/>
    </row>
    <row r="27" spans="1:11" s="242" customFormat="1">
      <c r="A27" s="372">
        <f t="shared" si="0"/>
        <v>20</v>
      </c>
      <c r="B27" s="246" t="s">
        <v>1307</v>
      </c>
      <c r="C27" s="246" t="s">
        <v>1308</v>
      </c>
      <c r="D27" s="444">
        <f>(D24+D26)</f>
        <v>0</v>
      </c>
      <c r="E27" s="243"/>
      <c r="G27" s="943"/>
      <c r="I27" s="249"/>
      <c r="J27" s="249"/>
      <c r="K27" s="249"/>
    </row>
    <row r="28" spans="1:11" s="242" customFormat="1">
      <c r="A28" s="372">
        <f t="shared" si="0"/>
        <v>21</v>
      </c>
      <c r="B28" s="245"/>
      <c r="C28" s="246"/>
      <c r="E28" s="243"/>
      <c r="F28" s="438"/>
      <c r="G28" s="943"/>
      <c r="I28" s="249"/>
      <c r="J28" s="249"/>
      <c r="K28" s="249"/>
    </row>
    <row r="29" spans="1:11" s="242" customFormat="1" ht="13.5" thickBot="1">
      <c r="A29" s="372">
        <f t="shared" si="0"/>
        <v>22</v>
      </c>
      <c r="B29" s="245" t="s">
        <v>1309</v>
      </c>
      <c r="C29" s="246" t="s">
        <v>1310</v>
      </c>
      <c r="D29" s="448">
        <f>D19+D27</f>
        <v>775855</v>
      </c>
      <c r="E29" s="243"/>
      <c r="F29" s="438"/>
      <c r="G29" s="943"/>
      <c r="I29" s="249"/>
      <c r="J29" s="249"/>
      <c r="K29" s="249"/>
    </row>
    <row r="30" spans="1:11" s="242" customFormat="1" ht="13.5" thickTop="1">
      <c r="A30" s="372">
        <f t="shared" si="0"/>
        <v>23</v>
      </c>
      <c r="B30" s="245"/>
      <c r="C30" s="246"/>
      <c r="E30" s="243"/>
      <c r="F30" s="438"/>
      <c r="G30" s="943"/>
      <c r="I30" s="249"/>
      <c r="J30" s="249"/>
      <c r="K30" s="249"/>
    </row>
    <row r="31" spans="1:11">
      <c r="A31" s="372">
        <f t="shared" si="0"/>
        <v>24</v>
      </c>
      <c r="B31" s="374" t="s">
        <v>481</v>
      </c>
      <c r="C31" s="73"/>
      <c r="D31" s="108"/>
      <c r="E31" s="73"/>
      <c r="F31" s="73"/>
      <c r="G31" s="897"/>
      <c r="H31" s="73"/>
      <c r="I31" s="108"/>
      <c r="J31" s="73"/>
      <c r="K31" s="73"/>
    </row>
    <row r="32" spans="1:11">
      <c r="A32" s="372">
        <f t="shared" si="0"/>
        <v>25</v>
      </c>
      <c r="B32" s="73" t="s">
        <v>102</v>
      </c>
      <c r="C32" s="104" t="s">
        <v>1311</v>
      </c>
      <c r="D32" s="174">
        <f>'P3-Divisor'!G24</f>
        <v>396765.22168704454</v>
      </c>
      <c r="E32" s="73"/>
      <c r="F32" s="73"/>
      <c r="G32" s="897"/>
      <c r="H32" s="73"/>
      <c r="J32" s="73"/>
      <c r="K32" s="73"/>
    </row>
    <row r="33" spans="1:11">
      <c r="A33" s="372">
        <f t="shared" si="0"/>
        <v>26</v>
      </c>
      <c r="B33" s="73"/>
      <c r="C33" s="108"/>
      <c r="D33" s="108"/>
      <c r="E33" s="108"/>
      <c r="F33" s="108"/>
      <c r="G33" s="901"/>
      <c r="H33" s="108"/>
      <c r="I33" s="108"/>
      <c r="J33" s="73"/>
      <c r="K33" s="73"/>
    </row>
    <row r="34" spans="1:11">
      <c r="A34" s="372">
        <f t="shared" si="0"/>
        <v>27</v>
      </c>
      <c r="B34" s="374" t="s">
        <v>784</v>
      </c>
      <c r="C34" s="108"/>
      <c r="D34" s="108"/>
      <c r="E34" s="108"/>
      <c r="F34" s="108"/>
      <c r="G34" s="901"/>
      <c r="H34" s="108"/>
      <c r="I34" s="108"/>
      <c r="J34" s="108"/>
      <c r="K34" s="73"/>
    </row>
    <row r="35" spans="1:11">
      <c r="A35" s="372">
        <f t="shared" si="0"/>
        <v>28</v>
      </c>
      <c r="B35" s="73" t="s">
        <v>105</v>
      </c>
      <c r="C35" s="73"/>
      <c r="D35" s="576">
        <f>ROUND(D29/D32,2)</f>
        <v>1.96</v>
      </c>
      <c r="E35" s="73" t="s">
        <v>106</v>
      </c>
      <c r="F35" s="108"/>
      <c r="G35" s="901"/>
      <c r="H35" s="108"/>
      <c r="I35" s="108"/>
      <c r="J35" s="108"/>
      <c r="K35" s="73"/>
    </row>
    <row r="36" spans="1:11">
      <c r="A36" s="372">
        <f t="shared" si="0"/>
        <v>29</v>
      </c>
      <c r="B36" s="73" t="s">
        <v>107</v>
      </c>
      <c r="C36" s="73" t="s">
        <v>108</v>
      </c>
      <c r="D36" s="577">
        <f>ROUND(D35/12,2)</f>
        <v>0.16</v>
      </c>
      <c r="E36" s="73" t="s">
        <v>109</v>
      </c>
      <c r="F36" s="108"/>
      <c r="G36" s="901"/>
      <c r="H36" s="108"/>
      <c r="I36" s="108"/>
      <c r="J36" s="108"/>
      <c r="K36" s="73"/>
    </row>
    <row r="37" spans="1:11">
      <c r="A37" s="372">
        <f t="shared" si="0"/>
        <v>30</v>
      </c>
      <c r="B37" s="73" t="s">
        <v>110</v>
      </c>
      <c r="C37" s="73" t="s">
        <v>111</v>
      </c>
      <c r="D37" s="576">
        <f>ROUND(D35/52,2)</f>
        <v>0.04</v>
      </c>
      <c r="E37" s="73" t="s">
        <v>112</v>
      </c>
      <c r="F37" s="108"/>
      <c r="G37" s="901"/>
      <c r="H37" s="108"/>
      <c r="I37" s="108"/>
      <c r="J37" s="108"/>
      <c r="K37" s="73"/>
    </row>
    <row r="38" spans="1:11">
      <c r="A38" s="372">
        <f t="shared" si="0"/>
        <v>31</v>
      </c>
      <c r="B38" s="73" t="s">
        <v>113</v>
      </c>
      <c r="C38" s="73" t="s">
        <v>114</v>
      </c>
      <c r="D38" s="577">
        <f>+D37/6</f>
        <v>6.6666666666666671E-3</v>
      </c>
      <c r="E38" s="73" t="s">
        <v>115</v>
      </c>
      <c r="F38" s="108"/>
      <c r="G38" s="901"/>
      <c r="H38" s="108"/>
      <c r="I38" s="108"/>
      <c r="J38" s="108"/>
      <c r="K38" s="73"/>
    </row>
    <row r="39" spans="1:11">
      <c r="A39" s="372">
        <f t="shared" si="0"/>
        <v>32</v>
      </c>
      <c r="B39" s="73" t="s">
        <v>116</v>
      </c>
      <c r="C39" s="73" t="s">
        <v>117</v>
      </c>
      <c r="D39" s="577">
        <f>+D37/7</f>
        <v>5.7142857142857143E-3</v>
      </c>
      <c r="E39" s="73" t="s">
        <v>115</v>
      </c>
      <c r="F39" s="108"/>
      <c r="G39" s="901"/>
      <c r="H39" s="108"/>
      <c r="I39" s="108"/>
      <c r="J39" s="108"/>
      <c r="K39" s="73"/>
    </row>
    <row r="40" spans="1:11">
      <c r="A40" s="372">
        <f t="shared" si="0"/>
        <v>33</v>
      </c>
      <c r="B40" s="73" t="s">
        <v>118</v>
      </c>
      <c r="C40" s="73" t="s">
        <v>119</v>
      </c>
      <c r="D40" s="576">
        <f>+D38/16*1000</f>
        <v>0.41666666666666669</v>
      </c>
      <c r="E40" s="73" t="s">
        <v>120</v>
      </c>
      <c r="F40" s="108"/>
      <c r="G40" s="901"/>
      <c r="H40" s="108"/>
      <c r="I40" s="108"/>
      <c r="J40" s="108"/>
      <c r="K40" s="73"/>
    </row>
    <row r="41" spans="1:11">
      <c r="A41" s="372">
        <f t="shared" si="0"/>
        <v>34</v>
      </c>
      <c r="B41" s="73" t="s">
        <v>121</v>
      </c>
      <c r="C41" s="73" t="s">
        <v>122</v>
      </c>
      <c r="D41" s="576">
        <f>+D39/24*1000</f>
        <v>0.23809523809523808</v>
      </c>
      <c r="E41" s="73" t="s">
        <v>120</v>
      </c>
      <c r="F41" s="108"/>
      <c r="G41" s="901"/>
      <c r="H41" s="108"/>
      <c r="I41" s="108"/>
      <c r="J41" s="108"/>
      <c r="K41" s="73"/>
    </row>
    <row r="42" spans="1:11">
      <c r="A42" s="372"/>
      <c r="B42" s="73"/>
      <c r="C42" s="73"/>
      <c r="D42" s="578"/>
      <c r="E42" s="73"/>
      <c r="F42" s="108"/>
      <c r="G42" s="901"/>
      <c r="H42" s="108"/>
      <c r="I42" s="108"/>
      <c r="J42" s="108"/>
      <c r="K42" s="73"/>
    </row>
    <row r="43" spans="1:11">
      <c r="A43" s="372"/>
      <c r="B43" s="376"/>
      <c r="C43" s="432"/>
      <c r="D43" s="377"/>
    </row>
    <row r="44" spans="1:11">
      <c r="A44" s="206" t="s">
        <v>496</v>
      </c>
      <c r="B44" s="376"/>
      <c r="D44" s="377"/>
    </row>
    <row r="45" spans="1:11">
      <c r="A45" s="423" t="s">
        <v>387</v>
      </c>
      <c r="B45" s="1056" t="s">
        <v>1312</v>
      </c>
      <c r="C45" s="1056"/>
      <c r="D45" s="1056"/>
    </row>
    <row r="46" spans="1:11">
      <c r="A46" s="372" t="s">
        <v>389</v>
      </c>
      <c r="B46" s="1056" t="s">
        <v>1313</v>
      </c>
      <c r="C46" s="1056"/>
      <c r="D46" s="1056"/>
    </row>
    <row r="47" spans="1:11">
      <c r="A47" s="372"/>
      <c r="B47" s="1057" t="s">
        <v>1314</v>
      </c>
      <c r="C47" s="1057"/>
      <c r="D47" s="1057"/>
    </row>
    <row r="48" spans="1:11">
      <c r="A48" s="372"/>
      <c r="B48" s="922" t="s">
        <v>1315</v>
      </c>
      <c r="C48" s="922"/>
      <c r="D48" s="923"/>
    </row>
    <row r="49" spans="1:5">
      <c r="A49" s="372"/>
      <c r="B49" s="548"/>
      <c r="C49" s="549"/>
      <c r="D49" s="550"/>
    </row>
    <row r="50" spans="1:5">
      <c r="A50" s="372"/>
      <c r="B50" s="1055"/>
      <c r="C50" s="1055"/>
      <c r="D50" s="1055"/>
    </row>
    <row r="51" spans="1:5">
      <c r="A51" s="372"/>
      <c r="B51" s="376"/>
      <c r="D51" s="381"/>
      <c r="E51" s="382"/>
    </row>
    <row r="52" spans="1:5">
      <c r="A52" s="372"/>
      <c r="B52" s="376"/>
      <c r="D52" s="381"/>
    </row>
    <row r="53" spans="1:5">
      <c r="A53" s="372"/>
      <c r="B53" s="376"/>
      <c r="D53" s="381"/>
    </row>
    <row r="54" spans="1:5">
      <c r="A54" s="372"/>
      <c r="B54" s="376"/>
      <c r="D54" s="381"/>
    </row>
    <row r="55" spans="1:5">
      <c r="A55" s="372"/>
      <c r="D55" s="377"/>
    </row>
    <row r="56" spans="1:5">
      <c r="A56" s="372"/>
      <c r="B56" s="383"/>
      <c r="D56" s="377"/>
    </row>
    <row r="57" spans="1:5">
      <c r="A57" s="372"/>
      <c r="B57" s="383"/>
      <c r="D57" s="377"/>
    </row>
    <row r="58" spans="1:5">
      <c r="A58" s="372"/>
      <c r="B58" s="383"/>
      <c r="D58" s="377"/>
    </row>
    <row r="59" spans="1:5">
      <c r="A59" s="372"/>
      <c r="B59" s="383"/>
      <c r="D59" s="377"/>
    </row>
    <row r="60" spans="1:5">
      <c r="A60" s="372"/>
      <c r="B60" s="383"/>
      <c r="D60" s="377"/>
    </row>
    <row r="61" spans="1:5">
      <c r="A61" s="372"/>
      <c r="B61" s="383"/>
      <c r="D61" s="377"/>
    </row>
    <row r="62" spans="1:5">
      <c r="A62" s="372"/>
      <c r="B62" s="383"/>
      <c r="D62" s="377"/>
    </row>
    <row r="63" spans="1:5">
      <c r="A63" s="372"/>
      <c r="B63" s="383"/>
      <c r="D63" s="377"/>
    </row>
    <row r="64" spans="1:5">
      <c r="A64" s="372"/>
      <c r="B64" s="383"/>
      <c r="D64" s="377"/>
    </row>
    <row r="65" spans="1:4">
      <c r="A65" s="372"/>
      <c r="B65" s="383"/>
      <c r="D65" s="377"/>
    </row>
    <row r="66" spans="1:4">
      <c r="A66" s="372"/>
      <c r="B66" s="376"/>
      <c r="D66" s="377"/>
    </row>
    <row r="67" spans="1:4">
      <c r="A67" s="372"/>
      <c r="B67" s="376"/>
      <c r="D67" s="377"/>
    </row>
    <row r="68" spans="1:4">
      <c r="A68" s="372"/>
      <c r="B68" s="376"/>
      <c r="D68" s="377"/>
    </row>
    <row r="69" spans="1:4">
      <c r="A69" s="372"/>
      <c r="B69" s="376"/>
      <c r="D69" s="377"/>
    </row>
    <row r="70" spans="1:4">
      <c r="A70" s="372"/>
      <c r="B70" s="376"/>
      <c r="D70" s="377"/>
    </row>
    <row r="71" spans="1:4">
      <c r="A71" s="372"/>
      <c r="B71" s="380"/>
      <c r="D71" s="377"/>
    </row>
    <row r="72" spans="1:4">
      <c r="A72" s="372"/>
      <c r="B72" s="376"/>
    </row>
    <row r="73" spans="1:4">
      <c r="A73" s="372"/>
      <c r="B73" s="376"/>
    </row>
    <row r="74" spans="1:4">
      <c r="A74" s="372"/>
      <c r="B74" s="376"/>
      <c r="D74" s="381"/>
    </row>
    <row r="75" spans="1:4">
      <c r="A75" s="372"/>
      <c r="B75" s="376"/>
      <c r="D75" s="381"/>
    </row>
    <row r="76" spans="1:4">
      <c r="A76" s="372"/>
      <c r="B76" s="376"/>
      <c r="D76" s="381"/>
    </row>
    <row r="77" spans="1:4">
      <c r="A77" s="372"/>
      <c r="B77" s="376"/>
      <c r="D77" s="381"/>
    </row>
    <row r="78" spans="1:4">
      <c r="A78" s="372"/>
      <c r="B78" s="376"/>
      <c r="D78" s="377"/>
    </row>
    <row r="79" spans="1:4">
      <c r="A79" s="372"/>
      <c r="B79" s="376"/>
      <c r="D79" s="377"/>
    </row>
    <row r="80" spans="1:4">
      <c r="A80" s="372"/>
      <c r="B80" s="376"/>
      <c r="D80" s="377"/>
    </row>
    <row r="150" spans="1:11" s="372" customFormat="1">
      <c r="A150" s="370"/>
      <c r="B150" s="370"/>
      <c r="D150" s="375"/>
      <c r="E150" s="370"/>
      <c r="F150" s="370"/>
      <c r="G150" s="960"/>
      <c r="H150" s="370"/>
      <c r="I150" s="370"/>
      <c r="J150" s="370"/>
      <c r="K150" s="370"/>
    </row>
    <row r="161" spans="5:11">
      <c r="E161" s="372"/>
      <c r="F161" s="372"/>
      <c r="G161" s="961"/>
      <c r="H161" s="372"/>
      <c r="I161" s="372"/>
      <c r="J161" s="372"/>
      <c r="K161" s="372"/>
    </row>
  </sheetData>
  <mergeCells count="7">
    <mergeCell ref="B50:D50"/>
    <mergeCell ref="A1:E1"/>
    <mergeCell ref="A2:E2"/>
    <mergeCell ref="A3:E3"/>
    <mergeCell ref="B45:D45"/>
    <mergeCell ref="B46:D46"/>
    <mergeCell ref="B47:D47"/>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topLeftCell="A18" workbookViewId="0">
      <selection activeCell="M39" sqref="M39"/>
    </sheetView>
  </sheetViews>
  <sheetFormatPr defaultColWidth="8.6640625" defaultRowHeight="12.75"/>
  <cols>
    <col min="1" max="1" width="4.6640625" style="2" bestFit="1" customWidth="1"/>
    <col min="2" max="2" width="8.21875" style="2" customWidth="1"/>
    <col min="3" max="3" width="35.77734375" style="2" customWidth="1"/>
    <col min="4" max="4" width="7.5546875" style="2" bestFit="1" customWidth="1"/>
    <col min="5" max="6" width="9.6640625" style="2" customWidth="1"/>
    <col min="7" max="11" width="9" style="2" customWidth="1"/>
    <col min="12" max="12" width="9.21875" style="884" bestFit="1" customWidth="1"/>
    <col min="13" max="13" width="12.44140625" style="2" customWidth="1"/>
    <col min="14" max="14" width="12.5546875" style="2" customWidth="1"/>
    <col min="15" max="16384" width="8.6640625" style="2"/>
  </cols>
  <sheetData>
    <row r="1" spans="1:12">
      <c r="A1" s="987" t="s">
        <v>20</v>
      </c>
      <c r="B1" s="987"/>
      <c r="C1" s="987"/>
      <c r="D1" s="987"/>
      <c r="E1" s="987"/>
      <c r="F1" s="987"/>
      <c r="G1" s="987"/>
      <c r="H1" s="987"/>
      <c r="I1" s="987"/>
      <c r="J1" s="987"/>
      <c r="K1" s="774"/>
      <c r="L1" s="925"/>
    </row>
    <row r="2" spans="1:12">
      <c r="A2" s="988" t="s">
        <v>452</v>
      </c>
      <c r="B2" s="988"/>
      <c r="C2" s="988"/>
      <c r="D2" s="988"/>
      <c r="E2" s="988"/>
      <c r="F2" s="988"/>
      <c r="G2" s="988"/>
      <c r="H2" s="988"/>
      <c r="I2" s="988"/>
      <c r="J2" s="988"/>
      <c r="K2" s="426"/>
      <c r="L2" s="926"/>
    </row>
    <row r="3" spans="1:12">
      <c r="A3" s="988" t="str">
        <f>'Act Att-H'!C7</f>
        <v>Black Hills Colorado Electric, LLC</v>
      </c>
      <c r="B3" s="988"/>
      <c r="C3" s="988"/>
      <c r="D3" s="988"/>
      <c r="E3" s="988"/>
      <c r="F3" s="988"/>
      <c r="G3" s="988"/>
      <c r="H3" s="988"/>
      <c r="I3" s="988"/>
      <c r="J3" s="988"/>
      <c r="K3" s="426"/>
      <c r="L3" s="926"/>
    </row>
    <row r="4" spans="1:12">
      <c r="B4" s="445"/>
      <c r="C4" s="445"/>
      <c r="D4" s="445"/>
      <c r="E4" s="445"/>
      <c r="F4" s="445"/>
      <c r="G4" s="445"/>
      <c r="H4" s="445"/>
      <c r="I4" s="445"/>
      <c r="J4" s="2" t="s">
        <v>3</v>
      </c>
    </row>
    <row r="5" spans="1:12">
      <c r="A5" s="127" t="s">
        <v>453</v>
      </c>
      <c r="B5" s="130" t="s">
        <v>454</v>
      </c>
      <c r="C5" s="73"/>
      <c r="D5" s="104"/>
      <c r="E5" s="73"/>
      <c r="F5" s="73"/>
      <c r="G5" s="451"/>
      <c r="H5" s="73"/>
      <c r="I5" s="153"/>
      <c r="J5" s="104"/>
    </row>
    <row r="6" spans="1:12">
      <c r="B6" s="452"/>
      <c r="C6" s="104"/>
      <c r="D6" s="453"/>
      <c r="E6" s="104"/>
      <c r="F6" s="104"/>
      <c r="G6" s="104"/>
      <c r="H6" s="104"/>
      <c r="I6" s="104"/>
      <c r="J6" s="104"/>
    </row>
    <row r="7" spans="1:12">
      <c r="A7" s="5">
        <v>1</v>
      </c>
      <c r="B7" s="454" t="s">
        <v>455</v>
      </c>
      <c r="C7" s="454" t="s">
        <v>13</v>
      </c>
      <c r="D7" s="455"/>
      <c r="E7" s="454" t="s">
        <v>90</v>
      </c>
      <c r="F7" s="454" t="s">
        <v>456</v>
      </c>
      <c r="G7" s="454" t="s">
        <v>457</v>
      </c>
      <c r="H7" s="986" t="s">
        <v>91</v>
      </c>
      <c r="I7" s="986"/>
      <c r="J7" s="454" t="s">
        <v>90</v>
      </c>
    </row>
    <row r="8" spans="1:12">
      <c r="A8" s="5">
        <f>A7+1</f>
        <v>2</v>
      </c>
      <c r="E8" s="28" t="s">
        <v>458</v>
      </c>
      <c r="F8" s="457" t="s">
        <v>459</v>
      </c>
      <c r="G8" s="457" t="s">
        <v>460</v>
      </c>
      <c r="H8" s="985" t="s">
        <v>461</v>
      </c>
      <c r="I8" s="985"/>
      <c r="J8" s="457" t="s">
        <v>462</v>
      </c>
    </row>
    <row r="9" spans="1:12">
      <c r="A9" s="5">
        <f t="shared" ref="A9:A57" si="0">A8+1</f>
        <v>3</v>
      </c>
      <c r="B9" s="458" t="s">
        <v>463</v>
      </c>
      <c r="C9" s="459"/>
      <c r="F9" s="459"/>
      <c r="G9" s="459"/>
      <c r="H9" s="104"/>
    </row>
    <row r="10" spans="1:12">
      <c r="A10" s="5">
        <f t="shared" si="0"/>
        <v>4</v>
      </c>
      <c r="B10" s="460">
        <v>45400</v>
      </c>
      <c r="C10" s="459" t="s">
        <v>464</v>
      </c>
      <c r="E10" s="212">
        <v>0</v>
      </c>
      <c r="F10" s="222">
        <v>0</v>
      </c>
      <c r="G10" s="222">
        <f>SUM(E10:F10)</f>
        <v>0</v>
      </c>
      <c r="H10" s="592" t="s">
        <v>94</v>
      </c>
      <c r="I10" s="163">
        <f>'Act Att-H'!I174</f>
        <v>0.9266113890410379</v>
      </c>
      <c r="J10" s="222">
        <f>G10*I10</f>
        <v>0</v>
      </c>
    </row>
    <row r="11" spans="1:12">
      <c r="A11" s="5">
        <f t="shared" si="0"/>
        <v>5</v>
      </c>
      <c r="B11" s="460">
        <v>45400</v>
      </c>
      <c r="C11" s="459" t="s">
        <v>465</v>
      </c>
      <c r="E11" s="461">
        <v>1689908.6700000002</v>
      </c>
      <c r="F11" s="459">
        <f>-E11</f>
        <v>-1689908.6700000002</v>
      </c>
      <c r="G11" s="459">
        <f>SUM(E11:F11)</f>
        <v>0</v>
      </c>
      <c r="H11" s="28" t="s">
        <v>141</v>
      </c>
      <c r="I11" s="163"/>
      <c r="J11" s="222">
        <f>G11*I11</f>
        <v>0</v>
      </c>
    </row>
    <row r="12" spans="1:12">
      <c r="A12" s="5">
        <f t="shared" si="0"/>
        <v>6</v>
      </c>
      <c r="B12" s="462" t="s">
        <v>466</v>
      </c>
      <c r="C12" s="462"/>
      <c r="D12" s="463"/>
      <c r="E12" s="436">
        <f>SUM(E10:E11)</f>
        <v>1689908.6700000002</v>
      </c>
      <c r="F12" s="436">
        <f>SUM(F10:F11)</f>
        <v>-1689908.6700000002</v>
      </c>
      <c r="G12" s="436">
        <f>SUM(G10:G11)</f>
        <v>0</v>
      </c>
      <c r="H12" s="463"/>
      <c r="I12" s="593"/>
      <c r="J12" s="594">
        <f>SUM(J10:J11)</f>
        <v>0</v>
      </c>
    </row>
    <row r="13" spans="1:12">
      <c r="A13" s="5">
        <f t="shared" si="0"/>
        <v>7</v>
      </c>
      <c r="B13" s="464"/>
      <c r="C13" s="465"/>
      <c r="D13" s="465"/>
      <c r="E13" s="104"/>
      <c r="F13" s="104"/>
      <c r="G13" s="104"/>
      <c r="H13" s="456"/>
    </row>
    <row r="14" spans="1:12">
      <c r="A14" s="5">
        <f t="shared" si="0"/>
        <v>8</v>
      </c>
    </row>
    <row r="15" spans="1:12">
      <c r="A15" s="5">
        <f t="shared" si="0"/>
        <v>9</v>
      </c>
      <c r="B15" s="130" t="s">
        <v>467</v>
      </c>
      <c r="C15" s="73"/>
      <c r="D15" s="73"/>
      <c r="E15" s="73"/>
      <c r="F15" s="73"/>
      <c r="G15" s="73"/>
      <c r="H15" s="73"/>
      <c r="I15" s="153"/>
      <c r="J15" s="104"/>
    </row>
    <row r="16" spans="1:12">
      <c r="A16" s="5">
        <f t="shared" si="0"/>
        <v>10</v>
      </c>
      <c r="F16" s="186"/>
      <c r="G16" s="186"/>
      <c r="H16" s="186"/>
      <c r="I16" s="186"/>
      <c r="K16" s="186"/>
      <c r="L16" s="927"/>
    </row>
    <row r="17" spans="1:14">
      <c r="A17" s="5">
        <f t="shared" si="0"/>
        <v>11</v>
      </c>
      <c r="B17" s="426"/>
      <c r="F17" s="186"/>
      <c r="G17" s="186"/>
      <c r="H17" s="186"/>
      <c r="I17" s="186"/>
      <c r="J17" s="186"/>
      <c r="K17" s="186"/>
      <c r="L17" s="927"/>
    </row>
    <row r="18" spans="1:14">
      <c r="A18" s="5">
        <f t="shared" si="0"/>
        <v>12</v>
      </c>
      <c r="H18" s="186"/>
      <c r="I18" s="186"/>
      <c r="J18" s="186"/>
    </row>
    <row r="19" spans="1:14">
      <c r="A19" s="5">
        <f t="shared" si="0"/>
        <v>13</v>
      </c>
    </row>
    <row r="20" spans="1:14">
      <c r="A20" s="5">
        <f t="shared" si="0"/>
        <v>14</v>
      </c>
      <c r="B20" s="186"/>
      <c r="C20" s="186"/>
      <c r="D20" s="186" t="s">
        <v>468</v>
      </c>
      <c r="E20" s="186"/>
      <c r="F20" s="186" t="s">
        <v>469</v>
      </c>
      <c r="G20" s="186" t="s">
        <v>470</v>
      </c>
      <c r="H20" s="186" t="s">
        <v>471</v>
      </c>
      <c r="I20" s="186"/>
      <c r="J20" s="186"/>
      <c r="N20" s="466"/>
    </row>
    <row r="21" spans="1:14">
      <c r="A21" s="5">
        <f t="shared" si="0"/>
        <v>15</v>
      </c>
      <c r="B21" s="454" t="s">
        <v>472</v>
      </c>
      <c r="C21" s="454" t="s">
        <v>13</v>
      </c>
      <c r="D21" s="467" t="s">
        <v>473</v>
      </c>
      <c r="E21" s="467" t="s">
        <v>474</v>
      </c>
      <c r="F21" s="454" t="s">
        <v>475</v>
      </c>
      <c r="G21" s="454" t="s">
        <v>476</v>
      </c>
      <c r="H21" s="454" t="s">
        <v>477</v>
      </c>
      <c r="I21" s="454" t="s">
        <v>478</v>
      </c>
      <c r="J21" s="454" t="s">
        <v>90</v>
      </c>
      <c r="K21" s="28"/>
      <c r="L21" s="928"/>
    </row>
    <row r="22" spans="1:14">
      <c r="A22" s="5">
        <f t="shared" si="0"/>
        <v>16</v>
      </c>
      <c r="E22" s="28" t="s">
        <v>458</v>
      </c>
      <c r="F22" s="28" t="s">
        <v>459</v>
      </c>
      <c r="G22" s="28" t="s">
        <v>460</v>
      </c>
      <c r="H22" s="28" t="s">
        <v>461</v>
      </c>
      <c r="I22" s="28" t="s">
        <v>479</v>
      </c>
      <c r="J22" s="28" t="s">
        <v>480</v>
      </c>
      <c r="M22" s="28"/>
    </row>
    <row r="23" spans="1:14">
      <c r="A23" s="5">
        <f t="shared" si="0"/>
        <v>17</v>
      </c>
    </row>
    <row r="24" spans="1:14">
      <c r="A24" s="5">
        <f t="shared" si="0"/>
        <v>18</v>
      </c>
      <c r="B24" s="914" t="s">
        <v>481</v>
      </c>
      <c r="C24" s="914" t="s">
        <v>482</v>
      </c>
      <c r="D24" s="915" t="s">
        <v>483</v>
      </c>
      <c r="E24" s="470"/>
      <c r="F24" s="471">
        <v>157800</v>
      </c>
      <c r="G24" s="471"/>
      <c r="H24" s="471"/>
      <c r="I24" s="471"/>
      <c r="J24" s="471">
        <f>SUM(F24:I24)</f>
        <v>157800</v>
      </c>
    </row>
    <row r="25" spans="1:14">
      <c r="A25" s="5">
        <f t="shared" si="0"/>
        <v>19</v>
      </c>
      <c r="B25" s="914" t="s">
        <v>481</v>
      </c>
      <c r="C25" s="914" t="s">
        <v>484</v>
      </c>
      <c r="D25" s="915" t="s">
        <v>485</v>
      </c>
      <c r="E25" s="470"/>
      <c r="F25" s="471"/>
      <c r="G25" s="471">
        <v>436962.46</v>
      </c>
      <c r="H25" s="471"/>
      <c r="I25" s="471"/>
      <c r="J25" s="471">
        <f t="shared" ref="J25:J31" si="1">SUM(F25:I25)</f>
        <v>436962.46</v>
      </c>
      <c r="N25" s="472"/>
    </row>
    <row r="26" spans="1:14">
      <c r="A26" s="5">
        <f t="shared" si="0"/>
        <v>20</v>
      </c>
      <c r="B26" s="914" t="s">
        <v>486</v>
      </c>
      <c r="C26" s="914" t="s">
        <v>487</v>
      </c>
      <c r="D26" s="915" t="s">
        <v>488</v>
      </c>
      <c r="E26" s="470"/>
      <c r="F26" s="471">
        <v>686058.47</v>
      </c>
      <c r="G26" s="471"/>
      <c r="H26" s="471"/>
      <c r="I26" s="471"/>
      <c r="J26" s="471">
        <f t="shared" si="1"/>
        <v>686058.47</v>
      </c>
      <c r="N26" s="472"/>
    </row>
    <row r="27" spans="1:14">
      <c r="A27" s="5">
        <f t="shared" si="0"/>
        <v>21</v>
      </c>
      <c r="B27" s="914" t="s">
        <v>486</v>
      </c>
      <c r="C27" s="914" t="s">
        <v>489</v>
      </c>
      <c r="D27" s="915" t="s">
        <v>490</v>
      </c>
      <c r="E27" s="470"/>
      <c r="F27" s="471">
        <v>360541.93</v>
      </c>
      <c r="G27" s="471"/>
      <c r="H27" s="471"/>
      <c r="I27" s="471"/>
      <c r="J27" s="471">
        <f t="shared" si="1"/>
        <v>360541.93</v>
      </c>
    </row>
    <row r="28" spans="1:14">
      <c r="A28" s="5">
        <f t="shared" si="0"/>
        <v>22</v>
      </c>
      <c r="B28" s="914" t="s">
        <v>471</v>
      </c>
      <c r="C28" s="914" t="s">
        <v>484</v>
      </c>
      <c r="D28" s="915" t="s">
        <v>485</v>
      </c>
      <c r="E28" s="470"/>
      <c r="F28" s="471"/>
      <c r="G28" s="471"/>
      <c r="H28" s="471">
        <v>17306.27</v>
      </c>
      <c r="I28" s="471"/>
      <c r="J28" s="471">
        <f t="shared" si="1"/>
        <v>17306.27</v>
      </c>
    </row>
    <row r="29" spans="1:14">
      <c r="A29" s="5">
        <f t="shared" si="0"/>
        <v>23</v>
      </c>
      <c r="B29" s="914" t="s">
        <v>471</v>
      </c>
      <c r="C29" s="914" t="s">
        <v>482</v>
      </c>
      <c r="D29" s="914" t="s">
        <v>483</v>
      </c>
      <c r="E29" s="470"/>
      <c r="F29" s="471"/>
      <c r="G29" s="471"/>
      <c r="H29" s="471">
        <v>8220</v>
      </c>
      <c r="I29" s="471"/>
      <c r="J29" s="471">
        <f t="shared" si="1"/>
        <v>8220</v>
      </c>
    </row>
    <row r="30" spans="1:14">
      <c r="A30" s="5">
        <f t="shared" si="0"/>
        <v>24</v>
      </c>
      <c r="B30" s="914" t="s">
        <v>471</v>
      </c>
      <c r="C30" s="914" t="s">
        <v>487</v>
      </c>
      <c r="D30" s="915" t="s">
        <v>488</v>
      </c>
      <c r="E30" s="470"/>
      <c r="F30" s="471"/>
      <c r="G30" s="471"/>
      <c r="H30" s="471">
        <v>38323.560000000005</v>
      </c>
      <c r="I30" s="471"/>
      <c r="J30" s="471">
        <f t="shared" si="1"/>
        <v>38323.560000000005</v>
      </c>
    </row>
    <row r="31" spans="1:14">
      <c r="A31" s="5">
        <f t="shared" si="0"/>
        <v>25</v>
      </c>
      <c r="B31" s="914" t="s">
        <v>471</v>
      </c>
      <c r="C31" s="914" t="s">
        <v>489</v>
      </c>
      <c r="D31" s="915" t="s">
        <v>490</v>
      </c>
      <c r="E31" s="470"/>
      <c r="F31" s="471"/>
      <c r="G31" s="471"/>
      <c r="H31" s="471">
        <v>81379.62</v>
      </c>
      <c r="I31" s="471"/>
      <c r="J31" s="471">
        <f t="shared" si="1"/>
        <v>81379.62</v>
      </c>
    </row>
    <row r="32" spans="1:14">
      <c r="A32" s="5">
        <f t="shared" si="0"/>
        <v>26</v>
      </c>
      <c r="B32" s="468"/>
      <c r="C32" s="468"/>
      <c r="D32" s="469"/>
      <c r="E32" s="470"/>
      <c r="F32" s="471"/>
      <c r="G32" s="471"/>
      <c r="H32" s="471"/>
      <c r="I32" s="471"/>
      <c r="J32" s="471"/>
    </row>
    <row r="33" spans="1:14">
      <c r="A33" s="5">
        <f t="shared" si="0"/>
        <v>27</v>
      </c>
      <c r="B33" s="468"/>
      <c r="C33" s="468"/>
      <c r="D33" s="469"/>
      <c r="E33" s="470"/>
      <c r="F33" s="471"/>
      <c r="G33" s="471"/>
      <c r="H33" s="471"/>
      <c r="I33" s="471"/>
      <c r="J33" s="471"/>
    </row>
    <row r="34" spans="1:14">
      <c r="A34" s="5">
        <f t="shared" si="0"/>
        <v>28</v>
      </c>
      <c r="B34" s="468"/>
      <c r="C34" s="468"/>
      <c r="D34" s="468"/>
      <c r="E34" s="470"/>
      <c r="F34" s="471"/>
      <c r="G34" s="471"/>
      <c r="H34" s="471"/>
      <c r="I34" s="471"/>
      <c r="J34" s="471"/>
    </row>
    <row r="35" spans="1:14">
      <c r="A35" s="5">
        <f t="shared" si="0"/>
        <v>29</v>
      </c>
      <c r="B35" s="468"/>
      <c r="C35" s="468"/>
      <c r="D35" s="468"/>
      <c r="E35" s="470"/>
      <c r="F35" s="471"/>
      <c r="G35" s="471"/>
      <c r="H35" s="471"/>
      <c r="I35" s="471"/>
      <c r="J35" s="471"/>
    </row>
    <row r="36" spans="1:14">
      <c r="A36" s="5">
        <f t="shared" si="0"/>
        <v>30</v>
      </c>
      <c r="B36" s="468"/>
      <c r="C36" s="468"/>
      <c r="D36" s="468"/>
      <c r="E36" s="468"/>
      <c r="F36" s="471"/>
      <c r="G36" s="471"/>
      <c r="H36" s="471"/>
      <c r="I36" s="471"/>
      <c r="J36" s="471"/>
      <c r="N36" s="472"/>
    </row>
    <row r="37" spans="1:14">
      <c r="A37" s="5">
        <f t="shared" si="0"/>
        <v>31</v>
      </c>
      <c r="B37" s="468"/>
      <c r="C37" s="468"/>
      <c r="D37" s="468"/>
      <c r="E37" s="470"/>
      <c r="F37" s="471"/>
      <c r="G37" s="471"/>
      <c r="H37" s="471"/>
      <c r="I37" s="471"/>
      <c r="J37" s="471"/>
    </row>
    <row r="38" spans="1:14">
      <c r="A38" s="5">
        <f t="shared" si="0"/>
        <v>32</v>
      </c>
      <c r="B38" s="468"/>
      <c r="C38" s="468"/>
      <c r="D38" s="469"/>
      <c r="E38" s="470"/>
      <c r="F38" s="471"/>
      <c r="G38" s="471"/>
      <c r="H38" s="471"/>
      <c r="I38" s="471"/>
      <c r="J38" s="471"/>
    </row>
    <row r="39" spans="1:14">
      <c r="A39" s="5">
        <f t="shared" si="0"/>
        <v>33</v>
      </c>
      <c r="B39" s="468"/>
      <c r="C39" s="468"/>
      <c r="D39" s="469"/>
      <c r="E39" s="470"/>
      <c r="F39" s="471"/>
      <c r="G39" s="471"/>
      <c r="H39" s="471"/>
      <c r="I39" s="471"/>
      <c r="J39" s="471"/>
    </row>
    <row r="40" spans="1:14">
      <c r="A40" s="5">
        <f t="shared" si="0"/>
        <v>34</v>
      </c>
      <c r="B40" s="468"/>
      <c r="C40" s="468"/>
      <c r="D40" s="469"/>
      <c r="E40" s="470"/>
      <c r="F40" s="471"/>
      <c r="G40" s="471"/>
      <c r="H40" s="471"/>
      <c r="I40" s="471"/>
      <c r="J40" s="471"/>
    </row>
    <row r="41" spans="1:14">
      <c r="A41" s="5">
        <f t="shared" si="0"/>
        <v>35</v>
      </c>
      <c r="B41" s="468"/>
      <c r="C41" s="468"/>
      <c r="D41" s="469"/>
      <c r="E41" s="470"/>
      <c r="F41" s="471"/>
      <c r="G41" s="471"/>
      <c r="H41" s="471"/>
      <c r="I41" s="471"/>
      <c r="J41" s="471"/>
    </row>
    <row r="42" spans="1:14">
      <c r="A42" s="5">
        <f t="shared" si="0"/>
        <v>36</v>
      </c>
      <c r="B42" s="468"/>
      <c r="C42" s="468"/>
      <c r="D42" s="468"/>
      <c r="E42" s="470"/>
      <c r="F42" s="471"/>
      <c r="G42" s="471"/>
      <c r="H42" s="471"/>
      <c r="I42" s="471"/>
      <c r="J42" s="471"/>
    </row>
    <row r="43" spans="1:14">
      <c r="A43" s="5">
        <f t="shared" si="0"/>
        <v>37</v>
      </c>
      <c r="B43" s="468"/>
      <c r="C43" s="468"/>
      <c r="D43" s="468"/>
      <c r="E43" s="470"/>
      <c r="F43" s="471"/>
      <c r="G43" s="471"/>
      <c r="H43" s="471"/>
      <c r="I43" s="471"/>
      <c r="J43" s="471"/>
    </row>
    <row r="44" spans="1:14">
      <c r="A44" s="5">
        <f t="shared" si="0"/>
        <v>38</v>
      </c>
      <c r="B44" s="473"/>
      <c r="C44" s="473"/>
      <c r="D44" s="473"/>
      <c r="E44" s="473"/>
      <c r="F44" s="474"/>
      <c r="G44" s="474"/>
      <c r="H44" s="474"/>
      <c r="I44" s="474"/>
      <c r="J44" s="474"/>
      <c r="K44" s="476"/>
      <c r="L44" s="929"/>
    </row>
    <row r="45" spans="1:14">
      <c r="A45" s="5">
        <f t="shared" si="0"/>
        <v>39</v>
      </c>
      <c r="B45" s="463"/>
      <c r="C45" s="463" t="s">
        <v>90</v>
      </c>
      <c r="D45" s="463"/>
      <c r="E45" s="475"/>
      <c r="F45" s="475">
        <f t="shared" ref="F45:J45" si="2">SUM(F24:F44)</f>
        <v>1204400.3999999999</v>
      </c>
      <c r="G45" s="475">
        <f t="shared" si="2"/>
        <v>436962.46</v>
      </c>
      <c r="H45" s="475">
        <f t="shared" si="2"/>
        <v>145229.45000000001</v>
      </c>
      <c r="I45" s="475">
        <f t="shared" si="2"/>
        <v>0</v>
      </c>
      <c r="J45" s="475">
        <f t="shared" si="2"/>
        <v>1786592.31</v>
      </c>
      <c r="K45" s="476"/>
      <c r="L45" s="929"/>
      <c r="M45" s="476"/>
    </row>
    <row r="46" spans="1:14">
      <c r="A46" s="5">
        <f t="shared" si="0"/>
        <v>40</v>
      </c>
      <c r="E46" s="214"/>
      <c r="F46" s="477"/>
      <c r="G46" s="477"/>
      <c r="H46" s="477"/>
      <c r="I46" s="477"/>
      <c r="J46" s="477"/>
      <c r="M46" s="476"/>
    </row>
    <row r="47" spans="1:14">
      <c r="A47" s="5">
        <f t="shared" si="0"/>
        <v>41</v>
      </c>
      <c r="B47" s="478" t="s">
        <v>491</v>
      </c>
      <c r="E47" s="479"/>
      <c r="F47" s="477"/>
      <c r="G47" s="477"/>
      <c r="H47" s="477"/>
      <c r="I47" s="477"/>
      <c r="J47" s="477"/>
      <c r="K47" s="426"/>
      <c r="L47" s="926"/>
    </row>
    <row r="48" spans="1:14" s="426" customFormat="1" ht="15" customHeight="1">
      <c r="A48" s="5">
        <f t="shared" si="0"/>
        <v>42</v>
      </c>
      <c r="B48" s="2" t="s">
        <v>486</v>
      </c>
      <c r="C48" s="2"/>
      <c r="D48" s="2"/>
      <c r="E48" s="2"/>
      <c r="F48" s="477">
        <f t="shared" ref="F48:J51" si="3">SUMIF($B$24:$B$44,$B48,F$24:F$44)</f>
        <v>1046600.3999999999</v>
      </c>
      <c r="G48" s="477">
        <f t="shared" si="3"/>
        <v>0</v>
      </c>
      <c r="H48" s="477">
        <f t="shared" si="3"/>
        <v>0</v>
      </c>
      <c r="I48" s="477">
        <f t="shared" si="3"/>
        <v>0</v>
      </c>
      <c r="J48" s="477">
        <f t="shared" si="3"/>
        <v>1046600.3999999999</v>
      </c>
      <c r="K48" s="2"/>
      <c r="L48" s="884"/>
    </row>
    <row r="49" spans="1:11">
      <c r="A49" s="5">
        <f t="shared" si="0"/>
        <v>43</v>
      </c>
      <c r="B49" s="2" t="s">
        <v>481</v>
      </c>
      <c r="F49" s="477">
        <f t="shared" si="3"/>
        <v>157800</v>
      </c>
      <c r="G49" s="477">
        <f t="shared" si="3"/>
        <v>436962.46</v>
      </c>
      <c r="H49" s="477">
        <f t="shared" si="3"/>
        <v>0</v>
      </c>
      <c r="I49" s="477">
        <f t="shared" si="3"/>
        <v>0</v>
      </c>
      <c r="J49" s="477">
        <f t="shared" si="3"/>
        <v>594762.46</v>
      </c>
    </row>
    <row r="50" spans="1:11">
      <c r="A50" s="5">
        <f t="shared" si="0"/>
        <v>44</v>
      </c>
      <c r="B50" s="2" t="s">
        <v>471</v>
      </c>
      <c r="F50" s="477">
        <f t="shared" si="3"/>
        <v>0</v>
      </c>
      <c r="G50" s="477">
        <f t="shared" si="3"/>
        <v>0</v>
      </c>
      <c r="H50" s="477">
        <f t="shared" si="3"/>
        <v>145229.45000000001</v>
      </c>
      <c r="I50" s="477">
        <f t="shared" si="3"/>
        <v>0</v>
      </c>
      <c r="J50" s="477">
        <f t="shared" si="3"/>
        <v>145229.45000000001</v>
      </c>
    </row>
    <row r="51" spans="1:11">
      <c r="A51" s="5">
        <f t="shared" si="0"/>
        <v>45</v>
      </c>
      <c r="B51" s="2" t="s">
        <v>478</v>
      </c>
      <c r="F51" s="477">
        <f t="shared" si="3"/>
        <v>0</v>
      </c>
      <c r="G51" s="477">
        <f t="shared" si="3"/>
        <v>0</v>
      </c>
      <c r="H51" s="477">
        <f t="shared" si="3"/>
        <v>0</v>
      </c>
      <c r="I51" s="477">
        <f t="shared" si="3"/>
        <v>0</v>
      </c>
      <c r="J51" s="477">
        <f t="shared" si="3"/>
        <v>0</v>
      </c>
    </row>
    <row r="52" spans="1:11">
      <c r="A52" s="5">
        <f t="shared" si="0"/>
        <v>46</v>
      </c>
      <c r="B52" s="463" t="s">
        <v>90</v>
      </c>
      <c r="C52" s="463"/>
      <c r="D52" s="463"/>
      <c r="E52" s="463"/>
      <c r="F52" s="475">
        <f t="shared" ref="F52" si="4">SUM(F48:F51)</f>
        <v>1204400.3999999999</v>
      </c>
      <c r="G52" s="475">
        <f t="shared" ref="G52:J52" si="5">SUM(G48:G51)</f>
        <v>436962.46</v>
      </c>
      <c r="H52" s="475">
        <f t="shared" si="5"/>
        <v>145229.45000000001</v>
      </c>
      <c r="I52" s="475">
        <f t="shared" si="5"/>
        <v>0</v>
      </c>
      <c r="J52" s="475">
        <f t="shared" si="5"/>
        <v>1786592.3099999998</v>
      </c>
    </row>
    <row r="53" spans="1:11">
      <c r="A53" s="5">
        <f t="shared" si="0"/>
        <v>47</v>
      </c>
      <c r="F53" s="477"/>
      <c r="G53" s="477"/>
      <c r="H53" s="477"/>
      <c r="I53" s="477"/>
      <c r="J53" s="477"/>
    </row>
    <row r="54" spans="1:11">
      <c r="A54" s="5">
        <f t="shared" si="0"/>
        <v>48</v>
      </c>
      <c r="B54" s="480" t="s">
        <v>492</v>
      </c>
    </row>
    <row r="55" spans="1:11">
      <c r="A55" s="5">
        <f t="shared" si="0"/>
        <v>49</v>
      </c>
      <c r="B55" s="2" t="s">
        <v>471</v>
      </c>
      <c r="C55" s="2" t="s">
        <v>493</v>
      </c>
    </row>
    <row r="56" spans="1:11">
      <c r="A56" s="5">
        <f t="shared" si="0"/>
        <v>50</v>
      </c>
      <c r="B56" s="2" t="s">
        <v>481</v>
      </c>
      <c r="C56" s="2" t="s">
        <v>494</v>
      </c>
    </row>
    <row r="57" spans="1:11">
      <c r="A57" s="5">
        <f t="shared" si="0"/>
        <v>51</v>
      </c>
      <c r="B57" s="2" t="s">
        <v>486</v>
      </c>
      <c r="C57" s="2" t="s">
        <v>495</v>
      </c>
    </row>
    <row r="58" spans="1:11">
      <c r="A58" s="5"/>
    </row>
    <row r="59" spans="1:11">
      <c r="A59" s="481" t="s">
        <v>496</v>
      </c>
    </row>
    <row r="60" spans="1:11" ht="12.75" customHeight="1">
      <c r="A60" s="28" t="s">
        <v>387</v>
      </c>
      <c r="B60" s="973" t="s">
        <v>497</v>
      </c>
      <c r="C60" s="973"/>
      <c r="D60" s="973"/>
      <c r="E60" s="973"/>
      <c r="F60" s="973"/>
      <c r="G60" s="973"/>
      <c r="H60" s="973"/>
      <c r="I60" s="973"/>
      <c r="J60" s="973"/>
      <c r="K60" s="973"/>
    </row>
    <row r="61" spans="1:11">
      <c r="A61" s="28" t="s">
        <v>389</v>
      </c>
      <c r="B61" s="2" t="s">
        <v>498</v>
      </c>
    </row>
  </sheetData>
  <mergeCells count="6">
    <mergeCell ref="B60:K60"/>
    <mergeCell ref="H8:I8"/>
    <mergeCell ref="H7:I7"/>
    <mergeCell ref="A1:J1"/>
    <mergeCell ref="A2:J2"/>
    <mergeCell ref="A3:J3"/>
  </mergeCells>
  <pageMargins left="0.5" right="0.25" top="1" bottom="1" header="0.5" footer="0.5"/>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topLeftCell="A3" workbookViewId="0">
      <selection activeCell="E31" sqref="E31"/>
    </sheetView>
  </sheetViews>
  <sheetFormatPr defaultColWidth="7.109375" defaultRowHeight="12.75"/>
  <cols>
    <col min="1" max="1" width="5.5546875" style="204" customWidth="1"/>
    <col min="2" max="2" width="35.5546875" style="204" customWidth="1"/>
    <col min="3" max="3" width="24.21875" style="204" customWidth="1"/>
    <col min="4" max="4" width="11.109375" style="217" customWidth="1"/>
    <col min="5" max="5" width="7.109375" style="204"/>
    <col min="6" max="6" width="8.6640625" style="931" bestFit="1" customWidth="1"/>
    <col min="7" max="16384" width="7.109375" style="204"/>
  </cols>
  <sheetData>
    <row r="1" spans="1:8" ht="14.25" customHeight="1">
      <c r="A1" s="990" t="s">
        <v>23</v>
      </c>
      <c r="B1" s="990"/>
      <c r="C1" s="990"/>
      <c r="D1" s="990"/>
      <c r="F1" s="930"/>
    </row>
    <row r="2" spans="1:8">
      <c r="A2" s="990" t="s">
        <v>499</v>
      </c>
      <c r="B2" s="990"/>
      <c r="C2" s="990"/>
      <c r="D2" s="990"/>
    </row>
    <row r="3" spans="1:8">
      <c r="A3" s="991" t="str">
        <f>'Act Att-H'!C7</f>
        <v>Black Hills Colorado Electric, LLC</v>
      </c>
      <c r="B3" s="990"/>
      <c r="C3" s="990"/>
      <c r="D3" s="990"/>
    </row>
    <row r="4" spans="1:8">
      <c r="D4" s="205" t="s">
        <v>3</v>
      </c>
    </row>
    <row r="5" spans="1:8">
      <c r="D5" s="204"/>
    </row>
    <row r="6" spans="1:8">
      <c r="A6" s="206" t="s">
        <v>82</v>
      </c>
      <c r="C6" s="207" t="s">
        <v>131</v>
      </c>
      <c r="D6" s="208"/>
    </row>
    <row r="7" spans="1:8">
      <c r="A7" s="209" t="s">
        <v>84</v>
      </c>
      <c r="B7" s="209" t="s">
        <v>500</v>
      </c>
      <c r="C7" s="210" t="s">
        <v>133</v>
      </c>
      <c r="D7" s="211" t="s">
        <v>134</v>
      </c>
    </row>
    <row r="8" spans="1:8" ht="13.35" customHeight="1">
      <c r="A8" s="206">
        <v>1</v>
      </c>
      <c r="B8" s="204" t="s">
        <v>501</v>
      </c>
      <c r="C8" s="204" t="s">
        <v>502</v>
      </c>
      <c r="D8" s="212">
        <v>60595</v>
      </c>
      <c r="F8" s="911"/>
    </row>
    <row r="9" spans="1:8" ht="13.35" customHeight="1">
      <c r="A9" s="206">
        <v>2</v>
      </c>
      <c r="B9" s="204" t="s">
        <v>503</v>
      </c>
      <c r="C9" s="204" t="s">
        <v>504</v>
      </c>
      <c r="D9" s="212">
        <v>1194180</v>
      </c>
      <c r="F9" s="911"/>
      <c r="H9" s="213"/>
    </row>
    <row r="10" spans="1:8" ht="13.35" customHeight="1">
      <c r="A10" s="206">
        <v>3</v>
      </c>
      <c r="B10" s="204" t="s">
        <v>505</v>
      </c>
      <c r="C10" s="204" t="s">
        <v>506</v>
      </c>
      <c r="D10" s="212">
        <v>542516</v>
      </c>
      <c r="F10" s="911"/>
    </row>
    <row r="11" spans="1:8" ht="13.35" customHeight="1">
      <c r="A11" s="206">
        <v>4</v>
      </c>
      <c r="B11" s="204" t="s">
        <v>507</v>
      </c>
      <c r="C11" s="204" t="s">
        <v>508</v>
      </c>
      <c r="D11" s="212">
        <v>259.57</v>
      </c>
      <c r="F11" s="911"/>
    </row>
    <row r="12" spans="1:8" ht="13.35" customHeight="1">
      <c r="A12" s="206" t="s">
        <v>509</v>
      </c>
      <c r="B12" s="204" t="s">
        <v>510</v>
      </c>
      <c r="C12" s="204" t="s">
        <v>511</v>
      </c>
      <c r="D12" s="212">
        <v>129078.43000000005</v>
      </c>
      <c r="F12" s="911"/>
    </row>
    <row r="13" spans="1:8" ht="13.35" customHeight="1">
      <c r="A13" s="206" t="s">
        <v>512</v>
      </c>
      <c r="B13" s="204" t="s">
        <v>513</v>
      </c>
      <c r="C13" s="204" t="s">
        <v>511</v>
      </c>
      <c r="D13" s="212">
        <v>0</v>
      </c>
      <c r="F13" s="911"/>
    </row>
    <row r="14" spans="1:8" ht="13.35" customHeight="1" thickBot="1">
      <c r="A14" s="206">
        <v>5</v>
      </c>
      <c r="B14" s="204" t="s">
        <v>514</v>
      </c>
      <c r="C14" s="204" t="s">
        <v>515</v>
      </c>
      <c r="D14" s="216">
        <f>SUM(D8:D10,D12:D13)-D11</f>
        <v>1926109.86</v>
      </c>
      <c r="G14" s="215"/>
    </row>
    <row r="15" spans="1:8" ht="13.35" customHeight="1" thickTop="1">
      <c r="A15" s="206">
        <v>6</v>
      </c>
    </row>
    <row r="16" spans="1:8" ht="13.35" customHeight="1">
      <c r="A16" s="206">
        <v>7</v>
      </c>
    </row>
    <row r="17" spans="1:8" ht="13.35" customHeight="1">
      <c r="A17" s="206">
        <v>8</v>
      </c>
      <c r="B17" s="218" t="s">
        <v>516</v>
      </c>
      <c r="D17" s="219"/>
      <c r="G17" s="213"/>
    </row>
    <row r="18" spans="1:8" ht="13.35" customHeight="1">
      <c r="A18" s="206">
        <v>9</v>
      </c>
      <c r="D18" s="219"/>
      <c r="H18" s="213"/>
    </row>
    <row r="19" spans="1:8" ht="13.35" customHeight="1">
      <c r="A19" s="206">
        <v>10</v>
      </c>
      <c r="B19" s="204" t="s">
        <v>517</v>
      </c>
      <c r="C19" s="204" t="s">
        <v>518</v>
      </c>
      <c r="D19" s="212">
        <v>0</v>
      </c>
      <c r="F19" s="911"/>
    </row>
    <row r="20" spans="1:8" ht="13.35" customHeight="1">
      <c r="A20" s="206">
        <v>11</v>
      </c>
      <c r="B20" s="204" t="s">
        <v>519</v>
      </c>
      <c r="C20" s="204" t="s">
        <v>520</v>
      </c>
      <c r="D20" s="212">
        <v>26516</v>
      </c>
      <c r="F20" s="911"/>
      <c r="H20" s="213"/>
    </row>
    <row r="21" spans="1:8" ht="13.35" customHeight="1">
      <c r="A21" s="206">
        <v>12</v>
      </c>
      <c r="D21" s="214"/>
    </row>
    <row r="22" spans="1:8" ht="13.35" customHeight="1">
      <c r="A22" s="206">
        <v>13</v>
      </c>
      <c r="D22" s="220"/>
    </row>
    <row r="23" spans="1:8" ht="13.35" customHeight="1">
      <c r="A23" s="206">
        <v>14</v>
      </c>
      <c r="B23" s="204" t="s">
        <v>90</v>
      </c>
      <c r="C23" s="218"/>
      <c r="D23" s="221">
        <f>SUM(D19:D22)</f>
        <v>26516</v>
      </c>
    </row>
    <row r="24" spans="1:8" ht="13.35" customHeight="1">
      <c r="A24" s="206">
        <v>15</v>
      </c>
      <c r="D24" s="214"/>
    </row>
    <row r="25" spans="1:8" ht="13.35" customHeight="1" thickBot="1">
      <c r="A25" s="206">
        <v>16</v>
      </c>
      <c r="B25" s="204" t="s">
        <v>521</v>
      </c>
      <c r="D25" s="216">
        <f>+D23</f>
        <v>26516</v>
      </c>
    </row>
    <row r="26" spans="1:8" ht="13.35" customHeight="1" thickTop="1">
      <c r="A26" s="206">
        <v>17</v>
      </c>
      <c r="D26" s="222"/>
    </row>
    <row r="27" spans="1:8" ht="13.35" customHeight="1">
      <c r="A27" s="206">
        <v>18</v>
      </c>
      <c r="D27" s="222"/>
    </row>
    <row r="28" spans="1:8" ht="13.35" customHeight="1">
      <c r="A28" s="206">
        <v>19</v>
      </c>
      <c r="B28" s="218" t="s">
        <v>522</v>
      </c>
      <c r="D28" s="222"/>
    </row>
    <row r="29" spans="1:8" ht="13.35" customHeight="1">
      <c r="A29" s="206">
        <v>20</v>
      </c>
      <c r="B29" s="204" t="s">
        <v>523</v>
      </c>
      <c r="C29" s="204" t="s">
        <v>524</v>
      </c>
      <c r="D29" s="212">
        <v>0</v>
      </c>
      <c r="F29" s="911"/>
    </row>
    <row r="30" spans="1:8" ht="13.35" customHeight="1">
      <c r="A30" s="206">
        <v>21</v>
      </c>
      <c r="B30" s="204" t="s">
        <v>525</v>
      </c>
      <c r="C30" s="204" t="s">
        <v>524</v>
      </c>
      <c r="D30" s="212">
        <v>212361.73749999999</v>
      </c>
      <c r="F30" s="911"/>
    </row>
    <row r="31" spans="1:8" ht="13.35" customHeight="1" thickBot="1">
      <c r="A31" s="206">
        <v>22</v>
      </c>
      <c r="B31" s="204" t="s">
        <v>522</v>
      </c>
      <c r="C31" s="204" t="s">
        <v>526</v>
      </c>
      <c r="D31" s="216">
        <f>SUM(D29:D30)</f>
        <v>212361.73749999999</v>
      </c>
    </row>
    <row r="32" spans="1:8" ht="13.35" customHeight="1" thickTop="1">
      <c r="A32" s="206"/>
      <c r="D32" s="222"/>
    </row>
    <row r="33" spans="1:4" ht="13.35" customHeight="1">
      <c r="A33" s="384" t="s">
        <v>496</v>
      </c>
      <c r="B33" s="223"/>
      <c r="D33" s="222"/>
    </row>
    <row r="34" spans="1:4" ht="25.5" customHeight="1">
      <c r="A34" s="423" t="s">
        <v>387</v>
      </c>
      <c r="B34" s="989" t="s">
        <v>527</v>
      </c>
      <c r="C34" s="989"/>
      <c r="D34" s="989"/>
    </row>
    <row r="35" spans="1:4" ht="33" customHeight="1">
      <c r="A35" s="423" t="s">
        <v>389</v>
      </c>
      <c r="B35" s="989" t="s">
        <v>528</v>
      </c>
      <c r="C35" s="989"/>
      <c r="D35" s="989"/>
    </row>
    <row r="36" spans="1:4" ht="32.25" customHeight="1">
      <c r="A36" s="423" t="s">
        <v>391</v>
      </c>
      <c r="B36" s="989" t="s">
        <v>529</v>
      </c>
      <c r="C36" s="989"/>
      <c r="D36" s="989"/>
    </row>
    <row r="37" spans="1:4" ht="25.5" customHeight="1">
      <c r="A37" s="423" t="s">
        <v>393</v>
      </c>
      <c r="B37" s="989" t="s">
        <v>530</v>
      </c>
      <c r="C37" s="989"/>
      <c r="D37" s="989"/>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81"/>
  <sheetViews>
    <sheetView topLeftCell="A29" workbookViewId="0">
      <selection activeCell="I17" sqref="I17"/>
    </sheetView>
  </sheetViews>
  <sheetFormatPr defaultRowHeight="12.75"/>
  <cols>
    <col min="1" max="1" width="6.109375" style="2" customWidth="1"/>
    <col min="2" max="2" width="36.44140625" style="2" bestFit="1" customWidth="1"/>
    <col min="3" max="3" width="11.6640625" style="2" customWidth="1"/>
    <col min="4" max="4" width="12.21875" style="2" bestFit="1" customWidth="1"/>
    <col min="5" max="5" width="12.109375" style="2" bestFit="1" customWidth="1"/>
    <col min="6" max="6" width="15.5546875" style="2" bestFit="1" customWidth="1"/>
    <col min="7" max="7" width="9.77734375" style="2" bestFit="1" customWidth="1"/>
    <col min="8" max="8" width="10.6640625" style="884" bestFit="1" customWidth="1"/>
    <col min="9" max="252" width="8.6640625" style="2"/>
    <col min="253" max="253" width="6.109375" style="2" customWidth="1"/>
    <col min="254" max="256" width="11.6640625" style="2" customWidth="1"/>
    <col min="257" max="258" width="9.6640625" style="2" customWidth="1"/>
    <col min="259" max="259" width="15.109375" style="2" bestFit="1" customWidth="1"/>
    <col min="260" max="508" width="8.6640625" style="2"/>
    <col min="509" max="509" width="6.109375" style="2" customWidth="1"/>
    <col min="510" max="512" width="11.6640625" style="2" customWidth="1"/>
    <col min="513" max="514" width="9.6640625" style="2" customWidth="1"/>
    <col min="515" max="515" width="15.109375" style="2" bestFit="1" customWidth="1"/>
    <col min="516" max="764" width="8.6640625" style="2"/>
    <col min="765" max="765" width="6.109375" style="2" customWidth="1"/>
    <col min="766" max="768" width="11.6640625" style="2" customWidth="1"/>
    <col min="769" max="770" width="9.6640625" style="2" customWidth="1"/>
    <col min="771" max="771" width="15.109375" style="2" bestFit="1" customWidth="1"/>
    <col min="772" max="1020" width="8.6640625" style="2"/>
    <col min="1021" max="1021" width="6.109375" style="2" customWidth="1"/>
    <col min="1022" max="1024" width="11.6640625" style="2" customWidth="1"/>
    <col min="1025" max="1026" width="9.6640625" style="2" customWidth="1"/>
    <col min="1027" max="1027" width="15.109375" style="2" bestFit="1" customWidth="1"/>
    <col min="1028" max="1276" width="8.6640625" style="2"/>
    <col min="1277" max="1277" width="6.109375" style="2" customWidth="1"/>
    <col min="1278" max="1280" width="11.6640625" style="2" customWidth="1"/>
    <col min="1281" max="1282" width="9.6640625" style="2" customWidth="1"/>
    <col min="1283" max="1283" width="15.109375" style="2" bestFit="1" customWidth="1"/>
    <col min="1284" max="1532" width="8.6640625" style="2"/>
    <col min="1533" max="1533" width="6.109375" style="2" customWidth="1"/>
    <col min="1534" max="1536" width="11.6640625" style="2" customWidth="1"/>
    <col min="1537" max="1538" width="9.6640625" style="2" customWidth="1"/>
    <col min="1539" max="1539" width="15.109375" style="2" bestFit="1" customWidth="1"/>
    <col min="1540" max="1788" width="8.6640625" style="2"/>
    <col min="1789" max="1789" width="6.109375" style="2" customWidth="1"/>
    <col min="1790" max="1792" width="11.6640625" style="2" customWidth="1"/>
    <col min="1793" max="1794" width="9.6640625" style="2" customWidth="1"/>
    <col min="1795" max="1795" width="15.109375" style="2" bestFit="1" customWidth="1"/>
    <col min="1796" max="2044" width="8.6640625" style="2"/>
    <col min="2045" max="2045" width="6.109375" style="2" customWidth="1"/>
    <col min="2046" max="2048" width="11.6640625" style="2" customWidth="1"/>
    <col min="2049" max="2050" width="9.6640625" style="2" customWidth="1"/>
    <col min="2051" max="2051" width="15.109375" style="2" bestFit="1" customWidth="1"/>
    <col min="2052" max="2300" width="8.6640625" style="2"/>
    <col min="2301" max="2301" width="6.109375" style="2" customWidth="1"/>
    <col min="2302" max="2304" width="11.6640625" style="2" customWidth="1"/>
    <col min="2305" max="2306" width="9.6640625" style="2" customWidth="1"/>
    <col min="2307" max="2307" width="15.109375" style="2" bestFit="1" customWidth="1"/>
    <col min="2308" max="2556" width="8.6640625" style="2"/>
    <col min="2557" max="2557" width="6.109375" style="2" customWidth="1"/>
    <col min="2558" max="2560" width="11.6640625" style="2" customWidth="1"/>
    <col min="2561" max="2562" width="9.6640625" style="2" customWidth="1"/>
    <col min="2563" max="2563" width="15.109375" style="2" bestFit="1" customWidth="1"/>
    <col min="2564" max="2812" width="8.6640625" style="2"/>
    <col min="2813" max="2813" width="6.109375" style="2" customWidth="1"/>
    <col min="2814" max="2816" width="11.6640625" style="2" customWidth="1"/>
    <col min="2817" max="2818" width="9.6640625" style="2" customWidth="1"/>
    <col min="2819" max="2819" width="15.109375" style="2" bestFit="1" customWidth="1"/>
    <col min="2820" max="3068" width="8.6640625" style="2"/>
    <col min="3069" max="3069" width="6.109375" style="2" customWidth="1"/>
    <col min="3070" max="3072" width="11.6640625" style="2" customWidth="1"/>
    <col min="3073" max="3074" width="9.6640625" style="2" customWidth="1"/>
    <col min="3075" max="3075" width="15.109375" style="2" bestFit="1" customWidth="1"/>
    <col min="3076" max="3324" width="8.6640625" style="2"/>
    <col min="3325" max="3325" width="6.109375" style="2" customWidth="1"/>
    <col min="3326" max="3328" width="11.6640625" style="2" customWidth="1"/>
    <col min="3329" max="3330" width="9.6640625" style="2" customWidth="1"/>
    <col min="3331" max="3331" width="15.109375" style="2" bestFit="1" customWidth="1"/>
    <col min="3332" max="3580" width="8.6640625" style="2"/>
    <col min="3581" max="3581" width="6.109375" style="2" customWidth="1"/>
    <col min="3582" max="3584" width="11.6640625" style="2" customWidth="1"/>
    <col min="3585" max="3586" width="9.6640625" style="2" customWidth="1"/>
    <col min="3587" max="3587" width="15.109375" style="2" bestFit="1" customWidth="1"/>
    <col min="3588" max="3836" width="8.6640625" style="2"/>
    <col min="3837" max="3837" width="6.109375" style="2" customWidth="1"/>
    <col min="3838" max="3840" width="11.6640625" style="2" customWidth="1"/>
    <col min="3841" max="3842" width="9.6640625" style="2" customWidth="1"/>
    <col min="3843" max="3843" width="15.109375" style="2" bestFit="1" customWidth="1"/>
    <col min="3844" max="4092" width="8.6640625" style="2"/>
    <col min="4093" max="4093" width="6.109375" style="2" customWidth="1"/>
    <col min="4094" max="4096" width="11.6640625" style="2" customWidth="1"/>
    <col min="4097" max="4098" width="9.6640625" style="2" customWidth="1"/>
    <col min="4099" max="4099" width="15.109375" style="2" bestFit="1" customWidth="1"/>
    <col min="4100" max="4348" width="8.6640625" style="2"/>
    <col min="4349" max="4349" width="6.109375" style="2" customWidth="1"/>
    <col min="4350" max="4352" width="11.6640625" style="2" customWidth="1"/>
    <col min="4353" max="4354" width="9.6640625" style="2" customWidth="1"/>
    <col min="4355" max="4355" width="15.109375" style="2" bestFit="1" customWidth="1"/>
    <col min="4356" max="4604" width="8.6640625" style="2"/>
    <col min="4605" max="4605" width="6.109375" style="2" customWidth="1"/>
    <col min="4606" max="4608" width="11.6640625" style="2" customWidth="1"/>
    <col min="4609" max="4610" width="9.6640625" style="2" customWidth="1"/>
    <col min="4611" max="4611" width="15.109375" style="2" bestFit="1" customWidth="1"/>
    <col min="4612" max="4860" width="8.6640625" style="2"/>
    <col min="4861" max="4861" width="6.109375" style="2" customWidth="1"/>
    <col min="4862" max="4864" width="11.6640625" style="2" customWidth="1"/>
    <col min="4865" max="4866" width="9.6640625" style="2" customWidth="1"/>
    <col min="4867" max="4867" width="15.109375" style="2" bestFit="1" customWidth="1"/>
    <col min="4868" max="5116" width="8.6640625" style="2"/>
    <col min="5117" max="5117" width="6.109375" style="2" customWidth="1"/>
    <col min="5118" max="5120" width="11.6640625" style="2" customWidth="1"/>
    <col min="5121" max="5122" width="9.6640625" style="2" customWidth="1"/>
    <col min="5123" max="5123" width="15.109375" style="2" bestFit="1" customWidth="1"/>
    <col min="5124" max="5372" width="8.6640625" style="2"/>
    <col min="5373" max="5373" width="6.109375" style="2" customWidth="1"/>
    <col min="5374" max="5376" width="11.6640625" style="2" customWidth="1"/>
    <col min="5377" max="5378" width="9.6640625" style="2" customWidth="1"/>
    <col min="5379" max="5379" width="15.109375" style="2" bestFit="1" customWidth="1"/>
    <col min="5380" max="5628" width="8.6640625" style="2"/>
    <col min="5629" max="5629" width="6.109375" style="2" customWidth="1"/>
    <col min="5630" max="5632" width="11.6640625" style="2" customWidth="1"/>
    <col min="5633" max="5634" width="9.6640625" style="2" customWidth="1"/>
    <col min="5635" max="5635" width="15.109375" style="2" bestFit="1" customWidth="1"/>
    <col min="5636" max="5884" width="8.6640625" style="2"/>
    <col min="5885" max="5885" width="6.109375" style="2" customWidth="1"/>
    <col min="5886" max="5888" width="11.6640625" style="2" customWidth="1"/>
    <col min="5889" max="5890" width="9.6640625" style="2" customWidth="1"/>
    <col min="5891" max="5891" width="15.109375" style="2" bestFit="1" customWidth="1"/>
    <col min="5892" max="6140" width="8.6640625" style="2"/>
    <col min="6141" max="6141" width="6.109375" style="2" customWidth="1"/>
    <col min="6142" max="6144" width="11.6640625" style="2" customWidth="1"/>
    <col min="6145" max="6146" width="9.6640625" style="2" customWidth="1"/>
    <col min="6147" max="6147" width="15.109375" style="2" bestFit="1" customWidth="1"/>
    <col min="6148" max="6396" width="8.6640625" style="2"/>
    <col min="6397" max="6397" width="6.109375" style="2" customWidth="1"/>
    <col min="6398" max="6400" width="11.6640625" style="2" customWidth="1"/>
    <col min="6401" max="6402" width="9.6640625" style="2" customWidth="1"/>
    <col min="6403" max="6403" width="15.109375" style="2" bestFit="1" customWidth="1"/>
    <col min="6404" max="6652" width="8.6640625" style="2"/>
    <col min="6653" max="6653" width="6.109375" style="2" customWidth="1"/>
    <col min="6654" max="6656" width="11.6640625" style="2" customWidth="1"/>
    <col min="6657" max="6658" width="9.6640625" style="2" customWidth="1"/>
    <col min="6659" max="6659" width="15.109375" style="2" bestFit="1" customWidth="1"/>
    <col min="6660" max="6908" width="8.6640625" style="2"/>
    <col min="6909" max="6909" width="6.109375" style="2" customWidth="1"/>
    <col min="6910" max="6912" width="11.6640625" style="2" customWidth="1"/>
    <col min="6913" max="6914" width="9.6640625" style="2" customWidth="1"/>
    <col min="6915" max="6915" width="15.109375" style="2" bestFit="1" customWidth="1"/>
    <col min="6916" max="7164" width="8.6640625" style="2"/>
    <col min="7165" max="7165" width="6.109375" style="2" customWidth="1"/>
    <col min="7166" max="7168" width="11.6640625" style="2" customWidth="1"/>
    <col min="7169" max="7170" width="9.6640625" style="2" customWidth="1"/>
    <col min="7171" max="7171" width="15.109375" style="2" bestFit="1" customWidth="1"/>
    <col min="7172" max="7420" width="8.6640625" style="2"/>
    <col min="7421" max="7421" width="6.109375" style="2" customWidth="1"/>
    <col min="7422" max="7424" width="11.6640625" style="2" customWidth="1"/>
    <col min="7425" max="7426" width="9.6640625" style="2" customWidth="1"/>
    <col min="7427" max="7427" width="15.109375" style="2" bestFit="1" customWidth="1"/>
    <col min="7428" max="7676" width="8.6640625" style="2"/>
    <col min="7677" max="7677" width="6.109375" style="2" customWidth="1"/>
    <col min="7678" max="7680" width="11.6640625" style="2" customWidth="1"/>
    <col min="7681" max="7682" width="9.6640625" style="2" customWidth="1"/>
    <col min="7683" max="7683" width="15.109375" style="2" bestFit="1" customWidth="1"/>
    <col min="7684" max="7932" width="8.6640625" style="2"/>
    <col min="7933" max="7933" width="6.109375" style="2" customWidth="1"/>
    <col min="7934" max="7936" width="11.6640625" style="2" customWidth="1"/>
    <col min="7937" max="7938" width="9.6640625" style="2" customWidth="1"/>
    <col min="7939" max="7939" width="15.109375" style="2" bestFit="1" customWidth="1"/>
    <col min="7940" max="8188" width="8.6640625" style="2"/>
    <col min="8189" max="8189" width="6.109375" style="2" customWidth="1"/>
    <col min="8190" max="8192" width="11.6640625" style="2" customWidth="1"/>
    <col min="8193" max="8194" width="9.6640625" style="2" customWidth="1"/>
    <col min="8195" max="8195" width="15.109375" style="2" bestFit="1" customWidth="1"/>
    <col min="8196" max="8444" width="8.6640625" style="2"/>
    <col min="8445" max="8445" width="6.109375" style="2" customWidth="1"/>
    <col min="8446" max="8448" width="11.6640625" style="2" customWidth="1"/>
    <col min="8449" max="8450" width="9.6640625" style="2" customWidth="1"/>
    <col min="8451" max="8451" width="15.109375" style="2" bestFit="1" customWidth="1"/>
    <col min="8452" max="8700" width="8.6640625" style="2"/>
    <col min="8701" max="8701" width="6.109375" style="2" customWidth="1"/>
    <col min="8702" max="8704" width="11.6640625" style="2" customWidth="1"/>
    <col min="8705" max="8706" width="9.6640625" style="2" customWidth="1"/>
    <col min="8707" max="8707" width="15.109375" style="2" bestFit="1" customWidth="1"/>
    <col min="8708" max="8956" width="8.6640625" style="2"/>
    <col min="8957" max="8957" width="6.109375" style="2" customWidth="1"/>
    <col min="8958" max="8960" width="11.6640625" style="2" customWidth="1"/>
    <col min="8961" max="8962" width="9.6640625" style="2" customWidth="1"/>
    <col min="8963" max="8963" width="15.109375" style="2" bestFit="1" customWidth="1"/>
    <col min="8964" max="9212" width="8.6640625" style="2"/>
    <col min="9213" max="9213" width="6.109375" style="2" customWidth="1"/>
    <col min="9214" max="9216" width="11.6640625" style="2" customWidth="1"/>
    <col min="9217" max="9218" width="9.6640625" style="2" customWidth="1"/>
    <col min="9219" max="9219" width="15.109375" style="2" bestFit="1" customWidth="1"/>
    <col min="9220" max="9468" width="8.6640625" style="2"/>
    <col min="9469" max="9469" width="6.109375" style="2" customWidth="1"/>
    <col min="9470" max="9472" width="11.6640625" style="2" customWidth="1"/>
    <col min="9473" max="9474" width="9.6640625" style="2" customWidth="1"/>
    <col min="9475" max="9475" width="15.109375" style="2" bestFit="1" customWidth="1"/>
    <col min="9476" max="9724" width="8.6640625" style="2"/>
    <col min="9725" max="9725" width="6.109375" style="2" customWidth="1"/>
    <col min="9726" max="9728" width="11.6640625" style="2" customWidth="1"/>
    <col min="9729" max="9730" width="9.6640625" style="2" customWidth="1"/>
    <col min="9731" max="9731" width="15.109375" style="2" bestFit="1" customWidth="1"/>
    <col min="9732" max="9980" width="8.6640625" style="2"/>
    <col min="9981" max="9981" width="6.109375" style="2" customWidth="1"/>
    <col min="9982" max="9984" width="11.6640625" style="2" customWidth="1"/>
    <col min="9985" max="9986" width="9.6640625" style="2" customWidth="1"/>
    <col min="9987" max="9987" width="15.109375" style="2" bestFit="1" customWidth="1"/>
    <col min="9988" max="10236" width="8.6640625" style="2"/>
    <col min="10237" max="10237" width="6.109375" style="2" customWidth="1"/>
    <col min="10238" max="10240" width="11.6640625" style="2" customWidth="1"/>
    <col min="10241" max="10242" width="9.6640625" style="2" customWidth="1"/>
    <col min="10243" max="10243" width="15.109375" style="2" bestFit="1" customWidth="1"/>
    <col min="10244" max="10492" width="8.6640625" style="2"/>
    <col min="10493" max="10493" width="6.109375" style="2" customWidth="1"/>
    <col min="10494" max="10496" width="11.6640625" style="2" customWidth="1"/>
    <col min="10497" max="10498" width="9.6640625" style="2" customWidth="1"/>
    <col min="10499" max="10499" width="15.109375" style="2" bestFit="1" customWidth="1"/>
    <col min="10500" max="10748" width="8.6640625" style="2"/>
    <col min="10749" max="10749" width="6.109375" style="2" customWidth="1"/>
    <col min="10750" max="10752" width="11.6640625" style="2" customWidth="1"/>
    <col min="10753" max="10754" width="9.6640625" style="2" customWidth="1"/>
    <col min="10755" max="10755" width="15.109375" style="2" bestFit="1" customWidth="1"/>
    <col min="10756" max="11004" width="8.6640625" style="2"/>
    <col min="11005" max="11005" width="6.109375" style="2" customWidth="1"/>
    <col min="11006" max="11008" width="11.6640625" style="2" customWidth="1"/>
    <col min="11009" max="11010" width="9.6640625" style="2" customWidth="1"/>
    <col min="11011" max="11011" width="15.109375" style="2" bestFit="1" customWidth="1"/>
    <col min="11012" max="11260" width="8.6640625" style="2"/>
    <col min="11261" max="11261" width="6.109375" style="2" customWidth="1"/>
    <col min="11262" max="11264" width="11.6640625" style="2" customWidth="1"/>
    <col min="11265" max="11266" width="9.6640625" style="2" customWidth="1"/>
    <col min="11267" max="11267" width="15.109375" style="2" bestFit="1" customWidth="1"/>
    <col min="11268" max="11516" width="8.6640625" style="2"/>
    <col min="11517" max="11517" width="6.109375" style="2" customWidth="1"/>
    <col min="11518" max="11520" width="11.6640625" style="2" customWidth="1"/>
    <col min="11521" max="11522" width="9.6640625" style="2" customWidth="1"/>
    <col min="11523" max="11523" width="15.109375" style="2" bestFit="1" customWidth="1"/>
    <col min="11524" max="11772" width="8.6640625" style="2"/>
    <col min="11773" max="11773" width="6.109375" style="2" customWidth="1"/>
    <col min="11774" max="11776" width="11.6640625" style="2" customWidth="1"/>
    <col min="11777" max="11778" width="9.6640625" style="2" customWidth="1"/>
    <col min="11779" max="11779" width="15.109375" style="2" bestFit="1" customWidth="1"/>
    <col min="11780" max="12028" width="8.6640625" style="2"/>
    <col min="12029" max="12029" width="6.109375" style="2" customWidth="1"/>
    <col min="12030" max="12032" width="11.6640625" style="2" customWidth="1"/>
    <col min="12033" max="12034" width="9.6640625" style="2" customWidth="1"/>
    <col min="12035" max="12035" width="15.109375" style="2" bestFit="1" customWidth="1"/>
    <col min="12036" max="12284" width="8.6640625" style="2"/>
    <col min="12285" max="12285" width="6.109375" style="2" customWidth="1"/>
    <col min="12286" max="12288" width="11.6640625" style="2" customWidth="1"/>
    <col min="12289" max="12290" width="9.6640625" style="2" customWidth="1"/>
    <col min="12291" max="12291" width="15.109375" style="2" bestFit="1" customWidth="1"/>
    <col min="12292" max="12540" width="8.6640625" style="2"/>
    <col min="12541" max="12541" width="6.109375" style="2" customWidth="1"/>
    <col min="12542" max="12544" width="11.6640625" style="2" customWidth="1"/>
    <col min="12545" max="12546" width="9.6640625" style="2" customWidth="1"/>
    <col min="12547" max="12547" width="15.109375" style="2" bestFit="1" customWidth="1"/>
    <col min="12548" max="12796" width="8.6640625" style="2"/>
    <col min="12797" max="12797" width="6.109375" style="2" customWidth="1"/>
    <col min="12798" max="12800" width="11.6640625" style="2" customWidth="1"/>
    <col min="12801" max="12802" width="9.6640625" style="2" customWidth="1"/>
    <col min="12803" max="12803" width="15.109375" style="2" bestFit="1" customWidth="1"/>
    <col min="12804" max="13052" width="8.6640625" style="2"/>
    <col min="13053" max="13053" width="6.109375" style="2" customWidth="1"/>
    <col min="13054" max="13056" width="11.6640625" style="2" customWidth="1"/>
    <col min="13057" max="13058" width="9.6640625" style="2" customWidth="1"/>
    <col min="13059" max="13059" width="15.109375" style="2" bestFit="1" customWidth="1"/>
    <col min="13060" max="13308" width="8.6640625" style="2"/>
    <col min="13309" max="13309" width="6.109375" style="2" customWidth="1"/>
    <col min="13310" max="13312" width="11.6640625" style="2" customWidth="1"/>
    <col min="13313" max="13314" width="9.6640625" style="2" customWidth="1"/>
    <col min="13315" max="13315" width="15.109375" style="2" bestFit="1" customWidth="1"/>
    <col min="13316" max="13564" width="8.6640625" style="2"/>
    <col min="13565" max="13565" width="6.109375" style="2" customWidth="1"/>
    <col min="13566" max="13568" width="11.6640625" style="2" customWidth="1"/>
    <col min="13569" max="13570" width="9.6640625" style="2" customWidth="1"/>
    <col min="13571" max="13571" width="15.109375" style="2" bestFit="1" customWidth="1"/>
    <col min="13572" max="13820" width="8.6640625" style="2"/>
    <col min="13821" max="13821" width="6.109375" style="2" customWidth="1"/>
    <col min="13822" max="13824" width="11.6640625" style="2" customWidth="1"/>
    <col min="13825" max="13826" width="9.6640625" style="2" customWidth="1"/>
    <col min="13827" max="13827" width="15.109375" style="2" bestFit="1" customWidth="1"/>
    <col min="13828" max="14076" width="8.6640625" style="2"/>
    <col min="14077" max="14077" width="6.109375" style="2" customWidth="1"/>
    <col min="14078" max="14080" width="11.6640625" style="2" customWidth="1"/>
    <col min="14081" max="14082" width="9.6640625" style="2" customWidth="1"/>
    <col min="14083" max="14083" width="15.109375" style="2" bestFit="1" customWidth="1"/>
    <col min="14084" max="14332" width="8.6640625" style="2"/>
    <col min="14333" max="14333" width="6.109375" style="2" customWidth="1"/>
    <col min="14334" max="14336" width="11.6640625" style="2" customWidth="1"/>
    <col min="14337" max="14338" width="9.6640625" style="2" customWidth="1"/>
    <col min="14339" max="14339" width="15.109375" style="2" bestFit="1" customWidth="1"/>
    <col min="14340" max="14588" width="8.6640625" style="2"/>
    <col min="14589" max="14589" width="6.109375" style="2" customWidth="1"/>
    <col min="14590" max="14592" width="11.6640625" style="2" customWidth="1"/>
    <col min="14593" max="14594" width="9.6640625" style="2" customWidth="1"/>
    <col min="14595" max="14595" width="15.109375" style="2" bestFit="1" customWidth="1"/>
    <col min="14596" max="14844" width="8.6640625" style="2"/>
    <col min="14845" max="14845" width="6.109375" style="2" customWidth="1"/>
    <col min="14846" max="14848" width="11.6640625" style="2" customWidth="1"/>
    <col min="14849" max="14850" width="9.6640625" style="2" customWidth="1"/>
    <col min="14851" max="14851" width="15.109375" style="2" bestFit="1" customWidth="1"/>
    <col min="14852" max="15100" width="8.6640625" style="2"/>
    <col min="15101" max="15101" width="6.109375" style="2" customWidth="1"/>
    <col min="15102" max="15104" width="11.6640625" style="2" customWidth="1"/>
    <col min="15105" max="15106" width="9.6640625" style="2" customWidth="1"/>
    <col min="15107" max="15107" width="15.109375" style="2" bestFit="1" customWidth="1"/>
    <col min="15108" max="15356" width="8.6640625" style="2"/>
    <col min="15357" max="15357" width="6.109375" style="2" customWidth="1"/>
    <col min="15358" max="15360" width="11.6640625" style="2" customWidth="1"/>
    <col min="15361" max="15362" width="9.6640625" style="2" customWidth="1"/>
    <col min="15363" max="15363" width="15.109375" style="2" bestFit="1" customWidth="1"/>
    <col min="15364" max="15612" width="8.6640625" style="2"/>
    <col min="15613" max="15613" width="6.109375" style="2" customWidth="1"/>
    <col min="15614" max="15616" width="11.6640625" style="2" customWidth="1"/>
    <col min="15617" max="15618" width="9.6640625" style="2" customWidth="1"/>
    <col min="15619" max="15619" width="15.109375" style="2" bestFit="1" customWidth="1"/>
    <col min="15620" max="15868" width="8.6640625" style="2"/>
    <col min="15869" max="15869" width="6.109375" style="2" customWidth="1"/>
    <col min="15870" max="15872" width="11.6640625" style="2" customWidth="1"/>
    <col min="15873" max="15874" width="9.6640625" style="2" customWidth="1"/>
    <col min="15875" max="15875" width="15.109375" style="2" bestFit="1" customWidth="1"/>
    <col min="15876" max="16124" width="8.6640625" style="2"/>
    <col min="16125" max="16125" width="6.109375" style="2" customWidth="1"/>
    <col min="16126" max="16128" width="11.6640625" style="2" customWidth="1"/>
    <col min="16129" max="16130" width="9.6640625" style="2" customWidth="1"/>
    <col min="16131" max="16131" width="15.109375" style="2" bestFit="1" customWidth="1"/>
    <col min="16132" max="16380" width="8.6640625" style="2"/>
    <col min="16381" max="16384" width="8.6640625" style="2" customWidth="1"/>
  </cols>
  <sheetData>
    <row r="1" spans="1:8">
      <c r="A1" s="990" t="s">
        <v>26</v>
      </c>
      <c r="B1" s="990"/>
      <c r="C1" s="990"/>
      <c r="D1" s="990"/>
      <c r="E1" s="990"/>
      <c r="F1" s="990"/>
    </row>
    <row r="2" spans="1:8">
      <c r="A2" s="990" t="s">
        <v>531</v>
      </c>
      <c r="B2" s="990"/>
      <c r="C2" s="990"/>
      <c r="D2" s="990"/>
      <c r="E2" s="990"/>
      <c r="F2" s="990"/>
    </row>
    <row r="3" spans="1:8">
      <c r="A3" s="991" t="str">
        <f>'Act Att-H'!C7</f>
        <v>Black Hills Colorado Electric, LLC</v>
      </c>
      <c r="B3" s="991"/>
      <c r="C3" s="991"/>
      <c r="D3" s="991"/>
      <c r="E3" s="991"/>
      <c r="F3" s="991"/>
    </row>
    <row r="4" spans="1:8" s="218" customFormat="1">
      <c r="F4" s="205" t="s">
        <v>3</v>
      </c>
      <c r="H4" s="932"/>
    </row>
    <row r="5" spans="1:8">
      <c r="A5" s="427"/>
      <c r="B5" s="427"/>
      <c r="C5" s="427"/>
      <c r="D5" s="427"/>
      <c r="E5" s="427"/>
      <c r="F5" s="427"/>
    </row>
    <row r="7" spans="1:8">
      <c r="A7" s="426"/>
      <c r="B7" s="426"/>
      <c r="C7" s="186"/>
      <c r="D7" s="186" t="s">
        <v>532</v>
      </c>
      <c r="E7" s="186" t="s">
        <v>533</v>
      </c>
    </row>
    <row r="8" spans="1:8">
      <c r="B8" s="426"/>
      <c r="C8" s="186"/>
      <c r="D8" s="186" t="s">
        <v>534</v>
      </c>
      <c r="E8" s="186" t="s">
        <v>535</v>
      </c>
      <c r="F8" s="225"/>
    </row>
    <row r="9" spans="1:8">
      <c r="A9" s="427" t="s">
        <v>82</v>
      </c>
      <c r="B9" s="186" t="s">
        <v>500</v>
      </c>
      <c r="C9" s="186" t="s">
        <v>536</v>
      </c>
      <c r="D9" s="723">
        <v>44166</v>
      </c>
      <c r="E9" s="723">
        <v>44531</v>
      </c>
      <c r="F9" s="186" t="s">
        <v>537</v>
      </c>
    </row>
    <row r="10" spans="1:8" ht="13.5" thickBot="1">
      <c r="A10" s="429" t="s">
        <v>84</v>
      </c>
      <c r="B10" s="428" t="s">
        <v>458</v>
      </c>
      <c r="C10" s="428" t="s">
        <v>459</v>
      </c>
      <c r="D10" s="428" t="s">
        <v>460</v>
      </c>
      <c r="E10" s="428" t="s">
        <v>461</v>
      </c>
      <c r="F10" s="428" t="s">
        <v>479</v>
      </c>
    </row>
    <row r="11" spans="1:8">
      <c r="A11" s="206">
        <v>1</v>
      </c>
    </row>
    <row r="12" spans="1:8" ht="15" customHeight="1">
      <c r="A12" s="206">
        <f t="shared" ref="A12:A15" si="0">+A11+1</f>
        <v>2</v>
      </c>
      <c r="B12" s="425" t="s">
        <v>538</v>
      </c>
      <c r="C12" s="207" t="s">
        <v>539</v>
      </c>
      <c r="D12" s="771">
        <v>0</v>
      </c>
      <c r="E12" s="771">
        <v>0</v>
      </c>
      <c r="F12" s="208">
        <f>(D12+E12)/2</f>
        <v>0</v>
      </c>
    </row>
    <row r="13" spans="1:8" ht="15" customHeight="1">
      <c r="A13" s="206">
        <f t="shared" si="0"/>
        <v>3</v>
      </c>
      <c r="B13" s="425" t="s">
        <v>540</v>
      </c>
      <c r="C13" s="207" t="s">
        <v>541</v>
      </c>
      <c r="D13" s="771">
        <v>-124109280</v>
      </c>
      <c r="E13" s="771">
        <v>-130446407</v>
      </c>
      <c r="F13" s="208">
        <f>(D13+E13)/2</f>
        <v>-127277843.5</v>
      </c>
    </row>
    <row r="14" spans="1:8" ht="15" customHeight="1">
      <c r="A14" s="206">
        <f t="shared" si="0"/>
        <v>4</v>
      </c>
      <c r="B14" s="425" t="s">
        <v>542</v>
      </c>
      <c r="C14" s="207" t="s">
        <v>543</v>
      </c>
      <c r="D14" s="771">
        <v>-32090758</v>
      </c>
      <c r="E14" s="771">
        <v>-41588756</v>
      </c>
      <c r="F14" s="208">
        <f>(D14+E14)/2</f>
        <v>-36839757</v>
      </c>
    </row>
    <row r="15" spans="1:8" ht="15" customHeight="1">
      <c r="A15" s="206">
        <f t="shared" si="0"/>
        <v>5</v>
      </c>
      <c r="B15" s="425" t="s">
        <v>178</v>
      </c>
      <c r="C15" s="207" t="s">
        <v>544</v>
      </c>
      <c r="D15" s="771">
        <v>65469261</v>
      </c>
      <c r="E15" s="771">
        <v>74956049</v>
      </c>
      <c r="F15" s="208">
        <f>(D15+E15)/2</f>
        <v>70212655</v>
      </c>
      <c r="G15" s="581"/>
    </row>
    <row r="16" spans="1:8">
      <c r="A16" s="206">
        <v>6</v>
      </c>
      <c r="G16" s="425"/>
    </row>
    <row r="17" spans="1:7">
      <c r="A17" s="206">
        <v>7</v>
      </c>
      <c r="B17" s="699" t="s">
        <v>545</v>
      </c>
      <c r="C17" s="208"/>
      <c r="D17" s="61"/>
      <c r="E17" s="61"/>
      <c r="F17" s="61"/>
      <c r="G17" s="581"/>
    </row>
    <row r="18" spans="1:7">
      <c r="A18" s="206">
        <v>8</v>
      </c>
      <c r="B18" s="650" t="s">
        <v>546</v>
      </c>
      <c r="C18" s="208"/>
      <c r="D18" s="61"/>
      <c r="E18" s="61"/>
      <c r="F18" s="61"/>
      <c r="G18" s="581"/>
    </row>
    <row r="19" spans="1:7">
      <c r="A19" s="206">
        <f>A18+1</f>
        <v>9</v>
      </c>
      <c r="B19" s="425" t="s">
        <v>547</v>
      </c>
      <c r="C19" s="207" t="s">
        <v>548</v>
      </c>
      <c r="D19" s="771">
        <v>263732</v>
      </c>
      <c r="E19" s="771">
        <v>241262</v>
      </c>
      <c r="F19" s="208">
        <f t="shared" ref="F19:F21" si="1">(D19+E19)/2</f>
        <v>252497</v>
      </c>
      <c r="G19" s="581"/>
    </row>
    <row r="20" spans="1:7">
      <c r="A20" s="206">
        <f t="shared" ref="A20:A26" si="2">A19+1</f>
        <v>10</v>
      </c>
      <c r="B20" s="425" t="s">
        <v>549</v>
      </c>
      <c r="C20" s="207" t="s">
        <v>550</v>
      </c>
      <c r="D20" s="771">
        <v>-1633728</v>
      </c>
      <c r="E20" s="771">
        <v>-1401977</v>
      </c>
      <c r="F20" s="208">
        <f t="shared" si="1"/>
        <v>-1517852.5</v>
      </c>
      <c r="G20" s="581"/>
    </row>
    <row r="21" spans="1:7">
      <c r="A21" s="206">
        <f t="shared" si="2"/>
        <v>11</v>
      </c>
      <c r="B21" s="425" t="s">
        <v>551</v>
      </c>
      <c r="C21" s="207" t="s">
        <v>552</v>
      </c>
      <c r="D21" s="771">
        <v>-951064</v>
      </c>
      <c r="E21" s="771">
        <v>-1211763</v>
      </c>
      <c r="F21" s="208">
        <f t="shared" si="1"/>
        <v>-1081413.5</v>
      </c>
      <c r="G21" s="581"/>
    </row>
    <row r="22" spans="1:7">
      <c r="A22" s="206">
        <f t="shared" si="2"/>
        <v>12</v>
      </c>
      <c r="B22" s="425" t="s">
        <v>377</v>
      </c>
      <c r="C22" s="208"/>
      <c r="D22" s="61"/>
      <c r="E22" s="61"/>
      <c r="F22" s="61">
        <f>SUM(F19:F21)</f>
        <v>-2346769</v>
      </c>
      <c r="G22" s="581"/>
    </row>
    <row r="23" spans="1:7">
      <c r="A23" s="206">
        <f t="shared" si="2"/>
        <v>13</v>
      </c>
      <c r="B23" s="425" t="s">
        <v>553</v>
      </c>
      <c r="C23" s="208"/>
      <c r="D23" s="61"/>
      <c r="E23" s="61"/>
      <c r="F23" s="651">
        <v>0.21</v>
      </c>
      <c r="G23" s="581"/>
    </row>
    <row r="24" spans="1:7">
      <c r="A24" s="206">
        <f t="shared" si="2"/>
        <v>14</v>
      </c>
      <c r="B24" s="425" t="s">
        <v>554</v>
      </c>
      <c r="C24" s="208"/>
      <c r="D24" s="61"/>
      <c r="E24" s="61"/>
      <c r="F24" s="661">
        <f>F22*F23</f>
        <v>-492821.49</v>
      </c>
      <c r="G24" s="581"/>
    </row>
    <row r="25" spans="1:7">
      <c r="A25" s="206">
        <f t="shared" si="2"/>
        <v>15</v>
      </c>
      <c r="B25" s="425"/>
      <c r="C25" s="208"/>
      <c r="D25" s="61"/>
      <c r="E25" s="61"/>
      <c r="F25" s="61"/>
      <c r="G25" s="581"/>
    </row>
    <row r="26" spans="1:7" ht="15" customHeight="1">
      <c r="A26" s="206">
        <f t="shared" si="2"/>
        <v>16</v>
      </c>
      <c r="C26" s="224"/>
      <c r="D26" s="224"/>
    </row>
    <row r="27" spans="1:7">
      <c r="A27" s="206"/>
      <c r="B27" s="425"/>
      <c r="C27" s="208"/>
      <c r="D27" s="61"/>
      <c r="E27" s="61"/>
      <c r="F27" s="61"/>
      <c r="G27" s="581"/>
    </row>
    <row r="28" spans="1:7">
      <c r="A28" s="384" t="s">
        <v>555</v>
      </c>
      <c r="G28" s="425"/>
    </row>
    <row r="29" spans="1:7" ht="16.350000000000001" customHeight="1">
      <c r="A29" s="430" t="s">
        <v>387</v>
      </c>
      <c r="B29" s="993" t="s">
        <v>556</v>
      </c>
      <c r="C29" s="993"/>
      <c r="D29" s="993"/>
      <c r="E29" s="993"/>
      <c r="F29" s="993"/>
      <c r="G29" s="425"/>
    </row>
    <row r="30" spans="1:7" ht="16.350000000000001" customHeight="1">
      <c r="A30" s="430" t="s">
        <v>389</v>
      </c>
      <c r="B30" s="993" t="s">
        <v>557</v>
      </c>
      <c r="C30" s="993"/>
      <c r="D30" s="993"/>
      <c r="E30" s="993"/>
      <c r="F30" s="993"/>
    </row>
    <row r="31" spans="1:7">
      <c r="A31" s="423" t="s">
        <v>391</v>
      </c>
      <c r="B31" s="966" t="s">
        <v>558</v>
      </c>
      <c r="C31" s="966"/>
      <c r="D31" s="966"/>
      <c r="E31" s="966"/>
      <c r="F31" s="966"/>
    </row>
    <row r="32" spans="1:7">
      <c r="A32" s="423" t="s">
        <v>393</v>
      </c>
      <c r="B32" s="966" t="s">
        <v>558</v>
      </c>
      <c r="C32" s="966"/>
      <c r="D32" s="966"/>
      <c r="E32" s="966"/>
      <c r="F32" s="966"/>
    </row>
    <row r="33" spans="1:6">
      <c r="A33" s="423" t="s">
        <v>395</v>
      </c>
      <c r="B33" s="968" t="s">
        <v>559</v>
      </c>
      <c r="C33" s="968"/>
      <c r="D33" s="968"/>
      <c r="E33" s="968"/>
      <c r="F33" s="968"/>
    </row>
    <row r="34" spans="1:6">
      <c r="A34" s="206"/>
    </row>
    <row r="35" spans="1:6">
      <c r="A35" s="28"/>
      <c r="C35" s="224"/>
      <c r="D35" s="224"/>
    </row>
    <row r="36" spans="1:6">
      <c r="A36" s="206"/>
      <c r="C36" s="224"/>
      <c r="D36" s="224"/>
    </row>
    <row r="37" spans="1:6">
      <c r="A37" s="206"/>
      <c r="C37" s="224"/>
      <c r="D37" s="224"/>
    </row>
    <row r="38" spans="1:6">
      <c r="A38" s="206"/>
      <c r="C38" s="224"/>
      <c r="D38" s="224"/>
    </row>
    <row r="39" spans="1:6">
      <c r="A39" s="206"/>
      <c r="C39" s="224"/>
      <c r="D39" s="224"/>
    </row>
    <row r="40" spans="1:6">
      <c r="C40" s="224"/>
      <c r="D40" s="224"/>
    </row>
    <row r="44" spans="1:6" ht="15" customHeight="1"/>
    <row r="48" spans="1:6" ht="15" customHeight="1"/>
    <row r="56" ht="15" customHeight="1"/>
    <row r="59" ht="15" customHeight="1"/>
    <row r="69" spans="2:6" ht="12.75" customHeight="1">
      <c r="B69" s="966"/>
      <c r="C69" s="966"/>
      <c r="D69" s="966"/>
      <c r="E69" s="966"/>
      <c r="F69" s="966"/>
    </row>
    <row r="70" spans="2:6">
      <c r="B70" s="966"/>
      <c r="C70" s="966"/>
      <c r="D70" s="966"/>
      <c r="E70" s="966"/>
      <c r="F70" s="966"/>
    </row>
    <row r="71" spans="2:6">
      <c r="B71" s="966"/>
      <c r="C71" s="966"/>
      <c r="D71" s="966"/>
      <c r="E71" s="966"/>
      <c r="F71" s="966"/>
    </row>
    <row r="72" spans="2:6">
      <c r="B72" s="966"/>
      <c r="C72" s="966"/>
      <c r="D72" s="966"/>
      <c r="E72" s="966"/>
      <c r="F72" s="966"/>
    </row>
    <row r="73" spans="2:6">
      <c r="B73" s="966"/>
      <c r="C73" s="966"/>
      <c r="D73" s="966"/>
      <c r="E73" s="966"/>
      <c r="F73" s="966"/>
    </row>
    <row r="74" spans="2:6" ht="12.75" customHeight="1">
      <c r="B74" s="966"/>
      <c r="C74" s="966"/>
      <c r="D74" s="966"/>
      <c r="E74" s="966"/>
      <c r="F74" s="966"/>
    </row>
    <row r="75" spans="2:6" ht="12.75" customHeight="1">
      <c r="B75" s="966"/>
      <c r="C75" s="966"/>
      <c r="D75" s="966"/>
      <c r="E75" s="966"/>
      <c r="F75" s="966"/>
    </row>
    <row r="76" spans="2:6" ht="12.75" customHeight="1">
      <c r="B76" s="966"/>
      <c r="C76" s="966"/>
      <c r="D76" s="966"/>
      <c r="E76" s="966"/>
      <c r="F76" s="966"/>
    </row>
    <row r="77" spans="2:6">
      <c r="B77" s="992"/>
      <c r="C77" s="992"/>
      <c r="D77" s="992"/>
      <c r="E77" s="992"/>
      <c r="F77" s="992"/>
    </row>
    <row r="78" spans="2:6">
      <c r="B78" s="992"/>
      <c r="C78" s="992"/>
      <c r="D78" s="992"/>
      <c r="E78" s="992"/>
      <c r="F78" s="992"/>
    </row>
    <row r="79" spans="2:6">
      <c r="B79" s="992"/>
      <c r="C79" s="992"/>
      <c r="D79" s="992"/>
      <c r="E79" s="992"/>
      <c r="F79" s="992"/>
    </row>
    <row r="80" spans="2:6">
      <c r="B80" s="992"/>
      <c r="C80" s="992"/>
      <c r="D80" s="992"/>
      <c r="E80" s="992"/>
      <c r="F80" s="992"/>
    </row>
    <row r="81" spans="2:6">
      <c r="B81" s="992"/>
      <c r="C81" s="992"/>
      <c r="D81" s="992"/>
      <c r="E81" s="992"/>
      <c r="F81" s="992"/>
    </row>
  </sheetData>
  <mergeCells count="17">
    <mergeCell ref="B74:F74"/>
    <mergeCell ref="A1:F1"/>
    <mergeCell ref="A2:F2"/>
    <mergeCell ref="A3:F3"/>
    <mergeCell ref="B69:F73"/>
    <mergeCell ref="B29:F29"/>
    <mergeCell ref="B30:F30"/>
    <mergeCell ref="B31:F31"/>
    <mergeCell ref="B33:F33"/>
    <mergeCell ref="B32:F32"/>
    <mergeCell ref="B80:F80"/>
    <mergeCell ref="B81:F81"/>
    <mergeCell ref="B77:F77"/>
    <mergeCell ref="B75:F75"/>
    <mergeCell ref="B76:F76"/>
    <mergeCell ref="B78:F78"/>
    <mergeCell ref="B79:F79"/>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pageSetUpPr fitToPage="1"/>
  </sheetPr>
  <dimension ref="A1:S63"/>
  <sheetViews>
    <sheetView topLeftCell="A27" zoomScaleNormal="100" workbookViewId="0">
      <selection activeCell="S1" sqref="S1"/>
    </sheetView>
  </sheetViews>
  <sheetFormatPr defaultColWidth="8.88671875" defaultRowHeight="15"/>
  <cols>
    <col min="1" max="1" width="8.88671875" style="787" customWidth="1"/>
    <col min="2" max="2" width="50.6640625" style="787" bestFit="1" customWidth="1"/>
    <col min="3" max="3" width="12.77734375" style="787" bestFit="1" customWidth="1"/>
    <col min="4" max="4" width="9.6640625" style="787" customWidth="1"/>
    <col min="5" max="5" width="11.77734375" style="787" customWidth="1"/>
    <col min="6" max="6" width="15.109375" style="787" bestFit="1" customWidth="1"/>
    <col min="7" max="7" width="11.77734375" style="787" bestFit="1" customWidth="1"/>
    <col min="8" max="8" width="10.77734375" style="787" bestFit="1" customWidth="1"/>
    <col min="9" max="9" width="15.109375" style="787" customWidth="1"/>
    <col min="10" max="11" width="8.88671875" style="787"/>
    <col min="12" max="12" width="11.5546875" style="787" bestFit="1" customWidth="1"/>
    <col min="13" max="13" width="13.21875" style="787" customWidth="1"/>
    <col min="14" max="14" width="12.109375" style="787" customWidth="1"/>
    <col min="15" max="15" width="11.5546875" style="787" bestFit="1" customWidth="1"/>
    <col min="16" max="16" width="8.88671875" style="787"/>
    <col min="17" max="17" width="12.88671875" style="787" bestFit="1" customWidth="1"/>
    <col min="18" max="16384" width="8.88671875" style="787"/>
  </cols>
  <sheetData>
    <row r="1" spans="1:19" ht="15.75" customHeight="1">
      <c r="A1" s="997" t="s">
        <v>29</v>
      </c>
      <c r="B1" s="997"/>
      <c r="C1" s="997"/>
      <c r="D1" s="997"/>
      <c r="E1" s="997"/>
      <c r="F1" s="997"/>
      <c r="G1" s="997"/>
      <c r="H1" s="997"/>
      <c r="I1" s="997"/>
      <c r="J1" s="997"/>
      <c r="K1" s="997"/>
      <c r="L1" s="997"/>
      <c r="M1" s="997"/>
      <c r="N1" s="997"/>
      <c r="O1" s="997"/>
      <c r="P1" s="997"/>
      <c r="Q1" s="997"/>
    </row>
    <row r="2" spans="1:19" s="861" customFormat="1">
      <c r="A2" s="990" t="s">
        <v>560</v>
      </c>
      <c r="B2" s="990"/>
      <c r="C2" s="990"/>
      <c r="D2" s="990"/>
      <c r="E2" s="990"/>
      <c r="F2" s="990"/>
      <c r="G2" s="990"/>
      <c r="H2" s="990"/>
      <c r="I2" s="990"/>
      <c r="J2" s="990"/>
      <c r="K2" s="990"/>
      <c r="L2" s="990"/>
      <c r="M2" s="990"/>
      <c r="N2" s="990"/>
      <c r="O2" s="990"/>
      <c r="P2" s="990"/>
      <c r="Q2" s="990"/>
      <c r="S2" s="787"/>
    </row>
    <row r="3" spans="1:19">
      <c r="A3" s="991" t="str">
        <f>'Act Att-H'!C7</f>
        <v>Black Hills Colorado Electric, LLC</v>
      </c>
      <c r="B3" s="990"/>
      <c r="C3" s="990"/>
      <c r="D3" s="990"/>
      <c r="E3" s="990"/>
      <c r="F3" s="990"/>
      <c r="G3" s="990"/>
      <c r="H3" s="990"/>
      <c r="I3" s="990"/>
      <c r="J3" s="990"/>
      <c r="K3" s="990"/>
      <c r="L3" s="990"/>
      <c r="M3" s="990"/>
      <c r="N3" s="990"/>
      <c r="O3" s="990"/>
      <c r="P3" s="990"/>
      <c r="Q3" s="990"/>
    </row>
    <row r="4" spans="1:19">
      <c r="A4" s="990" t="str">
        <f>'Act Att-H'!K4</f>
        <v>Actuals - For the 12 months ended 12/31/2021</v>
      </c>
      <c r="B4" s="990"/>
      <c r="C4" s="990"/>
      <c r="D4" s="990"/>
      <c r="E4" s="990"/>
      <c r="F4" s="990"/>
      <c r="G4" s="990"/>
      <c r="H4" s="990"/>
      <c r="I4" s="990"/>
      <c r="J4" s="990"/>
      <c r="K4" s="990"/>
      <c r="L4" s="990"/>
      <c r="M4" s="990"/>
      <c r="N4" s="990"/>
      <c r="O4" s="990"/>
      <c r="P4" s="990"/>
      <c r="Q4" s="990"/>
    </row>
    <row r="6" spans="1:19">
      <c r="A6" s="427"/>
      <c r="B6" s="427"/>
      <c r="C6" s="427"/>
      <c r="D6" s="427"/>
      <c r="E6" s="427"/>
      <c r="F6" s="752"/>
      <c r="G6" s="752"/>
      <c r="H6" s="752"/>
      <c r="I6" s="752"/>
      <c r="J6" s="427"/>
      <c r="K6" s="760"/>
      <c r="L6" s="752"/>
      <c r="M6" s="752"/>
      <c r="N6" s="752"/>
      <c r="O6" s="752"/>
      <c r="P6" s="753"/>
      <c r="Q6" s="753"/>
    </row>
    <row r="7" spans="1:19">
      <c r="A7" s="427"/>
      <c r="B7" s="749"/>
      <c r="C7" s="749"/>
      <c r="D7" s="749"/>
      <c r="E7" s="749"/>
      <c r="F7" s="758">
        <v>44166</v>
      </c>
      <c r="G7" s="759" t="s">
        <v>561</v>
      </c>
      <c r="H7" s="759" t="s">
        <v>561</v>
      </c>
      <c r="I7" s="758">
        <v>44531</v>
      </c>
      <c r="J7" s="757"/>
      <c r="K7" s="756"/>
      <c r="L7" s="754">
        <f>+F7</f>
        <v>44166</v>
      </c>
      <c r="M7" s="754" t="str">
        <f>+G7</f>
        <v>2021</v>
      </c>
      <c r="N7" s="755" t="str">
        <f>H7</f>
        <v>2021</v>
      </c>
      <c r="O7" s="754">
        <f>I7</f>
        <v>44531</v>
      </c>
      <c r="P7" s="753"/>
      <c r="Q7" s="753"/>
    </row>
    <row r="8" spans="1:19" ht="15.75" thickBot="1">
      <c r="A8" s="429" t="s">
        <v>84</v>
      </c>
      <c r="B8" s="786" t="s">
        <v>458</v>
      </c>
      <c r="C8" s="786" t="s">
        <v>562</v>
      </c>
      <c r="D8" s="786" t="s">
        <v>563</v>
      </c>
      <c r="E8" s="786" t="s">
        <v>564</v>
      </c>
      <c r="F8" s="786" t="s">
        <v>459</v>
      </c>
      <c r="G8" s="786" t="s">
        <v>460</v>
      </c>
      <c r="H8" s="786" t="s">
        <v>461</v>
      </c>
      <c r="I8" s="786" t="s">
        <v>479</v>
      </c>
      <c r="J8" s="994" t="s">
        <v>480</v>
      </c>
      <c r="K8" s="994"/>
      <c r="L8" s="786" t="s">
        <v>565</v>
      </c>
      <c r="M8" s="786" t="s">
        <v>566</v>
      </c>
      <c r="N8" s="786" t="s">
        <v>567</v>
      </c>
      <c r="O8" s="786" t="s">
        <v>568</v>
      </c>
      <c r="P8" s="786" t="s">
        <v>569</v>
      </c>
      <c r="Q8" s="786" t="s">
        <v>570</v>
      </c>
    </row>
    <row r="9" spans="1:19">
      <c r="A9" s="752"/>
      <c r="B9" s="752"/>
      <c r="C9" s="752"/>
      <c r="D9" s="752"/>
      <c r="E9" s="752"/>
      <c r="F9" s="749"/>
      <c r="G9" s="749"/>
      <c r="H9" s="749"/>
      <c r="I9" s="749"/>
      <c r="J9" s="731"/>
      <c r="K9" s="730"/>
      <c r="L9" s="731"/>
      <c r="M9" s="731"/>
      <c r="N9" s="749"/>
      <c r="O9" s="731"/>
      <c r="P9" s="749"/>
      <c r="Q9" s="749"/>
    </row>
    <row r="10" spans="1:19" ht="60" customHeight="1">
      <c r="A10" s="751" t="s">
        <v>571</v>
      </c>
      <c r="B10" s="751" t="s">
        <v>572</v>
      </c>
      <c r="C10" s="751" t="s">
        <v>573</v>
      </c>
      <c r="D10" s="750" t="s">
        <v>574</v>
      </c>
      <c r="E10" s="750" t="s">
        <v>575</v>
      </c>
      <c r="F10" s="750" t="s">
        <v>576</v>
      </c>
      <c r="G10" s="750" t="s">
        <v>577</v>
      </c>
      <c r="H10" s="750" t="s">
        <v>578</v>
      </c>
      <c r="I10" s="750" t="s">
        <v>579</v>
      </c>
      <c r="J10" s="998" t="s">
        <v>580</v>
      </c>
      <c r="K10" s="998"/>
      <c r="L10" s="750" t="s">
        <v>581</v>
      </c>
      <c r="M10" s="750" t="s">
        <v>582</v>
      </c>
      <c r="N10" s="750" t="s">
        <v>583</v>
      </c>
      <c r="O10" s="750" t="s">
        <v>584</v>
      </c>
      <c r="P10" s="750" t="s">
        <v>585</v>
      </c>
      <c r="Q10" s="750" t="s">
        <v>586</v>
      </c>
    </row>
    <row r="11" spans="1:19">
      <c r="A11" s="731"/>
      <c r="B11" s="731"/>
      <c r="C11" s="731"/>
      <c r="D11" s="731"/>
      <c r="E11" s="731"/>
      <c r="F11" s="748"/>
      <c r="G11" s="748"/>
      <c r="H11" s="748"/>
      <c r="I11" s="748"/>
      <c r="J11" s="749"/>
      <c r="K11" s="749"/>
      <c r="L11" s="748"/>
      <c r="M11" s="748"/>
      <c r="N11" s="748"/>
      <c r="O11" s="748"/>
      <c r="P11" s="748"/>
      <c r="Q11" s="748"/>
    </row>
    <row r="12" spans="1:19">
      <c r="A12" s="206">
        <v>1</v>
      </c>
      <c r="B12" s="995" t="s">
        <v>587</v>
      </c>
      <c r="C12" s="996"/>
      <c r="D12" s="996"/>
      <c r="E12" s="996"/>
      <c r="F12" s="996"/>
      <c r="G12" s="996"/>
      <c r="H12" s="996"/>
      <c r="I12" s="996"/>
      <c r="J12" s="996"/>
      <c r="K12" s="996"/>
      <c r="L12" s="996"/>
      <c r="M12" s="996"/>
      <c r="N12" s="996"/>
      <c r="O12" s="996"/>
      <c r="P12" s="996"/>
      <c r="Q12" s="996"/>
    </row>
    <row r="13" spans="1:19">
      <c r="A13" s="206">
        <f>A12+1</f>
        <v>2</v>
      </c>
      <c r="B13" s="732" t="s">
        <v>588</v>
      </c>
      <c r="C13" s="732" t="s">
        <v>589</v>
      </c>
      <c r="D13" s="743" t="s">
        <v>590</v>
      </c>
      <c r="E13" s="743"/>
      <c r="F13" s="742">
        <v>0</v>
      </c>
      <c r="G13" s="742">
        <v>0</v>
      </c>
      <c r="H13" s="742">
        <v>0</v>
      </c>
      <c r="I13" s="742">
        <v>0</v>
      </c>
      <c r="J13" s="741" t="s">
        <v>591</v>
      </c>
      <c r="K13" s="844">
        <v>0.22680814926774853</v>
      </c>
      <c r="L13" s="740">
        <f t="shared" ref="L13:O14" si="0">F13*$K13</f>
        <v>0</v>
      </c>
      <c r="M13" s="740">
        <f t="shared" si="0"/>
        <v>0</v>
      </c>
      <c r="N13" s="740">
        <f t="shared" si="0"/>
        <v>0</v>
      </c>
      <c r="O13" s="740">
        <f t="shared" si="0"/>
        <v>0</v>
      </c>
      <c r="P13" s="741" t="s">
        <v>592</v>
      </c>
      <c r="Q13" s="746" t="s">
        <v>593</v>
      </c>
    </row>
    <row r="14" spans="1:19">
      <c r="A14" s="206">
        <f>A13+1</f>
        <v>3</v>
      </c>
      <c r="B14" s="739" t="s">
        <v>594</v>
      </c>
      <c r="C14" s="739"/>
      <c r="D14" s="739"/>
      <c r="E14" s="739"/>
      <c r="F14" s="742"/>
      <c r="G14" s="742"/>
      <c r="H14" s="742"/>
      <c r="I14" s="742"/>
      <c r="J14" s="735"/>
      <c r="K14" s="745"/>
      <c r="L14" s="740">
        <f t="shared" si="0"/>
        <v>0</v>
      </c>
      <c r="M14" s="740">
        <f>G14*$K14</f>
        <v>0</v>
      </c>
      <c r="N14" s="740">
        <f t="shared" si="0"/>
        <v>0</v>
      </c>
      <c r="O14" s="740">
        <f t="shared" si="0"/>
        <v>0</v>
      </c>
      <c r="P14" s="735"/>
      <c r="Q14" s="735"/>
    </row>
    <row r="15" spans="1:19">
      <c r="A15" s="206">
        <v>50</v>
      </c>
      <c r="B15" s="728" t="s">
        <v>595</v>
      </c>
      <c r="C15" s="728"/>
      <c r="D15" s="728"/>
      <c r="E15" s="728"/>
      <c r="F15" s="744">
        <f>SUM(F13:F14)</f>
        <v>0</v>
      </c>
      <c r="G15" s="744">
        <f>SUM(G13:G14)</f>
        <v>0</v>
      </c>
      <c r="H15" s="744">
        <f>SUM(H13:H14)</f>
        <v>0</v>
      </c>
      <c r="I15" s="744">
        <f>SUM(I13:I14)</f>
        <v>0</v>
      </c>
      <c r="J15" s="731"/>
      <c r="K15" s="730"/>
      <c r="L15" s="744">
        <f>SUM(L13:L14)</f>
        <v>0</v>
      </c>
      <c r="M15" s="744">
        <f>SUM(M13:M14)</f>
        <v>0</v>
      </c>
      <c r="N15" s="744">
        <f>SUM(N13:N14)</f>
        <v>0</v>
      </c>
      <c r="O15" s="744">
        <f>SUM(O13:O14)</f>
        <v>0</v>
      </c>
      <c r="P15" s="726"/>
      <c r="Q15" s="726"/>
    </row>
    <row r="16" spans="1:19">
      <c r="A16" s="206"/>
      <c r="B16" s="728"/>
      <c r="C16" s="728"/>
      <c r="D16" s="728"/>
      <c r="E16" s="728"/>
      <c r="F16" s="727"/>
      <c r="G16" s="727"/>
      <c r="H16" s="727"/>
      <c r="I16" s="727"/>
      <c r="J16" s="731"/>
      <c r="K16" s="730"/>
      <c r="L16" s="727"/>
      <c r="M16" s="727"/>
      <c r="N16" s="727"/>
      <c r="O16" s="727"/>
      <c r="P16" s="726"/>
      <c r="Q16" s="726"/>
    </row>
    <row r="17" spans="1:17">
      <c r="A17" s="206">
        <v>51</v>
      </c>
      <c r="B17" s="732" t="s">
        <v>596</v>
      </c>
      <c r="C17" s="732" t="s">
        <v>589</v>
      </c>
      <c r="D17" s="743">
        <v>283</v>
      </c>
      <c r="E17" s="743"/>
      <c r="F17" s="742">
        <v>0</v>
      </c>
      <c r="G17" s="742">
        <v>0</v>
      </c>
      <c r="H17" s="742">
        <v>0</v>
      </c>
      <c r="I17" s="742">
        <v>0</v>
      </c>
      <c r="J17" s="741" t="s">
        <v>591</v>
      </c>
      <c r="K17" s="844">
        <v>0.22680814926774853</v>
      </c>
      <c r="L17" s="740">
        <f t="shared" ref="L17:O18" si="1">F17*$K17</f>
        <v>0</v>
      </c>
      <c r="M17" s="740">
        <f t="shared" si="1"/>
        <v>0</v>
      </c>
      <c r="N17" s="740">
        <f t="shared" si="1"/>
        <v>0</v>
      </c>
      <c r="O17" s="740">
        <f t="shared" si="1"/>
        <v>0</v>
      </c>
      <c r="P17" s="741"/>
      <c r="Q17" s="747"/>
    </row>
    <row r="18" spans="1:17">
      <c r="A18" s="206">
        <v>52</v>
      </c>
      <c r="B18" s="739" t="s">
        <v>594</v>
      </c>
      <c r="C18" s="739"/>
      <c r="D18" s="739"/>
      <c r="E18" s="738"/>
      <c r="F18" s="737"/>
      <c r="G18" s="736"/>
      <c r="H18" s="736"/>
      <c r="I18" s="736"/>
      <c r="J18" s="736"/>
      <c r="K18" s="735"/>
      <c r="L18" s="734">
        <f t="shared" si="1"/>
        <v>0</v>
      </c>
      <c r="M18" s="734">
        <f t="shared" si="1"/>
        <v>0</v>
      </c>
      <c r="N18" s="734">
        <f t="shared" si="1"/>
        <v>0</v>
      </c>
      <c r="O18" s="734">
        <f t="shared" si="1"/>
        <v>0</v>
      </c>
      <c r="P18" s="733"/>
      <c r="Q18" s="733"/>
    </row>
    <row r="19" spans="1:17">
      <c r="A19" s="206">
        <v>150</v>
      </c>
      <c r="B19" s="728" t="s">
        <v>597</v>
      </c>
      <c r="C19" s="728"/>
      <c r="D19" s="728"/>
      <c r="E19" s="728"/>
      <c r="F19" s="727">
        <f>SUM(F17:F18)</f>
        <v>0</v>
      </c>
      <c r="G19" s="727">
        <f>SUM(G17:G18)</f>
        <v>0</v>
      </c>
      <c r="H19" s="727">
        <f>SUM(H17:H18)</f>
        <v>0</v>
      </c>
      <c r="I19" s="727">
        <f>SUM(I17:I18)</f>
        <v>0</v>
      </c>
      <c r="J19" s="731"/>
      <c r="K19" s="730"/>
      <c r="L19" s="727">
        <f>SUM(L17:L18)</f>
        <v>0</v>
      </c>
      <c r="M19" s="727">
        <f>SUM(M17:M18)</f>
        <v>0</v>
      </c>
      <c r="N19" s="727">
        <f>SUM(N17:N18)</f>
        <v>0</v>
      </c>
      <c r="O19" s="727">
        <f>SUM(O17:O18)</f>
        <v>0</v>
      </c>
      <c r="P19" s="726"/>
      <c r="Q19" s="726"/>
    </row>
    <row r="20" spans="1:17">
      <c r="A20" s="206">
        <v>151</v>
      </c>
      <c r="B20" s="728"/>
      <c r="C20" s="728"/>
      <c r="D20" s="728"/>
      <c r="E20" s="728"/>
      <c r="F20" s="727"/>
      <c r="G20" s="727"/>
      <c r="H20" s="727"/>
      <c r="I20" s="727"/>
      <c r="J20" s="731"/>
      <c r="K20" s="730"/>
      <c r="L20" s="727"/>
      <c r="M20" s="727"/>
      <c r="N20" s="727"/>
      <c r="O20" s="727"/>
      <c r="P20" s="726"/>
      <c r="Q20" s="726"/>
    </row>
    <row r="21" spans="1:17">
      <c r="A21" s="206">
        <v>152</v>
      </c>
      <c r="B21" s="728" t="s">
        <v>598</v>
      </c>
      <c r="C21" s="728"/>
      <c r="D21" s="728"/>
      <c r="E21" s="728"/>
      <c r="F21" s="727">
        <f>F15+F19</f>
        <v>0</v>
      </c>
      <c r="G21" s="727">
        <f>G15+G19</f>
        <v>0</v>
      </c>
      <c r="H21" s="727">
        <f>H15+H19</f>
        <v>0</v>
      </c>
      <c r="I21" s="727">
        <f>I15+I19</f>
        <v>0</v>
      </c>
      <c r="J21" s="731"/>
      <c r="K21" s="730"/>
      <c r="L21" s="727">
        <f>L15+L19</f>
        <v>0</v>
      </c>
      <c r="M21" s="727">
        <f>M15+M19</f>
        <v>0</v>
      </c>
      <c r="N21" s="727">
        <f>N15+N19</f>
        <v>0</v>
      </c>
      <c r="O21" s="727">
        <f>O15+O19</f>
        <v>0</v>
      </c>
      <c r="P21" s="726"/>
      <c r="Q21" s="726"/>
    </row>
    <row r="22" spans="1:17">
      <c r="A22" s="206"/>
      <c r="B22" s="728"/>
      <c r="C22" s="728"/>
      <c r="D22" s="728"/>
      <c r="E22" s="728"/>
      <c r="F22" s="727"/>
      <c r="G22" s="727"/>
      <c r="H22" s="727"/>
      <c r="I22" s="727"/>
      <c r="J22" s="731"/>
      <c r="K22" s="730"/>
      <c r="L22" s="727"/>
      <c r="M22" s="727"/>
      <c r="N22" s="727"/>
      <c r="O22" s="727"/>
      <c r="P22" s="726"/>
      <c r="Q22" s="726"/>
    </row>
    <row r="23" spans="1:17">
      <c r="A23" s="206">
        <v>200</v>
      </c>
      <c r="B23" s="995" t="s">
        <v>599</v>
      </c>
      <c r="C23" s="996"/>
      <c r="D23" s="996"/>
      <c r="E23" s="996"/>
      <c r="F23" s="996"/>
      <c r="G23" s="996"/>
      <c r="H23" s="996"/>
      <c r="I23" s="996"/>
      <c r="J23" s="996"/>
      <c r="K23" s="996"/>
      <c r="L23" s="996"/>
      <c r="M23" s="996"/>
      <c r="N23" s="996"/>
      <c r="O23" s="996"/>
      <c r="P23" s="996"/>
      <c r="Q23" s="996"/>
    </row>
    <row r="24" spans="1:17">
      <c r="A24" s="206">
        <f t="shared" ref="A24:A26" si="2">A23+1</f>
        <v>201</v>
      </c>
      <c r="B24" s="732" t="s">
        <v>600</v>
      </c>
      <c r="C24" s="732" t="s">
        <v>589</v>
      </c>
      <c r="D24" s="743" t="s">
        <v>601</v>
      </c>
      <c r="E24" s="743"/>
      <c r="F24" s="742">
        <v>-75954754.370000005</v>
      </c>
      <c r="G24" s="742">
        <v>1868753.6055062294</v>
      </c>
      <c r="H24" s="742">
        <v>-39626.235506221652</v>
      </c>
      <c r="I24" s="742">
        <v>-74125627</v>
      </c>
      <c r="J24" s="741" t="s">
        <v>591</v>
      </c>
      <c r="K24" s="844">
        <v>0.22680814926774853</v>
      </c>
      <c r="L24" s="740">
        <f t="shared" ref="L24:O27" si="3">F24*$K24</f>
        <v>-17227157.266746137</v>
      </c>
      <c r="M24" s="740">
        <f t="shared" si="3"/>
        <v>423848.54670230014</v>
      </c>
      <c r="N24" s="740">
        <f t="shared" si="3"/>
        <v>-8987.5531376140771</v>
      </c>
      <c r="O24" s="740">
        <f t="shared" si="3"/>
        <v>-16812296.27318145</v>
      </c>
      <c r="P24" s="741" t="s">
        <v>592</v>
      </c>
      <c r="Q24" s="747" t="s">
        <v>602</v>
      </c>
    </row>
    <row r="25" spans="1:17">
      <c r="A25" s="206">
        <f t="shared" si="2"/>
        <v>202</v>
      </c>
      <c r="B25" s="732" t="s">
        <v>603</v>
      </c>
      <c r="C25" s="732" t="s">
        <v>589</v>
      </c>
      <c r="D25" s="743" t="s">
        <v>601</v>
      </c>
      <c r="E25" s="743"/>
      <c r="F25" s="742">
        <v>0</v>
      </c>
      <c r="G25" s="742"/>
      <c r="H25" s="742">
        <v>0</v>
      </c>
      <c r="I25" s="742">
        <v>0</v>
      </c>
      <c r="J25" s="747" t="s">
        <v>591</v>
      </c>
      <c r="K25" s="844">
        <v>0.22680814926774853</v>
      </c>
      <c r="L25" s="740">
        <f t="shared" si="3"/>
        <v>0</v>
      </c>
      <c r="M25" s="740">
        <f t="shared" si="3"/>
        <v>0</v>
      </c>
      <c r="N25" s="740">
        <f t="shared" si="3"/>
        <v>0</v>
      </c>
      <c r="O25" s="740">
        <f t="shared" si="3"/>
        <v>0</v>
      </c>
      <c r="P25" s="747" t="s">
        <v>592</v>
      </c>
      <c r="Q25" s="746" t="s">
        <v>593</v>
      </c>
    </row>
    <row r="26" spans="1:17">
      <c r="A26" s="206">
        <f t="shared" si="2"/>
        <v>203</v>
      </c>
      <c r="B26" s="732" t="s">
        <v>604</v>
      </c>
      <c r="C26" s="732" t="s">
        <v>589</v>
      </c>
      <c r="D26" s="778">
        <v>182.3</v>
      </c>
      <c r="E26" s="743"/>
      <c r="F26" s="742">
        <v>30826443</v>
      </c>
      <c r="G26" s="742">
        <v>-804324.41486991441</v>
      </c>
      <c r="H26" s="742">
        <v>2643904.4148699157</v>
      </c>
      <c r="I26" s="742">
        <v>32666023</v>
      </c>
      <c r="J26" s="747" t="s">
        <v>591</v>
      </c>
      <c r="K26" s="844">
        <v>0.22680814926774853</v>
      </c>
      <c r="L26" s="740">
        <f t="shared" si="3"/>
        <v>6991688.4853377417</v>
      </c>
      <c r="M26" s="740">
        <f t="shared" si="3"/>
        <v>-182427.33194751004</v>
      </c>
      <c r="N26" s="740">
        <f t="shared" si="3"/>
        <v>599659.0671774752</v>
      </c>
      <c r="O26" s="740">
        <f t="shared" si="3"/>
        <v>7408920.220567707</v>
      </c>
      <c r="P26" s="741" t="s">
        <v>592</v>
      </c>
      <c r="Q26" s="747" t="s">
        <v>602</v>
      </c>
    </row>
    <row r="27" spans="1:17">
      <c r="A27" s="206">
        <f>A26+1</f>
        <v>204</v>
      </c>
      <c r="B27" s="739" t="s">
        <v>594</v>
      </c>
      <c r="C27" s="739"/>
      <c r="D27" s="739"/>
      <c r="E27" s="739"/>
      <c r="F27" s="742"/>
      <c r="G27" s="742"/>
      <c r="H27" s="742"/>
      <c r="I27" s="742"/>
      <c r="J27" s="735"/>
      <c r="K27" s="745"/>
      <c r="L27" s="740">
        <f t="shared" si="3"/>
        <v>0</v>
      </c>
      <c r="M27" s="740">
        <f t="shared" si="3"/>
        <v>0</v>
      </c>
      <c r="N27" s="740">
        <f t="shared" si="3"/>
        <v>0</v>
      </c>
      <c r="O27" s="740">
        <f t="shared" si="3"/>
        <v>0</v>
      </c>
      <c r="P27" s="733"/>
      <c r="Q27" s="733"/>
    </row>
    <row r="28" spans="1:17">
      <c r="A28" s="206">
        <v>299</v>
      </c>
      <c r="B28" s="728" t="s">
        <v>605</v>
      </c>
      <c r="C28" s="728"/>
      <c r="D28" s="728"/>
      <c r="E28" s="728"/>
      <c r="F28" s="744">
        <f>SUM(F24:F27)</f>
        <v>-45128311.370000005</v>
      </c>
      <c r="G28" s="744">
        <f>SUM(G24:G27)</f>
        <v>1064429.1906363149</v>
      </c>
      <c r="H28" s="744">
        <f>SUM(H24:H27)</f>
        <v>2604278.179363694</v>
      </c>
      <c r="I28" s="744">
        <f>SUM(I24:I27)</f>
        <v>-41459604</v>
      </c>
      <c r="J28" s="731"/>
      <c r="K28" s="730"/>
      <c r="L28" s="744">
        <f>SUM(L24:L27)</f>
        <v>-10235468.781408396</v>
      </c>
      <c r="M28" s="744">
        <f>SUM(M24:M27)</f>
        <v>241421.2147547901</v>
      </c>
      <c r="N28" s="744">
        <f>SUM(N24:N27)</f>
        <v>590671.51403986115</v>
      </c>
      <c r="O28" s="744">
        <f>SUM(O24:O27)</f>
        <v>-9403376.0526137426</v>
      </c>
      <c r="P28" s="726"/>
      <c r="Q28" s="726"/>
    </row>
    <row r="29" spans="1:17">
      <c r="A29" s="206"/>
      <c r="B29" s="728"/>
      <c r="C29" s="728"/>
      <c r="D29" s="728"/>
      <c r="E29" s="728"/>
      <c r="F29" s="727"/>
      <c r="G29" s="727"/>
      <c r="H29" s="727"/>
      <c r="I29" s="727"/>
      <c r="J29" s="731"/>
      <c r="K29" s="730"/>
      <c r="L29" s="727"/>
      <c r="M29" s="727"/>
      <c r="N29" s="727"/>
      <c r="O29" s="727"/>
      <c r="P29" s="726"/>
      <c r="Q29" s="726"/>
    </row>
    <row r="30" spans="1:17">
      <c r="A30" s="206">
        <v>300</v>
      </c>
      <c r="B30" s="732" t="s">
        <v>606</v>
      </c>
      <c r="C30" s="732" t="s">
        <v>589</v>
      </c>
      <c r="D30" s="743">
        <v>190</v>
      </c>
      <c r="E30" s="743"/>
      <c r="F30" s="742">
        <v>18729307</v>
      </c>
      <c r="G30" s="742">
        <v>-459610.60550622956</v>
      </c>
      <c r="H30" s="742">
        <v>-38869.061978772283</v>
      </c>
      <c r="I30" s="742">
        <v>18230827.332514998</v>
      </c>
      <c r="J30" s="741" t="s">
        <v>591</v>
      </c>
      <c r="K30" s="844">
        <v>0.22680814926774853</v>
      </c>
      <c r="L30" s="740">
        <f t="shared" ref="L30:O32" si="4">F30*$K30</f>
        <v>4247959.4577374877</v>
      </c>
      <c r="M30" s="740">
        <f t="shared" si="4"/>
        <v>-104243.4308186972</v>
      </c>
      <c r="N30" s="740">
        <f t="shared" si="4"/>
        <v>-8815.8200111787537</v>
      </c>
      <c r="O30" s="740">
        <f t="shared" si="4"/>
        <v>4134900.2069076113</v>
      </c>
      <c r="P30" s="726"/>
      <c r="Q30" s="726"/>
    </row>
    <row r="31" spans="1:17">
      <c r="A31" s="206">
        <f>A30+1</f>
        <v>301</v>
      </c>
      <c r="B31" s="732" t="s">
        <v>607</v>
      </c>
      <c r="C31" s="732" t="s">
        <v>589</v>
      </c>
      <c r="D31" s="743">
        <v>283</v>
      </c>
      <c r="E31" s="743"/>
      <c r="F31" s="742">
        <v>-7601747</v>
      </c>
      <c r="G31" s="742">
        <v>197819.56821518106</v>
      </c>
      <c r="H31" s="742">
        <v>-630117.5949501805</v>
      </c>
      <c r="I31" s="742">
        <v>-8034045.0267349994</v>
      </c>
      <c r="J31" s="741" t="s">
        <v>591</v>
      </c>
      <c r="K31" s="844">
        <v>0.22680814926774853</v>
      </c>
      <c r="L31" s="740">
        <f t="shared" si="4"/>
        <v>-1724138.1682716596</v>
      </c>
      <c r="M31" s="740">
        <f t="shared" si="4"/>
        <v>44867.090155830352</v>
      </c>
      <c r="N31" s="740">
        <f t="shared" si="4"/>
        <v>-142915.80553169525</v>
      </c>
      <c r="O31" s="740">
        <f t="shared" si="4"/>
        <v>-1822186.8836475245</v>
      </c>
      <c r="P31" s="726"/>
      <c r="Q31" s="726"/>
    </row>
    <row r="32" spans="1:17">
      <c r="A32" s="206">
        <f>A31+1</f>
        <v>302</v>
      </c>
      <c r="B32" s="739" t="s">
        <v>594</v>
      </c>
      <c r="C32" s="739"/>
      <c r="D32" s="739"/>
      <c r="E32" s="738"/>
      <c r="F32" s="737"/>
      <c r="G32" s="736"/>
      <c r="H32" s="736"/>
      <c r="I32" s="736"/>
      <c r="J32" s="736"/>
      <c r="K32" s="735"/>
      <c r="L32" s="734">
        <f t="shared" si="4"/>
        <v>0</v>
      </c>
      <c r="M32" s="734">
        <f t="shared" si="4"/>
        <v>0</v>
      </c>
      <c r="N32" s="734">
        <f t="shared" si="4"/>
        <v>0</v>
      </c>
      <c r="O32" s="734">
        <f t="shared" si="4"/>
        <v>0</v>
      </c>
      <c r="P32" s="733"/>
      <c r="Q32" s="733"/>
    </row>
    <row r="33" spans="1:17">
      <c r="A33" s="206">
        <v>350</v>
      </c>
      <c r="B33" s="728" t="s">
        <v>608</v>
      </c>
      <c r="C33" s="728"/>
      <c r="F33" s="727">
        <f>SUM(F30:F32)</f>
        <v>11127560</v>
      </c>
      <c r="G33" s="727">
        <f>SUM(G30:G32)</f>
        <v>-261791.0372910485</v>
      </c>
      <c r="H33" s="727">
        <f>SUM(H30:H32)</f>
        <v>-668986.65692895278</v>
      </c>
      <c r="I33" s="727">
        <f>SUM(I30:I32)</f>
        <v>10196782.305779997</v>
      </c>
      <c r="J33" s="731"/>
      <c r="K33" s="730"/>
      <c r="L33" s="727">
        <f>SUM(L30:L32)</f>
        <v>2523821.2894658279</v>
      </c>
      <c r="M33" s="727">
        <f>SUM(M30:M32)</f>
        <v>-59376.340662866853</v>
      </c>
      <c r="N33" s="727">
        <f>SUM(N30:N32)</f>
        <v>-151731.62554287401</v>
      </c>
      <c r="O33" s="727">
        <f>SUM(O30:O32)</f>
        <v>2312713.3232600866</v>
      </c>
      <c r="P33" s="726"/>
      <c r="Q33" s="726"/>
    </row>
    <row r="34" spans="1:17">
      <c r="A34" s="206">
        <f>A33+1</f>
        <v>351</v>
      </c>
      <c r="B34" s="728"/>
      <c r="C34" s="728"/>
      <c r="F34" s="727"/>
      <c r="G34" s="727"/>
      <c r="H34" s="727"/>
      <c r="I34" s="727"/>
      <c r="J34" s="731"/>
      <c r="K34" s="730"/>
      <c r="L34" s="727"/>
      <c r="M34" s="727"/>
      <c r="N34" s="727"/>
      <c r="O34" s="727"/>
      <c r="P34" s="726"/>
      <c r="Q34" s="726"/>
    </row>
    <row r="35" spans="1:17">
      <c r="A35" s="206">
        <f>A34+1</f>
        <v>352</v>
      </c>
      <c r="B35" s="728" t="s">
        <v>609</v>
      </c>
      <c r="C35" s="728"/>
      <c r="D35" s="728"/>
      <c r="E35" s="728"/>
      <c r="F35" s="727">
        <f>F28+F33</f>
        <v>-34000751.370000005</v>
      </c>
      <c r="G35" s="727">
        <f>G28+G33</f>
        <v>802638.15334526636</v>
      </c>
      <c r="H35" s="727">
        <f>H28+H33</f>
        <v>1935291.5224347413</v>
      </c>
      <c r="I35" s="727">
        <f>I28+I33</f>
        <v>-31262821.694220003</v>
      </c>
      <c r="J35" s="731"/>
      <c r="K35" s="730"/>
      <c r="L35" s="727">
        <f>L28+L33</f>
        <v>-7711647.4919425678</v>
      </c>
      <c r="M35" s="727">
        <f>M28+M33</f>
        <v>182044.87409192324</v>
      </c>
      <c r="N35" s="727">
        <f>N28+N33</f>
        <v>438939.88849698717</v>
      </c>
      <c r="O35" s="727">
        <f>O28+O33</f>
        <v>-7090662.7293536561</v>
      </c>
      <c r="P35" s="726"/>
      <c r="Q35" s="726"/>
    </row>
    <row r="36" spans="1:17">
      <c r="A36" s="206"/>
      <c r="B36" s="728"/>
      <c r="C36" s="728"/>
      <c r="D36" s="728"/>
      <c r="E36" s="728"/>
      <c r="F36" s="727"/>
      <c r="G36" s="727"/>
      <c r="H36" s="727"/>
      <c r="I36" s="727"/>
      <c r="J36" s="731"/>
      <c r="K36" s="730"/>
      <c r="L36" s="727"/>
      <c r="M36" s="727"/>
      <c r="N36" s="727"/>
      <c r="O36" s="727"/>
      <c r="P36" s="726"/>
      <c r="Q36" s="726"/>
    </row>
    <row r="37" spans="1:17">
      <c r="A37" s="206">
        <v>353</v>
      </c>
      <c r="B37" s="995" t="s">
        <v>610</v>
      </c>
      <c r="C37" s="996"/>
      <c r="D37" s="996"/>
      <c r="E37" s="996"/>
      <c r="F37" s="996"/>
      <c r="G37" s="996"/>
      <c r="H37" s="996"/>
      <c r="I37" s="996"/>
      <c r="J37" s="996"/>
      <c r="K37" s="996"/>
      <c r="L37" s="996"/>
      <c r="M37" s="996"/>
      <c r="N37" s="996"/>
      <c r="O37" s="996"/>
      <c r="P37" s="996"/>
      <c r="Q37" s="996"/>
    </row>
    <row r="38" spans="1:17">
      <c r="A38" s="206">
        <f t="shared" ref="A38:A43" si="5">A37+1</f>
        <v>354</v>
      </c>
      <c r="B38" s="728"/>
      <c r="C38" s="728"/>
      <c r="D38" s="732"/>
      <c r="E38" s="728"/>
      <c r="F38" s="727"/>
      <c r="G38" s="727"/>
      <c r="H38" s="727"/>
      <c r="I38" s="727"/>
      <c r="J38" s="731"/>
      <c r="K38" s="730"/>
      <c r="L38" s="727"/>
      <c r="M38" s="727"/>
      <c r="N38" s="727"/>
      <c r="O38" s="727"/>
      <c r="P38" s="726"/>
      <c r="Q38" s="726"/>
    </row>
    <row r="39" spans="1:17">
      <c r="A39" s="206">
        <f t="shared" si="5"/>
        <v>355</v>
      </c>
      <c r="B39" s="784" t="s">
        <v>611</v>
      </c>
      <c r="C39" s="728"/>
      <c r="D39" s="728"/>
      <c r="E39" s="728"/>
      <c r="F39" s="727">
        <f>+F15+F28</f>
        <v>-45128311.370000005</v>
      </c>
      <c r="G39" s="727">
        <f>+G15+G28</f>
        <v>1064429.1906363149</v>
      </c>
      <c r="H39" s="727">
        <f>+H15+H28</f>
        <v>2604278.179363694</v>
      </c>
      <c r="I39" s="727">
        <f>+I15+I28</f>
        <v>-41459604</v>
      </c>
      <c r="J39" s="789"/>
      <c r="K39" s="727"/>
      <c r="L39" s="727">
        <f>+L15+L28</f>
        <v>-10235468.781408396</v>
      </c>
      <c r="M39" s="727">
        <f>+M15+M28</f>
        <v>241421.2147547901</v>
      </c>
      <c r="N39" s="727">
        <f>+N15+N28</f>
        <v>590671.51403986115</v>
      </c>
      <c r="O39" s="727">
        <f>+O15+O28</f>
        <v>-9403376.0526137426</v>
      </c>
      <c r="P39" s="726"/>
      <c r="Q39" s="726"/>
    </row>
    <row r="40" spans="1:17">
      <c r="A40" s="206">
        <f t="shared" si="5"/>
        <v>356</v>
      </c>
      <c r="B40" s="728" t="s">
        <v>612</v>
      </c>
      <c r="C40" s="728"/>
      <c r="D40" s="728"/>
      <c r="E40" s="728"/>
      <c r="F40" s="729">
        <f>F19+F33</f>
        <v>11127560</v>
      </c>
      <c r="G40" s="729">
        <f>G19+G33</f>
        <v>-261791.0372910485</v>
      </c>
      <c r="H40" s="729">
        <f>H19+H33</f>
        <v>-668986.65692895278</v>
      </c>
      <c r="I40" s="729">
        <f>I19+I33</f>
        <v>10196782.305779997</v>
      </c>
      <c r="J40" s="790"/>
      <c r="K40" s="729"/>
      <c r="L40" s="729">
        <f>L19+L33</f>
        <v>2523821.2894658279</v>
      </c>
      <c r="M40" s="729">
        <f>M19+M33</f>
        <v>-59376.340662866853</v>
      </c>
      <c r="N40" s="729">
        <f>N19+N33</f>
        <v>-151731.62554287401</v>
      </c>
      <c r="O40" s="729">
        <f>O19+O33</f>
        <v>2312713.3232600866</v>
      </c>
      <c r="P40" s="726"/>
      <c r="Q40" s="726"/>
    </row>
    <row r="41" spans="1:17">
      <c r="A41" s="206">
        <f t="shared" si="5"/>
        <v>357</v>
      </c>
      <c r="B41" s="728" t="s">
        <v>613</v>
      </c>
      <c r="C41" s="728"/>
      <c r="D41" s="728"/>
      <c r="E41" s="728"/>
      <c r="F41" s="727">
        <f>SUM(F39:F40)</f>
        <v>-34000751.370000005</v>
      </c>
      <c r="G41" s="727">
        <f>SUM(G39:G40)</f>
        <v>802638.15334526636</v>
      </c>
      <c r="H41" s="727">
        <f>SUM(H39:H40)</f>
        <v>1935291.5224347413</v>
      </c>
      <c r="I41" s="727">
        <f>SUM(I39:I40)</f>
        <v>-31262821.694220003</v>
      </c>
      <c r="J41" s="789"/>
      <c r="K41" s="727"/>
      <c r="L41" s="727">
        <f>SUM(L39:L40)</f>
        <v>-7711647.4919425678</v>
      </c>
      <c r="M41" s="727">
        <f>SUM(M39:M40)</f>
        <v>182044.87409192324</v>
      </c>
      <c r="N41" s="727">
        <f>SUM(N39:N40)</f>
        <v>438939.88849698717</v>
      </c>
      <c r="O41" s="727">
        <f>SUM(O39:O40)</f>
        <v>-7090662.7293536561</v>
      </c>
      <c r="P41" s="726"/>
      <c r="Q41" s="726"/>
    </row>
    <row r="42" spans="1:17">
      <c r="A42" s="206">
        <f t="shared" si="5"/>
        <v>358</v>
      </c>
      <c r="B42" s="728" t="s">
        <v>614</v>
      </c>
      <c r="C42" s="728"/>
      <c r="D42" s="728"/>
      <c r="E42" s="728"/>
      <c r="F42" s="727"/>
      <c r="G42" s="727"/>
      <c r="H42" s="727"/>
      <c r="I42" s="727">
        <f>(I39+F39)/2</f>
        <v>-43293957.685000002</v>
      </c>
      <c r="J42" s="789"/>
      <c r="K42" s="727"/>
      <c r="L42" s="727"/>
      <c r="M42" s="727"/>
      <c r="N42" s="727"/>
      <c r="O42" s="727">
        <f>(O39+L39)/2</f>
        <v>-9819422.4170110691</v>
      </c>
      <c r="Q42" s="726"/>
    </row>
    <row r="43" spans="1:17" ht="15.75">
      <c r="A43" s="206">
        <f t="shared" si="5"/>
        <v>359</v>
      </c>
      <c r="B43" s="728" t="s">
        <v>615</v>
      </c>
      <c r="C43" s="728"/>
      <c r="D43" s="728"/>
      <c r="E43" s="728"/>
      <c r="F43" s="727"/>
      <c r="G43" s="727"/>
      <c r="H43" s="727"/>
      <c r="I43" s="189"/>
      <c r="J43" s="789"/>
      <c r="K43" s="727"/>
      <c r="L43" s="727"/>
      <c r="M43" s="727"/>
      <c r="N43" s="727"/>
      <c r="O43" s="862">
        <f>O41/I41</f>
        <v>0.22680814926774848</v>
      </c>
      <c r="Q43" s="726"/>
    </row>
    <row r="44" spans="1:17">
      <c r="A44" s="206"/>
      <c r="B44" s="728"/>
      <c r="C44" s="728"/>
      <c r="D44" s="728"/>
      <c r="E44" s="728"/>
      <c r="F44" s="727"/>
      <c r="G44" s="727"/>
      <c r="H44" s="727"/>
      <c r="I44" s="727"/>
      <c r="J44" s="789"/>
      <c r="K44" s="727"/>
      <c r="L44" s="727"/>
      <c r="M44" s="727"/>
      <c r="N44" s="727"/>
      <c r="P44" s="726"/>
      <c r="Q44" s="726"/>
    </row>
    <row r="45" spans="1:17">
      <c r="A45" s="384" t="s">
        <v>555</v>
      </c>
    </row>
    <row r="46" spans="1:17" ht="79.5" customHeight="1">
      <c r="A46" s="423" t="s">
        <v>387</v>
      </c>
      <c r="B46" s="999" t="s">
        <v>616</v>
      </c>
      <c r="C46" s="999"/>
      <c r="D46" s="999"/>
      <c r="E46" s="999"/>
      <c r="F46" s="999"/>
      <c r="G46" s="999"/>
      <c r="H46" s="999"/>
      <c r="I46" s="999"/>
      <c r="J46" s="999"/>
      <c r="K46" s="999"/>
      <c r="L46" s="999"/>
      <c r="M46" s="999"/>
      <c r="N46" s="999"/>
      <c r="O46" s="999"/>
      <c r="P46" s="791"/>
      <c r="Q46" s="791"/>
    </row>
    <row r="47" spans="1:17" ht="21" customHeight="1">
      <c r="A47" s="423" t="s">
        <v>617</v>
      </c>
      <c r="B47" s="999" t="s">
        <v>618</v>
      </c>
      <c r="C47" s="999"/>
      <c r="D47" s="999"/>
      <c r="E47" s="999"/>
      <c r="F47" s="999"/>
      <c r="G47" s="999"/>
      <c r="H47" s="999"/>
      <c r="I47" s="999"/>
      <c r="J47" s="999"/>
      <c r="K47" s="999"/>
      <c r="L47" s="999"/>
      <c r="M47" s="999"/>
      <c r="N47" s="999"/>
      <c r="O47" s="999"/>
      <c r="P47" s="791"/>
      <c r="Q47" s="791"/>
    </row>
    <row r="48" spans="1:17" ht="21" customHeight="1">
      <c r="A48" s="423" t="s">
        <v>389</v>
      </c>
      <c r="B48" s="1000" t="s">
        <v>619</v>
      </c>
      <c r="C48" s="1000"/>
      <c r="D48" s="1000"/>
      <c r="E48" s="1000"/>
      <c r="F48" s="1000"/>
      <c r="G48" s="1000"/>
      <c r="H48" s="1000"/>
      <c r="I48" s="1000"/>
      <c r="J48" s="1000"/>
      <c r="K48" s="1000"/>
      <c r="L48" s="1000"/>
      <c r="M48" s="1000"/>
      <c r="N48" s="1000"/>
      <c r="O48" s="1000"/>
      <c r="P48" s="792"/>
      <c r="Q48" s="792"/>
    </row>
    <row r="49" spans="1:19" ht="21" customHeight="1">
      <c r="A49" s="423" t="s">
        <v>391</v>
      </c>
      <c r="B49" s="1000" t="s">
        <v>620</v>
      </c>
      <c r="C49" s="1000"/>
      <c r="D49" s="1000"/>
      <c r="E49" s="1000"/>
      <c r="F49" s="1000"/>
      <c r="G49" s="1000"/>
      <c r="H49" s="1000"/>
      <c r="I49" s="1000"/>
      <c r="J49" s="1000"/>
      <c r="K49" s="1000"/>
      <c r="L49" s="1000"/>
      <c r="M49" s="1000"/>
      <c r="N49" s="1000"/>
      <c r="O49" s="1000"/>
      <c r="P49" s="792"/>
      <c r="Q49" s="792"/>
    </row>
    <row r="50" spans="1:19" ht="21" customHeight="1">
      <c r="A50" s="423" t="s">
        <v>393</v>
      </c>
      <c r="B50" s="1000" t="s">
        <v>621</v>
      </c>
      <c r="C50" s="1000"/>
      <c r="D50" s="1000"/>
      <c r="E50" s="1000"/>
      <c r="F50" s="1000"/>
      <c r="G50" s="1000"/>
      <c r="H50" s="1000"/>
      <c r="I50" s="1000"/>
      <c r="J50" s="1000"/>
      <c r="K50" s="1000"/>
      <c r="L50" s="1000"/>
      <c r="M50" s="1000"/>
      <c r="N50" s="1000"/>
      <c r="O50" s="1000"/>
    </row>
    <row r="51" spans="1:19" ht="21" customHeight="1">
      <c r="A51" s="423" t="s">
        <v>395</v>
      </c>
      <c r="B51" s="999" t="s">
        <v>622</v>
      </c>
      <c r="C51" s="999"/>
      <c r="D51" s="999"/>
      <c r="E51" s="999"/>
      <c r="F51" s="999"/>
      <c r="G51" s="999"/>
      <c r="H51" s="999"/>
      <c r="I51" s="999"/>
      <c r="J51" s="999"/>
      <c r="K51" s="999"/>
      <c r="L51" s="999"/>
      <c r="M51" s="999"/>
      <c r="N51" s="999"/>
      <c r="O51" s="999"/>
    </row>
    <row r="52" spans="1:19" ht="32.450000000000003" customHeight="1">
      <c r="A52" s="423" t="s">
        <v>397</v>
      </c>
      <c r="B52" s="999" t="s">
        <v>623</v>
      </c>
      <c r="C52" s="999"/>
      <c r="D52" s="999"/>
      <c r="E52" s="999"/>
      <c r="F52" s="999"/>
      <c r="G52" s="999"/>
      <c r="H52" s="999"/>
      <c r="I52" s="999"/>
      <c r="J52" s="999"/>
      <c r="K52" s="999"/>
      <c r="L52" s="999"/>
      <c r="M52" s="999"/>
      <c r="N52" s="999"/>
      <c r="O52" s="999"/>
    </row>
    <row r="53" spans="1:19" ht="32.450000000000003" customHeight="1">
      <c r="A53" s="423" t="s">
        <v>399</v>
      </c>
      <c r="B53" s="999" t="s">
        <v>624</v>
      </c>
      <c r="C53" s="999"/>
      <c r="D53" s="999"/>
      <c r="E53" s="999"/>
      <c r="F53" s="999"/>
      <c r="G53" s="999"/>
      <c r="H53" s="999"/>
      <c r="I53" s="999"/>
      <c r="J53" s="999"/>
      <c r="K53" s="999"/>
      <c r="L53" s="999"/>
      <c r="M53" s="999"/>
      <c r="N53" s="999"/>
      <c r="O53" s="999"/>
    </row>
    <row r="54" spans="1:19" ht="21" customHeight="1">
      <c r="A54" s="423" t="s">
        <v>401</v>
      </c>
      <c r="B54" s="999" t="s">
        <v>625</v>
      </c>
      <c r="C54" s="999"/>
      <c r="D54" s="999"/>
      <c r="E54" s="999"/>
      <c r="F54" s="999"/>
      <c r="G54" s="999"/>
      <c r="H54" s="999"/>
      <c r="I54" s="999"/>
      <c r="J54" s="999"/>
      <c r="K54" s="999"/>
      <c r="L54" s="999"/>
      <c r="M54" s="999"/>
      <c r="N54" s="999"/>
      <c r="O54" s="999"/>
    </row>
    <row r="55" spans="1:19" ht="29.25" customHeight="1">
      <c r="A55" s="423" t="s">
        <v>403</v>
      </c>
      <c r="B55" s="1000" t="s">
        <v>626</v>
      </c>
      <c r="C55" s="1000"/>
      <c r="D55" s="1000"/>
      <c r="E55" s="1000"/>
      <c r="F55" s="1000"/>
      <c r="G55" s="1000"/>
      <c r="H55" s="1000"/>
      <c r="I55" s="1000"/>
      <c r="J55" s="1000"/>
      <c r="K55" s="1000"/>
      <c r="L55" s="1000"/>
      <c r="M55" s="1000"/>
      <c r="N55" s="1000"/>
      <c r="O55" s="1000"/>
    </row>
    <row r="56" spans="1:19" ht="29.25" customHeight="1">
      <c r="A56" s="423" t="s">
        <v>405</v>
      </c>
      <c r="B56" s="1000" t="s">
        <v>627</v>
      </c>
      <c r="C56" s="1000"/>
      <c r="D56" s="1000"/>
      <c r="E56" s="1000"/>
      <c r="F56" s="1000"/>
      <c r="G56" s="1000"/>
      <c r="H56" s="1000"/>
      <c r="I56" s="1000"/>
      <c r="J56" s="1000"/>
      <c r="K56" s="1000"/>
      <c r="L56" s="1000"/>
      <c r="M56" s="1000"/>
      <c r="N56" s="1000"/>
      <c r="O56" s="1000"/>
    </row>
    <row r="57" spans="1:19" s="861" customFormat="1" ht="18" customHeight="1">
      <c r="A57" s="423" t="s">
        <v>407</v>
      </c>
      <c r="B57" s="999" t="s">
        <v>628</v>
      </c>
      <c r="C57" s="999"/>
      <c r="D57" s="999"/>
      <c r="E57" s="999"/>
      <c r="F57" s="999"/>
      <c r="G57" s="999"/>
      <c r="H57" s="999"/>
      <c r="I57" s="999"/>
      <c r="J57" s="999"/>
      <c r="K57" s="999"/>
      <c r="L57" s="999"/>
      <c r="M57" s="999"/>
      <c r="N57" s="999"/>
      <c r="O57" s="999"/>
      <c r="S57" s="787"/>
    </row>
    <row r="58" spans="1:19" ht="15.75">
      <c r="A58" s="195"/>
      <c r="B58" s="793"/>
    </row>
    <row r="59" spans="1:19">
      <c r="A59" s="836"/>
      <c r="B59" s="793"/>
    </row>
    <row r="60" spans="1:19">
      <c r="B60" s="793"/>
    </row>
    <row r="61" spans="1:19">
      <c r="B61" s="793"/>
    </row>
    <row r="62" spans="1:19">
      <c r="B62" s="793"/>
    </row>
    <row r="63" spans="1:19">
      <c r="B63" s="793"/>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5" top="0.75" bottom="0.75" header="0.3" footer="0.3"/>
  <pageSetup scale="45" fitToHeight="0" orientation="landscape" verticalDpi="1200" r:id="rId1"/>
  <colBreaks count="1" manualBreakCount="1">
    <brk id="5"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0"/>
  <sheetViews>
    <sheetView workbookViewId="0">
      <selection activeCell="J10" sqref="J10"/>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21875" style="884" customWidth="1"/>
    <col min="12" max="12" width="12.21875" style="2" customWidth="1"/>
    <col min="13" max="13" width="15.5546875" style="2" customWidth="1"/>
    <col min="14" max="14" width="13.6640625" style="2" customWidth="1"/>
    <col min="15" max="15" width="10.21875" style="2" customWidth="1"/>
    <col min="16" max="16" width="10.6640625" style="2" customWidth="1"/>
    <col min="17" max="16384" width="8.6640625" style="2"/>
  </cols>
  <sheetData>
    <row r="1" spans="1:12">
      <c r="C1" s="3"/>
      <c r="E1" s="446" t="s">
        <v>36</v>
      </c>
      <c r="F1" s="3"/>
      <c r="H1" s="3"/>
      <c r="I1" s="3"/>
      <c r="J1" s="3"/>
    </row>
    <row r="2" spans="1:12">
      <c r="A2" s="5"/>
      <c r="C2" s="3"/>
      <c r="D2" s="3"/>
      <c r="E2" s="13" t="s">
        <v>629</v>
      </c>
      <c r="F2" s="3"/>
      <c r="H2" s="3"/>
      <c r="I2" s="3"/>
      <c r="J2" s="3"/>
      <c r="L2" s="6"/>
    </row>
    <row r="3" spans="1:12">
      <c r="A3" s="5"/>
      <c r="C3" s="3"/>
      <c r="D3" s="3"/>
      <c r="E3" s="447" t="str">
        <f>'Act Att-H'!C7</f>
        <v>Black Hills Colorado Electric, LLC</v>
      </c>
      <c r="F3" s="3"/>
      <c r="H3" s="3"/>
      <c r="I3" s="188" t="s">
        <v>630</v>
      </c>
      <c r="J3" s="3"/>
    </row>
    <row r="4" spans="1:12">
      <c r="A4" s="5"/>
      <c r="C4" s="3"/>
      <c r="D4" s="3"/>
      <c r="E4" s="3"/>
      <c r="F4" s="3"/>
      <c r="G4" s="3"/>
      <c r="H4" s="3"/>
      <c r="I4" s="3"/>
    </row>
    <row r="5" spans="1:12" ht="15" customHeight="1">
      <c r="A5" s="5"/>
      <c r="B5" s="7"/>
      <c r="C5" s="1001" t="s">
        <v>631</v>
      </c>
      <c r="D5" s="1002"/>
      <c r="E5" s="1002"/>
      <c r="F5" s="1002"/>
      <c r="G5" s="1003"/>
      <c r="H5" s="8" t="s">
        <v>632</v>
      </c>
      <c r="I5" s="8" t="s">
        <v>633</v>
      </c>
    </row>
    <row r="6" spans="1:12">
      <c r="A6" s="5"/>
      <c r="B6" s="7"/>
    </row>
    <row r="7" spans="1:12" s="12" customFormat="1" ht="30" customHeight="1">
      <c r="A7" s="9" t="s">
        <v>634</v>
      </c>
      <c r="B7" s="10" t="s">
        <v>635</v>
      </c>
      <c r="C7" s="10" t="s">
        <v>636</v>
      </c>
      <c r="D7" s="10" t="s">
        <v>132</v>
      </c>
      <c r="E7" s="10" t="s">
        <v>637</v>
      </c>
      <c r="F7" s="10" t="s">
        <v>638</v>
      </c>
      <c r="G7" s="11" t="s">
        <v>639</v>
      </c>
      <c r="H7" s="10" t="s">
        <v>640</v>
      </c>
      <c r="I7" s="10" t="s">
        <v>641</v>
      </c>
      <c r="K7" s="933"/>
    </row>
    <row r="8" spans="1:12" s="16" customFormat="1">
      <c r="A8" s="5"/>
      <c r="B8" s="13" t="s">
        <v>458</v>
      </c>
      <c r="C8" s="13" t="s">
        <v>459</v>
      </c>
      <c r="D8" s="13" t="s">
        <v>460</v>
      </c>
      <c r="E8" s="10" t="s">
        <v>461</v>
      </c>
      <c r="F8" s="10" t="s">
        <v>479</v>
      </c>
      <c r="G8" s="10" t="s">
        <v>480</v>
      </c>
      <c r="H8" s="10" t="s">
        <v>565</v>
      </c>
      <c r="I8" s="14" t="s">
        <v>566</v>
      </c>
      <c r="K8" s="884"/>
    </row>
    <row r="9" spans="1:12" s="16" customFormat="1" ht="39.6" customHeight="1">
      <c r="A9" s="5"/>
      <c r="B9" s="17" t="s">
        <v>642</v>
      </c>
      <c r="C9" s="10" t="s">
        <v>643</v>
      </c>
      <c r="D9" s="10" t="s">
        <v>644</v>
      </c>
      <c r="E9" s="10" t="s">
        <v>645</v>
      </c>
      <c r="F9" s="10" t="s">
        <v>646</v>
      </c>
      <c r="G9" s="10" t="s">
        <v>647</v>
      </c>
      <c r="H9" s="13" t="s">
        <v>648</v>
      </c>
      <c r="I9" s="13" t="s">
        <v>649</v>
      </c>
      <c r="K9" s="884"/>
    </row>
    <row r="10" spans="1:12">
      <c r="A10" s="5">
        <v>1</v>
      </c>
      <c r="B10" s="18" t="s">
        <v>650</v>
      </c>
      <c r="C10" s="19">
        <v>420975585.19999999</v>
      </c>
      <c r="D10" s="19">
        <v>232750883.22</v>
      </c>
      <c r="E10" s="19">
        <v>368889378.95999998</v>
      </c>
      <c r="F10" s="19">
        <v>37240774.859999999</v>
      </c>
      <c r="G10" s="19">
        <v>21516640</v>
      </c>
      <c r="H10" s="19">
        <v>0</v>
      </c>
      <c r="I10" s="19">
        <v>0</v>
      </c>
      <c r="J10" s="16"/>
    </row>
    <row r="11" spans="1:12">
      <c r="A11" s="5">
        <v>2</v>
      </c>
      <c r="B11" s="18" t="s">
        <v>651</v>
      </c>
      <c r="C11" s="19">
        <v>421534657.44</v>
      </c>
      <c r="D11" s="19">
        <v>237327144.52999997</v>
      </c>
      <c r="E11" s="19">
        <v>372502528.27000004</v>
      </c>
      <c r="F11" s="19">
        <v>38098677.149999999</v>
      </c>
      <c r="G11" s="19">
        <v>21214485</v>
      </c>
      <c r="H11" s="19">
        <v>0</v>
      </c>
      <c r="I11" s="19">
        <v>0</v>
      </c>
      <c r="J11" s="16"/>
    </row>
    <row r="12" spans="1:12">
      <c r="A12" s="5">
        <v>3</v>
      </c>
      <c r="B12" s="3" t="s">
        <v>652</v>
      </c>
      <c r="C12" s="19">
        <v>421535486.52999997</v>
      </c>
      <c r="D12" s="19">
        <v>240405602.75999999</v>
      </c>
      <c r="E12" s="19">
        <v>373734633.04000008</v>
      </c>
      <c r="F12" s="19">
        <v>38245702.430000007</v>
      </c>
      <c r="G12" s="19">
        <v>21197796</v>
      </c>
      <c r="H12" s="19">
        <v>0</v>
      </c>
      <c r="I12" s="19">
        <v>0</v>
      </c>
      <c r="J12" s="16"/>
    </row>
    <row r="13" spans="1:12">
      <c r="A13" s="5">
        <v>4</v>
      </c>
      <c r="B13" s="3" t="s">
        <v>653</v>
      </c>
      <c r="C13" s="19">
        <v>424127685.58999997</v>
      </c>
      <c r="D13" s="19">
        <v>237620168.93999994</v>
      </c>
      <c r="E13" s="19">
        <v>373218012.57000005</v>
      </c>
      <c r="F13" s="19">
        <v>38778936.559999995</v>
      </c>
      <c r="G13" s="19">
        <v>21302943</v>
      </c>
      <c r="H13" s="19">
        <v>0</v>
      </c>
      <c r="I13" s="19">
        <v>0</v>
      </c>
      <c r="J13" s="16"/>
    </row>
    <row r="14" spans="1:12">
      <c r="A14" s="5">
        <v>5</v>
      </c>
      <c r="B14" s="3" t="s">
        <v>654</v>
      </c>
      <c r="C14" s="19">
        <v>430226068.81</v>
      </c>
      <c r="D14" s="19">
        <v>240495121.58000001</v>
      </c>
      <c r="E14" s="19">
        <v>374944112.25999993</v>
      </c>
      <c r="F14" s="19">
        <v>39049072.259999998</v>
      </c>
      <c r="G14" s="19">
        <v>21360902</v>
      </c>
      <c r="H14" s="19">
        <v>0</v>
      </c>
      <c r="I14" s="19">
        <v>0</v>
      </c>
      <c r="J14" s="16"/>
    </row>
    <row r="15" spans="1:12">
      <c r="A15" s="5">
        <v>6</v>
      </c>
      <c r="B15" s="3" t="s">
        <v>655</v>
      </c>
      <c r="C15" s="19">
        <v>430226068.81</v>
      </c>
      <c r="D15" s="19">
        <v>243772908.76000002</v>
      </c>
      <c r="E15" s="19">
        <v>376853300.38</v>
      </c>
      <c r="F15" s="19">
        <v>38988929.739999995</v>
      </c>
      <c r="G15" s="19">
        <v>21413898</v>
      </c>
      <c r="H15" s="19">
        <v>0</v>
      </c>
      <c r="I15" s="19">
        <v>0</v>
      </c>
      <c r="J15" s="16"/>
    </row>
    <row r="16" spans="1:12">
      <c r="A16" s="5">
        <v>7</v>
      </c>
      <c r="B16" s="3" t="s">
        <v>18</v>
      </c>
      <c r="C16" s="19">
        <v>424487051.55999994</v>
      </c>
      <c r="D16" s="19">
        <v>240824907.22999999</v>
      </c>
      <c r="E16" s="19">
        <v>376408078.27000004</v>
      </c>
      <c r="F16" s="19">
        <v>38458273.040000007</v>
      </c>
      <c r="G16" s="19">
        <v>21269944</v>
      </c>
      <c r="H16" s="19">
        <v>0</v>
      </c>
      <c r="I16" s="19">
        <v>0</v>
      </c>
      <c r="J16" s="16"/>
    </row>
    <row r="17" spans="1:10">
      <c r="A17" s="5">
        <v>8</v>
      </c>
      <c r="B17" s="3" t="s">
        <v>656</v>
      </c>
      <c r="C17" s="19">
        <v>430089969.08999991</v>
      </c>
      <c r="D17" s="19">
        <v>241162954.35999998</v>
      </c>
      <c r="E17" s="19">
        <v>377115516.53000003</v>
      </c>
      <c r="F17" s="19">
        <v>38677460.189999998</v>
      </c>
      <c r="G17" s="19">
        <v>21290065</v>
      </c>
      <c r="H17" s="19">
        <v>0</v>
      </c>
      <c r="I17" s="19">
        <v>0</v>
      </c>
      <c r="J17" s="16"/>
    </row>
    <row r="18" spans="1:10">
      <c r="A18" s="5">
        <v>9</v>
      </c>
      <c r="B18" s="3" t="s">
        <v>657</v>
      </c>
      <c r="C18" s="19">
        <v>430175751.88999993</v>
      </c>
      <c r="D18" s="19">
        <v>240142961.72999996</v>
      </c>
      <c r="E18" s="19">
        <v>379064878.79000002</v>
      </c>
      <c r="F18" s="19">
        <v>38821453.030000001</v>
      </c>
      <c r="G18" s="19">
        <v>21863884</v>
      </c>
      <c r="H18" s="19">
        <v>0</v>
      </c>
      <c r="I18" s="19">
        <v>0</v>
      </c>
      <c r="J18" s="16"/>
    </row>
    <row r="19" spans="1:10">
      <c r="A19" s="5">
        <v>10</v>
      </c>
      <c r="B19" s="3" t="s">
        <v>658</v>
      </c>
      <c r="C19" s="19">
        <v>424250839.7299999</v>
      </c>
      <c r="D19" s="19">
        <v>242003937.38999996</v>
      </c>
      <c r="E19" s="19">
        <v>379187973.53000015</v>
      </c>
      <c r="F19" s="19">
        <v>38311199.800000004</v>
      </c>
      <c r="G19" s="19">
        <v>22298849</v>
      </c>
      <c r="H19" s="19">
        <v>0</v>
      </c>
      <c r="I19" s="19">
        <v>0</v>
      </c>
      <c r="J19" s="16"/>
    </row>
    <row r="20" spans="1:10">
      <c r="A20" s="5">
        <v>11</v>
      </c>
      <c r="B20" s="3" t="s">
        <v>659</v>
      </c>
      <c r="C20" s="19">
        <v>429981535.99000001</v>
      </c>
      <c r="D20" s="19">
        <v>242654592.06</v>
      </c>
      <c r="E20" s="19">
        <v>380742326.21999991</v>
      </c>
      <c r="F20" s="19">
        <v>38639656.090000004</v>
      </c>
      <c r="G20" s="19">
        <v>22295547</v>
      </c>
      <c r="H20" s="19">
        <v>0</v>
      </c>
      <c r="I20" s="19">
        <v>0</v>
      </c>
      <c r="J20" s="16"/>
    </row>
    <row r="21" spans="1:10">
      <c r="A21" s="5">
        <v>12</v>
      </c>
      <c r="B21" s="3" t="s">
        <v>660</v>
      </c>
      <c r="C21" s="19">
        <v>430024491.64999998</v>
      </c>
      <c r="D21" s="19">
        <v>242722625.38000003</v>
      </c>
      <c r="E21" s="19">
        <v>381596150.66999996</v>
      </c>
      <c r="F21" s="19">
        <v>38845381.390000001</v>
      </c>
      <c r="G21" s="19">
        <v>22572314</v>
      </c>
      <c r="H21" s="19">
        <v>0</v>
      </c>
      <c r="I21" s="19">
        <v>0</v>
      </c>
      <c r="J21" s="16"/>
    </row>
    <row r="22" spans="1:10">
      <c r="A22" s="5">
        <v>13</v>
      </c>
      <c r="B22" s="3" t="s">
        <v>661</v>
      </c>
      <c r="C22" s="19">
        <v>424419332.86000007</v>
      </c>
      <c r="D22" s="19">
        <v>242287439.33000001</v>
      </c>
      <c r="E22" s="19">
        <v>383163465.92000002</v>
      </c>
      <c r="F22" s="19">
        <v>39146482.160000004</v>
      </c>
      <c r="G22" s="19">
        <v>22892222</v>
      </c>
      <c r="H22" s="19">
        <v>0</v>
      </c>
      <c r="I22" s="19">
        <v>0</v>
      </c>
      <c r="J22" s="16"/>
    </row>
    <row r="23" spans="1:10" ht="13.5" thickBot="1">
      <c r="A23" s="5">
        <v>14</v>
      </c>
      <c r="B23" s="20" t="s">
        <v>662</v>
      </c>
      <c r="C23" s="21">
        <f>SUM(C10:C22)/13</f>
        <v>426311886.54999989</v>
      </c>
      <c r="D23" s="21">
        <f>SUM(D10:D22)/13</f>
        <v>240320865.17461535</v>
      </c>
      <c r="E23" s="21">
        <f t="shared" ref="E23:I23" si="0">SUM(E10:E22)/13</f>
        <v>376724642.72384614</v>
      </c>
      <c r="F23" s="21">
        <f t="shared" si="0"/>
        <v>38561692.20769231</v>
      </c>
      <c r="G23" s="21">
        <f t="shared" si="0"/>
        <v>21729960.692307692</v>
      </c>
      <c r="H23" s="21">
        <f t="shared" si="0"/>
        <v>0</v>
      </c>
      <c r="I23" s="21">
        <f t="shared" si="0"/>
        <v>0</v>
      </c>
      <c r="J23" s="16"/>
    </row>
    <row r="24" spans="1:10" ht="13.5" thickTop="1">
      <c r="A24" s="5"/>
      <c r="B24" s="3"/>
      <c r="C24" s="22"/>
      <c r="D24" s="23"/>
      <c r="E24" s="23"/>
      <c r="F24" s="23"/>
      <c r="G24" s="22"/>
      <c r="H24" s="22"/>
      <c r="I24" s="22"/>
    </row>
    <row r="25" spans="1:10">
      <c r="A25" s="5"/>
      <c r="B25" s="3"/>
      <c r="C25" s="22"/>
      <c r="D25" s="23"/>
      <c r="E25" s="23"/>
      <c r="F25" s="23"/>
      <c r="G25" s="22"/>
      <c r="H25" s="22"/>
      <c r="I25" s="22"/>
    </row>
    <row r="26" spans="1:10">
      <c r="A26" s="5"/>
      <c r="B26" s="3"/>
      <c r="C26" s="22"/>
      <c r="D26" s="23"/>
      <c r="E26" s="23"/>
      <c r="F26" s="23"/>
      <c r="G26" s="22"/>
      <c r="H26" s="22"/>
      <c r="I26" s="22"/>
    </row>
    <row r="27" spans="1:10">
      <c r="A27" s="5"/>
      <c r="B27" s="3"/>
      <c r="C27" s="3"/>
    </row>
    <row r="28" spans="1:10">
      <c r="A28" s="5"/>
      <c r="B28" s="3"/>
      <c r="C28" s="601"/>
      <c r="D28" s="600"/>
      <c r="E28" s="1004" t="s">
        <v>663</v>
      </c>
      <c r="F28" s="1005"/>
      <c r="G28" s="1005"/>
      <c r="H28" s="1005"/>
      <c r="I28" s="1006"/>
    </row>
    <row r="29" spans="1:10">
      <c r="A29" s="5"/>
      <c r="B29" s="3"/>
    </row>
    <row r="30" spans="1:10">
      <c r="A30" s="9" t="s">
        <v>634</v>
      </c>
      <c r="B30" s="10" t="s">
        <v>635</v>
      </c>
      <c r="C30" s="10" t="s">
        <v>664</v>
      </c>
      <c r="D30" s="10" t="s">
        <v>664</v>
      </c>
      <c r="E30" s="10" t="s">
        <v>636</v>
      </c>
      <c r="F30" s="10" t="s">
        <v>132</v>
      </c>
      <c r="G30" s="10" t="s">
        <v>637</v>
      </c>
      <c r="H30" s="10" t="s">
        <v>638</v>
      </c>
      <c r="I30" s="10" t="s">
        <v>639</v>
      </c>
    </row>
    <row r="31" spans="1:10">
      <c r="A31" s="5"/>
      <c r="B31" s="13" t="s">
        <v>458</v>
      </c>
      <c r="C31" s="13" t="s">
        <v>459</v>
      </c>
      <c r="D31" s="13" t="s">
        <v>460</v>
      </c>
      <c r="E31" s="10" t="s">
        <v>461</v>
      </c>
      <c r="F31" s="10" t="s">
        <v>479</v>
      </c>
      <c r="G31" s="10" t="s">
        <v>480</v>
      </c>
      <c r="H31" s="10" t="s">
        <v>565</v>
      </c>
      <c r="I31" s="14" t="s">
        <v>566</v>
      </c>
    </row>
    <row r="32" spans="1:10" ht="26.45" customHeight="1">
      <c r="A32" s="5"/>
      <c r="B32" s="17" t="s">
        <v>642</v>
      </c>
      <c r="C32" s="10"/>
      <c r="D32" s="13"/>
      <c r="E32" s="880" t="s">
        <v>665</v>
      </c>
      <c r="F32" s="880" t="s">
        <v>666</v>
      </c>
      <c r="G32" s="880" t="s">
        <v>667</v>
      </c>
      <c r="H32" s="880" t="s">
        <v>668</v>
      </c>
      <c r="I32" s="880" t="s">
        <v>669</v>
      </c>
    </row>
    <row r="33" spans="1:11">
      <c r="A33" s="5">
        <v>15</v>
      </c>
      <c r="B33" s="18" t="s">
        <v>650</v>
      </c>
      <c r="C33" s="10"/>
      <c r="D33" s="10"/>
      <c r="E33" s="19">
        <v>103556004.51673557</v>
      </c>
      <c r="F33" s="19">
        <v>46668676.092640191</v>
      </c>
      <c r="G33" s="19">
        <v>146059299.50934547</v>
      </c>
      <c r="H33" s="19">
        <v>19015242.811231785</v>
      </c>
      <c r="I33" s="19">
        <v>1914748</v>
      </c>
      <c r="K33" s="934"/>
    </row>
    <row r="34" spans="1:11">
      <c r="A34" s="5">
        <v>16</v>
      </c>
      <c r="B34" s="18" t="s">
        <v>651</v>
      </c>
      <c r="C34" s="10"/>
      <c r="D34" s="10"/>
      <c r="E34" s="19">
        <v>105311548.58716898</v>
      </c>
      <c r="F34" s="19">
        <v>47339721.617481507</v>
      </c>
      <c r="G34" s="19">
        <v>147527203.18304411</v>
      </c>
      <c r="H34" s="19">
        <v>19338028.262261271</v>
      </c>
      <c r="I34" s="19">
        <v>2124215</v>
      </c>
      <c r="K34" s="934"/>
    </row>
    <row r="35" spans="1:11">
      <c r="A35" s="5">
        <v>17</v>
      </c>
      <c r="B35" s="3" t="s">
        <v>652</v>
      </c>
      <c r="C35" s="10"/>
      <c r="D35" s="10"/>
      <c r="E35" s="19">
        <v>106554073.70307794</v>
      </c>
      <c r="F35" s="19">
        <v>47679157.254788116</v>
      </c>
      <c r="G35" s="19">
        <v>148238171.30960226</v>
      </c>
      <c r="H35" s="19">
        <v>19551328.462487146</v>
      </c>
      <c r="I35" s="19">
        <v>2273300</v>
      </c>
      <c r="K35" s="934"/>
    </row>
    <row r="36" spans="1:11">
      <c r="A36" s="5">
        <v>18</v>
      </c>
      <c r="B36" s="3" t="s">
        <v>653</v>
      </c>
      <c r="C36" s="10"/>
      <c r="D36" s="10"/>
      <c r="E36" s="19">
        <v>101877801.35882656</v>
      </c>
      <c r="F36" s="19">
        <v>45211389.64548789</v>
      </c>
      <c r="G36" s="19">
        <v>148112003.57235855</v>
      </c>
      <c r="H36" s="19">
        <v>19586878.803282145</v>
      </c>
      <c r="I36" s="19">
        <v>2367879</v>
      </c>
      <c r="K36" s="934"/>
    </row>
    <row r="37" spans="1:11">
      <c r="A37" s="5">
        <v>19</v>
      </c>
      <c r="B37" s="3" t="s">
        <v>654</v>
      </c>
      <c r="C37" s="10"/>
      <c r="D37" s="10"/>
      <c r="E37" s="19">
        <v>108962733.78800687</v>
      </c>
      <c r="F37" s="19">
        <v>48409034.608474411</v>
      </c>
      <c r="G37" s="19">
        <v>149600471.52625063</v>
      </c>
      <c r="H37" s="19">
        <v>19832947.28722373</v>
      </c>
      <c r="I37" s="19">
        <v>2613274</v>
      </c>
      <c r="K37" s="934"/>
    </row>
    <row r="38" spans="1:11">
      <c r="A38" s="5">
        <v>20</v>
      </c>
      <c r="B38" s="3" t="s">
        <v>655</v>
      </c>
      <c r="C38" s="10"/>
      <c r="D38" s="10"/>
      <c r="E38" s="19">
        <v>110229615.36927466</v>
      </c>
      <c r="F38" s="19">
        <v>48750937.862549916</v>
      </c>
      <c r="G38" s="19">
        <v>150275837.84423634</v>
      </c>
      <c r="H38" s="19">
        <v>19799260.233894255</v>
      </c>
      <c r="I38" s="19">
        <v>2814835</v>
      </c>
      <c r="K38" s="934"/>
    </row>
    <row r="39" spans="1:11">
      <c r="A39" s="5">
        <v>21</v>
      </c>
      <c r="B39" s="3" t="s">
        <v>18</v>
      </c>
      <c r="C39" s="10"/>
      <c r="D39" s="10"/>
      <c r="E39" s="19">
        <v>105648539.92909648</v>
      </c>
      <c r="F39" s="19">
        <v>46199099.56593322</v>
      </c>
      <c r="G39" s="19">
        <v>150083688.13167331</v>
      </c>
      <c r="H39" s="19">
        <v>19885721.323247921</v>
      </c>
      <c r="I39" s="19">
        <v>2859749</v>
      </c>
      <c r="K39" s="934"/>
    </row>
    <row r="40" spans="1:11">
      <c r="A40" s="5">
        <v>22</v>
      </c>
      <c r="B40" s="3" t="s">
        <v>656</v>
      </c>
      <c r="C40" s="10"/>
      <c r="D40" s="10"/>
      <c r="E40" s="19">
        <v>112568833.65135244</v>
      </c>
      <c r="F40" s="19">
        <v>47092752.801933877</v>
      </c>
      <c r="G40" s="19">
        <v>150221327.93135571</v>
      </c>
      <c r="H40" s="19">
        <v>20093296.315296028</v>
      </c>
      <c r="I40" s="19">
        <v>3149614</v>
      </c>
      <c r="K40" s="934"/>
    </row>
    <row r="41" spans="1:11">
      <c r="A41" s="5">
        <v>23</v>
      </c>
      <c r="B41" s="3" t="s">
        <v>657</v>
      </c>
      <c r="C41" s="10"/>
      <c r="D41" s="10"/>
      <c r="E41" s="19">
        <v>114089922.18519062</v>
      </c>
      <c r="F41" s="19">
        <v>45371090.522277318</v>
      </c>
      <c r="G41" s="19">
        <v>151271836.77352753</v>
      </c>
      <c r="H41" s="19">
        <v>20356832.378963407</v>
      </c>
      <c r="I41" s="19">
        <v>3398647</v>
      </c>
      <c r="K41" s="934"/>
    </row>
    <row r="42" spans="1:11">
      <c r="A42" s="5">
        <v>24</v>
      </c>
      <c r="B42" s="3" t="s">
        <v>658</v>
      </c>
      <c r="C42" s="10"/>
      <c r="D42" s="10"/>
      <c r="E42" s="19">
        <v>108791490.73974828</v>
      </c>
      <c r="F42" s="19">
        <v>44900225.812421747</v>
      </c>
      <c r="G42" s="19">
        <v>150545116.87536645</v>
      </c>
      <c r="H42" s="19">
        <v>20056757.552368362</v>
      </c>
      <c r="I42" s="19">
        <v>3646303</v>
      </c>
      <c r="K42" s="934"/>
    </row>
    <row r="43" spans="1:11">
      <c r="A43" s="5">
        <v>25</v>
      </c>
      <c r="B43" s="3" t="s">
        <v>659</v>
      </c>
      <c r="C43" s="10"/>
      <c r="D43" s="10"/>
      <c r="E43" s="19">
        <v>115788119.26483391</v>
      </c>
      <c r="F43" s="19">
        <v>45796880.723515593</v>
      </c>
      <c r="G43" s="19">
        <v>151817782.04428843</v>
      </c>
      <c r="H43" s="19">
        <v>20370674.037266437</v>
      </c>
      <c r="I43" s="19">
        <v>3820690</v>
      </c>
      <c r="K43" s="934"/>
    </row>
    <row r="44" spans="1:11">
      <c r="A44" s="5">
        <v>26</v>
      </c>
      <c r="B44" s="3" t="s">
        <v>660</v>
      </c>
      <c r="C44" s="10"/>
      <c r="D44" s="10"/>
      <c r="E44" s="19">
        <v>117262310.94349574</v>
      </c>
      <c r="F44" s="19">
        <v>46218707.518842854</v>
      </c>
      <c r="G44" s="19">
        <v>151917964.66951698</v>
      </c>
      <c r="H44" s="19">
        <v>20548540.858065788</v>
      </c>
      <c r="I44" s="19">
        <v>3925762</v>
      </c>
      <c r="K44" s="934"/>
    </row>
    <row r="45" spans="1:11">
      <c r="A45" s="5">
        <v>27</v>
      </c>
      <c r="B45" s="3" t="s">
        <v>661</v>
      </c>
      <c r="C45" s="10"/>
      <c r="D45" s="10"/>
      <c r="E45" s="19">
        <v>112707755.11542991</v>
      </c>
      <c r="F45" s="19">
        <v>46014390.079741739</v>
      </c>
      <c r="G45" s="19">
        <v>151592226.42654881</v>
      </c>
      <c r="H45" s="19">
        <v>20577136.25820367</v>
      </c>
      <c r="I45" s="19">
        <v>3488956</v>
      </c>
      <c r="K45" s="934"/>
    </row>
    <row r="46" spans="1:11" ht="13.5" thickBot="1">
      <c r="A46" s="5">
        <v>28</v>
      </c>
      <c r="B46" s="20" t="s">
        <v>662</v>
      </c>
      <c r="C46" s="21"/>
      <c r="D46" s="21"/>
      <c r="E46" s="21">
        <f t="shared" ref="E46:I46" si="1">SUM(E33:E45)/13</f>
        <v>109488365.31940292</v>
      </c>
      <c r="F46" s="21">
        <f t="shared" si="1"/>
        <v>46588620.315852948</v>
      </c>
      <c r="G46" s="21">
        <f t="shared" si="1"/>
        <v>149789456.13823959</v>
      </c>
      <c r="H46" s="21">
        <f t="shared" si="1"/>
        <v>19924049.583368614</v>
      </c>
      <c r="I46" s="21">
        <f t="shared" si="1"/>
        <v>2953690.153846154</v>
      </c>
    </row>
    <row r="47" spans="1:11" ht="13.5" thickTop="1">
      <c r="A47" s="5"/>
      <c r="B47" s="3"/>
    </row>
    <row r="48" spans="1:11">
      <c r="A48" s="5"/>
      <c r="B48" s="3"/>
    </row>
    <row r="49" spans="1:11">
      <c r="A49" s="775"/>
      <c r="B49" s="3"/>
      <c r="C49" s="776"/>
      <c r="D49" s="777"/>
      <c r="E49" s="776"/>
      <c r="F49" s="776"/>
      <c r="G49" s="776"/>
      <c r="H49" s="776"/>
      <c r="I49" s="776"/>
    </row>
    <row r="50" spans="1:11" s="884" customFormat="1" ht="25.5">
      <c r="A50" s="881"/>
      <c r="B50" s="880" t="s">
        <v>635</v>
      </c>
      <c r="C50" s="880" t="s">
        <v>670</v>
      </c>
      <c r="D50" s="880" t="s">
        <v>671</v>
      </c>
      <c r="E50" s="880" t="s">
        <v>672</v>
      </c>
      <c r="F50" s="880" t="s">
        <v>673</v>
      </c>
      <c r="G50" s="880" t="s">
        <v>674</v>
      </c>
      <c r="H50" s="880" t="s">
        <v>675</v>
      </c>
      <c r="I50" s="883" t="s">
        <v>664</v>
      </c>
    </row>
    <row r="51" spans="1:11" s="884" customFormat="1">
      <c r="A51" s="881"/>
      <c r="B51" s="885" t="s">
        <v>458</v>
      </c>
      <c r="C51" s="885" t="s">
        <v>459</v>
      </c>
      <c r="D51" s="885" t="s">
        <v>460</v>
      </c>
      <c r="E51" s="885" t="s">
        <v>461</v>
      </c>
      <c r="F51" s="885" t="s">
        <v>479</v>
      </c>
      <c r="G51" s="885" t="s">
        <v>480</v>
      </c>
      <c r="H51" s="885" t="s">
        <v>565</v>
      </c>
      <c r="I51" s="886" t="s">
        <v>566</v>
      </c>
    </row>
    <row r="52" spans="1:11" s="884" customFormat="1">
      <c r="A52" s="881"/>
      <c r="B52" s="887" t="s">
        <v>642</v>
      </c>
      <c r="C52" s="880"/>
      <c r="D52" s="880"/>
      <c r="E52" s="880" t="s">
        <v>231</v>
      </c>
      <c r="F52" s="880" t="s">
        <v>231</v>
      </c>
      <c r="G52" s="880" t="s">
        <v>231</v>
      </c>
      <c r="H52" s="880" t="s">
        <v>231</v>
      </c>
      <c r="I52" s="882"/>
    </row>
    <row r="53" spans="1:11" s="884" customFormat="1">
      <c r="A53" s="881">
        <f>A46+1</f>
        <v>29</v>
      </c>
      <c r="B53" s="888" t="s">
        <v>650</v>
      </c>
      <c r="C53" s="889">
        <v>7200130</v>
      </c>
      <c r="D53" s="889">
        <v>1899586</v>
      </c>
      <c r="E53" s="889">
        <v>261441404</v>
      </c>
      <c r="F53" s="889">
        <v>117648631</v>
      </c>
      <c r="G53" s="889">
        <v>1032945</v>
      </c>
      <c r="H53" s="889">
        <v>316212</v>
      </c>
      <c r="I53" s="882"/>
      <c r="K53" s="934"/>
    </row>
    <row r="54" spans="1:11" s="884" customFormat="1">
      <c r="A54" s="881">
        <f>A53+1</f>
        <v>30</v>
      </c>
      <c r="B54" s="888" t="s">
        <v>651</v>
      </c>
      <c r="C54" s="889">
        <v>7200130</v>
      </c>
      <c r="D54" s="889">
        <v>1924761</v>
      </c>
      <c r="E54" s="889">
        <v>261441404</v>
      </c>
      <c r="F54" s="889">
        <v>118737970</v>
      </c>
      <c r="G54" s="889">
        <v>1032945</v>
      </c>
      <c r="H54" s="889">
        <v>318275</v>
      </c>
      <c r="I54" s="882"/>
      <c r="K54" s="934"/>
    </row>
    <row r="55" spans="1:11" s="884" customFormat="1">
      <c r="A55" s="881">
        <f t="shared" ref="A55:A66" si="2">A54+1</f>
        <v>31</v>
      </c>
      <c r="B55" s="888" t="s">
        <v>652</v>
      </c>
      <c r="C55" s="889">
        <v>7200130</v>
      </c>
      <c r="D55" s="889">
        <v>1949937</v>
      </c>
      <c r="E55" s="889">
        <v>261441404</v>
      </c>
      <c r="F55" s="889">
        <v>119827310</v>
      </c>
      <c r="G55" s="889">
        <v>1032945</v>
      </c>
      <c r="H55" s="889">
        <v>324821</v>
      </c>
      <c r="I55" s="882"/>
      <c r="K55" s="934"/>
    </row>
    <row r="56" spans="1:11" s="884" customFormat="1">
      <c r="A56" s="881">
        <f t="shared" si="2"/>
        <v>32</v>
      </c>
      <c r="B56" s="888" t="s">
        <v>653</v>
      </c>
      <c r="C56" s="889">
        <v>7200130</v>
      </c>
      <c r="D56" s="889">
        <v>1975112</v>
      </c>
      <c r="E56" s="889">
        <v>261441404</v>
      </c>
      <c r="F56" s="889">
        <v>120916649</v>
      </c>
      <c r="G56" s="889">
        <v>1032377</v>
      </c>
      <c r="H56" s="889">
        <v>331382</v>
      </c>
      <c r="I56" s="882"/>
      <c r="K56" s="934"/>
    </row>
    <row r="57" spans="1:11" s="884" customFormat="1">
      <c r="A57" s="881">
        <f t="shared" si="2"/>
        <v>33</v>
      </c>
      <c r="B57" s="888" t="s">
        <v>654</v>
      </c>
      <c r="C57" s="889">
        <v>7200130</v>
      </c>
      <c r="D57" s="889">
        <v>2000288</v>
      </c>
      <c r="E57" s="889">
        <v>261441404</v>
      </c>
      <c r="F57" s="889">
        <v>122005988</v>
      </c>
      <c r="G57" s="889">
        <v>1032377</v>
      </c>
      <c r="H57" s="889">
        <v>337959</v>
      </c>
      <c r="I57" s="882"/>
      <c r="K57" s="934"/>
    </row>
    <row r="58" spans="1:11" s="884" customFormat="1">
      <c r="A58" s="881">
        <f t="shared" si="2"/>
        <v>34</v>
      </c>
      <c r="B58" s="888" t="s">
        <v>655</v>
      </c>
      <c r="C58" s="889">
        <v>7200130</v>
      </c>
      <c r="D58" s="889">
        <v>2025463</v>
      </c>
      <c r="E58" s="889">
        <v>261441404</v>
      </c>
      <c r="F58" s="889">
        <v>123095327</v>
      </c>
      <c r="G58" s="889">
        <v>1032377</v>
      </c>
      <c r="H58" s="889">
        <v>344551</v>
      </c>
      <c r="I58" s="882"/>
      <c r="K58" s="934"/>
    </row>
    <row r="59" spans="1:11" s="884" customFormat="1">
      <c r="A59" s="881">
        <f t="shared" si="2"/>
        <v>35</v>
      </c>
      <c r="B59" s="888" t="s">
        <v>18</v>
      </c>
      <c r="C59" s="889">
        <v>7200130</v>
      </c>
      <c r="D59" s="889">
        <v>2050639</v>
      </c>
      <c r="E59" s="889">
        <v>261441404</v>
      </c>
      <c r="F59" s="889">
        <v>124184666</v>
      </c>
      <c r="G59" s="889">
        <v>1032377</v>
      </c>
      <c r="H59" s="889">
        <v>351158</v>
      </c>
      <c r="I59" s="882"/>
      <c r="K59" s="934"/>
    </row>
    <row r="60" spans="1:11" s="884" customFormat="1">
      <c r="A60" s="881">
        <f t="shared" si="2"/>
        <v>36</v>
      </c>
      <c r="B60" s="888" t="s">
        <v>656</v>
      </c>
      <c r="C60" s="889">
        <v>7200130</v>
      </c>
      <c r="D60" s="889">
        <v>2075814</v>
      </c>
      <c r="E60" s="889">
        <v>261441404</v>
      </c>
      <c r="F60" s="889">
        <v>125274005</v>
      </c>
      <c r="G60" s="889">
        <v>1167472</v>
      </c>
      <c r="H60" s="889">
        <v>357819</v>
      </c>
      <c r="I60" s="882"/>
      <c r="K60" s="934"/>
    </row>
    <row r="61" spans="1:11" s="884" customFormat="1">
      <c r="A61" s="881">
        <f t="shared" si="2"/>
        <v>37</v>
      </c>
      <c r="B61" s="888" t="s">
        <v>657</v>
      </c>
      <c r="C61" s="889">
        <v>7196224</v>
      </c>
      <c r="D61" s="889">
        <v>2097084</v>
      </c>
      <c r="E61" s="889">
        <v>261441404</v>
      </c>
      <c r="F61" s="889">
        <v>126363345</v>
      </c>
      <c r="G61" s="889">
        <v>1167472</v>
      </c>
      <c r="H61" s="889">
        <v>364073</v>
      </c>
      <c r="I61" s="882"/>
      <c r="K61" s="934"/>
    </row>
    <row r="62" spans="1:11" s="884" customFormat="1">
      <c r="A62" s="881">
        <f t="shared" si="2"/>
        <v>38</v>
      </c>
      <c r="B62" s="888" t="s">
        <v>658</v>
      </c>
      <c r="C62" s="889">
        <v>7196224</v>
      </c>
      <c r="D62" s="889">
        <v>2122259</v>
      </c>
      <c r="E62" s="889">
        <v>261441404</v>
      </c>
      <c r="F62" s="889">
        <v>127452684</v>
      </c>
      <c r="G62" s="889">
        <v>1167472</v>
      </c>
      <c r="H62" s="889">
        <v>370341</v>
      </c>
      <c r="I62" s="882"/>
      <c r="K62" s="934"/>
    </row>
    <row r="63" spans="1:11" s="884" customFormat="1">
      <c r="A63" s="881">
        <f t="shared" si="2"/>
        <v>39</v>
      </c>
      <c r="B63" s="888" t="s">
        <v>659</v>
      </c>
      <c r="C63" s="889">
        <v>7196224</v>
      </c>
      <c r="D63" s="889">
        <v>2147435</v>
      </c>
      <c r="E63" s="889">
        <v>261441404</v>
      </c>
      <c r="F63" s="889">
        <v>128542023</v>
      </c>
      <c r="G63" s="889">
        <v>1167472</v>
      </c>
      <c r="H63" s="889">
        <v>376624</v>
      </c>
      <c r="I63" s="882"/>
      <c r="K63" s="934"/>
    </row>
    <row r="64" spans="1:11" s="884" customFormat="1">
      <c r="A64" s="881">
        <f t="shared" si="2"/>
        <v>40</v>
      </c>
      <c r="B64" s="888" t="s">
        <v>660</v>
      </c>
      <c r="C64" s="889">
        <v>7196224</v>
      </c>
      <c r="D64" s="889">
        <v>2197786</v>
      </c>
      <c r="E64" s="889">
        <v>261441404</v>
      </c>
      <c r="F64" s="889">
        <v>129631362</v>
      </c>
      <c r="G64" s="889">
        <v>1241279</v>
      </c>
      <c r="H64" s="889">
        <v>385975</v>
      </c>
      <c r="I64" s="882"/>
      <c r="K64" s="934"/>
    </row>
    <row r="65" spans="1:12" s="884" customFormat="1">
      <c r="A65" s="881">
        <f t="shared" si="2"/>
        <v>41</v>
      </c>
      <c r="B65" s="888" t="s">
        <v>661</v>
      </c>
      <c r="C65" s="889">
        <v>7196224</v>
      </c>
      <c r="D65" s="889">
        <v>2197786</v>
      </c>
      <c r="E65" s="889">
        <v>261441404</v>
      </c>
      <c r="F65" s="889">
        <v>130720701</v>
      </c>
      <c r="G65" s="889">
        <v>1241279</v>
      </c>
      <c r="H65" s="889">
        <v>392627</v>
      </c>
      <c r="I65" s="882"/>
      <c r="K65" s="934"/>
    </row>
    <row r="66" spans="1:12" s="884" customFormat="1" ht="13.5" thickBot="1">
      <c r="A66" s="881">
        <f t="shared" si="2"/>
        <v>42</v>
      </c>
      <c r="B66" s="888" t="s">
        <v>662</v>
      </c>
      <c r="C66" s="890">
        <f>SUM(C53:C65)/13</f>
        <v>7198627.692307692</v>
      </c>
      <c r="D66" s="890">
        <f t="shared" ref="D66:H66" si="3">SUM(D53:D65)/13</f>
        <v>2051073.076923077</v>
      </c>
      <c r="E66" s="890">
        <f t="shared" si="3"/>
        <v>261441404</v>
      </c>
      <c r="F66" s="890">
        <f t="shared" si="3"/>
        <v>124184666.23076923</v>
      </c>
      <c r="G66" s="890">
        <f t="shared" si="3"/>
        <v>1106214.5384615385</v>
      </c>
      <c r="H66" s="890">
        <f t="shared" si="3"/>
        <v>351678.23076923075</v>
      </c>
      <c r="I66" s="890"/>
    </row>
    <row r="67" spans="1:12" ht="13.5" thickTop="1">
      <c r="A67" s="5"/>
      <c r="B67" s="3"/>
      <c r="C67" s="22"/>
      <c r="D67" s="23"/>
      <c r="E67" s="23"/>
      <c r="F67" s="23"/>
      <c r="G67" s="22"/>
      <c r="H67" s="22"/>
      <c r="I67" s="22"/>
    </row>
    <row r="68" spans="1:12">
      <c r="C68" s="3"/>
      <c r="E68" s="446" t="str">
        <f>E1</f>
        <v>Worksheet A4</v>
      </c>
      <c r="F68" s="3"/>
      <c r="H68" s="3"/>
      <c r="I68" s="3"/>
      <c r="J68" s="3"/>
    </row>
    <row r="69" spans="1:12">
      <c r="A69" s="5"/>
      <c r="C69" s="3"/>
      <c r="D69" s="3"/>
      <c r="E69" s="13" t="str">
        <f>E2</f>
        <v>Rate Base Worksheet</v>
      </c>
      <c r="F69" s="3"/>
      <c r="H69" s="3"/>
      <c r="I69" s="3"/>
      <c r="J69" s="3"/>
      <c r="L69" s="6"/>
    </row>
    <row r="70" spans="1:12">
      <c r="A70" s="5"/>
      <c r="C70" s="3"/>
      <c r="E70" s="226" t="str">
        <f>E3</f>
        <v>Black Hills Colorado Electric, LLC</v>
      </c>
      <c r="F70" s="3"/>
      <c r="H70" s="3"/>
      <c r="I70" s="188" t="s">
        <v>676</v>
      </c>
      <c r="J70" s="3"/>
    </row>
    <row r="71" spans="1:12">
      <c r="A71" s="5"/>
      <c r="B71" s="3"/>
      <c r="C71" s="22"/>
      <c r="D71" s="23"/>
      <c r="E71" s="23"/>
      <c r="F71" s="23"/>
      <c r="G71" s="22"/>
      <c r="H71" s="22"/>
      <c r="I71" s="22"/>
    </row>
    <row r="72" spans="1:12">
      <c r="A72" s="5"/>
      <c r="B72" s="24"/>
      <c r="C72" s="1004" t="s">
        <v>677</v>
      </c>
      <c r="D72" s="1005"/>
      <c r="E72" s="1005"/>
      <c r="F72" s="1005"/>
      <c r="G72" s="1005"/>
      <c r="H72" s="1005"/>
      <c r="I72" s="1006"/>
    </row>
    <row r="73" spans="1:12" ht="102" customHeight="1">
      <c r="A73" s="5" t="s">
        <v>634</v>
      </c>
      <c r="B73" s="13" t="s">
        <v>635</v>
      </c>
      <c r="C73" s="14" t="s">
        <v>678</v>
      </c>
      <c r="D73" s="14" t="s">
        <v>679</v>
      </c>
      <c r="E73" s="14" t="s">
        <v>680</v>
      </c>
      <c r="F73" s="14" t="s">
        <v>681</v>
      </c>
      <c r="G73" s="14" t="s">
        <v>682</v>
      </c>
      <c r="H73" s="14" t="s">
        <v>683</v>
      </c>
      <c r="I73" s="14" t="s">
        <v>684</v>
      </c>
    </row>
    <row r="74" spans="1:12" s="16" customFormat="1">
      <c r="A74" s="5"/>
      <c r="B74" s="13" t="s">
        <v>458</v>
      </c>
      <c r="C74" s="14" t="s">
        <v>459</v>
      </c>
      <c r="D74" s="14" t="s">
        <v>460</v>
      </c>
      <c r="E74" s="14" t="s">
        <v>461</v>
      </c>
      <c r="F74" s="14" t="s">
        <v>479</v>
      </c>
      <c r="G74" s="14" t="s">
        <v>480</v>
      </c>
      <c r="H74" s="14" t="s">
        <v>565</v>
      </c>
      <c r="I74" s="14" t="s">
        <v>566</v>
      </c>
      <c r="K74" s="884"/>
    </row>
    <row r="75" spans="1:12" s="16" customFormat="1" ht="57" customHeight="1">
      <c r="A75" s="5"/>
      <c r="B75" s="17" t="s">
        <v>642</v>
      </c>
      <c r="C75" s="10" t="s">
        <v>685</v>
      </c>
      <c r="D75" s="14" t="s">
        <v>181</v>
      </c>
      <c r="E75" s="14" t="s">
        <v>686</v>
      </c>
      <c r="F75" s="14" t="s">
        <v>686</v>
      </c>
      <c r="G75" s="14" t="s">
        <v>686</v>
      </c>
      <c r="H75" s="14" t="s">
        <v>686</v>
      </c>
      <c r="I75" s="14">
        <v>111.57</v>
      </c>
      <c r="K75" s="884"/>
    </row>
    <row r="76" spans="1:12">
      <c r="A76" s="5">
        <v>1</v>
      </c>
      <c r="B76" s="18" t="s">
        <v>650</v>
      </c>
      <c r="C76" s="19">
        <v>0</v>
      </c>
      <c r="D76" s="19">
        <v>0</v>
      </c>
      <c r="E76" s="174">
        <f>'A3-ADIT'!D12</f>
        <v>0</v>
      </c>
      <c r="F76" s="174">
        <f>'A3-ADIT'!D13</f>
        <v>-124109280</v>
      </c>
      <c r="G76" s="174">
        <f>'A3-ADIT'!D14</f>
        <v>-32090758</v>
      </c>
      <c r="H76" s="174">
        <f>'A3-ADIT'!D15</f>
        <v>65469261</v>
      </c>
      <c r="I76" s="19">
        <v>1585125</v>
      </c>
    </row>
    <row r="77" spans="1:12">
      <c r="A77" s="5">
        <v>2</v>
      </c>
      <c r="B77" s="18" t="s">
        <v>651</v>
      </c>
      <c r="C77" s="19">
        <v>0</v>
      </c>
      <c r="D77" s="19">
        <v>0</v>
      </c>
      <c r="E77" s="25"/>
      <c r="F77" s="25"/>
      <c r="G77" s="25"/>
      <c r="H77" s="25"/>
      <c r="I77" s="19">
        <v>1546803</v>
      </c>
    </row>
    <row r="78" spans="1:12">
      <c r="A78" s="5">
        <v>3</v>
      </c>
      <c r="B78" s="3" t="s">
        <v>652</v>
      </c>
      <c r="C78" s="19">
        <v>0</v>
      </c>
      <c r="D78" s="19">
        <v>0</v>
      </c>
      <c r="E78" s="25"/>
      <c r="F78" s="25"/>
      <c r="G78" s="25"/>
      <c r="H78" s="25"/>
      <c r="I78" s="19">
        <v>1350959</v>
      </c>
    </row>
    <row r="79" spans="1:12">
      <c r="A79" s="5">
        <v>4</v>
      </c>
      <c r="B79" s="3" t="s">
        <v>653</v>
      </c>
      <c r="C79" s="19">
        <v>0</v>
      </c>
      <c r="D79" s="19">
        <v>0</v>
      </c>
      <c r="E79" s="25"/>
      <c r="F79" s="25"/>
      <c r="G79" s="25"/>
      <c r="H79" s="25"/>
      <c r="I79" s="19">
        <v>1482083</v>
      </c>
    </row>
    <row r="80" spans="1:12">
      <c r="A80" s="5">
        <v>5</v>
      </c>
      <c r="B80" s="3" t="s">
        <v>654</v>
      </c>
      <c r="C80" s="19">
        <v>0</v>
      </c>
      <c r="D80" s="19">
        <v>0</v>
      </c>
      <c r="E80" s="25"/>
      <c r="F80" s="25"/>
      <c r="G80" s="25"/>
      <c r="H80" s="25"/>
      <c r="I80" s="19">
        <v>1199067</v>
      </c>
    </row>
    <row r="81" spans="1:12">
      <c r="A81" s="5">
        <v>6</v>
      </c>
      <c r="B81" s="3" t="s">
        <v>655</v>
      </c>
      <c r="C81" s="19">
        <v>0</v>
      </c>
      <c r="D81" s="19">
        <v>0</v>
      </c>
      <c r="E81" s="25"/>
      <c r="F81" s="25"/>
      <c r="G81" s="25"/>
      <c r="H81" s="25"/>
      <c r="I81" s="19">
        <v>1360620</v>
      </c>
    </row>
    <row r="82" spans="1:12">
      <c r="A82" s="5">
        <v>7</v>
      </c>
      <c r="B82" s="3" t="s">
        <v>18</v>
      </c>
      <c r="C82" s="19">
        <v>0</v>
      </c>
      <c r="D82" s="19">
        <v>0</v>
      </c>
      <c r="E82" s="25"/>
      <c r="F82" s="25"/>
      <c r="G82" s="25"/>
      <c r="H82" s="25"/>
      <c r="I82" s="19">
        <v>1070292</v>
      </c>
    </row>
    <row r="83" spans="1:12">
      <c r="A83" s="5">
        <v>8</v>
      </c>
      <c r="B83" s="3" t="s">
        <v>656</v>
      </c>
      <c r="C83" s="19">
        <v>0</v>
      </c>
      <c r="D83" s="19">
        <v>0</v>
      </c>
      <c r="E83" s="25"/>
      <c r="F83" s="25"/>
      <c r="G83" s="25"/>
      <c r="H83" s="25"/>
      <c r="I83" s="19">
        <v>835243</v>
      </c>
    </row>
    <row r="84" spans="1:12">
      <c r="A84" s="5">
        <v>9</v>
      </c>
      <c r="B84" s="3" t="s">
        <v>657</v>
      </c>
      <c r="C84" s="19">
        <v>0</v>
      </c>
      <c r="D84" s="19">
        <v>0</v>
      </c>
      <c r="E84" s="25"/>
      <c r="F84" s="25"/>
      <c r="G84" s="25"/>
      <c r="H84" s="25"/>
      <c r="I84" s="19">
        <v>896656</v>
      </c>
    </row>
    <row r="85" spans="1:12">
      <c r="A85" s="5">
        <v>10</v>
      </c>
      <c r="B85" s="3" t="s">
        <v>658</v>
      </c>
      <c r="C85" s="19">
        <v>0</v>
      </c>
      <c r="D85" s="19">
        <v>0</v>
      </c>
      <c r="E85" s="25"/>
      <c r="F85" s="25"/>
      <c r="G85" s="25"/>
      <c r="H85" s="25"/>
      <c r="I85" s="19">
        <v>618574</v>
      </c>
    </row>
    <row r="86" spans="1:12">
      <c r="A86" s="5">
        <v>11</v>
      </c>
      <c r="B86" s="3" t="s">
        <v>659</v>
      </c>
      <c r="C86" s="19">
        <v>0</v>
      </c>
      <c r="D86" s="19">
        <v>0</v>
      </c>
      <c r="E86" s="25"/>
      <c r="F86" s="25"/>
      <c r="G86" s="25"/>
      <c r="H86" s="25"/>
      <c r="I86" s="19">
        <v>1581224</v>
      </c>
    </row>
    <row r="87" spans="1:12">
      <c r="A87" s="5">
        <v>12</v>
      </c>
      <c r="B87" s="3" t="s">
        <v>660</v>
      </c>
      <c r="C87" s="19">
        <v>0</v>
      </c>
      <c r="D87" s="19">
        <v>0</v>
      </c>
      <c r="E87" s="25"/>
      <c r="F87" s="25"/>
      <c r="G87" s="25"/>
      <c r="H87" s="25"/>
      <c r="I87" s="19">
        <v>1408544</v>
      </c>
    </row>
    <row r="88" spans="1:12">
      <c r="A88" s="5">
        <v>13</v>
      </c>
      <c r="B88" s="3" t="s">
        <v>661</v>
      </c>
      <c r="C88" s="19">
        <v>0</v>
      </c>
      <c r="D88" s="19">
        <v>0</v>
      </c>
      <c r="E88" s="174">
        <f>'A3-ADIT'!E12</f>
        <v>0</v>
      </c>
      <c r="F88" s="174">
        <f>'A3-ADIT'!E13</f>
        <v>-130446407</v>
      </c>
      <c r="G88" s="174">
        <f>'A3-ADIT'!E14</f>
        <v>-41588756</v>
      </c>
      <c r="H88" s="174">
        <f>'A3-ADIT'!E15</f>
        <v>74956049</v>
      </c>
      <c r="I88" s="19">
        <v>1130672</v>
      </c>
    </row>
    <row r="89" spans="1:12" ht="13.5" thickBot="1">
      <c r="A89" s="5">
        <v>14</v>
      </c>
      <c r="B89" s="17" t="s">
        <v>687</v>
      </c>
      <c r="C89" s="21">
        <f>SUM(C76:C88)/13</f>
        <v>0</v>
      </c>
      <c r="D89" s="26">
        <f>SUM(D76:D88)/13</f>
        <v>0</v>
      </c>
      <c r="E89" s="431">
        <f>'A3-ADIT'!F12</f>
        <v>0</v>
      </c>
      <c r="F89" s="431">
        <f>'A3-ADIT'!F13</f>
        <v>-127277843.5</v>
      </c>
      <c r="G89" s="431">
        <f>'A3-ADIT'!F14</f>
        <v>-36839757</v>
      </c>
      <c r="H89" s="431">
        <f>'A3-ADIT'!F15</f>
        <v>70212655</v>
      </c>
      <c r="I89" s="665">
        <f t="shared" ref="I89" si="4">SUM(I76:I88)/13</f>
        <v>1235835.5384615385</v>
      </c>
    </row>
    <row r="90" spans="1:12" ht="13.5" thickTop="1">
      <c r="A90" s="5">
        <v>15</v>
      </c>
      <c r="B90" s="3" t="s">
        <v>688</v>
      </c>
      <c r="E90" s="27"/>
      <c r="F90" s="27"/>
      <c r="G90" s="27"/>
      <c r="H90" s="27"/>
      <c r="I90" s="23"/>
    </row>
    <row r="91" spans="1:12" s="16" customFormat="1">
      <c r="A91" s="5"/>
      <c r="B91" s="28"/>
      <c r="C91" s="29"/>
      <c r="D91" s="29"/>
      <c r="E91" s="29"/>
      <c r="F91" s="29"/>
      <c r="G91" s="29"/>
      <c r="H91" s="2"/>
      <c r="I91" s="2"/>
      <c r="J91" s="2"/>
      <c r="K91" s="884"/>
    </row>
    <row r="92" spans="1:12" s="16" customFormat="1">
      <c r="A92" s="5"/>
      <c r="B92" s="28"/>
      <c r="C92" s="29"/>
      <c r="D92" s="29"/>
      <c r="E92" s="29"/>
      <c r="F92" s="29"/>
      <c r="G92" s="29"/>
      <c r="H92" s="2"/>
      <c r="I92" s="2"/>
      <c r="J92" s="2"/>
      <c r="K92" s="884"/>
      <c r="L92" s="2"/>
    </row>
    <row r="93" spans="1:12" s="16" customFormat="1">
      <c r="A93" s="5"/>
      <c r="B93" s="186" t="s">
        <v>689</v>
      </c>
      <c r="C93" s="29"/>
      <c r="D93" s="29"/>
      <c r="E93" s="29"/>
      <c r="F93" s="29"/>
      <c r="G93" s="29"/>
      <c r="H93" s="2"/>
      <c r="I93" s="2"/>
      <c r="J93" s="2"/>
      <c r="K93" s="884"/>
      <c r="L93" s="2"/>
    </row>
    <row r="94" spans="1:12" s="16" customFormat="1" ht="92.25" customHeight="1">
      <c r="A94" s="5">
        <f>+A89+1</f>
        <v>15</v>
      </c>
      <c r="B94" s="30" t="s">
        <v>690</v>
      </c>
      <c r="C94" s="31"/>
      <c r="D94" s="32" t="s">
        <v>691</v>
      </c>
      <c r="E94" s="32" t="s">
        <v>692</v>
      </c>
      <c r="F94" s="32" t="s">
        <v>693</v>
      </c>
      <c r="G94" s="32" t="s">
        <v>694</v>
      </c>
      <c r="H94" s="33" t="s">
        <v>695</v>
      </c>
      <c r="I94" s="33" t="s">
        <v>696</v>
      </c>
      <c r="J94" s="30"/>
      <c r="K94" s="935"/>
      <c r="L94" s="30"/>
    </row>
    <row r="95" spans="1:12" s="16" customFormat="1">
      <c r="A95" s="5">
        <v>16</v>
      </c>
      <c r="B95" s="2"/>
      <c r="C95" s="34" t="s">
        <v>697</v>
      </c>
      <c r="D95" s="35">
        <v>0</v>
      </c>
      <c r="E95" s="35">
        <v>0</v>
      </c>
      <c r="F95" s="35">
        <v>0</v>
      </c>
      <c r="G95" s="35">
        <v>0</v>
      </c>
      <c r="H95" s="35">
        <v>0</v>
      </c>
      <c r="I95" s="36">
        <f t="shared" ref="I95:I100" si="5">+H95*E95*D95*F95*G95</f>
        <v>0</v>
      </c>
      <c r="J95" s="2"/>
      <c r="K95" s="884"/>
      <c r="L95" s="2"/>
    </row>
    <row r="96" spans="1:12" s="16" customFormat="1">
      <c r="A96" s="5">
        <v>17</v>
      </c>
      <c r="B96" s="2"/>
      <c r="C96" s="34" t="s">
        <v>698</v>
      </c>
      <c r="D96" s="37">
        <v>0</v>
      </c>
      <c r="E96" s="35">
        <v>0</v>
      </c>
      <c r="F96" s="35">
        <v>0</v>
      </c>
      <c r="G96" s="35">
        <v>0</v>
      </c>
      <c r="H96" s="35">
        <v>0</v>
      </c>
      <c r="I96" s="36">
        <f t="shared" si="5"/>
        <v>0</v>
      </c>
      <c r="J96" s="2"/>
      <c r="K96" s="884"/>
      <c r="L96" s="2"/>
    </row>
    <row r="97" spans="1:12" s="16" customFormat="1">
      <c r="A97" s="5">
        <v>18</v>
      </c>
      <c r="B97" s="2"/>
      <c r="C97" s="34" t="s">
        <v>699</v>
      </c>
      <c r="D97" s="37"/>
      <c r="E97" s="35"/>
      <c r="F97" s="38"/>
      <c r="G97" s="38"/>
      <c r="H97" s="35"/>
      <c r="I97" s="36">
        <f t="shared" si="5"/>
        <v>0</v>
      </c>
      <c r="J97" s="2"/>
      <c r="K97" s="884"/>
      <c r="L97" s="2"/>
    </row>
    <row r="98" spans="1:12" s="16" customFormat="1">
      <c r="A98" s="5">
        <v>19</v>
      </c>
      <c r="B98" s="2"/>
      <c r="C98" s="34" t="s">
        <v>700</v>
      </c>
      <c r="D98" s="37"/>
      <c r="E98" s="35"/>
      <c r="F98" s="38"/>
      <c r="G98" s="38"/>
      <c r="H98" s="35"/>
      <c r="I98" s="36">
        <f t="shared" si="5"/>
        <v>0</v>
      </c>
      <c r="J98" s="2"/>
      <c r="K98" s="884"/>
      <c r="L98" s="2"/>
    </row>
    <row r="99" spans="1:12" s="16" customFormat="1">
      <c r="A99" s="5">
        <v>20</v>
      </c>
      <c r="B99" s="2"/>
      <c r="C99" s="34" t="s">
        <v>594</v>
      </c>
      <c r="D99" s="37"/>
      <c r="E99" s="35"/>
      <c r="F99" s="38"/>
      <c r="G99" s="38"/>
      <c r="H99" s="35"/>
      <c r="I99" s="36">
        <f t="shared" si="5"/>
        <v>0</v>
      </c>
      <c r="J99" s="2"/>
      <c r="K99" s="884"/>
      <c r="L99" s="2"/>
    </row>
    <row r="100" spans="1:12" s="16" customFormat="1">
      <c r="A100" s="5">
        <v>21</v>
      </c>
      <c r="B100" s="2"/>
      <c r="C100" s="39" t="s">
        <v>594</v>
      </c>
      <c r="D100" s="40">
        <v>0</v>
      </c>
      <c r="E100" s="41">
        <v>0</v>
      </c>
      <c r="F100" s="42"/>
      <c r="G100" s="42"/>
      <c r="H100" s="41"/>
      <c r="I100" s="43">
        <f t="shared" si="5"/>
        <v>0</v>
      </c>
      <c r="J100" s="2"/>
      <c r="K100" s="884"/>
      <c r="L100" s="2"/>
    </row>
    <row r="101" spans="1:12" s="16" customFormat="1">
      <c r="A101" s="5">
        <v>22</v>
      </c>
      <c r="B101" s="2"/>
      <c r="C101" s="30" t="s">
        <v>90</v>
      </c>
      <c r="D101" s="44">
        <f>SUM(D95:D100)</f>
        <v>0</v>
      </c>
      <c r="E101" s="45"/>
      <c r="H101" s="45"/>
      <c r="I101" s="36">
        <f>SUM(I95:I100)</f>
        <v>0</v>
      </c>
      <c r="J101" s="2"/>
      <c r="K101" s="884"/>
    </row>
    <row r="102" spans="1:12">
      <c r="C102" s="3"/>
      <c r="E102" s="446" t="str">
        <f>E1</f>
        <v>Worksheet A4</v>
      </c>
      <c r="F102" s="3"/>
      <c r="H102" s="3"/>
      <c r="I102" s="3"/>
      <c r="J102" s="3"/>
    </row>
    <row r="103" spans="1:12">
      <c r="A103" s="5"/>
      <c r="C103" s="3"/>
      <c r="D103" s="3"/>
      <c r="E103" s="446" t="str">
        <f>E2</f>
        <v>Rate Base Worksheet</v>
      </c>
      <c r="F103" s="3"/>
      <c r="H103" s="3"/>
      <c r="I103" s="3"/>
      <c r="J103" s="3"/>
      <c r="L103" s="6"/>
    </row>
    <row r="104" spans="1:12" ht="15">
      <c r="A104" s="5"/>
      <c r="C104" s="3"/>
      <c r="E104" s="446" t="str">
        <f>E3</f>
        <v>Black Hills Colorado Electric, LLC</v>
      </c>
      <c r="F104" s="3"/>
      <c r="H104"/>
      <c r="I104" s="188" t="s">
        <v>701</v>
      </c>
      <c r="J104" s="3"/>
    </row>
    <row r="105" spans="1:12" ht="15">
      <c r="A105" s="5"/>
      <c r="B105" s="3"/>
      <c r="C105" s="22"/>
      <c r="D105" s="23"/>
      <c r="E105" s="23"/>
      <c r="F105" s="23"/>
      <c r="G105" s="22"/>
      <c r="H105"/>
      <c r="I105" s="22"/>
    </row>
    <row r="106" spans="1:12" ht="15">
      <c r="A106" s="5"/>
      <c r="B106" s="24"/>
      <c r="C106" s="1004" t="s">
        <v>702</v>
      </c>
      <c r="D106" s="1005"/>
      <c r="E106" s="1005"/>
      <c r="F106" s="1005"/>
      <c r="G106" s="670" t="s">
        <v>703</v>
      </c>
      <c r="H106"/>
      <c r="I106" s="22"/>
    </row>
    <row r="107" spans="1:12" ht="58.5" customHeight="1">
      <c r="A107" s="5" t="s">
        <v>634</v>
      </c>
      <c r="B107" s="13" t="s">
        <v>635</v>
      </c>
      <c r="C107" s="14" t="s">
        <v>704</v>
      </c>
      <c r="D107" s="14" t="s">
        <v>705</v>
      </c>
      <c r="E107" s="14" t="s">
        <v>706</v>
      </c>
      <c r="F107" s="14" t="s">
        <v>707</v>
      </c>
      <c r="G107" s="14"/>
      <c r="H107"/>
      <c r="I107" s="602"/>
    </row>
    <row r="108" spans="1:12" s="16" customFormat="1" ht="15">
      <c r="A108" s="5"/>
      <c r="B108" s="13" t="s">
        <v>458</v>
      </c>
      <c r="C108" s="14" t="s">
        <v>459</v>
      </c>
      <c r="D108" s="14" t="s">
        <v>460</v>
      </c>
      <c r="E108" s="14" t="s">
        <v>461</v>
      </c>
      <c r="F108" s="14" t="s">
        <v>479</v>
      </c>
      <c r="G108" s="186" t="s">
        <v>480</v>
      </c>
      <c r="H108"/>
      <c r="I108" s="346"/>
      <c r="K108" s="884"/>
    </row>
    <row r="109" spans="1:12" s="16" customFormat="1" ht="30.75" customHeight="1">
      <c r="A109" s="5"/>
      <c r="B109" s="17" t="s">
        <v>642</v>
      </c>
      <c r="C109" s="13" t="s">
        <v>708</v>
      </c>
      <c r="D109" s="13" t="s">
        <v>709</v>
      </c>
      <c r="E109" s="13" t="s">
        <v>710</v>
      </c>
      <c r="F109" s="13" t="s">
        <v>711</v>
      </c>
      <c r="G109" s="14"/>
      <c r="H109"/>
      <c r="I109" s="10"/>
      <c r="K109" s="884"/>
    </row>
    <row r="110" spans="1:12" ht="15">
      <c r="A110" s="5">
        <v>1</v>
      </c>
      <c r="B110" s="18" t="s">
        <v>650</v>
      </c>
      <c r="C110" s="19">
        <v>1938</v>
      </c>
      <c r="D110" s="19">
        <v>691646</v>
      </c>
      <c r="E110" s="19">
        <v>3771912</v>
      </c>
      <c r="F110" s="599">
        <f>SUM(C110:E110)</f>
        <v>4465496</v>
      </c>
      <c r="G110" s="14"/>
      <c r="H110"/>
      <c r="I110" s="10"/>
      <c r="K110" s="934"/>
    </row>
    <row r="111" spans="1:12" ht="15">
      <c r="A111" s="5">
        <v>2</v>
      </c>
      <c r="B111" s="18" t="s">
        <v>651</v>
      </c>
      <c r="C111" s="19">
        <v>5646.9677321064673</v>
      </c>
      <c r="D111" s="19">
        <v>739679</v>
      </c>
      <c r="E111" s="19">
        <v>4119944.6328646243</v>
      </c>
      <c r="F111" s="599">
        <f t="shared" ref="F111:F122" si="6">SUM(C111:E111)</f>
        <v>4865270.6005967306</v>
      </c>
      <c r="G111" s="14"/>
      <c r="H111"/>
      <c r="I111" s="10"/>
      <c r="K111" s="934"/>
    </row>
    <row r="112" spans="1:12" ht="15">
      <c r="A112" s="5">
        <v>3</v>
      </c>
      <c r="B112" s="3" t="s">
        <v>652</v>
      </c>
      <c r="C112" s="19">
        <v>5723.3362354007122</v>
      </c>
      <c r="D112" s="19">
        <v>771686</v>
      </c>
      <c r="E112" s="19">
        <v>4175661.9700610354</v>
      </c>
      <c r="F112" s="599">
        <f t="shared" si="6"/>
        <v>4953071.3062964361</v>
      </c>
      <c r="G112" s="14"/>
      <c r="H112"/>
      <c r="I112" s="10"/>
      <c r="K112" s="934"/>
    </row>
    <row r="113" spans="1:11" ht="15">
      <c r="A113" s="5">
        <v>4</v>
      </c>
      <c r="B113" s="3" t="s">
        <v>653</v>
      </c>
      <c r="C113" s="19">
        <v>5697.834465333377</v>
      </c>
      <c r="D113" s="19">
        <v>792122</v>
      </c>
      <c r="E113" s="19">
        <v>4157056.253559398</v>
      </c>
      <c r="F113" s="599">
        <f t="shared" si="6"/>
        <v>4954876.0880247317</v>
      </c>
      <c r="G113" s="14"/>
      <c r="H113"/>
      <c r="I113" s="10"/>
      <c r="K113" s="934"/>
    </row>
    <row r="114" spans="1:11" ht="15">
      <c r="A114" s="5">
        <v>5</v>
      </c>
      <c r="B114" s="3" t="s">
        <v>654</v>
      </c>
      <c r="C114" s="19">
        <v>5772.9882057833302</v>
      </c>
      <c r="D114" s="19">
        <v>818130</v>
      </c>
      <c r="E114" s="19">
        <v>4211887.317644651</v>
      </c>
      <c r="F114" s="599">
        <f t="shared" si="6"/>
        <v>5035790.3058504341</v>
      </c>
      <c r="G114" s="14"/>
      <c r="H114"/>
      <c r="I114" s="10"/>
      <c r="K114" s="934"/>
    </row>
    <row r="115" spans="1:11" ht="15">
      <c r="A115" s="5">
        <v>6</v>
      </c>
      <c r="B115" s="3" t="s">
        <v>655</v>
      </c>
      <c r="C115" s="19">
        <v>5887.9589436388624</v>
      </c>
      <c r="D115" s="19">
        <v>892622</v>
      </c>
      <c r="E115" s="19">
        <v>4295768.277628053</v>
      </c>
      <c r="F115" s="599">
        <f t="shared" si="6"/>
        <v>5194278.2365716919</v>
      </c>
      <c r="G115" s="14"/>
      <c r="H115"/>
      <c r="I115" s="10"/>
      <c r="K115" s="934"/>
    </row>
    <row r="116" spans="1:11" ht="15">
      <c r="A116" s="5">
        <v>7</v>
      </c>
      <c r="B116" s="3" t="s">
        <v>18</v>
      </c>
      <c r="C116" s="19">
        <v>5734.5145284670252</v>
      </c>
      <c r="D116" s="19">
        <v>1119268</v>
      </c>
      <c r="E116" s="19">
        <v>4183817.4883334879</v>
      </c>
      <c r="F116" s="599">
        <f t="shared" si="6"/>
        <v>5308820.0028619552</v>
      </c>
      <c r="G116" s="14"/>
      <c r="H116"/>
      <c r="I116" s="10"/>
      <c r="K116" s="934"/>
    </row>
    <row r="117" spans="1:11" ht="15">
      <c r="A117" s="5">
        <v>8</v>
      </c>
      <c r="B117" s="3" t="s">
        <v>656</v>
      </c>
      <c r="C117" s="19">
        <v>5662.3299791458167</v>
      </c>
      <c r="D117" s="19">
        <v>1002152</v>
      </c>
      <c r="E117" s="19">
        <v>4131152.7024412677</v>
      </c>
      <c r="F117" s="599">
        <f t="shared" si="6"/>
        <v>5138967.0324204136</v>
      </c>
      <c r="G117" s="14"/>
      <c r="H117"/>
      <c r="I117" s="10"/>
      <c r="K117" s="934"/>
    </row>
    <row r="118" spans="1:11" ht="15">
      <c r="A118" s="5">
        <v>9</v>
      </c>
      <c r="B118" s="3" t="s">
        <v>657</v>
      </c>
      <c r="C118" s="19">
        <v>5843.755875522148</v>
      </c>
      <c r="D118" s="19">
        <v>1000806</v>
      </c>
      <c r="E118" s="19">
        <v>4263518.3690252155</v>
      </c>
      <c r="F118" s="599">
        <f t="shared" si="6"/>
        <v>5270168.1249007378</v>
      </c>
      <c r="G118" s="14"/>
      <c r="H118"/>
      <c r="I118" s="10"/>
      <c r="K118" s="934"/>
    </row>
    <row r="119" spans="1:11" ht="15">
      <c r="A119" s="5">
        <v>10</v>
      </c>
      <c r="B119" s="3" t="s">
        <v>658</v>
      </c>
      <c r="C119" s="19">
        <v>5914.2320571760874</v>
      </c>
      <c r="D119" s="19">
        <v>1035213</v>
      </c>
      <c r="E119" s="19">
        <v>4314936.7549846536</v>
      </c>
      <c r="F119" s="599">
        <f t="shared" si="6"/>
        <v>5356063.9870418292</v>
      </c>
      <c r="G119" s="14"/>
      <c r="H119"/>
      <c r="I119" s="10"/>
      <c r="K119" s="934"/>
    </row>
    <row r="120" spans="1:11" ht="15">
      <c r="A120" s="5">
        <v>11</v>
      </c>
      <c r="B120" s="3" t="s">
        <v>659</v>
      </c>
      <c r="C120" s="19">
        <v>6102.3601170889178</v>
      </c>
      <c r="D120" s="19">
        <v>940112</v>
      </c>
      <c r="E120" s="19">
        <v>4452192.2215463463</v>
      </c>
      <c r="F120" s="599">
        <f t="shared" si="6"/>
        <v>5398406.5816634353</v>
      </c>
      <c r="G120" s="14"/>
      <c r="H120"/>
      <c r="I120" s="10"/>
      <c r="K120" s="934"/>
    </row>
    <row r="121" spans="1:11" ht="15">
      <c r="A121" s="5">
        <v>12</v>
      </c>
      <c r="B121" s="3" t="s">
        <v>660</v>
      </c>
      <c r="C121" s="19">
        <v>6122.3332381501468</v>
      </c>
      <c r="D121" s="19">
        <v>954764</v>
      </c>
      <c r="E121" s="710">
        <v>4466764.3170180293</v>
      </c>
      <c r="F121" s="599">
        <f t="shared" si="6"/>
        <v>5427650.6502561793</v>
      </c>
      <c r="G121" s="14"/>
      <c r="H121"/>
      <c r="I121" s="10"/>
      <c r="K121" s="934"/>
    </row>
    <row r="122" spans="1:11" ht="15">
      <c r="A122" s="5">
        <v>13</v>
      </c>
      <c r="B122" s="3" t="s">
        <v>661</v>
      </c>
      <c r="C122" s="19">
        <v>6067</v>
      </c>
      <c r="D122" s="19">
        <v>940890</v>
      </c>
      <c r="E122" s="19">
        <v>4426394</v>
      </c>
      <c r="F122" s="599">
        <f t="shared" si="6"/>
        <v>5373351</v>
      </c>
      <c r="G122" s="14"/>
      <c r="H122"/>
      <c r="I122" s="10"/>
      <c r="K122" s="934"/>
    </row>
    <row r="123" spans="1:11" ht="15">
      <c r="A123" s="5">
        <v>14</v>
      </c>
      <c r="B123" s="17" t="s">
        <v>687</v>
      </c>
      <c r="C123" s="598">
        <f>SUM(C110:C122)/13</f>
        <v>5547.2008752163765</v>
      </c>
      <c r="D123" s="598">
        <f t="shared" ref="D123:E123" si="7">SUM(D110:D122)/13</f>
        <v>899930</v>
      </c>
      <c r="E123" s="598">
        <f t="shared" si="7"/>
        <v>4228538.9465466747</v>
      </c>
      <c r="F123" s="598">
        <f>SUM(F110:F122)/13</f>
        <v>5134016.1474218909</v>
      </c>
      <c r="G123" s="14"/>
      <c r="H123"/>
      <c r="I123"/>
    </row>
    <row r="124" spans="1:11" ht="15">
      <c r="A124" s="5">
        <v>15</v>
      </c>
      <c r="B124" s="17" t="s">
        <v>91</v>
      </c>
      <c r="C124" s="596" t="s">
        <v>94</v>
      </c>
      <c r="D124" s="596" t="s">
        <v>148</v>
      </c>
      <c r="E124" s="596" t="s">
        <v>141</v>
      </c>
      <c r="F124" s="595"/>
      <c r="G124" s="14"/>
      <c r="H124"/>
      <c r="I124" s="10"/>
    </row>
    <row r="125" spans="1:11" ht="15">
      <c r="A125" s="5">
        <v>16</v>
      </c>
      <c r="B125" s="17" t="s">
        <v>712</v>
      </c>
      <c r="C125" s="597">
        <f>'Act Att-H'!I174</f>
        <v>0.9266113890410379</v>
      </c>
      <c r="D125" s="597">
        <f>'Act Att-H'!I191</f>
        <v>0.14403621580679662</v>
      </c>
      <c r="E125" s="597">
        <v>0</v>
      </c>
      <c r="F125" s="595"/>
      <c r="G125" s="14"/>
      <c r="H125"/>
      <c r="I125" s="10"/>
    </row>
    <row r="126" spans="1:11" ht="15.75" thickBot="1">
      <c r="A126" s="5">
        <v>17</v>
      </c>
      <c r="B126" s="17" t="s">
        <v>713</v>
      </c>
      <c r="C126" s="21">
        <f>C125*C123</f>
        <v>5140.0995082739082</v>
      </c>
      <c r="D126" s="21">
        <f t="shared" ref="D126:E126" si="8">D125*D123</f>
        <v>129622.51169101048</v>
      </c>
      <c r="E126" s="21">
        <f t="shared" si="8"/>
        <v>0</v>
      </c>
      <c r="F126" s="21">
        <f>C126+D126+E126</f>
        <v>134762.61119928438</v>
      </c>
      <c r="G126" s="14"/>
      <c r="H126"/>
      <c r="I126" s="10"/>
    </row>
    <row r="127" spans="1:11" s="16" customFormat="1" ht="15.75" thickTop="1">
      <c r="A127" s="5">
        <v>18</v>
      </c>
      <c r="B127" s="28"/>
      <c r="C127" s="29"/>
      <c r="D127" s="29"/>
      <c r="E127" s="29"/>
      <c r="F127" s="29"/>
      <c r="G127" s="48"/>
      <c r="H127"/>
      <c r="I127" s="2"/>
      <c r="J127" s="2"/>
      <c r="K127" s="884"/>
    </row>
    <row r="128" spans="1:11" s="16" customFormat="1" ht="15">
      <c r="A128" s="5"/>
      <c r="B128" s="28"/>
      <c r="C128" s="29"/>
      <c r="D128" s="29"/>
      <c r="E128" s="29"/>
      <c r="F128" s="29"/>
      <c r="H128"/>
      <c r="I128" s="2"/>
      <c r="J128" s="2"/>
      <c r="K128" s="884"/>
    </row>
    <row r="129" spans="1:14">
      <c r="A129" s="187" t="s">
        <v>555</v>
      </c>
    </row>
    <row r="130" spans="1:14" ht="15" customHeight="1">
      <c r="A130" s="51" t="s">
        <v>387</v>
      </c>
      <c r="B130" s="966" t="s">
        <v>425</v>
      </c>
      <c r="C130" s="966"/>
      <c r="D130" s="966"/>
      <c r="E130" s="966"/>
      <c r="F130" s="966"/>
      <c r="G130" s="966"/>
      <c r="H130" s="966"/>
      <c r="I130" s="966"/>
      <c r="J130" s="309"/>
      <c r="K130" s="936"/>
    </row>
    <row r="131" spans="1:14" ht="30" customHeight="1">
      <c r="A131" s="51" t="s">
        <v>389</v>
      </c>
      <c r="B131" s="966" t="s">
        <v>421</v>
      </c>
      <c r="C131" s="966"/>
      <c r="D131" s="966"/>
      <c r="E131" s="966"/>
      <c r="F131" s="966"/>
      <c r="G131" s="966"/>
      <c r="H131" s="966"/>
      <c r="I131" s="966"/>
      <c r="J131" s="309"/>
      <c r="K131" s="936"/>
      <c r="L131" s="6"/>
    </row>
    <row r="132" spans="1:14" ht="58.5" customHeight="1">
      <c r="A132" s="51" t="s">
        <v>391</v>
      </c>
      <c r="B132" s="966" t="s">
        <v>714</v>
      </c>
      <c r="C132" s="966"/>
      <c r="D132" s="966"/>
      <c r="E132" s="966"/>
      <c r="F132" s="966"/>
      <c r="G132" s="966"/>
      <c r="H132" s="966"/>
      <c r="I132" s="966"/>
      <c r="J132" s="49"/>
      <c r="K132" s="937"/>
    </row>
    <row r="133" spans="1:14">
      <c r="A133" s="51" t="s">
        <v>393</v>
      </c>
      <c r="B133" s="966" t="s">
        <v>715</v>
      </c>
      <c r="C133" s="966"/>
      <c r="D133" s="966"/>
      <c r="E133" s="966"/>
      <c r="F133" s="966"/>
      <c r="G133" s="966"/>
      <c r="H133" s="966"/>
      <c r="I133" s="966"/>
    </row>
    <row r="134" spans="1:14" ht="18.75" customHeight="1">
      <c r="A134" s="51" t="s">
        <v>395</v>
      </c>
      <c r="B134" s="1007" t="s">
        <v>425</v>
      </c>
      <c r="C134" s="1007"/>
      <c r="D134" s="1007"/>
      <c r="E134" s="1007"/>
      <c r="F134" s="1007"/>
      <c r="G134" s="1007"/>
      <c r="H134" s="1007"/>
      <c r="I134" s="1007"/>
      <c r="J134" s="310"/>
      <c r="K134" s="938"/>
      <c r="L134" s="310"/>
      <c r="M134" s="310"/>
      <c r="N134" s="310"/>
    </row>
    <row r="135" spans="1:14" ht="15" customHeight="1">
      <c r="A135" s="51" t="s">
        <v>397</v>
      </c>
      <c r="B135" s="966" t="s">
        <v>423</v>
      </c>
      <c r="C135" s="966"/>
      <c r="D135" s="966"/>
      <c r="E135" s="966"/>
      <c r="F135" s="966"/>
      <c r="G135" s="966"/>
      <c r="H135" s="966"/>
      <c r="I135" s="966"/>
      <c r="J135" s="310"/>
      <c r="K135" s="938"/>
    </row>
    <row r="136" spans="1:14" ht="78" customHeight="1">
      <c r="A136" s="51" t="s">
        <v>399</v>
      </c>
      <c r="B136" s="1007" t="s">
        <v>716</v>
      </c>
      <c r="C136" s="1007"/>
      <c r="D136" s="1007"/>
      <c r="E136" s="1007"/>
      <c r="F136" s="1007"/>
      <c r="G136" s="1007"/>
      <c r="H136" s="1007"/>
      <c r="I136" s="1007"/>
      <c r="J136" s="310"/>
      <c r="K136" s="938"/>
      <c r="L136" s="310"/>
      <c r="M136" s="310"/>
      <c r="N136" s="310"/>
    </row>
    <row r="137" spans="1:14" ht="27" customHeight="1">
      <c r="A137" s="51" t="s">
        <v>401</v>
      </c>
      <c r="B137" s="966" t="s">
        <v>717</v>
      </c>
      <c r="C137" s="966"/>
      <c r="D137" s="966"/>
      <c r="E137" s="966"/>
      <c r="F137" s="966"/>
      <c r="G137" s="966"/>
      <c r="H137" s="966"/>
      <c r="I137" s="966"/>
      <c r="J137" s="52"/>
      <c r="K137" s="939"/>
    </row>
    <row r="138" spans="1:14">
      <c r="A138" s="51" t="s">
        <v>403</v>
      </c>
      <c r="B138" s="966" t="s">
        <v>718</v>
      </c>
      <c r="C138" s="966"/>
      <c r="D138" s="966"/>
      <c r="E138" s="966"/>
      <c r="F138" s="966"/>
      <c r="G138" s="966"/>
      <c r="H138" s="966"/>
      <c r="I138" s="966"/>
    </row>
    <row r="139" spans="1:14">
      <c r="A139" s="881" t="s">
        <v>405</v>
      </c>
      <c r="B139" s="882" t="s">
        <v>719</v>
      </c>
    </row>
    <row r="140" spans="1:14">
      <c r="A140" s="881" t="s">
        <v>407</v>
      </c>
      <c r="B140" s="882" t="s">
        <v>720</v>
      </c>
    </row>
  </sheetData>
  <mergeCells count="13">
    <mergeCell ref="B138:I138"/>
    <mergeCell ref="C5:G5"/>
    <mergeCell ref="E28:I28"/>
    <mergeCell ref="C72:I72"/>
    <mergeCell ref="B130:I130"/>
    <mergeCell ref="B131:I131"/>
    <mergeCell ref="B135:I135"/>
    <mergeCell ref="B132:I132"/>
    <mergeCell ref="B133:I133"/>
    <mergeCell ref="B134:I134"/>
    <mergeCell ref="C106:F106"/>
    <mergeCell ref="B137:I137"/>
    <mergeCell ref="B136:I136"/>
  </mergeCells>
  <pageMargins left="0.5" right="0.25" top="1" bottom="1" header="0.5" footer="0.5"/>
  <pageSetup scale="60" fitToHeight="4" orientation="portrait" r:id="rId1"/>
  <headerFooter alignWithMargins="0"/>
  <rowBreaks count="2" manualBreakCount="2">
    <brk id="67" max="16383" man="1"/>
    <brk id="101" max="16383" man="1"/>
  </rowBreaks>
  <ignoredErrors>
    <ignoredError sqref="I46" formulaRange="1"/>
    <ignoredError sqref="E68 E102:E10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pageSetUpPr fitToPage="1"/>
  </sheetPr>
  <dimension ref="A1:W62"/>
  <sheetViews>
    <sheetView workbookViewId="0">
      <selection activeCell="K1" sqref="K1:K1048576"/>
    </sheetView>
  </sheetViews>
  <sheetFormatPr defaultColWidth="7.109375" defaultRowHeight="12.75"/>
  <cols>
    <col min="1" max="1" width="4.77734375" style="795" customWidth="1"/>
    <col min="2" max="2" width="26.21875" style="794" customWidth="1"/>
    <col min="3" max="3" width="6.88671875" style="794" bestFit="1" customWidth="1"/>
    <col min="4" max="4" width="9.88671875" style="794" customWidth="1"/>
    <col min="5" max="5" width="9" style="794" customWidth="1"/>
    <col min="6" max="6" width="9.77734375" style="794" customWidth="1"/>
    <col min="7" max="7" width="8.6640625" style="794" customWidth="1"/>
    <col min="8" max="8" width="10.21875" style="794" customWidth="1"/>
    <col min="9" max="9" width="11.77734375" style="794" customWidth="1"/>
    <col min="10" max="10" width="11" style="794" bestFit="1" customWidth="1"/>
    <col min="11" max="11" width="7.109375" style="940"/>
    <col min="12" max="16384" width="7.109375" style="794"/>
  </cols>
  <sheetData>
    <row r="1" spans="1:14" ht="15" customHeight="1">
      <c r="A1" s="1008" t="s">
        <v>32</v>
      </c>
      <c r="B1" s="1008"/>
      <c r="C1" s="1008"/>
      <c r="D1" s="1008"/>
      <c r="E1" s="1008"/>
      <c r="F1" s="1008"/>
      <c r="G1" s="1008"/>
      <c r="H1" s="1008"/>
      <c r="I1" s="1008"/>
      <c r="J1" s="218"/>
    </row>
    <row r="2" spans="1:14" ht="15" customHeight="1">
      <c r="A2" s="1009" t="s">
        <v>721</v>
      </c>
      <c r="B2" s="1009"/>
      <c r="C2" s="1009"/>
      <c r="D2" s="1009"/>
      <c r="E2" s="1009"/>
      <c r="F2" s="1009"/>
      <c r="G2" s="1009"/>
      <c r="H2" s="1009"/>
      <c r="I2" s="1009"/>
      <c r="J2" s="218"/>
    </row>
    <row r="3" spans="1:14" ht="15" customHeight="1">
      <c r="A3" s="1014" t="s">
        <v>0</v>
      </c>
      <c r="B3" s="1014"/>
      <c r="C3" s="1014"/>
      <c r="D3" s="1014"/>
      <c r="E3" s="1014"/>
      <c r="F3" s="1014"/>
      <c r="G3" s="1014"/>
      <c r="H3" s="1014"/>
      <c r="I3" s="1014"/>
      <c r="J3" s="218"/>
    </row>
    <row r="4" spans="1:14" ht="15" customHeight="1">
      <c r="A4" s="1008" t="str">
        <f>'Act Att-H'!K4</f>
        <v>Actuals - For the 12 months ended 12/31/2021</v>
      </c>
      <c r="B4" s="1008"/>
      <c r="C4" s="1008"/>
      <c r="D4" s="1008"/>
      <c r="E4" s="1008"/>
      <c r="F4" s="1008"/>
      <c r="G4" s="1008"/>
      <c r="H4" s="1008"/>
      <c r="I4" s="1008"/>
      <c r="J4" s="218"/>
    </row>
    <row r="5" spans="1:14" ht="12.75" customHeight="1">
      <c r="B5" s="796"/>
      <c r="C5" s="796"/>
      <c r="D5" s="796"/>
      <c r="E5" s="796"/>
      <c r="F5" s="796"/>
      <c r="G5" s="796"/>
      <c r="H5" s="810" t="s">
        <v>722</v>
      </c>
      <c r="I5" s="863" t="s">
        <v>723</v>
      </c>
    </row>
    <row r="6" spans="1:14" ht="12.75" customHeight="1">
      <c r="B6" s="796"/>
      <c r="C6" s="796"/>
      <c r="D6" s="796"/>
      <c r="E6" s="796"/>
      <c r="F6" s="796"/>
      <c r="G6" s="796"/>
      <c r="H6" s="810" t="s">
        <v>724</v>
      </c>
      <c r="I6" s="863" t="s">
        <v>592</v>
      </c>
    </row>
    <row r="7" spans="1:14" ht="12.75" customHeight="1">
      <c r="A7" s="797"/>
      <c r="B7" s="798"/>
      <c r="C7" s="799"/>
      <c r="D7" s="799"/>
      <c r="E7" s="799"/>
      <c r="F7" s="799"/>
      <c r="G7" s="799"/>
      <c r="H7" s="810" t="s">
        <v>725</v>
      </c>
      <c r="I7" s="864">
        <v>0.20380499999999999</v>
      </c>
    </row>
    <row r="8" spans="1:14" ht="12.75" customHeight="1">
      <c r="A8" s="797"/>
      <c r="B8" s="798"/>
      <c r="C8" s="799"/>
      <c r="D8" s="799"/>
      <c r="E8" s="799"/>
      <c r="F8" s="799"/>
      <c r="G8" s="799"/>
      <c r="H8" s="810" t="s">
        <v>726</v>
      </c>
      <c r="I8" s="865">
        <v>1.32727565</v>
      </c>
    </row>
    <row r="9" spans="1:14" ht="12.75" customHeight="1">
      <c r="A9" s="797"/>
      <c r="B9" s="798"/>
      <c r="C9" s="799"/>
      <c r="D9" s="799"/>
      <c r="E9" s="799"/>
      <c r="F9" s="799"/>
      <c r="G9" s="799"/>
      <c r="H9" s="810" t="s">
        <v>727</v>
      </c>
      <c r="I9" s="865" t="s">
        <v>589</v>
      </c>
    </row>
    <row r="10" spans="1:14" ht="18.600000000000001" customHeight="1" thickBot="1">
      <c r="B10" s="811" t="s">
        <v>728</v>
      </c>
      <c r="C10" s="811" t="s">
        <v>729</v>
      </c>
      <c r="D10" s="811" t="s">
        <v>730</v>
      </c>
      <c r="E10" s="811" t="s">
        <v>731</v>
      </c>
      <c r="F10" s="811" t="s">
        <v>732</v>
      </c>
      <c r="G10" s="811" t="s">
        <v>733</v>
      </c>
      <c r="H10" s="811" t="s">
        <v>734</v>
      </c>
      <c r="I10" s="811" t="s">
        <v>735</v>
      </c>
    </row>
    <row r="11" spans="1:14" ht="15.6" customHeight="1" thickBot="1">
      <c r="A11" s="797"/>
      <c r="B11" s="798"/>
      <c r="C11" s="800"/>
      <c r="D11" s="1011" t="s">
        <v>736</v>
      </c>
      <c r="E11" s="1012"/>
      <c r="F11" s="1012"/>
      <c r="G11" s="1012"/>
      <c r="H11" s="1012"/>
      <c r="I11" s="1013"/>
    </row>
    <row r="12" spans="1:14" ht="39" customHeight="1" thickBot="1">
      <c r="A12" s="797"/>
      <c r="B12" s="798"/>
      <c r="C12" s="801"/>
      <c r="D12" s="812" t="s">
        <v>511</v>
      </c>
      <c r="E12" s="812" t="s">
        <v>511</v>
      </c>
      <c r="F12" s="812" t="s">
        <v>737</v>
      </c>
      <c r="G12" s="812" t="s">
        <v>738</v>
      </c>
      <c r="H12" s="813" t="s">
        <v>739</v>
      </c>
      <c r="I12" s="814" t="s">
        <v>740</v>
      </c>
      <c r="J12" s="810"/>
    </row>
    <row r="13" spans="1:14" s="802" customFormat="1" ht="105" customHeight="1" thickBot="1">
      <c r="A13" s="811" t="s">
        <v>741</v>
      </c>
      <c r="B13" s="800"/>
      <c r="C13" s="812" t="s">
        <v>455</v>
      </c>
      <c r="D13" s="812" t="s">
        <v>742</v>
      </c>
      <c r="E13" s="866" t="s">
        <v>743</v>
      </c>
      <c r="F13" s="866" t="s">
        <v>744</v>
      </c>
      <c r="G13" s="866" t="s">
        <v>745</v>
      </c>
      <c r="H13" s="867" t="s">
        <v>746</v>
      </c>
      <c r="I13" s="867" t="s">
        <v>747</v>
      </c>
      <c r="K13" s="941"/>
    </row>
    <row r="14" spans="1:14" ht="12.95" customHeight="1">
      <c r="A14" s="815">
        <v>1</v>
      </c>
      <c r="B14" s="816" t="s">
        <v>748</v>
      </c>
      <c r="C14" s="803"/>
      <c r="D14" s="798"/>
      <c r="E14" s="798"/>
      <c r="F14" s="798"/>
      <c r="G14" s="798"/>
    </row>
    <row r="15" spans="1:14">
      <c r="A15" s="815">
        <v>2</v>
      </c>
      <c r="B15" s="817" t="s">
        <v>749</v>
      </c>
      <c r="C15" s="868">
        <v>282</v>
      </c>
      <c r="D15" s="869">
        <v>-458889652.28000003</v>
      </c>
      <c r="E15" s="869">
        <v>-155873342.63820902</v>
      </c>
      <c r="F15" s="818">
        <f>+D15*$I$7</f>
        <v>-93524005.582925394</v>
      </c>
      <c r="G15" s="818">
        <f>+E15-F15</f>
        <v>-62349337.055283621</v>
      </c>
      <c r="H15" s="819">
        <f>+G15*$I$8</f>
        <v>-82754756.867120653</v>
      </c>
      <c r="I15" s="806">
        <f>+G15-H15</f>
        <v>20405419.811837032</v>
      </c>
      <c r="J15" s="820"/>
      <c r="M15" s="806"/>
      <c r="N15" s="806"/>
    </row>
    <row r="16" spans="1:14" ht="12.95" customHeight="1">
      <c r="A16" s="815">
        <v>3</v>
      </c>
      <c r="B16" s="817" t="s">
        <v>750</v>
      </c>
      <c r="C16" s="868">
        <v>282</v>
      </c>
      <c r="D16" s="870">
        <v>12501555.460000001</v>
      </c>
      <c r="E16" s="869">
        <v>4246465.8508755006</v>
      </c>
      <c r="F16" s="818">
        <f>+D16*$I$7</f>
        <v>2547879.5105253002</v>
      </c>
      <c r="G16" s="820">
        <f>+E16-F16</f>
        <v>1698586.3403502004</v>
      </c>
      <c r="H16" s="819">
        <f>+G16*$I$8</f>
        <v>2254492.2889694334</v>
      </c>
      <c r="I16" s="806">
        <f>+G16-H16</f>
        <v>-555905.94861923298</v>
      </c>
      <c r="J16" s="820"/>
      <c r="M16" s="806"/>
      <c r="N16" s="806"/>
    </row>
    <row r="17" spans="1:15">
      <c r="A17" s="815">
        <v>4</v>
      </c>
      <c r="B17" s="817" t="s">
        <v>751</v>
      </c>
      <c r="C17" s="868">
        <v>190</v>
      </c>
      <c r="D17" s="869">
        <v>195816643.08754742</v>
      </c>
      <c r="E17" s="869">
        <v>66514018.240762673</v>
      </c>
      <c r="F17" s="818">
        <f>+D17*$I$7</f>
        <v>39908410.944457598</v>
      </c>
      <c r="G17" s="818">
        <f>+E17-F17</f>
        <v>26605607.296305075</v>
      </c>
      <c r="H17" s="819">
        <f>+G17*$I$8</f>
        <v>35312974.717848063</v>
      </c>
      <c r="I17" s="806">
        <f>+G17-H17</f>
        <v>-8707367.4215429872</v>
      </c>
      <c r="J17" s="820"/>
      <c r="M17" s="806"/>
      <c r="N17" s="806"/>
    </row>
    <row r="18" spans="1:15">
      <c r="A18" s="815">
        <v>5</v>
      </c>
      <c r="B18" s="871" t="s">
        <v>594</v>
      </c>
      <c r="C18" s="871"/>
      <c r="D18" s="872"/>
      <c r="E18" s="872"/>
      <c r="F18" s="821">
        <f>+D18*$I$7</f>
        <v>0</v>
      </c>
      <c r="G18" s="821">
        <f>+E18-F18</f>
        <v>0</v>
      </c>
      <c r="H18" s="822">
        <f>+G18*$I$8</f>
        <v>0</v>
      </c>
      <c r="I18" s="823">
        <f>+G18-H18</f>
        <v>0</v>
      </c>
      <c r="J18" s="820"/>
    </row>
    <row r="19" spans="1:15">
      <c r="A19" s="815">
        <v>99</v>
      </c>
      <c r="B19" s="800"/>
      <c r="C19" s="800"/>
      <c r="D19" s="818">
        <f t="shared" ref="D19:I19" si="0">SUM(D15:D18)</f>
        <v>-250571453.73245263</v>
      </c>
      <c r="E19" s="818">
        <f t="shared" si="0"/>
        <v>-85112858.546570837</v>
      </c>
      <c r="F19" s="818">
        <f t="shared" si="0"/>
        <v>-51067715.127942495</v>
      </c>
      <c r="G19" s="818">
        <f t="shared" si="0"/>
        <v>-34045143.418628342</v>
      </c>
      <c r="H19" s="818">
        <f t="shared" si="0"/>
        <v>-45187289.860303164</v>
      </c>
      <c r="I19" s="818">
        <f t="shared" si="0"/>
        <v>11142146.441674814</v>
      </c>
      <c r="J19" s="820"/>
    </row>
    <row r="20" spans="1:15">
      <c r="A20" s="815"/>
      <c r="B20" s="804"/>
      <c r="C20" s="800"/>
      <c r="D20" s="818"/>
      <c r="E20" s="818"/>
      <c r="F20" s="818"/>
      <c r="G20" s="818"/>
      <c r="H20" s="818"/>
      <c r="I20" s="818"/>
      <c r="J20" s="820"/>
    </row>
    <row r="21" spans="1:15" ht="12.95" customHeight="1">
      <c r="A21" s="815">
        <v>100</v>
      </c>
      <c r="B21" s="816" t="s">
        <v>752</v>
      </c>
      <c r="C21" s="800"/>
      <c r="D21" s="805"/>
      <c r="E21" s="805"/>
      <c r="F21" s="805"/>
      <c r="G21" s="805"/>
      <c r="H21" s="819"/>
      <c r="J21" s="820"/>
    </row>
    <row r="22" spans="1:15" ht="12.95" customHeight="1">
      <c r="A22" s="815">
        <v>101</v>
      </c>
      <c r="B22" s="817" t="s">
        <v>753</v>
      </c>
      <c r="C22" s="868">
        <v>282</v>
      </c>
      <c r="D22" s="869">
        <v>3480140.7399999998</v>
      </c>
      <c r="E22" s="869">
        <v>1182116.8058594998</v>
      </c>
      <c r="F22" s="818">
        <f t="shared" ref="F22:F30" si="1">+D22*$I$7</f>
        <v>709270.08351569995</v>
      </c>
      <c r="G22" s="818">
        <f t="shared" ref="G22:G30" si="2">+E22-F22</f>
        <v>472846.72234379989</v>
      </c>
      <c r="H22" s="819">
        <f t="shared" ref="H22:H30" si="3">+G22*$I$8</f>
        <v>627597.9407492365</v>
      </c>
      <c r="I22" s="806">
        <f t="shared" ref="I22:I30" si="4">+G22-H22</f>
        <v>-154751.21840543661</v>
      </c>
      <c r="J22" s="820"/>
      <c r="N22" s="806"/>
      <c r="O22" s="806"/>
    </row>
    <row r="23" spans="1:15">
      <c r="A23" s="815">
        <v>102</v>
      </c>
      <c r="B23" s="879" t="s">
        <v>754</v>
      </c>
      <c r="C23" s="868">
        <v>282</v>
      </c>
      <c r="D23" s="869">
        <v>-1367948.28</v>
      </c>
      <c r="E23" s="869">
        <v>-464657.83200900001</v>
      </c>
      <c r="F23" s="818">
        <f t="shared" si="1"/>
        <v>-278794.69920540001</v>
      </c>
      <c r="G23" s="818">
        <f t="shared" si="2"/>
        <v>-185863.13280359999</v>
      </c>
      <c r="H23" s="819">
        <f t="shared" si="3"/>
        <v>-246691.61040293452</v>
      </c>
      <c r="I23" s="806">
        <f t="shared" si="4"/>
        <v>60828.477599334525</v>
      </c>
      <c r="J23" s="820"/>
      <c r="N23" s="806"/>
      <c r="O23" s="806"/>
    </row>
    <row r="24" spans="1:15" ht="12.95" customHeight="1">
      <c r="A24" s="815">
        <v>103</v>
      </c>
      <c r="B24" s="817" t="s">
        <v>755</v>
      </c>
      <c r="C24" s="868">
        <v>282</v>
      </c>
      <c r="D24" s="869">
        <v>-18147933.350000001</v>
      </c>
      <c r="E24" s="869">
        <v>-6164399.2606612509</v>
      </c>
      <c r="F24" s="818">
        <f t="shared" si="1"/>
        <v>-3698639.5563967503</v>
      </c>
      <c r="G24" s="818">
        <f t="shared" si="2"/>
        <v>-2465759.7042645006</v>
      </c>
      <c r="H24" s="819">
        <f t="shared" si="3"/>
        <v>-3272742.8142214729</v>
      </c>
      <c r="I24" s="806">
        <f t="shared" si="4"/>
        <v>806983.1099569723</v>
      </c>
      <c r="J24" s="820"/>
      <c r="N24" s="806"/>
      <c r="O24" s="806"/>
    </row>
    <row r="25" spans="1:15" ht="12.95" customHeight="1">
      <c r="A25" s="815">
        <v>104</v>
      </c>
      <c r="B25" s="817" t="s">
        <v>756</v>
      </c>
      <c r="C25" s="868">
        <v>282</v>
      </c>
      <c r="D25" s="869">
        <v>1890375.2929999996</v>
      </c>
      <c r="E25" s="869">
        <v>642113.22764977487</v>
      </c>
      <c r="F25" s="818">
        <f t="shared" ref="F25:F27" si="5">+D25*$I$7</f>
        <v>385267.9365898649</v>
      </c>
      <c r="G25" s="818">
        <f t="shared" ref="G25:G27" si="6">+E25-F25</f>
        <v>256845.29105990997</v>
      </c>
      <c r="H25" s="819">
        <f t="shared" ref="H25:H27" si="7">+G25*$I$8</f>
        <v>340904.50064098119</v>
      </c>
      <c r="I25" s="806">
        <f t="shared" ref="I25:I27" si="8">+G25-H25</f>
        <v>-84059.20958107122</v>
      </c>
      <c r="J25" s="820"/>
      <c r="N25" s="806"/>
      <c r="O25" s="806"/>
    </row>
    <row r="26" spans="1:15" ht="12.95" customHeight="1">
      <c r="A26" s="815">
        <v>105</v>
      </c>
      <c r="B26" s="817" t="s">
        <v>757</v>
      </c>
      <c r="C26" s="868">
        <v>282</v>
      </c>
      <c r="D26" s="869">
        <v>252398.55999999997</v>
      </c>
      <c r="E26" s="869">
        <v>85733.480867999984</v>
      </c>
      <c r="F26" s="818">
        <f t="shared" si="5"/>
        <v>51440.088520799989</v>
      </c>
      <c r="G26" s="818">
        <f t="shared" si="6"/>
        <v>34293.392347199995</v>
      </c>
      <c r="H26" s="819">
        <f t="shared" si="7"/>
        <v>45516.784618334903</v>
      </c>
      <c r="I26" s="806">
        <f t="shared" si="8"/>
        <v>-11223.392271134908</v>
      </c>
      <c r="J26" s="820"/>
      <c r="N26" s="806"/>
      <c r="O26" s="806"/>
    </row>
    <row r="27" spans="1:15" ht="12.95" customHeight="1">
      <c r="A27" s="815">
        <v>106</v>
      </c>
      <c r="B27" s="817" t="s">
        <v>758</v>
      </c>
      <c r="C27" s="868">
        <v>282</v>
      </c>
      <c r="D27" s="870">
        <v>22703547.91</v>
      </c>
      <c r="E27" s="869">
        <v>7711827.6363292504</v>
      </c>
      <c r="F27" s="818">
        <f t="shared" si="5"/>
        <v>4627096.5817975495</v>
      </c>
      <c r="G27" s="818">
        <f t="shared" si="6"/>
        <v>3084731.0545317009</v>
      </c>
      <c r="H27" s="819">
        <f t="shared" si="7"/>
        <v>4094288.4154787487</v>
      </c>
      <c r="I27" s="806">
        <f t="shared" si="8"/>
        <v>-1009557.3609470478</v>
      </c>
      <c r="J27" s="820"/>
      <c r="N27" s="806"/>
      <c r="O27" s="806"/>
    </row>
    <row r="28" spans="1:15" ht="12.95" customHeight="1">
      <c r="A28" s="815">
        <f>A27+1</f>
        <v>107</v>
      </c>
      <c r="B28" s="817" t="s">
        <v>759</v>
      </c>
      <c r="C28" s="868">
        <v>282</v>
      </c>
      <c r="D28" s="870">
        <v>-35693415.770000003</v>
      </c>
      <c r="E28" s="869">
        <v>-12124161.001674751</v>
      </c>
      <c r="F28" s="818">
        <f t="shared" si="1"/>
        <v>-7274496.6010048501</v>
      </c>
      <c r="G28" s="820">
        <f t="shared" si="2"/>
        <v>-4849664.4006699007</v>
      </c>
      <c r="H28" s="819">
        <f t="shared" si="3"/>
        <v>-6436841.4696810031</v>
      </c>
      <c r="I28" s="806">
        <f t="shared" si="4"/>
        <v>1587177.0690111024</v>
      </c>
      <c r="J28" s="820"/>
      <c r="N28" s="806"/>
      <c r="O28" s="806"/>
    </row>
    <row r="29" spans="1:15" ht="12.95" customHeight="1">
      <c r="A29" s="815">
        <f>A28+1</f>
        <v>108</v>
      </c>
      <c r="B29" s="794" t="s">
        <v>760</v>
      </c>
      <c r="C29" s="868">
        <v>282</v>
      </c>
      <c r="D29" s="870">
        <v>-21027219.380000003</v>
      </c>
      <c r="E29" s="869">
        <v>-7142420.7429015012</v>
      </c>
      <c r="F29" s="818">
        <f t="shared" si="1"/>
        <v>-4285452.4457409</v>
      </c>
      <c r="G29" s="820">
        <f t="shared" si="2"/>
        <v>-2856968.2971606012</v>
      </c>
      <c r="H29" s="819">
        <f t="shared" si="3"/>
        <v>-3791984.4536432303</v>
      </c>
      <c r="I29" s="806">
        <f t="shared" si="4"/>
        <v>935016.15648262901</v>
      </c>
      <c r="J29" s="820"/>
      <c r="N29" s="806"/>
      <c r="O29" s="806"/>
    </row>
    <row r="30" spans="1:15" ht="12.95" customHeight="1">
      <c r="A30" s="815">
        <f>A29+1</f>
        <v>109</v>
      </c>
      <c r="B30" s="871" t="s">
        <v>594</v>
      </c>
      <c r="C30" s="868"/>
      <c r="D30" s="873"/>
      <c r="E30" s="873"/>
      <c r="F30" s="821">
        <f t="shared" si="1"/>
        <v>0</v>
      </c>
      <c r="G30" s="821">
        <f t="shared" si="2"/>
        <v>0</v>
      </c>
      <c r="H30" s="822">
        <f t="shared" si="3"/>
        <v>0</v>
      </c>
      <c r="I30" s="823">
        <f t="shared" si="4"/>
        <v>0</v>
      </c>
      <c r="J30" s="820"/>
      <c r="N30" s="806"/>
      <c r="O30" s="806"/>
    </row>
    <row r="31" spans="1:15">
      <c r="A31" s="815">
        <v>199</v>
      </c>
      <c r="B31" s="798"/>
      <c r="C31" s="798"/>
      <c r="D31" s="820">
        <f t="shared" ref="D31:I31" si="9">SUM(D22:D30)</f>
        <v>-47910054.27700001</v>
      </c>
      <c r="E31" s="820">
        <f t="shared" si="9"/>
        <v>-16273847.686539978</v>
      </c>
      <c r="F31" s="820">
        <f t="shared" si="9"/>
        <v>-9764308.6119239852</v>
      </c>
      <c r="G31" s="820">
        <f t="shared" si="9"/>
        <v>-6509539.0746159917</v>
      </c>
      <c r="H31" s="820">
        <f t="shared" si="9"/>
        <v>-8639952.7064613402</v>
      </c>
      <c r="I31" s="820">
        <f t="shared" si="9"/>
        <v>2130413.6318453476</v>
      </c>
      <c r="J31" s="820"/>
      <c r="N31" s="806"/>
      <c r="O31" s="806"/>
    </row>
    <row r="32" spans="1:15">
      <c r="D32" s="807"/>
      <c r="E32" s="807"/>
      <c r="F32" s="807"/>
      <c r="G32" s="807"/>
      <c r="H32" s="807"/>
      <c r="J32" s="820"/>
    </row>
    <row r="33" spans="1:23" ht="13.5" customHeight="1" thickBot="1">
      <c r="A33" s="815">
        <v>200</v>
      </c>
      <c r="B33" s="878" t="s">
        <v>761</v>
      </c>
      <c r="C33" s="810"/>
      <c r="D33" s="824">
        <f t="shared" ref="D33:I33" si="10">+D19+D31</f>
        <v>-298481508.00945264</v>
      </c>
      <c r="E33" s="824">
        <f t="shared" si="10"/>
        <v>-101386706.23311082</v>
      </c>
      <c r="F33" s="824">
        <f t="shared" si="10"/>
        <v>-60832023.73986648</v>
      </c>
      <c r="G33" s="824">
        <f t="shared" si="10"/>
        <v>-40554682.493244335</v>
      </c>
      <c r="H33" s="824">
        <f t="shared" si="10"/>
        <v>-53827242.566764504</v>
      </c>
      <c r="I33" s="824">
        <f t="shared" si="10"/>
        <v>13272560.073520161</v>
      </c>
      <c r="J33" s="820"/>
      <c r="R33" s="806"/>
      <c r="S33" s="806"/>
      <c r="T33" s="806"/>
      <c r="U33" s="806"/>
      <c r="V33" s="806"/>
      <c r="W33" s="806"/>
    </row>
    <row r="34" spans="1:23" ht="13.5" thickTop="1">
      <c r="A34" s="815"/>
      <c r="B34" s="825"/>
      <c r="C34" s="825"/>
      <c r="D34" s="820"/>
      <c r="E34" s="820"/>
      <c r="F34" s="820"/>
      <c r="G34" s="820"/>
      <c r="H34" s="820"/>
      <c r="I34" s="820"/>
      <c r="J34" s="820"/>
    </row>
    <row r="35" spans="1:23" ht="12.95" customHeight="1">
      <c r="A35" s="826">
        <v>300</v>
      </c>
      <c r="B35" s="827" t="s">
        <v>762</v>
      </c>
      <c r="C35" s="828"/>
      <c r="D35" s="808"/>
      <c r="E35" s="808"/>
      <c r="F35" s="808"/>
      <c r="G35" s="808"/>
      <c r="H35" s="819"/>
      <c r="J35" s="820"/>
    </row>
    <row r="36" spans="1:23" ht="12.95" customHeight="1">
      <c r="A36" s="826">
        <v>301</v>
      </c>
      <c r="B36" s="817" t="s">
        <v>763</v>
      </c>
      <c r="C36" s="868">
        <v>190</v>
      </c>
      <c r="D36" s="869">
        <v>186258.31</v>
      </c>
      <c r="E36" s="869">
        <v>63267.291449249999</v>
      </c>
      <c r="F36" s="818">
        <f t="shared" ref="F36:F51" si="11">+D36*$I$7</f>
        <v>37960.374869549996</v>
      </c>
      <c r="G36" s="818">
        <f t="shared" ref="G36:G51" si="12">+E36-F36</f>
        <v>25306.916579700002</v>
      </c>
      <c r="H36" s="819">
        <f t="shared" ref="H36:H51" si="13">+G36*$I$8</f>
        <v>33589.254152817099</v>
      </c>
      <c r="I36" s="806">
        <f t="shared" ref="I36:I51" si="14">+G36-H36</f>
        <v>-8282.3375731170963</v>
      </c>
      <c r="J36" s="820"/>
      <c r="P36" s="921"/>
      <c r="Q36" s="921"/>
      <c r="R36" s="921"/>
    </row>
    <row r="37" spans="1:23" ht="12.95" customHeight="1">
      <c r="A37" s="826">
        <v>302</v>
      </c>
      <c r="B37" s="817" t="s">
        <v>764</v>
      </c>
      <c r="C37" s="868">
        <v>190</v>
      </c>
      <c r="D37" s="869">
        <v>7766143.3500000006</v>
      </c>
      <c r="E37" s="869">
        <v>2637964.7424112502</v>
      </c>
      <c r="F37" s="818">
        <f t="shared" si="11"/>
        <v>1582778.8454467501</v>
      </c>
      <c r="G37" s="818">
        <f t="shared" si="12"/>
        <v>1055185.8969645002</v>
      </c>
      <c r="H37" s="819">
        <f t="shared" si="13"/>
        <v>1400522.5472643902</v>
      </c>
      <c r="I37" s="806">
        <f t="shared" si="14"/>
        <v>-345336.65029988997</v>
      </c>
      <c r="J37" s="820"/>
      <c r="P37" s="921"/>
      <c r="Q37" s="921"/>
      <c r="R37" s="921"/>
    </row>
    <row r="38" spans="1:23">
      <c r="A38" s="826">
        <v>303</v>
      </c>
      <c r="B38" s="817" t="s">
        <v>765</v>
      </c>
      <c r="C38" s="868">
        <v>283</v>
      </c>
      <c r="D38" s="869">
        <v>-378023.27</v>
      </c>
      <c r="E38" s="869">
        <v>-128405.05423725001</v>
      </c>
      <c r="F38" s="818">
        <f t="shared" si="11"/>
        <v>-77043.032542350003</v>
      </c>
      <c r="G38" s="818">
        <f t="shared" si="12"/>
        <v>-51362.021694900002</v>
      </c>
      <c r="H38" s="819">
        <f t="shared" si="13"/>
        <v>-68171.560730412501</v>
      </c>
      <c r="I38" s="806">
        <f t="shared" si="14"/>
        <v>16809.539035512498</v>
      </c>
      <c r="J38" s="820"/>
      <c r="P38" s="921"/>
      <c r="Q38" s="921"/>
      <c r="R38" s="921"/>
    </row>
    <row r="39" spans="1:23" ht="12.95" customHeight="1">
      <c r="A39" s="826">
        <v>304</v>
      </c>
      <c r="B39" s="817" t="s">
        <v>766</v>
      </c>
      <c r="C39" s="868">
        <v>190</v>
      </c>
      <c r="D39" s="869">
        <v>530487.19999999995</v>
      </c>
      <c r="E39" s="869">
        <v>180193.23965999999</v>
      </c>
      <c r="F39" s="818">
        <f t="shared" si="11"/>
        <v>108115.94379599998</v>
      </c>
      <c r="G39" s="818">
        <f t="shared" si="12"/>
        <v>72077.295864000014</v>
      </c>
      <c r="H39" s="819">
        <f t="shared" si="13"/>
        <v>95666.439718132926</v>
      </c>
      <c r="I39" s="806">
        <f t="shared" si="14"/>
        <v>-23589.143854132912</v>
      </c>
      <c r="J39" s="820"/>
      <c r="P39" s="921"/>
      <c r="Q39" s="921"/>
      <c r="R39" s="921"/>
    </row>
    <row r="40" spans="1:23" ht="12.95" customHeight="1">
      <c r="A40" s="826">
        <v>305</v>
      </c>
      <c r="B40" s="817" t="s">
        <v>767</v>
      </c>
      <c r="C40" s="868">
        <v>190</v>
      </c>
      <c r="D40" s="869">
        <v>128516.5</v>
      </c>
      <c r="E40" s="869">
        <v>43653.842137500003</v>
      </c>
      <c r="F40" s="818">
        <f t="shared" si="11"/>
        <v>26192.305282499998</v>
      </c>
      <c r="G40" s="818">
        <f t="shared" si="12"/>
        <v>17461.536855000006</v>
      </c>
      <c r="H40" s="829">
        <f t="shared" si="13"/>
        <v>23176.272679219088</v>
      </c>
      <c r="I40" s="806">
        <f t="shared" si="14"/>
        <v>-5714.7358242190821</v>
      </c>
      <c r="J40" s="820"/>
      <c r="P40" s="921"/>
      <c r="Q40" s="921"/>
      <c r="R40" s="921"/>
    </row>
    <row r="41" spans="1:23" ht="12.95" customHeight="1">
      <c r="A41" s="826">
        <v>306</v>
      </c>
      <c r="B41" s="817" t="s">
        <v>768</v>
      </c>
      <c r="C41" s="868">
        <v>190</v>
      </c>
      <c r="D41" s="869">
        <v>20319.93</v>
      </c>
      <c r="E41" s="869">
        <v>6902.1722227500004</v>
      </c>
      <c r="F41" s="818">
        <f t="shared" si="11"/>
        <v>4141.3033336499993</v>
      </c>
      <c r="G41" s="818">
        <f t="shared" si="12"/>
        <v>2760.8688891000011</v>
      </c>
      <c r="H41" s="829">
        <f t="shared" si="13"/>
        <v>3664.4340493449818</v>
      </c>
      <c r="I41" s="806">
        <f t="shared" si="14"/>
        <v>-903.56516024498069</v>
      </c>
      <c r="J41" s="820"/>
      <c r="P41" s="921"/>
      <c r="Q41" s="921"/>
      <c r="R41" s="921"/>
    </row>
    <row r="42" spans="1:23" ht="12.95" customHeight="1">
      <c r="A42" s="826">
        <v>307</v>
      </c>
      <c r="B42" s="817" t="s">
        <v>769</v>
      </c>
      <c r="C42" s="868">
        <v>190</v>
      </c>
      <c r="D42" s="869">
        <v>2992922.5500000003</v>
      </c>
      <c r="E42" s="869">
        <v>1016620.9671712501</v>
      </c>
      <c r="F42" s="818">
        <f t="shared" si="11"/>
        <v>609972.58030274999</v>
      </c>
      <c r="G42" s="818">
        <f t="shared" si="12"/>
        <v>406648.38686850015</v>
      </c>
      <c r="H42" s="829">
        <f t="shared" si="13"/>
        <v>539734.50200234004</v>
      </c>
      <c r="I42" s="806">
        <f t="shared" si="14"/>
        <v>-133086.11513383989</v>
      </c>
      <c r="J42" s="820"/>
      <c r="P42" s="921"/>
      <c r="Q42" s="921"/>
      <c r="R42" s="921"/>
    </row>
    <row r="43" spans="1:23" ht="12.95" customHeight="1">
      <c r="A43" s="826">
        <v>308</v>
      </c>
      <c r="B43" s="817" t="s">
        <v>770</v>
      </c>
      <c r="C43" s="868">
        <v>283</v>
      </c>
      <c r="D43" s="869">
        <v>-9890835.7400000002</v>
      </c>
      <c r="E43" s="869">
        <v>-3359669.6299844999</v>
      </c>
      <c r="F43" s="818">
        <f t="shared" si="11"/>
        <v>-2015801.7779907</v>
      </c>
      <c r="G43" s="818">
        <f t="shared" si="12"/>
        <v>-1343867.8519937999</v>
      </c>
      <c r="H43" s="829">
        <f t="shared" si="13"/>
        <v>-1783683.0767691745</v>
      </c>
      <c r="I43" s="806">
        <f t="shared" si="14"/>
        <v>439815.22477537463</v>
      </c>
      <c r="J43" s="820"/>
      <c r="P43" s="921"/>
      <c r="Q43" s="921"/>
      <c r="R43" s="921"/>
    </row>
    <row r="44" spans="1:23" ht="12.95" customHeight="1">
      <c r="A44" s="826">
        <v>309</v>
      </c>
      <c r="B44" s="817" t="s">
        <v>771</v>
      </c>
      <c r="C44" s="868">
        <v>190</v>
      </c>
      <c r="D44" s="869">
        <v>10088.17</v>
      </c>
      <c r="E44" s="869">
        <v>3426.69914475</v>
      </c>
      <c r="F44" s="818">
        <f t="shared" si="11"/>
        <v>2056.0194868499998</v>
      </c>
      <c r="G44" s="818">
        <f t="shared" si="12"/>
        <v>1370.6796579000002</v>
      </c>
      <c r="H44" s="829">
        <f t="shared" si="13"/>
        <v>1819.2697338810003</v>
      </c>
      <c r="I44" s="806">
        <f t="shared" si="14"/>
        <v>-448.59007598100015</v>
      </c>
      <c r="J44" s="820"/>
      <c r="P44" s="921"/>
      <c r="Q44" s="921"/>
      <c r="R44" s="921"/>
    </row>
    <row r="45" spans="1:23" ht="12.95" customHeight="1">
      <c r="A45" s="826">
        <v>310</v>
      </c>
      <c r="B45" s="817" t="s">
        <v>772</v>
      </c>
      <c r="C45" s="868">
        <v>190</v>
      </c>
      <c r="D45" s="869">
        <v>859042.77</v>
      </c>
      <c r="E45" s="869">
        <v>291795.35289975</v>
      </c>
      <c r="F45" s="818">
        <f t="shared" si="11"/>
        <v>175077.21173985</v>
      </c>
      <c r="G45" s="818">
        <f t="shared" si="12"/>
        <v>116718.1411599</v>
      </c>
      <c r="H45" s="829">
        <f t="shared" si="13"/>
        <v>154917.14667479802</v>
      </c>
      <c r="I45" s="806">
        <f t="shared" si="14"/>
        <v>-38199.005514898017</v>
      </c>
      <c r="J45" s="820"/>
      <c r="P45" s="921"/>
      <c r="Q45" s="921"/>
      <c r="R45" s="921"/>
    </row>
    <row r="46" spans="1:23" ht="12.95" customHeight="1">
      <c r="A46" s="826">
        <v>311</v>
      </c>
      <c r="B46" s="817" t="s">
        <v>773</v>
      </c>
      <c r="C46" s="868">
        <v>283</v>
      </c>
      <c r="D46" s="869">
        <v>-985985.08</v>
      </c>
      <c r="E46" s="869">
        <v>-334914.48204899998</v>
      </c>
      <c r="F46" s="818">
        <f t="shared" si="11"/>
        <v>-200948.68922939998</v>
      </c>
      <c r="G46" s="818">
        <f t="shared" si="12"/>
        <v>-133965.7928196</v>
      </c>
      <c r="H46" s="829">
        <f t="shared" si="13"/>
        <v>-177809.53474239993</v>
      </c>
      <c r="I46" s="806">
        <f t="shared" si="14"/>
        <v>43843.741922799934</v>
      </c>
      <c r="J46" s="820"/>
      <c r="P46" s="921"/>
      <c r="Q46" s="921"/>
      <c r="R46" s="921"/>
    </row>
    <row r="47" spans="1:23" ht="12.95" customHeight="1">
      <c r="A47" s="826">
        <v>312</v>
      </c>
      <c r="B47" s="817" t="s">
        <v>774</v>
      </c>
      <c r="C47" s="868">
        <v>190</v>
      </c>
      <c r="D47" s="869">
        <v>465927.65</v>
      </c>
      <c r="E47" s="869">
        <v>158263.97451375</v>
      </c>
      <c r="F47" s="818">
        <f t="shared" si="11"/>
        <v>94958.38470825</v>
      </c>
      <c r="G47" s="818">
        <f t="shared" si="12"/>
        <v>63305.5898055</v>
      </c>
      <c r="H47" s="829">
        <f t="shared" si="13"/>
        <v>84023.967857728392</v>
      </c>
      <c r="I47" s="806">
        <f t="shared" si="14"/>
        <v>-20718.378052228392</v>
      </c>
      <c r="J47" s="820"/>
      <c r="P47" s="921"/>
      <c r="Q47" s="921"/>
      <c r="R47" s="921"/>
    </row>
    <row r="48" spans="1:23" ht="12.95" customHeight="1">
      <c r="A48" s="826">
        <v>313</v>
      </c>
      <c r="B48" s="817" t="s">
        <v>775</v>
      </c>
      <c r="C48" s="868">
        <v>283</v>
      </c>
      <c r="D48" s="869">
        <v>-1088216.26</v>
      </c>
      <c r="E48" s="869">
        <v>-369639.85811550001</v>
      </c>
      <c r="F48" s="818">
        <f t="shared" si="11"/>
        <v>-221783.91486929997</v>
      </c>
      <c r="G48" s="818">
        <f t="shared" si="12"/>
        <v>-147855.94324620004</v>
      </c>
      <c r="H48" s="829">
        <f t="shared" si="13"/>
        <v>-196245.59317846328</v>
      </c>
      <c r="I48" s="806">
        <f t="shared" si="14"/>
        <v>48389.649932263244</v>
      </c>
      <c r="J48" s="820"/>
      <c r="P48" s="921"/>
      <c r="Q48" s="921"/>
      <c r="R48" s="921"/>
    </row>
    <row r="49" spans="1:18" ht="12.95" customHeight="1">
      <c r="A49" s="826">
        <v>314</v>
      </c>
      <c r="B49" s="817" t="s">
        <v>776</v>
      </c>
      <c r="C49" s="868">
        <v>190</v>
      </c>
      <c r="D49" s="869">
        <v>5648113.3200000003</v>
      </c>
      <c r="E49" s="869">
        <v>1918522.891971</v>
      </c>
      <c r="F49" s="818">
        <f t="shared" ref="F49" si="15">+D49*$I$7</f>
        <v>1151113.7351826001</v>
      </c>
      <c r="G49" s="818">
        <f t="shared" ref="G49" si="16">+E49-F49</f>
        <v>767409.15678839991</v>
      </c>
      <c r="H49" s="829">
        <f t="shared" ref="H49" si="17">+G49*$I$8</f>
        <v>1018563.4873922755</v>
      </c>
      <c r="I49" s="806">
        <f t="shared" ref="I49" si="18">+G49-H49</f>
        <v>-251154.33060387557</v>
      </c>
      <c r="J49" s="820"/>
      <c r="P49" s="921"/>
      <c r="Q49" s="921"/>
      <c r="R49" s="921"/>
    </row>
    <row r="50" spans="1:18">
      <c r="A50" s="826">
        <v>315</v>
      </c>
      <c r="B50" s="817" t="s">
        <v>777</v>
      </c>
      <c r="C50" s="868">
        <v>190</v>
      </c>
      <c r="D50" s="869">
        <v>364754.71</v>
      </c>
      <c r="E50" s="869">
        <v>123898.05611925</v>
      </c>
      <c r="F50" s="818">
        <f t="shared" si="11"/>
        <v>74338.833671550005</v>
      </c>
      <c r="G50" s="818">
        <f t="shared" si="12"/>
        <v>49559.222447699998</v>
      </c>
      <c r="H50" s="829">
        <f t="shared" si="13"/>
        <v>65778.749187765614</v>
      </c>
      <c r="I50" s="806">
        <f t="shared" si="14"/>
        <v>-16219.526740065616</v>
      </c>
      <c r="J50" s="820"/>
      <c r="P50" s="921"/>
      <c r="Q50" s="921"/>
      <c r="R50" s="921"/>
    </row>
    <row r="51" spans="1:18">
      <c r="A51" s="826">
        <v>316</v>
      </c>
      <c r="B51" s="871" t="s">
        <v>594</v>
      </c>
      <c r="C51" s="874"/>
      <c r="D51" s="875"/>
      <c r="E51" s="875"/>
      <c r="F51" s="818">
        <f t="shared" si="11"/>
        <v>0</v>
      </c>
      <c r="G51" s="821">
        <f t="shared" si="12"/>
        <v>0</v>
      </c>
      <c r="H51" s="819">
        <f t="shared" si="13"/>
        <v>0</v>
      </c>
      <c r="I51" s="806">
        <f t="shared" si="14"/>
        <v>0</v>
      </c>
      <c r="J51" s="820"/>
      <c r="P51" s="921"/>
      <c r="Q51" s="921"/>
      <c r="R51" s="921"/>
    </row>
    <row r="52" spans="1:18" ht="12.95" customHeight="1">
      <c r="A52" s="815">
        <v>400</v>
      </c>
      <c r="B52" s="810" t="s">
        <v>778</v>
      </c>
      <c r="C52" s="810"/>
      <c r="D52" s="830">
        <f t="shared" ref="D52:I52" si="19">SUM(D36:D51)</f>
        <v>6629514.1100000003</v>
      </c>
      <c r="E52" s="830">
        <f t="shared" si="19"/>
        <v>2251880.2053142511</v>
      </c>
      <c r="F52" s="830">
        <f t="shared" si="19"/>
        <v>1351128.1231885508</v>
      </c>
      <c r="G52" s="831">
        <f t="shared" si="19"/>
        <v>900752.08212570031</v>
      </c>
      <c r="H52" s="832">
        <f t="shared" si="19"/>
        <v>1195546.3052922424</v>
      </c>
      <c r="I52" s="830">
        <f t="shared" si="19"/>
        <v>-294794.22316654224</v>
      </c>
      <c r="J52" s="820"/>
      <c r="P52" s="921"/>
      <c r="Q52" s="921"/>
      <c r="R52" s="921"/>
    </row>
    <row r="53" spans="1:18">
      <c r="A53" s="797"/>
      <c r="B53" s="798"/>
      <c r="C53" s="798"/>
      <c r="D53" s="809"/>
      <c r="E53" s="830">
        <f>+E32+E51</f>
        <v>0</v>
      </c>
      <c r="F53" s="809"/>
      <c r="G53" s="809"/>
      <c r="H53" s="819"/>
      <c r="J53" s="820"/>
      <c r="P53" s="921"/>
      <c r="Q53" s="921"/>
      <c r="R53" s="921"/>
    </row>
    <row r="54" spans="1:18" ht="12.95" customHeight="1">
      <c r="A54" s="815">
        <v>500</v>
      </c>
      <c r="B54" s="810" t="s">
        <v>779</v>
      </c>
      <c r="C54" s="810"/>
      <c r="D54" s="830">
        <f>+D33+D52</f>
        <v>-291851993.89945263</v>
      </c>
      <c r="E54" s="830">
        <f>+E33+E52</f>
        <v>-99134826.027796566</v>
      </c>
      <c r="F54" s="830">
        <f>+F33+F52</f>
        <v>-59480895.616677932</v>
      </c>
      <c r="G54" s="830">
        <f>+G33+G52</f>
        <v>-39653930.411118634</v>
      </c>
      <c r="H54" s="830">
        <f>+H33+H52</f>
        <v>-52631696.261472262</v>
      </c>
      <c r="I54" s="830">
        <f>+I33+I52</f>
        <v>12977765.850353619</v>
      </c>
      <c r="J54" s="820"/>
      <c r="P54" s="921"/>
      <c r="Q54" s="921"/>
      <c r="R54" s="921"/>
    </row>
    <row r="55" spans="1:18">
      <c r="D55" s="819"/>
      <c r="H55" s="833"/>
      <c r="J55" s="820"/>
    </row>
    <row r="56" spans="1:18">
      <c r="A56" s="384" t="s">
        <v>555</v>
      </c>
      <c r="B56" s="788"/>
      <c r="C56" s="788"/>
      <c r="D56" s="788"/>
      <c r="E56" s="788"/>
      <c r="F56" s="788"/>
      <c r="G56" s="788"/>
      <c r="H56" s="834"/>
      <c r="I56" s="788"/>
      <c r="J56" s="820"/>
    </row>
    <row r="57" spans="1:18" ht="38.1" customHeight="1">
      <c r="A57" s="835" t="s">
        <v>387</v>
      </c>
      <c r="B57" s="1010" t="s">
        <v>780</v>
      </c>
      <c r="C57" s="1010"/>
      <c r="D57" s="1010"/>
      <c r="E57" s="1010"/>
      <c r="F57" s="1010"/>
      <c r="G57" s="1010"/>
      <c r="H57" s="1010"/>
      <c r="I57" s="1010"/>
      <c r="J57" s="820"/>
    </row>
    <row r="58" spans="1:18" ht="49.9" customHeight="1">
      <c r="A58" s="835" t="s">
        <v>389</v>
      </c>
      <c r="B58" s="1010" t="s">
        <v>781</v>
      </c>
      <c r="C58" s="1010"/>
      <c r="D58" s="1010"/>
      <c r="E58" s="1010"/>
      <c r="F58" s="1010"/>
      <c r="G58" s="1010"/>
      <c r="H58" s="1010"/>
      <c r="I58" s="1010"/>
      <c r="J58" s="857"/>
    </row>
    <row r="60" spans="1:18">
      <c r="H60" s="761"/>
    </row>
    <row r="61" spans="1:18">
      <c r="H61" s="833"/>
    </row>
    <row r="62" spans="1:18">
      <c r="H62" s="833"/>
    </row>
  </sheetData>
  <mergeCells count="7">
    <mergeCell ref="A1:I1"/>
    <mergeCell ref="A2:I2"/>
    <mergeCell ref="A4:I4"/>
    <mergeCell ref="B58:I58"/>
    <mergeCell ref="D11:I11"/>
    <mergeCell ref="B57:I57"/>
    <mergeCell ref="A3:I3"/>
  </mergeCells>
  <printOptions horizontalCentered="1"/>
  <pageMargins left="0.5" right="0.5" top="0.75" bottom="0.5" header="0.3" footer="0.3"/>
  <pageSetup scale="75" orientation="portrait" verticalDpi="300" r:id="rId1"/>
  <colBreaks count="1" manualBreakCount="1">
    <brk id="9" max="1048575" man="1"/>
  </colBreaks>
  <ignoredErrors>
    <ignoredError sqref="H30:H51 H28:H29 H15:H2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74"/>
  <sheetViews>
    <sheetView topLeftCell="A46" workbookViewId="0">
      <selection activeCell="J63" sqref="J63"/>
    </sheetView>
  </sheetViews>
  <sheetFormatPr defaultColWidth="7.109375" defaultRowHeight="12.75"/>
  <cols>
    <col min="1" max="1" width="2.109375" style="204" customWidth="1"/>
    <col min="2" max="2" width="3.5546875" style="204" customWidth="1"/>
    <col min="3" max="4" width="1.6640625" style="204" customWidth="1"/>
    <col min="5" max="5" width="6.44140625" style="204" customWidth="1"/>
    <col min="6" max="6" width="52.5546875" style="204" customWidth="1"/>
    <col min="7" max="7" width="1.6640625" style="204" customWidth="1"/>
    <col min="8" max="8" width="8.21875" style="311" customWidth="1"/>
    <col min="9" max="9" width="8.21875" style="204" customWidth="1"/>
    <col min="10" max="256" width="7.109375" style="204"/>
    <col min="257" max="257" width="10.21875" style="204" customWidth="1"/>
    <col min="258" max="258" width="3.5546875" style="204" customWidth="1"/>
    <col min="259" max="260" width="1.6640625" style="204" customWidth="1"/>
    <col min="261" max="261" width="4" style="204" customWidth="1"/>
    <col min="262" max="262" width="24.21875" style="204" customWidth="1"/>
    <col min="263" max="263" width="1.6640625" style="204" customWidth="1"/>
    <col min="264" max="265" width="8.21875" style="204" customWidth="1"/>
    <col min="266" max="512" width="7.109375" style="204"/>
    <col min="513" max="513" width="10.21875" style="204" customWidth="1"/>
    <col min="514" max="514" width="3.5546875" style="204" customWidth="1"/>
    <col min="515" max="516" width="1.6640625" style="204" customWidth="1"/>
    <col min="517" max="517" width="4" style="204" customWidth="1"/>
    <col min="518" max="518" width="24.21875" style="204" customWidth="1"/>
    <col min="519" max="519" width="1.6640625" style="204" customWidth="1"/>
    <col min="520" max="521" width="8.21875" style="204" customWidth="1"/>
    <col min="522" max="768" width="7.109375" style="204"/>
    <col min="769" max="769" width="10.21875" style="204" customWidth="1"/>
    <col min="770" max="770" width="3.5546875" style="204" customWidth="1"/>
    <col min="771" max="772" width="1.6640625" style="204" customWidth="1"/>
    <col min="773" max="773" width="4" style="204" customWidth="1"/>
    <col min="774" max="774" width="24.21875" style="204" customWidth="1"/>
    <col min="775" max="775" width="1.6640625" style="204" customWidth="1"/>
    <col min="776" max="777" width="8.21875" style="204" customWidth="1"/>
    <col min="778" max="1024" width="7.109375" style="204"/>
    <col min="1025" max="1025" width="10.21875" style="204" customWidth="1"/>
    <col min="1026" max="1026" width="3.5546875" style="204" customWidth="1"/>
    <col min="1027" max="1028" width="1.6640625" style="204" customWidth="1"/>
    <col min="1029" max="1029" width="4" style="204" customWidth="1"/>
    <col min="1030" max="1030" width="24.21875" style="204" customWidth="1"/>
    <col min="1031" max="1031" width="1.6640625" style="204" customWidth="1"/>
    <col min="1032" max="1033" width="8.21875" style="204" customWidth="1"/>
    <col min="1034" max="1280" width="7.109375" style="204"/>
    <col min="1281" max="1281" width="10.21875" style="204" customWidth="1"/>
    <col min="1282" max="1282" width="3.5546875" style="204" customWidth="1"/>
    <col min="1283" max="1284" width="1.6640625" style="204" customWidth="1"/>
    <col min="1285" max="1285" width="4" style="204" customWidth="1"/>
    <col min="1286" max="1286" width="24.21875" style="204" customWidth="1"/>
    <col min="1287" max="1287" width="1.6640625" style="204" customWidth="1"/>
    <col min="1288" max="1289" width="8.21875" style="204" customWidth="1"/>
    <col min="1290" max="1536" width="7.109375" style="204"/>
    <col min="1537" max="1537" width="10.21875" style="204" customWidth="1"/>
    <col min="1538" max="1538" width="3.5546875" style="204" customWidth="1"/>
    <col min="1539" max="1540" width="1.6640625" style="204" customWidth="1"/>
    <col min="1541" max="1541" width="4" style="204" customWidth="1"/>
    <col min="1542" max="1542" width="24.21875" style="204" customWidth="1"/>
    <col min="1543" max="1543" width="1.6640625" style="204" customWidth="1"/>
    <col min="1544" max="1545" width="8.21875" style="204" customWidth="1"/>
    <col min="1546" max="1792" width="7.109375" style="204"/>
    <col min="1793" max="1793" width="10.21875" style="204" customWidth="1"/>
    <col min="1794" max="1794" width="3.5546875" style="204" customWidth="1"/>
    <col min="1795" max="1796" width="1.6640625" style="204" customWidth="1"/>
    <col min="1797" max="1797" width="4" style="204" customWidth="1"/>
    <col min="1798" max="1798" width="24.21875" style="204" customWidth="1"/>
    <col min="1799" max="1799" width="1.6640625" style="204" customWidth="1"/>
    <col min="1800" max="1801" width="8.21875" style="204" customWidth="1"/>
    <col min="1802" max="2048" width="7.109375" style="204"/>
    <col min="2049" max="2049" width="10.21875" style="204" customWidth="1"/>
    <col min="2050" max="2050" width="3.5546875" style="204" customWidth="1"/>
    <col min="2051" max="2052" width="1.6640625" style="204" customWidth="1"/>
    <col min="2053" max="2053" width="4" style="204" customWidth="1"/>
    <col min="2054" max="2054" width="24.21875" style="204" customWidth="1"/>
    <col min="2055" max="2055" width="1.6640625" style="204" customWidth="1"/>
    <col min="2056" max="2057" width="8.21875" style="204" customWidth="1"/>
    <col min="2058" max="2304" width="7.109375" style="204"/>
    <col min="2305" max="2305" width="10.21875" style="204" customWidth="1"/>
    <col min="2306" max="2306" width="3.5546875" style="204" customWidth="1"/>
    <col min="2307" max="2308" width="1.6640625" style="204" customWidth="1"/>
    <col min="2309" max="2309" width="4" style="204" customWidth="1"/>
    <col min="2310" max="2310" width="24.21875" style="204" customWidth="1"/>
    <col min="2311" max="2311" width="1.6640625" style="204" customWidth="1"/>
    <col min="2312" max="2313" width="8.21875" style="204" customWidth="1"/>
    <col min="2314" max="2560" width="7.109375" style="204"/>
    <col min="2561" max="2561" width="10.21875" style="204" customWidth="1"/>
    <col min="2562" max="2562" width="3.5546875" style="204" customWidth="1"/>
    <col min="2563" max="2564" width="1.6640625" style="204" customWidth="1"/>
    <col min="2565" max="2565" width="4" style="204" customWidth="1"/>
    <col min="2566" max="2566" width="24.21875" style="204" customWidth="1"/>
    <col min="2567" max="2567" width="1.6640625" style="204" customWidth="1"/>
    <col min="2568" max="2569" width="8.21875" style="204" customWidth="1"/>
    <col min="2570" max="2816" width="7.109375" style="204"/>
    <col min="2817" max="2817" width="10.21875" style="204" customWidth="1"/>
    <col min="2818" max="2818" width="3.5546875" style="204" customWidth="1"/>
    <col min="2819" max="2820" width="1.6640625" style="204" customWidth="1"/>
    <col min="2821" max="2821" width="4" style="204" customWidth="1"/>
    <col min="2822" max="2822" width="24.21875" style="204" customWidth="1"/>
    <col min="2823" max="2823" width="1.6640625" style="204" customWidth="1"/>
    <col min="2824" max="2825" width="8.21875" style="204" customWidth="1"/>
    <col min="2826" max="3072" width="7.109375" style="204"/>
    <col min="3073" max="3073" width="10.21875" style="204" customWidth="1"/>
    <col min="3074" max="3074" width="3.5546875" style="204" customWidth="1"/>
    <col min="3075" max="3076" width="1.6640625" style="204" customWidth="1"/>
    <col min="3077" max="3077" width="4" style="204" customWidth="1"/>
    <col min="3078" max="3078" width="24.21875" style="204" customWidth="1"/>
    <col min="3079" max="3079" width="1.6640625" style="204" customWidth="1"/>
    <col min="3080" max="3081" width="8.21875" style="204" customWidth="1"/>
    <col min="3082" max="3328" width="7.109375" style="204"/>
    <col min="3329" max="3329" width="10.21875" style="204" customWidth="1"/>
    <col min="3330" max="3330" width="3.5546875" style="204" customWidth="1"/>
    <col min="3331" max="3332" width="1.6640625" style="204" customWidth="1"/>
    <col min="3333" max="3333" width="4" style="204" customWidth="1"/>
    <col min="3334" max="3334" width="24.21875" style="204" customWidth="1"/>
    <col min="3335" max="3335" width="1.6640625" style="204" customWidth="1"/>
    <col min="3336" max="3337" width="8.21875" style="204" customWidth="1"/>
    <col min="3338" max="3584" width="7.109375" style="204"/>
    <col min="3585" max="3585" width="10.21875" style="204" customWidth="1"/>
    <col min="3586" max="3586" width="3.5546875" style="204" customWidth="1"/>
    <col min="3587" max="3588" width="1.6640625" style="204" customWidth="1"/>
    <col min="3589" max="3589" width="4" style="204" customWidth="1"/>
    <col min="3590" max="3590" width="24.21875" style="204" customWidth="1"/>
    <col min="3591" max="3591" width="1.6640625" style="204" customWidth="1"/>
    <col min="3592" max="3593" width="8.21875" style="204" customWidth="1"/>
    <col min="3594" max="3840" width="7.109375" style="204"/>
    <col min="3841" max="3841" width="10.21875" style="204" customWidth="1"/>
    <col min="3842" max="3842" width="3.5546875" style="204" customWidth="1"/>
    <col min="3843" max="3844" width="1.6640625" style="204" customWidth="1"/>
    <col min="3845" max="3845" width="4" style="204" customWidth="1"/>
    <col min="3846" max="3846" width="24.21875" style="204" customWidth="1"/>
    <col min="3847" max="3847" width="1.6640625" style="204" customWidth="1"/>
    <col min="3848" max="3849" width="8.21875" style="204" customWidth="1"/>
    <col min="3850" max="4096" width="7.109375" style="204"/>
    <col min="4097" max="4097" width="10.21875" style="204" customWidth="1"/>
    <col min="4098" max="4098" width="3.5546875" style="204" customWidth="1"/>
    <col min="4099" max="4100" width="1.6640625" style="204" customWidth="1"/>
    <col min="4101" max="4101" width="4" style="204" customWidth="1"/>
    <col min="4102" max="4102" width="24.21875" style="204" customWidth="1"/>
    <col min="4103" max="4103" width="1.6640625" style="204" customWidth="1"/>
    <col min="4104" max="4105" width="8.21875" style="204" customWidth="1"/>
    <col min="4106" max="4352" width="7.109375" style="204"/>
    <col min="4353" max="4353" width="10.21875" style="204" customWidth="1"/>
    <col min="4354" max="4354" width="3.5546875" style="204" customWidth="1"/>
    <col min="4355" max="4356" width="1.6640625" style="204" customWidth="1"/>
    <col min="4357" max="4357" width="4" style="204" customWidth="1"/>
    <col min="4358" max="4358" width="24.21875" style="204" customWidth="1"/>
    <col min="4359" max="4359" width="1.6640625" style="204" customWidth="1"/>
    <col min="4360" max="4361" width="8.21875" style="204" customWidth="1"/>
    <col min="4362" max="4608" width="7.109375" style="204"/>
    <col min="4609" max="4609" width="10.21875" style="204" customWidth="1"/>
    <col min="4610" max="4610" width="3.5546875" style="204" customWidth="1"/>
    <col min="4611" max="4612" width="1.6640625" style="204" customWidth="1"/>
    <col min="4613" max="4613" width="4" style="204" customWidth="1"/>
    <col min="4614" max="4614" width="24.21875" style="204" customWidth="1"/>
    <col min="4615" max="4615" width="1.6640625" style="204" customWidth="1"/>
    <col min="4616" max="4617" width="8.21875" style="204" customWidth="1"/>
    <col min="4618" max="4864" width="7.109375" style="204"/>
    <col min="4865" max="4865" width="10.21875" style="204" customWidth="1"/>
    <col min="4866" max="4866" width="3.5546875" style="204" customWidth="1"/>
    <col min="4867" max="4868" width="1.6640625" style="204" customWidth="1"/>
    <col min="4869" max="4869" width="4" style="204" customWidth="1"/>
    <col min="4870" max="4870" width="24.21875" style="204" customWidth="1"/>
    <col min="4871" max="4871" width="1.6640625" style="204" customWidth="1"/>
    <col min="4872" max="4873" width="8.21875" style="204" customWidth="1"/>
    <col min="4874" max="5120" width="7.109375" style="204"/>
    <col min="5121" max="5121" width="10.21875" style="204" customWidth="1"/>
    <col min="5122" max="5122" width="3.5546875" style="204" customWidth="1"/>
    <col min="5123" max="5124" width="1.6640625" style="204" customWidth="1"/>
    <col min="5125" max="5125" width="4" style="204" customWidth="1"/>
    <col min="5126" max="5126" width="24.21875" style="204" customWidth="1"/>
    <col min="5127" max="5127" width="1.6640625" style="204" customWidth="1"/>
    <col min="5128" max="5129" width="8.21875" style="204" customWidth="1"/>
    <col min="5130" max="5376" width="7.109375" style="204"/>
    <col min="5377" max="5377" width="10.21875" style="204" customWidth="1"/>
    <col min="5378" max="5378" width="3.5546875" style="204" customWidth="1"/>
    <col min="5379" max="5380" width="1.6640625" style="204" customWidth="1"/>
    <col min="5381" max="5381" width="4" style="204" customWidth="1"/>
    <col min="5382" max="5382" width="24.21875" style="204" customWidth="1"/>
    <col min="5383" max="5383" width="1.6640625" style="204" customWidth="1"/>
    <col min="5384" max="5385" width="8.21875" style="204" customWidth="1"/>
    <col min="5386" max="5632" width="7.109375" style="204"/>
    <col min="5633" max="5633" width="10.21875" style="204" customWidth="1"/>
    <col min="5634" max="5634" width="3.5546875" style="204" customWidth="1"/>
    <col min="5635" max="5636" width="1.6640625" style="204" customWidth="1"/>
    <col min="5637" max="5637" width="4" style="204" customWidth="1"/>
    <col min="5638" max="5638" width="24.21875" style="204" customWidth="1"/>
    <col min="5639" max="5639" width="1.6640625" style="204" customWidth="1"/>
    <col min="5640" max="5641" width="8.21875" style="204" customWidth="1"/>
    <col min="5642" max="5888" width="7.109375" style="204"/>
    <col min="5889" max="5889" width="10.21875" style="204" customWidth="1"/>
    <col min="5890" max="5890" width="3.5546875" style="204" customWidth="1"/>
    <col min="5891" max="5892" width="1.6640625" style="204" customWidth="1"/>
    <col min="5893" max="5893" width="4" style="204" customWidth="1"/>
    <col min="5894" max="5894" width="24.21875" style="204" customWidth="1"/>
    <col min="5895" max="5895" width="1.6640625" style="204" customWidth="1"/>
    <col min="5896" max="5897" width="8.21875" style="204" customWidth="1"/>
    <col min="5898" max="6144" width="7.109375" style="204"/>
    <col min="6145" max="6145" width="10.21875" style="204" customWidth="1"/>
    <col min="6146" max="6146" width="3.5546875" style="204" customWidth="1"/>
    <col min="6147" max="6148" width="1.6640625" style="204" customWidth="1"/>
    <col min="6149" max="6149" width="4" style="204" customWidth="1"/>
    <col min="6150" max="6150" width="24.21875" style="204" customWidth="1"/>
    <col min="6151" max="6151" width="1.6640625" style="204" customWidth="1"/>
    <col min="6152" max="6153" width="8.21875" style="204" customWidth="1"/>
    <col min="6154" max="6400" width="7.109375" style="204"/>
    <col min="6401" max="6401" width="10.21875" style="204" customWidth="1"/>
    <col min="6402" max="6402" width="3.5546875" style="204" customWidth="1"/>
    <col min="6403" max="6404" width="1.6640625" style="204" customWidth="1"/>
    <col min="6405" max="6405" width="4" style="204" customWidth="1"/>
    <col min="6406" max="6406" width="24.21875" style="204" customWidth="1"/>
    <col min="6407" max="6407" width="1.6640625" style="204" customWidth="1"/>
    <col min="6408" max="6409" width="8.21875" style="204" customWidth="1"/>
    <col min="6410" max="6656" width="7.109375" style="204"/>
    <col min="6657" max="6657" width="10.21875" style="204" customWidth="1"/>
    <col min="6658" max="6658" width="3.5546875" style="204" customWidth="1"/>
    <col min="6659" max="6660" width="1.6640625" style="204" customWidth="1"/>
    <col min="6661" max="6661" width="4" style="204" customWidth="1"/>
    <col min="6662" max="6662" width="24.21875" style="204" customWidth="1"/>
    <col min="6663" max="6663" width="1.6640625" style="204" customWidth="1"/>
    <col min="6664" max="6665" width="8.21875" style="204" customWidth="1"/>
    <col min="6666" max="6912" width="7.109375" style="204"/>
    <col min="6913" max="6913" width="10.21875" style="204" customWidth="1"/>
    <col min="6914" max="6914" width="3.5546875" style="204" customWidth="1"/>
    <col min="6915" max="6916" width="1.6640625" style="204" customWidth="1"/>
    <col min="6917" max="6917" width="4" style="204" customWidth="1"/>
    <col min="6918" max="6918" width="24.21875" style="204" customWidth="1"/>
    <col min="6919" max="6919" width="1.6640625" style="204" customWidth="1"/>
    <col min="6920" max="6921" width="8.21875" style="204" customWidth="1"/>
    <col min="6922" max="7168" width="7.109375" style="204"/>
    <col min="7169" max="7169" width="10.21875" style="204" customWidth="1"/>
    <col min="7170" max="7170" width="3.5546875" style="204" customWidth="1"/>
    <col min="7171" max="7172" width="1.6640625" style="204" customWidth="1"/>
    <col min="7173" max="7173" width="4" style="204" customWidth="1"/>
    <col min="7174" max="7174" width="24.21875" style="204" customWidth="1"/>
    <col min="7175" max="7175" width="1.6640625" style="204" customWidth="1"/>
    <col min="7176" max="7177" width="8.21875" style="204" customWidth="1"/>
    <col min="7178" max="7424" width="7.109375" style="204"/>
    <col min="7425" max="7425" width="10.21875" style="204" customWidth="1"/>
    <col min="7426" max="7426" width="3.5546875" style="204" customWidth="1"/>
    <col min="7427" max="7428" width="1.6640625" style="204" customWidth="1"/>
    <col min="7429" max="7429" width="4" style="204" customWidth="1"/>
    <col min="7430" max="7430" width="24.21875" style="204" customWidth="1"/>
    <col min="7431" max="7431" width="1.6640625" style="204" customWidth="1"/>
    <col min="7432" max="7433" width="8.21875" style="204" customWidth="1"/>
    <col min="7434" max="7680" width="7.109375" style="204"/>
    <col min="7681" max="7681" width="10.21875" style="204" customWidth="1"/>
    <col min="7682" max="7682" width="3.5546875" style="204" customWidth="1"/>
    <col min="7683" max="7684" width="1.6640625" style="204" customWidth="1"/>
    <col min="7685" max="7685" width="4" style="204" customWidth="1"/>
    <col min="7686" max="7686" width="24.21875" style="204" customWidth="1"/>
    <col min="7687" max="7687" width="1.6640625" style="204" customWidth="1"/>
    <col min="7688" max="7689" width="8.21875" style="204" customWidth="1"/>
    <col min="7690" max="7936" width="7.109375" style="204"/>
    <col min="7937" max="7937" width="10.21875" style="204" customWidth="1"/>
    <col min="7938" max="7938" width="3.5546875" style="204" customWidth="1"/>
    <col min="7939" max="7940" width="1.6640625" style="204" customWidth="1"/>
    <col min="7941" max="7941" width="4" style="204" customWidth="1"/>
    <col min="7942" max="7942" width="24.21875" style="204" customWidth="1"/>
    <col min="7943" max="7943" width="1.6640625" style="204" customWidth="1"/>
    <col min="7944" max="7945" width="8.21875" style="204" customWidth="1"/>
    <col min="7946" max="8192" width="7.109375" style="204"/>
    <col min="8193" max="8193" width="10.21875" style="204" customWidth="1"/>
    <col min="8194" max="8194" width="3.5546875" style="204" customWidth="1"/>
    <col min="8195" max="8196" width="1.6640625" style="204" customWidth="1"/>
    <col min="8197" max="8197" width="4" style="204" customWidth="1"/>
    <col min="8198" max="8198" width="24.21875" style="204" customWidth="1"/>
    <col min="8199" max="8199" width="1.6640625" style="204" customWidth="1"/>
    <col min="8200" max="8201" width="8.21875" style="204" customWidth="1"/>
    <col min="8202" max="8448" width="7.109375" style="204"/>
    <col min="8449" max="8449" width="10.21875" style="204" customWidth="1"/>
    <col min="8450" max="8450" width="3.5546875" style="204" customWidth="1"/>
    <col min="8451" max="8452" width="1.6640625" style="204" customWidth="1"/>
    <col min="8453" max="8453" width="4" style="204" customWidth="1"/>
    <col min="8454" max="8454" width="24.21875" style="204" customWidth="1"/>
    <col min="8455" max="8455" width="1.6640625" style="204" customWidth="1"/>
    <col min="8456" max="8457" width="8.21875" style="204" customWidth="1"/>
    <col min="8458" max="8704" width="7.109375" style="204"/>
    <col min="8705" max="8705" width="10.21875" style="204" customWidth="1"/>
    <col min="8706" max="8706" width="3.5546875" style="204" customWidth="1"/>
    <col min="8707" max="8708" width="1.6640625" style="204" customWidth="1"/>
    <col min="8709" max="8709" width="4" style="204" customWidth="1"/>
    <col min="8710" max="8710" width="24.21875" style="204" customWidth="1"/>
    <col min="8711" max="8711" width="1.6640625" style="204" customWidth="1"/>
    <col min="8712" max="8713" width="8.21875" style="204" customWidth="1"/>
    <col min="8714" max="8960" width="7.109375" style="204"/>
    <col min="8961" max="8961" width="10.21875" style="204" customWidth="1"/>
    <col min="8962" max="8962" width="3.5546875" style="204" customWidth="1"/>
    <col min="8963" max="8964" width="1.6640625" style="204" customWidth="1"/>
    <col min="8965" max="8965" width="4" style="204" customWidth="1"/>
    <col min="8966" max="8966" width="24.21875" style="204" customWidth="1"/>
    <col min="8967" max="8967" width="1.6640625" style="204" customWidth="1"/>
    <col min="8968" max="8969" width="8.21875" style="204" customWidth="1"/>
    <col min="8970" max="9216" width="7.109375" style="204"/>
    <col min="9217" max="9217" width="10.21875" style="204" customWidth="1"/>
    <col min="9218" max="9218" width="3.5546875" style="204" customWidth="1"/>
    <col min="9219" max="9220" width="1.6640625" style="204" customWidth="1"/>
    <col min="9221" max="9221" width="4" style="204" customWidth="1"/>
    <col min="9222" max="9222" width="24.21875" style="204" customWidth="1"/>
    <col min="9223" max="9223" width="1.6640625" style="204" customWidth="1"/>
    <col min="9224" max="9225" width="8.21875" style="204" customWidth="1"/>
    <col min="9226" max="9472" width="7.109375" style="204"/>
    <col min="9473" max="9473" width="10.21875" style="204" customWidth="1"/>
    <col min="9474" max="9474" width="3.5546875" style="204" customWidth="1"/>
    <col min="9475" max="9476" width="1.6640625" style="204" customWidth="1"/>
    <col min="9477" max="9477" width="4" style="204" customWidth="1"/>
    <col min="9478" max="9478" width="24.21875" style="204" customWidth="1"/>
    <col min="9479" max="9479" width="1.6640625" style="204" customWidth="1"/>
    <col min="9480" max="9481" width="8.21875" style="204" customWidth="1"/>
    <col min="9482" max="9728" width="7.109375" style="204"/>
    <col min="9729" max="9729" width="10.21875" style="204" customWidth="1"/>
    <col min="9730" max="9730" width="3.5546875" style="204" customWidth="1"/>
    <col min="9731" max="9732" width="1.6640625" style="204" customWidth="1"/>
    <col min="9733" max="9733" width="4" style="204" customWidth="1"/>
    <col min="9734" max="9734" width="24.21875" style="204" customWidth="1"/>
    <col min="9735" max="9735" width="1.6640625" style="204" customWidth="1"/>
    <col min="9736" max="9737" width="8.21875" style="204" customWidth="1"/>
    <col min="9738" max="9984" width="7.109375" style="204"/>
    <col min="9985" max="9985" width="10.21875" style="204" customWidth="1"/>
    <col min="9986" max="9986" width="3.5546875" style="204" customWidth="1"/>
    <col min="9987" max="9988" width="1.6640625" style="204" customWidth="1"/>
    <col min="9989" max="9989" width="4" style="204" customWidth="1"/>
    <col min="9990" max="9990" width="24.21875" style="204" customWidth="1"/>
    <col min="9991" max="9991" width="1.6640625" style="204" customWidth="1"/>
    <col min="9992" max="9993" width="8.21875" style="204" customWidth="1"/>
    <col min="9994" max="10240" width="7.109375" style="204"/>
    <col min="10241" max="10241" width="10.21875" style="204" customWidth="1"/>
    <col min="10242" max="10242" width="3.5546875" style="204" customWidth="1"/>
    <col min="10243" max="10244" width="1.6640625" style="204" customWidth="1"/>
    <col min="10245" max="10245" width="4" style="204" customWidth="1"/>
    <col min="10246" max="10246" width="24.21875" style="204" customWidth="1"/>
    <col min="10247" max="10247" width="1.6640625" style="204" customWidth="1"/>
    <col min="10248" max="10249" width="8.21875" style="204" customWidth="1"/>
    <col min="10250" max="10496" width="7.109375" style="204"/>
    <col min="10497" max="10497" width="10.21875" style="204" customWidth="1"/>
    <col min="10498" max="10498" width="3.5546875" style="204" customWidth="1"/>
    <col min="10499" max="10500" width="1.6640625" style="204" customWidth="1"/>
    <col min="10501" max="10501" width="4" style="204" customWidth="1"/>
    <col min="10502" max="10502" width="24.21875" style="204" customWidth="1"/>
    <col min="10503" max="10503" width="1.6640625" style="204" customWidth="1"/>
    <col min="10504" max="10505" width="8.21875" style="204" customWidth="1"/>
    <col min="10506" max="10752" width="7.109375" style="204"/>
    <col min="10753" max="10753" width="10.21875" style="204" customWidth="1"/>
    <col min="10754" max="10754" width="3.5546875" style="204" customWidth="1"/>
    <col min="10755" max="10756" width="1.6640625" style="204" customWidth="1"/>
    <col min="10757" max="10757" width="4" style="204" customWidth="1"/>
    <col min="10758" max="10758" width="24.21875" style="204" customWidth="1"/>
    <col min="10759" max="10759" width="1.6640625" style="204" customWidth="1"/>
    <col min="10760" max="10761" width="8.21875" style="204" customWidth="1"/>
    <col min="10762" max="11008" width="7.109375" style="204"/>
    <col min="11009" max="11009" width="10.21875" style="204" customWidth="1"/>
    <col min="11010" max="11010" width="3.5546875" style="204" customWidth="1"/>
    <col min="11011" max="11012" width="1.6640625" style="204" customWidth="1"/>
    <col min="11013" max="11013" width="4" style="204" customWidth="1"/>
    <col min="11014" max="11014" width="24.21875" style="204" customWidth="1"/>
    <col min="11015" max="11015" width="1.6640625" style="204" customWidth="1"/>
    <col min="11016" max="11017" width="8.21875" style="204" customWidth="1"/>
    <col min="11018" max="11264" width="7.109375" style="204"/>
    <col min="11265" max="11265" width="10.21875" style="204" customWidth="1"/>
    <col min="11266" max="11266" width="3.5546875" style="204" customWidth="1"/>
    <col min="11267" max="11268" width="1.6640625" style="204" customWidth="1"/>
    <col min="11269" max="11269" width="4" style="204" customWidth="1"/>
    <col min="11270" max="11270" width="24.21875" style="204" customWidth="1"/>
    <col min="11271" max="11271" width="1.6640625" style="204" customWidth="1"/>
    <col min="11272" max="11273" width="8.21875" style="204" customWidth="1"/>
    <col min="11274" max="11520" width="7.109375" style="204"/>
    <col min="11521" max="11521" width="10.21875" style="204" customWidth="1"/>
    <col min="11522" max="11522" width="3.5546875" style="204" customWidth="1"/>
    <col min="11523" max="11524" width="1.6640625" style="204" customWidth="1"/>
    <col min="11525" max="11525" width="4" style="204" customWidth="1"/>
    <col min="11526" max="11526" width="24.21875" style="204" customWidth="1"/>
    <col min="11527" max="11527" width="1.6640625" style="204" customWidth="1"/>
    <col min="11528" max="11529" width="8.21875" style="204" customWidth="1"/>
    <col min="11530" max="11776" width="7.109375" style="204"/>
    <col min="11777" max="11777" width="10.21875" style="204" customWidth="1"/>
    <col min="11778" max="11778" width="3.5546875" style="204" customWidth="1"/>
    <col min="11779" max="11780" width="1.6640625" style="204" customWidth="1"/>
    <col min="11781" max="11781" width="4" style="204" customWidth="1"/>
    <col min="11782" max="11782" width="24.21875" style="204" customWidth="1"/>
    <col min="11783" max="11783" width="1.6640625" style="204" customWidth="1"/>
    <col min="11784" max="11785" width="8.21875" style="204" customWidth="1"/>
    <col min="11786" max="12032" width="7.109375" style="204"/>
    <col min="12033" max="12033" width="10.21875" style="204" customWidth="1"/>
    <col min="12034" max="12034" width="3.5546875" style="204" customWidth="1"/>
    <col min="12035" max="12036" width="1.6640625" style="204" customWidth="1"/>
    <col min="12037" max="12037" width="4" style="204" customWidth="1"/>
    <col min="12038" max="12038" width="24.21875" style="204" customWidth="1"/>
    <col min="12039" max="12039" width="1.6640625" style="204" customWidth="1"/>
    <col min="12040" max="12041" width="8.21875" style="204" customWidth="1"/>
    <col min="12042" max="12288" width="7.109375" style="204"/>
    <col min="12289" max="12289" width="10.21875" style="204" customWidth="1"/>
    <col min="12290" max="12290" width="3.5546875" style="204" customWidth="1"/>
    <col min="12291" max="12292" width="1.6640625" style="204" customWidth="1"/>
    <col min="12293" max="12293" width="4" style="204" customWidth="1"/>
    <col min="12294" max="12294" width="24.21875" style="204" customWidth="1"/>
    <col min="12295" max="12295" width="1.6640625" style="204" customWidth="1"/>
    <col min="12296" max="12297" width="8.21875" style="204" customWidth="1"/>
    <col min="12298" max="12544" width="7.109375" style="204"/>
    <col min="12545" max="12545" width="10.21875" style="204" customWidth="1"/>
    <col min="12546" max="12546" width="3.5546875" style="204" customWidth="1"/>
    <col min="12547" max="12548" width="1.6640625" style="204" customWidth="1"/>
    <col min="12549" max="12549" width="4" style="204" customWidth="1"/>
    <col min="12550" max="12550" width="24.21875" style="204" customWidth="1"/>
    <col min="12551" max="12551" width="1.6640625" style="204" customWidth="1"/>
    <col min="12552" max="12553" width="8.21875" style="204" customWidth="1"/>
    <col min="12554" max="12800" width="7.109375" style="204"/>
    <col min="12801" max="12801" width="10.21875" style="204" customWidth="1"/>
    <col min="12802" max="12802" width="3.5546875" style="204" customWidth="1"/>
    <col min="12803" max="12804" width="1.6640625" style="204" customWidth="1"/>
    <col min="12805" max="12805" width="4" style="204" customWidth="1"/>
    <col min="12806" max="12806" width="24.21875" style="204" customWidth="1"/>
    <col min="12807" max="12807" width="1.6640625" style="204" customWidth="1"/>
    <col min="12808" max="12809" width="8.21875" style="204" customWidth="1"/>
    <col min="12810" max="13056" width="7.109375" style="204"/>
    <col min="13057" max="13057" width="10.21875" style="204" customWidth="1"/>
    <col min="13058" max="13058" width="3.5546875" style="204" customWidth="1"/>
    <col min="13059" max="13060" width="1.6640625" style="204" customWidth="1"/>
    <col min="13061" max="13061" width="4" style="204" customWidth="1"/>
    <col min="13062" max="13062" width="24.21875" style="204" customWidth="1"/>
    <col min="13063" max="13063" width="1.6640625" style="204" customWidth="1"/>
    <col min="13064" max="13065" width="8.21875" style="204" customWidth="1"/>
    <col min="13066" max="13312" width="7.109375" style="204"/>
    <col min="13313" max="13313" width="10.21875" style="204" customWidth="1"/>
    <col min="13314" max="13314" width="3.5546875" style="204" customWidth="1"/>
    <col min="13315" max="13316" width="1.6640625" style="204" customWidth="1"/>
    <col min="13317" max="13317" width="4" style="204" customWidth="1"/>
    <col min="13318" max="13318" width="24.21875" style="204" customWidth="1"/>
    <col min="13319" max="13319" width="1.6640625" style="204" customWidth="1"/>
    <col min="13320" max="13321" width="8.21875" style="204" customWidth="1"/>
    <col min="13322" max="13568" width="7.109375" style="204"/>
    <col min="13569" max="13569" width="10.21875" style="204" customWidth="1"/>
    <col min="13570" max="13570" width="3.5546875" style="204" customWidth="1"/>
    <col min="13571" max="13572" width="1.6640625" style="204" customWidth="1"/>
    <col min="13573" max="13573" width="4" style="204" customWidth="1"/>
    <col min="13574" max="13574" width="24.21875" style="204" customWidth="1"/>
    <col min="13575" max="13575" width="1.6640625" style="204" customWidth="1"/>
    <col min="13576" max="13577" width="8.21875" style="204" customWidth="1"/>
    <col min="13578" max="13824" width="7.109375" style="204"/>
    <col min="13825" max="13825" width="10.21875" style="204" customWidth="1"/>
    <col min="13826" max="13826" width="3.5546875" style="204" customWidth="1"/>
    <col min="13827" max="13828" width="1.6640625" style="204" customWidth="1"/>
    <col min="13829" max="13829" width="4" style="204" customWidth="1"/>
    <col min="13830" max="13830" width="24.21875" style="204" customWidth="1"/>
    <col min="13831" max="13831" width="1.6640625" style="204" customWidth="1"/>
    <col min="13832" max="13833" width="8.21875" style="204" customWidth="1"/>
    <col min="13834" max="14080" width="7.109375" style="204"/>
    <col min="14081" max="14081" width="10.21875" style="204" customWidth="1"/>
    <col min="14082" max="14082" width="3.5546875" style="204" customWidth="1"/>
    <col min="14083" max="14084" width="1.6640625" style="204" customWidth="1"/>
    <col min="14085" max="14085" width="4" style="204" customWidth="1"/>
    <col min="14086" max="14086" width="24.21875" style="204" customWidth="1"/>
    <col min="14087" max="14087" width="1.6640625" style="204" customWidth="1"/>
    <col min="14088" max="14089" width="8.21875" style="204" customWidth="1"/>
    <col min="14090" max="14336" width="7.109375" style="204"/>
    <col min="14337" max="14337" width="10.21875" style="204" customWidth="1"/>
    <col min="14338" max="14338" width="3.5546875" style="204" customWidth="1"/>
    <col min="14339" max="14340" width="1.6640625" style="204" customWidth="1"/>
    <col min="14341" max="14341" width="4" style="204" customWidth="1"/>
    <col min="14342" max="14342" width="24.21875" style="204" customWidth="1"/>
    <col min="14343" max="14343" width="1.6640625" style="204" customWidth="1"/>
    <col min="14344" max="14345" width="8.21875" style="204" customWidth="1"/>
    <col min="14346" max="14592" width="7.109375" style="204"/>
    <col min="14593" max="14593" width="10.21875" style="204" customWidth="1"/>
    <col min="14594" max="14594" width="3.5546875" style="204" customWidth="1"/>
    <col min="14595" max="14596" width="1.6640625" style="204" customWidth="1"/>
    <col min="14597" max="14597" width="4" style="204" customWidth="1"/>
    <col min="14598" max="14598" width="24.21875" style="204" customWidth="1"/>
    <col min="14599" max="14599" width="1.6640625" style="204" customWidth="1"/>
    <col min="14600" max="14601" width="8.21875" style="204" customWidth="1"/>
    <col min="14602" max="14848" width="7.109375" style="204"/>
    <col min="14849" max="14849" width="10.21875" style="204" customWidth="1"/>
    <col min="14850" max="14850" width="3.5546875" style="204" customWidth="1"/>
    <col min="14851" max="14852" width="1.6640625" style="204" customWidth="1"/>
    <col min="14853" max="14853" width="4" style="204" customWidth="1"/>
    <col min="14854" max="14854" width="24.21875" style="204" customWidth="1"/>
    <col min="14855" max="14855" width="1.6640625" style="204" customWidth="1"/>
    <col min="14856" max="14857" width="8.21875" style="204" customWidth="1"/>
    <col min="14858" max="15104" width="7.109375" style="204"/>
    <col min="15105" max="15105" width="10.21875" style="204" customWidth="1"/>
    <col min="15106" max="15106" width="3.5546875" style="204" customWidth="1"/>
    <col min="15107" max="15108" width="1.6640625" style="204" customWidth="1"/>
    <col min="15109" max="15109" width="4" style="204" customWidth="1"/>
    <col min="15110" max="15110" width="24.21875" style="204" customWidth="1"/>
    <col min="15111" max="15111" width="1.6640625" style="204" customWidth="1"/>
    <col min="15112" max="15113" width="8.21875" style="204" customWidth="1"/>
    <col min="15114" max="15360" width="7.109375" style="204"/>
    <col min="15361" max="15361" width="10.21875" style="204" customWidth="1"/>
    <col min="15362" max="15362" width="3.5546875" style="204" customWidth="1"/>
    <col min="15363" max="15364" width="1.6640625" style="204" customWidth="1"/>
    <col min="15365" max="15365" width="4" style="204" customWidth="1"/>
    <col min="15366" max="15366" width="24.21875" style="204" customWidth="1"/>
    <col min="15367" max="15367" width="1.6640625" style="204" customWidth="1"/>
    <col min="15368" max="15369" width="8.21875" style="204" customWidth="1"/>
    <col min="15370" max="15616" width="7.109375" style="204"/>
    <col min="15617" max="15617" width="10.21875" style="204" customWidth="1"/>
    <col min="15618" max="15618" width="3.5546875" style="204" customWidth="1"/>
    <col min="15619" max="15620" width="1.6640625" style="204" customWidth="1"/>
    <col min="15621" max="15621" width="4" style="204" customWidth="1"/>
    <col min="15622" max="15622" width="24.21875" style="204" customWidth="1"/>
    <col min="15623" max="15623" width="1.6640625" style="204" customWidth="1"/>
    <col min="15624" max="15625" width="8.21875" style="204" customWidth="1"/>
    <col min="15626" max="15872" width="7.109375" style="204"/>
    <col min="15873" max="15873" width="10.21875" style="204" customWidth="1"/>
    <col min="15874" max="15874" width="3.5546875" style="204" customWidth="1"/>
    <col min="15875" max="15876" width="1.6640625" style="204" customWidth="1"/>
    <col min="15877" max="15877" width="4" style="204" customWidth="1"/>
    <col min="15878" max="15878" width="24.21875" style="204" customWidth="1"/>
    <col min="15879" max="15879" width="1.6640625" style="204" customWidth="1"/>
    <col min="15880" max="15881" width="8.21875" style="204" customWidth="1"/>
    <col min="15882" max="16128" width="7.109375" style="204"/>
    <col min="16129" max="16129" width="10.21875" style="204" customWidth="1"/>
    <col min="16130" max="16130" width="3.5546875" style="204" customWidth="1"/>
    <col min="16131" max="16132" width="1.6640625" style="204" customWidth="1"/>
    <col min="16133" max="16133" width="4" style="204" customWidth="1"/>
    <col min="16134" max="16134" width="24.21875" style="204" customWidth="1"/>
    <col min="16135" max="16135" width="1.6640625" style="204" customWidth="1"/>
    <col min="16136" max="16137" width="8.21875" style="204" customWidth="1"/>
    <col min="16138" max="16384" width="7.109375" style="204"/>
  </cols>
  <sheetData>
    <row r="1" spans="1:8" ht="14.25" customHeight="1">
      <c r="A1" s="990" t="s">
        <v>39</v>
      </c>
      <c r="B1" s="990"/>
      <c r="C1" s="990"/>
      <c r="D1" s="990"/>
      <c r="E1" s="990"/>
      <c r="F1" s="990"/>
      <c r="G1" s="990"/>
      <c r="H1" s="990"/>
    </row>
    <row r="2" spans="1:8">
      <c r="A2" s="990" t="s">
        <v>782</v>
      </c>
      <c r="B2" s="990"/>
      <c r="C2" s="990"/>
      <c r="D2" s="990"/>
      <c r="E2" s="990"/>
      <c r="F2" s="990"/>
      <c r="G2" s="990"/>
      <c r="H2" s="990"/>
    </row>
    <row r="3" spans="1:8">
      <c r="A3" s="991" t="str">
        <f>'Act Att-H'!C7</f>
        <v>Black Hills Colorado Electric, LLC</v>
      </c>
      <c r="B3" s="991"/>
      <c r="C3" s="991"/>
      <c r="D3" s="991"/>
      <c r="E3" s="991"/>
      <c r="F3" s="991"/>
      <c r="G3" s="991"/>
      <c r="H3" s="991"/>
    </row>
    <row r="4" spans="1:8">
      <c r="F4" s="2"/>
      <c r="H4" s="311" t="s">
        <v>3</v>
      </c>
    </row>
    <row r="5" spans="1:8">
      <c r="A5" s="990"/>
      <c r="B5" s="990"/>
      <c r="C5" s="990"/>
      <c r="D5" s="990"/>
      <c r="E5" s="990"/>
      <c r="F5" s="990"/>
      <c r="G5" s="990"/>
      <c r="H5" s="990"/>
    </row>
    <row r="6" spans="1:8">
      <c r="B6" s="206" t="s">
        <v>82</v>
      </c>
      <c r="H6" s="204"/>
    </row>
    <row r="7" spans="1:8">
      <c r="B7" s="209" t="s">
        <v>84</v>
      </c>
      <c r="D7" s="227" t="s">
        <v>783</v>
      </c>
      <c r="E7" s="227"/>
      <c r="F7" s="227"/>
      <c r="H7" s="700" t="s">
        <v>784</v>
      </c>
    </row>
    <row r="8" spans="1:8">
      <c r="B8" s="206">
        <v>1</v>
      </c>
    </row>
    <row r="9" spans="1:8">
      <c r="B9" s="206">
        <f>B8+1</f>
        <v>2</v>
      </c>
      <c r="D9" s="218" t="s">
        <v>785</v>
      </c>
      <c r="E9" s="218"/>
    </row>
    <row r="10" spans="1:8">
      <c r="B10" s="206">
        <f t="shared" ref="B10:B57" si="0">B9+1</f>
        <v>3</v>
      </c>
      <c r="E10" s="701">
        <v>352</v>
      </c>
      <c r="F10" s="229" t="s">
        <v>786</v>
      </c>
      <c r="H10" s="312">
        <v>1.43E-2</v>
      </c>
    </row>
    <row r="11" spans="1:8">
      <c r="B11" s="206">
        <f t="shared" si="0"/>
        <v>4</v>
      </c>
      <c r="E11" s="701">
        <v>352.59</v>
      </c>
      <c r="F11" s="204" t="s">
        <v>787</v>
      </c>
      <c r="H11" s="312">
        <v>1.17E-2</v>
      </c>
    </row>
    <row r="12" spans="1:8">
      <c r="B12" s="206">
        <f t="shared" si="0"/>
        <v>5</v>
      </c>
      <c r="E12" s="701">
        <v>353</v>
      </c>
      <c r="F12" s="204" t="s">
        <v>788</v>
      </c>
      <c r="H12" s="312">
        <v>1.4500000000000001E-2</v>
      </c>
    </row>
    <row r="13" spans="1:8">
      <c r="B13" s="206">
        <f t="shared" si="0"/>
        <v>6</v>
      </c>
      <c r="E13" s="701">
        <v>353.59</v>
      </c>
      <c r="F13" s="204" t="s">
        <v>789</v>
      </c>
      <c r="H13" s="312">
        <v>1.17E-2</v>
      </c>
    </row>
    <row r="14" spans="1:8">
      <c r="B14" s="206">
        <f t="shared" si="0"/>
        <v>7</v>
      </c>
      <c r="E14" s="701">
        <v>355</v>
      </c>
      <c r="F14" s="204" t="s">
        <v>790</v>
      </c>
      <c r="H14" s="312">
        <v>2.0799999999999999E-2</v>
      </c>
    </row>
    <row r="15" spans="1:8">
      <c r="B15" s="206">
        <f t="shared" si="0"/>
        <v>8</v>
      </c>
      <c r="E15" s="701">
        <v>356</v>
      </c>
      <c r="F15" s="229" t="s">
        <v>791</v>
      </c>
      <c r="H15" s="312">
        <v>2.0299999999999999E-2</v>
      </c>
    </row>
    <row r="16" spans="1:8">
      <c r="B16" s="206">
        <f t="shared" si="0"/>
        <v>9</v>
      </c>
      <c r="E16" s="701">
        <v>357</v>
      </c>
      <c r="F16" s="229" t="s">
        <v>792</v>
      </c>
      <c r="H16" s="312">
        <v>2.2200000000000001E-2</v>
      </c>
    </row>
    <row r="17" spans="2:8">
      <c r="B17" s="206">
        <f t="shared" si="0"/>
        <v>10</v>
      </c>
      <c r="E17" s="701">
        <v>358</v>
      </c>
      <c r="F17" s="767" t="s">
        <v>793</v>
      </c>
      <c r="H17" s="768">
        <v>2.1700000000000001E-2</v>
      </c>
    </row>
    <row r="18" spans="2:8">
      <c r="B18" s="206">
        <f t="shared" si="0"/>
        <v>11</v>
      </c>
      <c r="F18" s="204" t="s">
        <v>794</v>
      </c>
      <c r="H18" s="672">
        <v>1.6500000000000001E-2</v>
      </c>
    </row>
    <row r="19" spans="2:8">
      <c r="B19" s="206">
        <f t="shared" si="0"/>
        <v>12</v>
      </c>
      <c r="H19" s="672"/>
    </row>
    <row r="20" spans="2:8">
      <c r="B20" s="206">
        <f t="shared" si="0"/>
        <v>13</v>
      </c>
      <c r="D20" s="218" t="s">
        <v>795</v>
      </c>
      <c r="H20" s="313"/>
    </row>
    <row r="21" spans="2:8">
      <c r="B21" s="206">
        <f t="shared" si="0"/>
        <v>14</v>
      </c>
      <c r="E21" s="701">
        <v>390.01</v>
      </c>
      <c r="F21" s="229" t="s">
        <v>796</v>
      </c>
      <c r="H21" s="312">
        <v>3.1199999999999999E-2</v>
      </c>
    </row>
    <row r="22" spans="2:8">
      <c r="B22" s="206">
        <f t="shared" si="0"/>
        <v>15</v>
      </c>
      <c r="E22" s="701">
        <v>391.01</v>
      </c>
      <c r="F22" s="204" t="s">
        <v>797</v>
      </c>
      <c r="H22" s="312">
        <v>6.9800000000000001E-2</v>
      </c>
    </row>
    <row r="23" spans="2:8">
      <c r="B23" s="206">
        <f t="shared" si="0"/>
        <v>16</v>
      </c>
      <c r="E23" s="701">
        <v>391.03</v>
      </c>
      <c r="F23" s="204" t="s">
        <v>798</v>
      </c>
      <c r="H23" s="312">
        <v>0.36280000000000001</v>
      </c>
    </row>
    <row r="24" spans="2:8">
      <c r="B24" s="206">
        <f t="shared" si="0"/>
        <v>17</v>
      </c>
      <c r="E24" s="701">
        <v>391.04</v>
      </c>
      <c r="F24" s="204" t="s">
        <v>799</v>
      </c>
      <c r="H24" s="312">
        <v>0.18429999999999999</v>
      </c>
    </row>
    <row r="25" spans="2:8">
      <c r="B25" s="206">
        <f t="shared" si="0"/>
        <v>18</v>
      </c>
      <c r="E25" s="702">
        <v>391.05</v>
      </c>
      <c r="F25" s="204" t="s">
        <v>800</v>
      </c>
      <c r="H25" s="312">
        <v>0.13719999999999999</v>
      </c>
    </row>
    <row r="26" spans="2:8">
      <c r="B26" s="206">
        <f t="shared" si="0"/>
        <v>19</v>
      </c>
      <c r="E26" s="701">
        <v>392</v>
      </c>
      <c r="F26" s="204" t="s">
        <v>801</v>
      </c>
      <c r="H26" s="312">
        <v>9.0200000000000002E-2</v>
      </c>
    </row>
    <row r="27" spans="2:8">
      <c r="B27" s="206">
        <f t="shared" si="0"/>
        <v>20</v>
      </c>
      <c r="E27" s="701">
        <v>393</v>
      </c>
      <c r="F27" s="204" t="s">
        <v>802</v>
      </c>
      <c r="H27" s="312">
        <v>6.0900000000000003E-2</v>
      </c>
    </row>
    <row r="28" spans="2:8">
      <c r="B28" s="206">
        <f t="shared" si="0"/>
        <v>21</v>
      </c>
      <c r="E28" s="701">
        <v>394</v>
      </c>
      <c r="F28" s="204" t="s">
        <v>803</v>
      </c>
      <c r="H28" s="312">
        <v>2.1000000000000001E-2</v>
      </c>
    </row>
    <row r="29" spans="2:8">
      <c r="B29" s="206">
        <f t="shared" si="0"/>
        <v>22</v>
      </c>
      <c r="E29" s="701">
        <v>395</v>
      </c>
      <c r="F29" s="204" t="s">
        <v>804</v>
      </c>
      <c r="H29" s="312">
        <v>1.26E-2</v>
      </c>
    </row>
    <row r="30" spans="2:8">
      <c r="B30" s="206">
        <f t="shared" si="0"/>
        <v>23</v>
      </c>
      <c r="E30" s="701">
        <v>396</v>
      </c>
      <c r="F30" s="204" t="s">
        <v>805</v>
      </c>
      <c r="H30" s="312">
        <v>5.6300000000000003E-2</v>
      </c>
    </row>
    <row r="31" spans="2:8">
      <c r="B31" s="206">
        <f t="shared" si="0"/>
        <v>24</v>
      </c>
      <c r="E31" s="701">
        <v>397</v>
      </c>
      <c r="F31" s="204" t="s">
        <v>806</v>
      </c>
      <c r="H31" s="312">
        <v>8.6300000000000002E-2</v>
      </c>
    </row>
    <row r="32" spans="2:8">
      <c r="B32" s="206">
        <f t="shared" si="0"/>
        <v>25</v>
      </c>
      <c r="E32" s="701">
        <v>398</v>
      </c>
      <c r="F32" s="204" t="s">
        <v>807</v>
      </c>
      <c r="H32" s="312">
        <v>5.8400000000000001E-2</v>
      </c>
    </row>
    <row r="33" spans="2:8">
      <c r="B33" s="206">
        <f t="shared" si="0"/>
        <v>26</v>
      </c>
      <c r="F33" s="314" t="s">
        <v>808</v>
      </c>
      <c r="H33" s="703">
        <v>8.3199999999999996E-2</v>
      </c>
    </row>
    <row r="34" spans="2:8">
      <c r="B34" s="206">
        <f t="shared" si="0"/>
        <v>27</v>
      </c>
      <c r="H34" s="672"/>
    </row>
    <row r="35" spans="2:8">
      <c r="B35" s="206">
        <f t="shared" si="0"/>
        <v>28</v>
      </c>
      <c r="D35" s="218" t="s">
        <v>809</v>
      </c>
      <c r="H35" s="672"/>
    </row>
    <row r="36" spans="2:8">
      <c r="B36" s="206">
        <f t="shared" si="0"/>
        <v>29</v>
      </c>
      <c r="E36" s="701">
        <v>301</v>
      </c>
      <c r="F36" s="229" t="s">
        <v>810</v>
      </c>
      <c r="H36" s="672">
        <v>0</v>
      </c>
    </row>
    <row r="37" spans="2:8">
      <c r="B37" s="206">
        <f t="shared" si="0"/>
        <v>30</v>
      </c>
      <c r="E37" s="701">
        <v>303</v>
      </c>
      <c r="F37" s="229" t="s">
        <v>811</v>
      </c>
      <c r="H37" s="672">
        <v>0</v>
      </c>
    </row>
    <row r="38" spans="2:8">
      <c r="B38" s="206">
        <f t="shared" si="0"/>
        <v>31</v>
      </c>
      <c r="F38" s="314" t="s">
        <v>812</v>
      </c>
      <c r="H38" s="315">
        <v>0</v>
      </c>
    </row>
    <row r="39" spans="2:8">
      <c r="B39" s="206">
        <f t="shared" si="0"/>
        <v>32</v>
      </c>
      <c r="H39" s="672"/>
    </row>
    <row r="40" spans="2:8">
      <c r="B40" s="206">
        <f t="shared" si="0"/>
        <v>33</v>
      </c>
      <c r="D40" s="218" t="s">
        <v>813</v>
      </c>
      <c r="H40" s="672"/>
    </row>
    <row r="41" spans="2:8">
      <c r="B41" s="206">
        <f t="shared" si="0"/>
        <v>34</v>
      </c>
      <c r="E41" s="218" t="s">
        <v>814</v>
      </c>
      <c r="H41" s="672"/>
    </row>
    <row r="42" spans="2:8">
      <c r="B42" s="206">
        <f t="shared" si="0"/>
        <v>35</v>
      </c>
      <c r="E42" s="701">
        <v>390.01</v>
      </c>
      <c r="F42" s="229" t="s">
        <v>815</v>
      </c>
      <c r="H42" s="672">
        <v>1.9900000000000001E-2</v>
      </c>
    </row>
    <row r="43" spans="2:8">
      <c r="B43" s="206">
        <f t="shared" si="0"/>
        <v>36</v>
      </c>
      <c r="E43" s="701">
        <v>391</v>
      </c>
      <c r="F43" s="204" t="s">
        <v>797</v>
      </c>
      <c r="H43" s="672">
        <v>0.1245</v>
      </c>
    </row>
    <row r="44" spans="2:8">
      <c r="B44" s="206">
        <f t="shared" si="0"/>
        <v>37</v>
      </c>
      <c r="E44" s="702">
        <v>392</v>
      </c>
      <c r="F44" s="204" t="s">
        <v>801</v>
      </c>
      <c r="H44" s="672">
        <v>8.6400000000000005E-2</v>
      </c>
    </row>
    <row r="45" spans="2:8">
      <c r="B45" s="206">
        <f t="shared" si="0"/>
        <v>38</v>
      </c>
      <c r="E45" s="701">
        <v>395</v>
      </c>
      <c r="F45" s="204" t="s">
        <v>804</v>
      </c>
      <c r="H45" s="672">
        <v>0.05</v>
      </c>
    </row>
    <row r="46" spans="2:8">
      <c r="B46" s="206">
        <f t="shared" si="0"/>
        <v>39</v>
      </c>
      <c r="E46" s="701">
        <v>397</v>
      </c>
      <c r="F46" s="204" t="s">
        <v>816</v>
      </c>
      <c r="H46" s="672">
        <v>6.6699999999999995E-2</v>
      </c>
    </row>
    <row r="47" spans="2:8">
      <c r="B47" s="206">
        <f t="shared" si="0"/>
        <v>40</v>
      </c>
      <c r="E47" s="701">
        <v>397.1</v>
      </c>
      <c r="F47" s="204" t="s">
        <v>817</v>
      </c>
      <c r="H47" s="672">
        <v>0.04</v>
      </c>
    </row>
    <row r="48" spans="2:8">
      <c r="B48" s="206">
        <f t="shared" si="0"/>
        <v>41</v>
      </c>
      <c r="F48" s="314" t="s">
        <v>808</v>
      </c>
      <c r="H48" s="703">
        <v>0.1206</v>
      </c>
    </row>
    <row r="49" spans="2:10">
      <c r="B49" s="206">
        <f t="shared" si="0"/>
        <v>42</v>
      </c>
      <c r="H49" s="704"/>
    </row>
    <row r="50" spans="2:10">
      <c r="B50" s="206">
        <f t="shared" si="0"/>
        <v>43</v>
      </c>
      <c r="E50" s="218" t="s">
        <v>818</v>
      </c>
      <c r="H50" s="704"/>
    </row>
    <row r="51" spans="2:10">
      <c r="B51" s="206">
        <f t="shared" si="0"/>
        <v>44</v>
      </c>
      <c r="E51" s="701">
        <v>390.01</v>
      </c>
      <c r="F51" s="229" t="s">
        <v>819</v>
      </c>
      <c r="H51" s="704">
        <v>2.2499999999999999E-2</v>
      </c>
    </row>
    <row r="52" spans="2:10">
      <c r="B52" s="206">
        <f t="shared" si="0"/>
        <v>45</v>
      </c>
      <c r="E52" s="701">
        <v>391</v>
      </c>
      <c r="F52" s="204" t="s">
        <v>797</v>
      </c>
      <c r="H52" s="704">
        <v>8.1100000000000005E-2</v>
      </c>
    </row>
    <row r="53" spans="2:10">
      <c r="B53" s="206">
        <f t="shared" si="0"/>
        <v>46</v>
      </c>
      <c r="E53" s="701">
        <v>392</v>
      </c>
      <c r="F53" s="204" t="s">
        <v>820</v>
      </c>
      <c r="H53" s="704">
        <v>9.8299999999999998E-2</v>
      </c>
    </row>
    <row r="54" spans="2:10">
      <c r="B54" s="206">
        <f t="shared" si="0"/>
        <v>47</v>
      </c>
      <c r="E54" s="701">
        <v>394</v>
      </c>
      <c r="F54" s="204" t="s">
        <v>803</v>
      </c>
      <c r="H54" s="704">
        <v>0.04</v>
      </c>
    </row>
    <row r="55" spans="2:10">
      <c r="B55" s="206">
        <f t="shared" si="0"/>
        <v>48</v>
      </c>
      <c r="E55" s="701">
        <v>397</v>
      </c>
      <c r="F55" s="204" t="s">
        <v>821</v>
      </c>
      <c r="H55" s="704">
        <v>6.6699999999999995E-2</v>
      </c>
    </row>
    <row r="56" spans="2:10">
      <c r="B56" s="206">
        <f t="shared" si="0"/>
        <v>49</v>
      </c>
      <c r="E56" s="701">
        <v>398</v>
      </c>
      <c r="F56" s="204" t="s">
        <v>822</v>
      </c>
      <c r="H56" s="704">
        <v>0.05</v>
      </c>
    </row>
    <row r="57" spans="2:10">
      <c r="B57" s="206">
        <f t="shared" si="0"/>
        <v>50</v>
      </c>
      <c r="F57" s="314" t="s">
        <v>808</v>
      </c>
      <c r="H57" s="703">
        <v>7.9399999999999998E-2</v>
      </c>
    </row>
    <row r="58" spans="2:10">
      <c r="B58" s="206"/>
      <c r="H58" s="672"/>
    </row>
    <row r="59" spans="2:10" ht="16.350000000000001" customHeight="1">
      <c r="B59" s="384" t="s">
        <v>496</v>
      </c>
      <c r="D59" s="218"/>
      <c r="H59" s="313"/>
    </row>
    <row r="60" spans="2:10" ht="27.75" customHeight="1">
      <c r="B60" s="423" t="s">
        <v>387</v>
      </c>
      <c r="C60" s="1015" t="s">
        <v>823</v>
      </c>
      <c r="D60" s="1015"/>
      <c r="E60" s="1015"/>
      <c r="F60" s="1015"/>
      <c r="G60" s="1015"/>
      <c r="H60" s="1015"/>
    </row>
    <row r="61" spans="2:10" ht="16.350000000000001" customHeight="1">
      <c r="B61" s="206"/>
      <c r="D61" s="218"/>
      <c r="H61" s="313"/>
    </row>
    <row r="62" spans="2:10" ht="16.350000000000001" customHeight="1">
      <c r="B62" s="206"/>
      <c r="D62" s="218"/>
      <c r="H62" s="313"/>
    </row>
    <row r="63" spans="2:10" ht="16.350000000000001" customHeight="1">
      <c r="B63" s="206"/>
      <c r="D63" s="218"/>
      <c r="H63" s="313"/>
      <c r="J63" s="916"/>
    </row>
    <row r="64" spans="2:10" ht="16.350000000000001" customHeight="1">
      <c r="B64" s="206"/>
      <c r="D64" s="218"/>
      <c r="H64" s="313"/>
    </row>
    <row r="65" spans="2:8" ht="16.350000000000001" customHeight="1">
      <c r="B65" s="206"/>
      <c r="D65" s="218"/>
      <c r="H65" s="313"/>
    </row>
    <row r="66" spans="2:8" ht="16.350000000000001" customHeight="1">
      <c r="B66" s="206"/>
      <c r="D66" s="218"/>
      <c r="H66" s="313"/>
    </row>
    <row r="67" spans="2:8" ht="16.350000000000001" customHeight="1">
      <c r="B67" s="206"/>
      <c r="D67" s="218"/>
      <c r="H67" s="313"/>
    </row>
    <row r="68" spans="2:8" ht="16.350000000000001" customHeight="1">
      <c r="B68" s="206"/>
      <c r="D68" s="218"/>
      <c r="H68" s="313"/>
    </row>
    <row r="69" spans="2:8" ht="16.350000000000001" customHeight="1">
      <c r="B69" s="206"/>
      <c r="D69" s="218"/>
      <c r="H69" s="313"/>
    </row>
    <row r="70" spans="2:8" ht="16.350000000000001" customHeight="1">
      <c r="B70" s="206"/>
      <c r="D70" s="218"/>
      <c r="H70" s="313"/>
    </row>
    <row r="71" spans="2:8" ht="16.350000000000001" customHeight="1"/>
    <row r="72" spans="2:8" ht="16.350000000000001" customHeight="1"/>
    <row r="73" spans="2:8" ht="16.350000000000001" customHeight="1"/>
    <row r="74" spans="2:8" ht="16.350000000000001" customHeight="1"/>
  </sheetData>
  <mergeCells count="5">
    <mergeCell ref="C60:H60"/>
    <mergeCell ref="A5:H5"/>
    <mergeCell ref="A1:H1"/>
    <mergeCell ref="A2:H2"/>
    <mergeCell ref="A3:H3"/>
  </mergeCells>
  <printOptions horizontalCentered="1"/>
  <pageMargins left="0.75" right="0.75" top="0.5" bottom="0.25"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49E6B91F5E54409FB923E4B34219BD" ma:contentTypeVersion="6" ma:contentTypeDescription="Create a new document." ma:contentTypeScope="" ma:versionID="139bd069fa21e19b07c5447f517d1350">
  <xsd:schema xmlns:xsd="http://www.w3.org/2001/XMLSchema" xmlns:xs="http://www.w3.org/2001/XMLSchema" xmlns:p="http://schemas.microsoft.com/office/2006/metadata/properties" xmlns:ns2="cccc5702-8e6f-4795-9fed-868bb4a43c75" xmlns:ns3="2cf0024f-6414-4ff3-8cd1-9e447fe593bc" targetNamespace="http://schemas.microsoft.com/office/2006/metadata/properties" ma:root="true" ma:fieldsID="748ec03aa599f726f50cc02490a25cbd" ns2:_="" ns3:_="">
    <xsd:import namespace="cccc5702-8e6f-4795-9fed-868bb4a43c75"/>
    <xsd:import namespace="2cf0024f-6414-4ff3-8cd1-9e447fe593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c5702-8e6f-4795-9fed-868bb4a43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f0024f-6414-4ff3-8cd1-9e447fe593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D6CF8-E809-4BF9-91B7-C9F8DAA3E9D8}"/>
</file>

<file path=customXml/itemProps2.xml><?xml version="1.0" encoding="utf-8"?>
<ds:datastoreItem xmlns:ds="http://schemas.openxmlformats.org/officeDocument/2006/customXml" ds:itemID="{D6EC30B5-1624-4AF3-9936-D11BAFE34F0B}"/>
</file>

<file path=customXml/itemProps3.xml><?xml version="1.0" encoding="utf-8"?>
<ds:datastoreItem xmlns:ds="http://schemas.openxmlformats.org/officeDocument/2006/customXml" ds:itemID="{CFA71585-88B2-4718-B4F6-042C68DBF0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Newberry, David L</dc:creator>
  <cp:keywords/>
  <dc:description/>
  <cp:lastModifiedBy>Sabers, Cathy</cp:lastModifiedBy>
  <cp:revision/>
  <dcterms:created xsi:type="dcterms:W3CDTF">2008-03-20T17:17:47Z</dcterms:created>
  <dcterms:modified xsi:type="dcterms:W3CDTF">2023-02-27T15:46:05Z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0x0101000949E6B91F5E54409FB923E4B34219BD</vt:lpwstr>
  </property>
</Properties>
</file>