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clemen\Desktop\transmission\"/>
    </mc:Choice>
  </mc:AlternateContent>
  <xr:revisionPtr revIDLastSave="0" documentId="8_{F59DD12A-2F9A-45C6-80A5-4C8FB5A838FE}" xr6:coauthVersionLast="44" xr6:coauthVersionMax="44" xr10:uidLastSave="{00000000-0000-0000-0000-000000000000}"/>
  <bookViews>
    <workbookView xWindow="-120" yWindow="-120" windowWidth="29040" windowHeight="15990" tabRatio="893" activeTab="6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9" i="37" l="1"/>
  <c r="F36" i="37"/>
  <c r="F38" i="37"/>
  <c r="G38" i="37"/>
  <c r="I38" i="37"/>
  <c r="O38" i="37"/>
  <c r="Q37" i="37"/>
  <c r="I36" i="37"/>
  <c r="I42" i="37" s="1"/>
  <c r="H37" i="37"/>
  <c r="I37" i="37"/>
  <c r="J37" i="37"/>
  <c r="K37" i="37"/>
  <c r="L37" i="37"/>
  <c r="M37" i="37"/>
  <c r="N37" i="37"/>
  <c r="O37" i="37"/>
  <c r="P37" i="37"/>
  <c r="E95" i="35"/>
  <c r="J184" i="35"/>
  <c r="J22" i="24"/>
  <c r="J21" i="24"/>
  <c r="J20" i="24"/>
  <c r="J19" i="24"/>
  <c r="J18" i="24"/>
  <c r="J24" i="24" s="1"/>
  <c r="J17" i="24"/>
  <c r="J16" i="24"/>
  <c r="J15" i="24"/>
  <c r="J14" i="24"/>
  <c r="J13" i="24"/>
  <c r="J12" i="24"/>
  <c r="J11" i="24"/>
  <c r="I24" i="24"/>
  <c r="H24" i="24"/>
  <c r="G24" i="24"/>
  <c r="F24" i="24"/>
  <c r="E24" i="24"/>
  <c r="D24" i="24"/>
  <c r="Q38" i="37"/>
  <c r="N38" i="37"/>
  <c r="K38" i="37"/>
  <c r="J38" i="37"/>
  <c r="E41" i="37"/>
  <c r="E40" i="37"/>
  <c r="E39" i="37"/>
  <c r="E35" i="37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44" i="24" s="1"/>
  <c r="G37" i="37"/>
  <c r="R19" i="37"/>
  <c r="E19" i="35"/>
  <c r="E39" i="35"/>
  <c r="G64" i="37"/>
  <c r="E59" i="35" s="1"/>
  <c r="G51" i="37"/>
  <c r="E46" i="35" s="1"/>
  <c r="N39" i="37"/>
  <c r="J39" i="37"/>
  <c r="E29" i="35"/>
  <c r="O39" i="37"/>
  <c r="Q40" i="37"/>
  <c r="P40" i="37"/>
  <c r="O40" i="37"/>
  <c r="M40" i="37"/>
  <c r="K40" i="37"/>
  <c r="J40" i="37"/>
  <c r="I40" i="37"/>
  <c r="H40" i="37"/>
  <c r="G40" i="37"/>
  <c r="F40" i="37"/>
  <c r="P35" i="37"/>
  <c r="K35" i="37"/>
  <c r="E101" i="35"/>
  <c r="L40" i="37"/>
  <c r="J139" i="35"/>
  <c r="E56" i="37"/>
  <c r="H196" i="35"/>
  <c r="J196" i="35" s="1"/>
  <c r="O4" i="31"/>
  <c r="O3" i="31"/>
  <c r="J2" i="24"/>
  <c r="I206" i="24"/>
  <c r="J206" i="24"/>
  <c r="I128" i="24"/>
  <c r="J128" i="24"/>
  <c r="F14" i="41"/>
  <c r="F15" i="41" s="1"/>
  <c r="F13" i="41"/>
  <c r="F12" i="41"/>
  <c r="I2" i="37"/>
  <c r="R2" i="37"/>
  <c r="H1" i="3"/>
  <c r="J63" i="35"/>
  <c r="K77" i="31"/>
  <c r="N53" i="31" s="1"/>
  <c r="M53" i="31"/>
  <c r="D20" i="3"/>
  <c r="D27" i="3"/>
  <c r="H31" i="35"/>
  <c r="R20" i="37"/>
  <c r="E20" i="35" s="1"/>
  <c r="E40" i="35" s="1"/>
  <c r="H11" i="3"/>
  <c r="E105" i="35"/>
  <c r="G25" i="35"/>
  <c r="G45" i="35" s="1"/>
  <c r="G99" i="35"/>
  <c r="G80" i="35"/>
  <c r="G81" i="35"/>
  <c r="G82" i="35"/>
  <c r="A12" i="3"/>
  <c r="A13" i="3"/>
  <c r="A14" i="3"/>
  <c r="A15" i="3" s="1"/>
  <c r="A16" i="3"/>
  <c r="A17" i="3" s="1"/>
  <c r="A18" i="3"/>
  <c r="A19" i="3" s="1"/>
  <c r="A20" i="3" s="1"/>
  <c r="A21" i="3" s="1"/>
  <c r="G12" i="3"/>
  <c r="G13" i="3"/>
  <c r="H13" i="3" s="1"/>
  <c r="H12" i="3"/>
  <c r="D14" i="3"/>
  <c r="D22" i="3"/>
  <c r="N52" i="31" s="1"/>
  <c r="N54" i="31" s="1"/>
  <c r="H119" i="3"/>
  <c r="H120" i="3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I114" i="24"/>
  <c r="I115" i="24" s="1"/>
  <c r="A16" i="37"/>
  <c r="A17" i="37"/>
  <c r="R21" i="37"/>
  <c r="E21" i="35" s="1"/>
  <c r="C25" i="37"/>
  <c r="C35" i="37" s="1"/>
  <c r="C28" i="37"/>
  <c r="C38" i="37" s="1"/>
  <c r="C30" i="37"/>
  <c r="C40" i="37"/>
  <c r="C31" i="37"/>
  <c r="C41" i="37" s="1"/>
  <c r="R31" i="37"/>
  <c r="E31" i="35" s="1"/>
  <c r="J31" i="35"/>
  <c r="F41" i="37"/>
  <c r="G41" i="37"/>
  <c r="H41" i="37"/>
  <c r="I41" i="37"/>
  <c r="J41" i="37"/>
  <c r="K41" i="37"/>
  <c r="L41" i="37"/>
  <c r="L42" i="37" s="1"/>
  <c r="M41" i="37"/>
  <c r="N41" i="37"/>
  <c r="O41" i="37"/>
  <c r="P41" i="37"/>
  <c r="Q41" i="37"/>
  <c r="G54" i="37"/>
  <c r="E49" i="35" s="1"/>
  <c r="G58" i="37"/>
  <c r="E53" i="35" s="1"/>
  <c r="J53" i="35" s="1"/>
  <c r="G62" i="37"/>
  <c r="E57" i="35" s="1"/>
  <c r="G63" i="37"/>
  <c r="E58" i="35" s="1"/>
  <c r="E65" i="37"/>
  <c r="A9" i="31"/>
  <c r="A10" i="31"/>
  <c r="A11" i="31" s="1"/>
  <c r="A12" i="31" s="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E32" i="31"/>
  <c r="J193" i="35"/>
  <c r="E198" i="35"/>
  <c r="E199" i="35" s="1"/>
  <c r="F197" i="35"/>
  <c r="A16" i="35"/>
  <c r="E135" i="35"/>
  <c r="C25" i="35"/>
  <c r="C35" i="35" s="1"/>
  <c r="H25" i="35"/>
  <c r="C28" i="35"/>
  <c r="C38" i="35"/>
  <c r="G28" i="35"/>
  <c r="G29" i="35"/>
  <c r="C30" i="35"/>
  <c r="C40" i="35"/>
  <c r="G30" i="35"/>
  <c r="C31" i="35"/>
  <c r="C41" i="35" s="1"/>
  <c r="G31" i="35"/>
  <c r="G47" i="35"/>
  <c r="G48" i="35"/>
  <c r="G49" i="35"/>
  <c r="G50" i="35" s="1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 s="1"/>
  <c r="A31" i="41"/>
  <c r="A32" i="41" s="1"/>
  <c r="A33" i="41" s="1"/>
  <c r="A34" i="41" s="1"/>
  <c r="B42" i="41"/>
  <c r="B44" i="41"/>
  <c r="B45" i="41"/>
  <c r="B46" i="41"/>
  <c r="G50" i="37"/>
  <c r="J79" i="35"/>
  <c r="J157" i="35"/>
  <c r="A22" i="3"/>
  <c r="A23" i="3" s="1"/>
  <c r="A24" i="3"/>
  <c r="A25" i="3" s="1"/>
  <c r="A26" i="3" s="1"/>
  <c r="A27" i="3"/>
  <c r="A28" i="3" s="1"/>
  <c r="A29" i="3" s="1"/>
  <c r="A30" i="3" s="1"/>
  <c r="A31" i="3" s="1"/>
  <c r="A32" i="3" s="1"/>
  <c r="A33" i="3" s="1"/>
  <c r="A34" i="3" s="1"/>
  <c r="J122" i="35"/>
  <c r="H84" i="35"/>
  <c r="A17" i="35"/>
  <c r="A18" i="35"/>
  <c r="J200" i="35"/>
  <c r="E146" i="35"/>
  <c r="N40" i="37"/>
  <c r="G52" i="37"/>
  <c r="E47" i="35" s="1"/>
  <c r="G53" i="37"/>
  <c r="E48" i="35" s="1"/>
  <c r="G55" i="37"/>
  <c r="E50" i="35"/>
  <c r="P39" i="37"/>
  <c r="Q39" i="37"/>
  <c r="F56" i="37"/>
  <c r="I39" i="37"/>
  <c r="M39" i="37"/>
  <c r="I35" i="37"/>
  <c r="K39" i="37"/>
  <c r="F35" i="37"/>
  <c r="R25" i="37"/>
  <c r="E25" i="35" s="1"/>
  <c r="H39" i="37"/>
  <c r="H42" i="37" s="1"/>
  <c r="G39" i="37"/>
  <c r="M35" i="37"/>
  <c r="L35" i="37"/>
  <c r="Q35" i="37"/>
  <c r="L39" i="37"/>
  <c r="F39" i="37"/>
  <c r="R30" i="37"/>
  <c r="E30" i="35"/>
  <c r="N35" i="37"/>
  <c r="R15" i="37"/>
  <c r="E15" i="35"/>
  <c r="G35" i="37"/>
  <c r="O35" i="37"/>
  <c r="H35" i="37"/>
  <c r="J35" i="37"/>
  <c r="E85" i="35"/>
  <c r="F65" i="37"/>
  <c r="A18" i="37"/>
  <c r="R35" i="37"/>
  <c r="L38" i="37"/>
  <c r="E38" i="37"/>
  <c r="E32" i="37"/>
  <c r="P38" i="37"/>
  <c r="G22" i="37"/>
  <c r="F22" i="37"/>
  <c r="E37" i="37"/>
  <c r="M22" i="37"/>
  <c r="N22" i="37"/>
  <c r="K22" i="37"/>
  <c r="O22" i="37"/>
  <c r="E22" i="37"/>
  <c r="E36" i="37"/>
  <c r="H22" i="37"/>
  <c r="L22" i="37"/>
  <c r="P22" i="37"/>
  <c r="I22" i="37"/>
  <c r="J22" i="37"/>
  <c r="R18" i="37"/>
  <c r="G14" i="41"/>
  <c r="H14" i="41"/>
  <c r="E24" i="41" s="1"/>
  <c r="F24" i="41"/>
  <c r="R39" i="37"/>
  <c r="G15" i="41"/>
  <c r="E56" i="35"/>
  <c r="R16" i="37"/>
  <c r="Q22" i="37"/>
  <c r="R17" i="37"/>
  <c r="E17" i="35"/>
  <c r="J146" i="35" s="1"/>
  <c r="J147" i="35"/>
  <c r="P32" i="37"/>
  <c r="P36" i="37"/>
  <c r="L32" i="37"/>
  <c r="L36" i="37"/>
  <c r="H36" i="37"/>
  <c r="H32" i="37"/>
  <c r="Q32" i="37"/>
  <c r="Q36" i="37"/>
  <c r="Q42" i="37" s="1"/>
  <c r="O32" i="37"/>
  <c r="O36" i="37"/>
  <c r="K32" i="37"/>
  <c r="K36" i="37"/>
  <c r="K42" i="37"/>
  <c r="F37" i="37"/>
  <c r="R27" i="37"/>
  <c r="R37" i="37" s="1"/>
  <c r="M36" i="37"/>
  <c r="M32" i="37"/>
  <c r="N32" i="37"/>
  <c r="N36" i="37"/>
  <c r="J32" i="37"/>
  <c r="J36" i="37"/>
  <c r="J42" i="37"/>
  <c r="G32" i="37"/>
  <c r="G36" i="37"/>
  <c r="R26" i="37"/>
  <c r="P42" i="37"/>
  <c r="F32" i="37"/>
  <c r="G42" i="37"/>
  <c r="R28" i="37"/>
  <c r="H38" i="37"/>
  <c r="I32" i="37"/>
  <c r="M38" i="37"/>
  <c r="E18" i="35"/>
  <c r="E26" i="35"/>
  <c r="J154" i="35" s="1"/>
  <c r="E27" i="35"/>
  <c r="J164" i="35" s="1"/>
  <c r="J165" i="35" s="1"/>
  <c r="E28" i="35"/>
  <c r="R38" i="37"/>
  <c r="E37" i="35"/>
  <c r="J168" i="35"/>
  <c r="A19" i="35" l="1"/>
  <c r="E42" i="37"/>
  <c r="G22" i="41"/>
  <c r="D28" i="3"/>
  <c r="D30" i="3" s="1"/>
  <c r="A19" i="37"/>
  <c r="R22" i="37"/>
  <c r="R36" i="37"/>
  <c r="E16" i="35"/>
  <c r="J156" i="35"/>
  <c r="J158" i="35" s="1"/>
  <c r="J159" i="35"/>
  <c r="J161" i="35" s="1"/>
  <c r="H26" i="35" s="1"/>
  <c r="J26" i="35" s="1"/>
  <c r="R42" i="37"/>
  <c r="E35" i="35"/>
  <c r="E22" i="35"/>
  <c r="E38" i="35"/>
  <c r="E89" i="35"/>
  <c r="N42" i="37"/>
  <c r="G65" i="37"/>
  <c r="J84" i="35"/>
  <c r="H90" i="35"/>
  <c r="J90" i="35" s="1"/>
  <c r="B22" i="3"/>
  <c r="R41" i="37"/>
  <c r="J197" i="35"/>
  <c r="J199" i="35" s="1"/>
  <c r="G12" i="41"/>
  <c r="H12" i="41" s="1"/>
  <c r="G13" i="41"/>
  <c r="H13" i="41" s="1"/>
  <c r="E23" i="41" s="1"/>
  <c r="F23" i="41" s="1"/>
  <c r="E60" i="35"/>
  <c r="M42" i="37"/>
  <c r="J151" i="35"/>
  <c r="E180" i="35"/>
  <c r="O42" i="37"/>
  <c r="F42" i="37"/>
  <c r="E45" i="35"/>
  <c r="E51" i="35" s="1"/>
  <c r="G56" i="37"/>
  <c r="E32" i="35"/>
  <c r="R32" i="37"/>
  <c r="R40" i="37"/>
  <c r="E41" i="35"/>
  <c r="J21" i="35"/>
  <c r="J41" i="35" s="1"/>
  <c r="H14" i="3"/>
  <c r="E45" i="41" l="1"/>
  <c r="G23" i="41"/>
  <c r="G24" i="41" s="1"/>
  <c r="H24" i="41" s="1"/>
  <c r="E42" i="35"/>
  <c r="D32" i="3"/>
  <c r="D34" i="3"/>
  <c r="D31" i="3"/>
  <c r="D33" i="3"/>
  <c r="A20" i="37"/>
  <c r="H15" i="41"/>
  <c r="E22" i="41"/>
  <c r="J135" i="35"/>
  <c r="E88" i="35"/>
  <c r="E91" i="35" s="1"/>
  <c r="E115" i="35" s="1"/>
  <c r="E36" i="35"/>
  <c r="E106" i="35"/>
  <c r="A20" i="35"/>
  <c r="J141" i="35" l="1"/>
  <c r="J138" i="35"/>
  <c r="J140" i="35" s="1"/>
  <c r="E179" i="35"/>
  <c r="E181" i="35" s="1"/>
  <c r="A21" i="35"/>
  <c r="E25" i="41"/>
  <c r="E43" i="41" s="1"/>
  <c r="A21" i="37"/>
  <c r="H23" i="41"/>
  <c r="D22" i="35" l="1"/>
  <c r="A22" i="35"/>
  <c r="A23" i="35" s="1"/>
  <c r="A24" i="35" s="1"/>
  <c r="A25" i="35" s="1"/>
  <c r="F179" i="35"/>
  <c r="F180" i="35"/>
  <c r="D22" i="37"/>
  <c r="A22" i="37"/>
  <c r="A23" i="37" s="1"/>
  <c r="A24" i="37" s="1"/>
  <c r="A25" i="37" s="1"/>
  <c r="J143" i="35"/>
  <c r="A26" i="37" l="1"/>
  <c r="D35" i="37"/>
  <c r="F181" i="35"/>
  <c r="H179" i="35"/>
  <c r="J181" i="35" s="1"/>
  <c r="D35" i="35"/>
  <c r="A26" i="35"/>
  <c r="H88" i="35"/>
  <c r="J88" i="35" s="1"/>
  <c r="H16" i="35"/>
  <c r="J16" i="35" s="1"/>
  <c r="F172" i="35"/>
  <c r="H172" i="35" s="1"/>
  <c r="H175" i="35" s="1"/>
  <c r="J175" i="35" s="1"/>
  <c r="G179" i="35"/>
  <c r="H76" i="35"/>
  <c r="H58" i="35"/>
  <c r="J58" i="35" s="1"/>
  <c r="J76" i="35" l="1"/>
  <c r="H77" i="35"/>
  <c r="J77" i="35" s="1"/>
  <c r="H83" i="35"/>
  <c r="J83" i="35" s="1"/>
  <c r="H20" i="35"/>
  <c r="H57" i="35"/>
  <c r="J57" i="35" s="1"/>
  <c r="H18" i="35"/>
  <c r="H95" i="35"/>
  <c r="J36" i="35"/>
  <c r="A27" i="35"/>
  <c r="E154" i="35"/>
  <c r="D36" i="35"/>
  <c r="D36" i="37"/>
  <c r="A27" i="37"/>
  <c r="A28" i="37" l="1"/>
  <c r="D37" i="37"/>
  <c r="H96" i="35"/>
  <c r="J96" i="35" s="1"/>
  <c r="J95" i="35"/>
  <c r="J18" i="35"/>
  <c r="H28" i="35"/>
  <c r="H19" i="35"/>
  <c r="J19" i="35" s="1"/>
  <c r="J20" i="35"/>
  <c r="H30" i="35"/>
  <c r="J30" i="35" s="1"/>
  <c r="E164" i="35"/>
  <c r="A28" i="35"/>
  <c r="D37" i="35"/>
  <c r="A29" i="35" l="1"/>
  <c r="D38" i="35"/>
  <c r="J28" i="35"/>
  <c r="H29" i="35"/>
  <c r="J29" i="35" s="1"/>
  <c r="J39" i="35" s="1"/>
  <c r="H78" i="35"/>
  <c r="J38" i="35"/>
  <c r="J22" i="35"/>
  <c r="H22" i="35" s="1"/>
  <c r="J40" i="35"/>
  <c r="A29" i="37"/>
  <c r="D38" i="37"/>
  <c r="H82" i="35" l="1"/>
  <c r="J82" i="35" s="1"/>
  <c r="H80" i="35"/>
  <c r="J78" i="35"/>
  <c r="H89" i="35"/>
  <c r="J89" i="35" s="1"/>
  <c r="J91" i="35" s="1"/>
  <c r="J32" i="35"/>
  <c r="A30" i="35"/>
  <c r="D39" i="35"/>
  <c r="J42" i="35"/>
  <c r="H42" i="35" s="1"/>
  <c r="A30" i="37"/>
  <c r="D39" i="37"/>
  <c r="H59" i="35"/>
  <c r="J59" i="35" s="1"/>
  <c r="H98" i="35"/>
  <c r="J98" i="35" l="1"/>
  <c r="H100" i="35"/>
  <c r="J100" i="35" s="1"/>
  <c r="H47" i="35"/>
  <c r="H46" i="35"/>
  <c r="J46" i="35" s="1"/>
  <c r="A31" i="35"/>
  <c r="D40" i="35"/>
  <c r="H81" i="35"/>
  <c r="J81" i="35" s="1"/>
  <c r="J80" i="35"/>
  <c r="J85" i="35" s="1"/>
  <c r="J56" i="35" s="1"/>
  <c r="J60" i="35" s="1"/>
  <c r="A31" i="37"/>
  <c r="D40" i="37"/>
  <c r="A32" i="35" l="1"/>
  <c r="A33" i="35" s="1"/>
  <c r="A34" i="35" s="1"/>
  <c r="A35" i="35" s="1"/>
  <c r="D41" i="35"/>
  <c r="D32" i="35"/>
  <c r="A32" i="37"/>
  <c r="A33" i="37" s="1"/>
  <c r="A34" i="37" s="1"/>
  <c r="A35" i="37" s="1"/>
  <c r="D41" i="37"/>
  <c r="D32" i="37"/>
  <c r="H49" i="35"/>
  <c r="H48" i="35"/>
  <c r="J48" i="35" s="1"/>
  <c r="J47" i="35"/>
  <c r="J101" i="35"/>
  <c r="D42" i="35" l="1"/>
  <c r="A36" i="35"/>
  <c r="A37" i="35" s="1"/>
  <c r="A38" i="35" s="1"/>
  <c r="A39" i="35" s="1"/>
  <c r="A40" i="35" s="1"/>
  <c r="A41" i="35" s="1"/>
  <c r="A42" i="35" s="1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H50" i="35"/>
  <c r="J50" i="35" s="1"/>
  <c r="J49" i="35"/>
  <c r="J51" i="35" s="1"/>
  <c r="J62" i="35" s="1"/>
  <c r="J112" i="35" s="1"/>
  <c r="J110" i="35" s="1"/>
  <c r="J115" i="35" s="1"/>
  <c r="J119" i="35" l="1"/>
  <c r="M52" i="31" s="1"/>
  <c r="M54" i="31" s="1"/>
  <c r="D22" i="4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D42" i="37"/>
  <c r="A43" i="35"/>
  <c r="A44" i="35" s="1"/>
  <c r="A45" i="35" s="1"/>
  <c r="A46" i="35" l="1"/>
  <c r="A47" i="35" s="1"/>
  <c r="A48" i="35" s="1"/>
  <c r="A49" i="35" s="1"/>
  <c r="A50" i="35" s="1"/>
  <c r="A51" i="35" s="1"/>
  <c r="D56" i="37"/>
  <c r="A62" i="37"/>
  <c r="A63" i="37" s="1"/>
  <c r="A64" i="37" s="1"/>
  <c r="A65" i="37" s="1"/>
  <c r="D65" i="37"/>
  <c r="D25" i="41"/>
  <c r="E42" i="41" s="1"/>
  <c r="F22" i="41"/>
  <c r="F25" i="41" l="1"/>
  <c r="E44" i="41" s="1"/>
  <c r="E46" i="41" s="1"/>
  <c r="H22" i="41"/>
  <c r="H25" i="41" s="1"/>
  <c r="F28" i="41" s="1"/>
  <c r="A52" i="35"/>
  <c r="A53" i="35" s="1"/>
  <c r="A54" i="35" s="1"/>
  <c r="A55" i="35" s="1"/>
  <c r="A56" i="35" s="1"/>
  <c r="D51" i="35"/>
  <c r="F29" i="41" l="1"/>
  <c r="F30" i="41"/>
  <c r="A57" i="35"/>
  <c r="A58" i="35" s="1"/>
  <c r="A59" i="35" s="1"/>
  <c r="A60" i="35" s="1"/>
  <c r="A61" i="35" l="1"/>
  <c r="A62" i="35" s="1"/>
  <c r="D62" i="35"/>
  <c r="F31" i="41"/>
  <c r="F33" i="41" s="1"/>
  <c r="F32" i="41"/>
  <c r="F34" i="41" s="1"/>
  <c r="D60" i="35"/>
  <c r="A76" i="35" l="1"/>
  <c r="A77" i="35" l="1"/>
  <c r="A78" i="35" s="1"/>
  <c r="A79" i="35" s="1"/>
  <c r="A80" i="35" s="1"/>
  <c r="A81" i="35" s="1"/>
  <c r="A82" i="35" s="1"/>
  <c r="A83" i="35" s="1"/>
  <c r="A84" i="35" s="1"/>
  <c r="A85" i="35" s="1"/>
  <c r="A86" i="35" l="1"/>
  <c r="A87" i="35" s="1"/>
  <c r="A88" i="35" s="1"/>
  <c r="D56" i="35"/>
  <c r="C85" i="35"/>
  <c r="A89" i="35" l="1"/>
  <c r="A90" i="35" s="1"/>
  <c r="A91" i="35" s="1"/>
  <c r="A92" i="35" l="1"/>
  <c r="A93" i="35" s="1"/>
  <c r="A94" i="35" s="1"/>
  <c r="A95" i="35" s="1"/>
  <c r="C91" i="35"/>
  <c r="A96" i="35" l="1"/>
  <c r="A97" i="35" s="1"/>
  <c r="A98" i="35" s="1"/>
  <c r="A99" i="35" s="1"/>
  <c r="A100" i="35" s="1"/>
  <c r="A101" i="35" s="1"/>
  <c r="A102" i="35" l="1"/>
  <c r="A103" i="35" s="1"/>
  <c r="A104" i="35" s="1"/>
  <c r="A105" i="35" s="1"/>
  <c r="A106" i="35" s="1"/>
  <c r="C101" i="35"/>
  <c r="A107" i="35" l="1"/>
  <c r="A108" i="35" s="1"/>
  <c r="A109" i="35" s="1"/>
  <c r="A110" i="35" s="1"/>
  <c r="A111" i="35" l="1"/>
  <c r="A112" i="35" s="1"/>
  <c r="A113" i="35" s="1"/>
  <c r="C115" i="35"/>
  <c r="A114" i="35" l="1"/>
  <c r="A115" i="35" s="1"/>
  <c r="D110" i="35"/>
  <c r="A116" i="35" l="1"/>
  <c r="A117" i="35" s="1"/>
  <c r="A118" i="35" s="1"/>
  <c r="A119" i="35" s="1"/>
  <c r="C119" i="35"/>
  <c r="D52" i="31" l="1"/>
  <c r="A135" i="35"/>
  <c r="A136" i="35" l="1"/>
  <c r="A137" i="35" s="1"/>
  <c r="A138" i="35" s="1"/>
  <c r="A139" i="35" l="1"/>
  <c r="A140" i="35" s="1"/>
  <c r="C140" i="35"/>
  <c r="C138" i="35"/>
  <c r="A141" i="35" l="1"/>
  <c r="A142" i="35" s="1"/>
  <c r="A143" i="35" s="1"/>
  <c r="A144" i="35" s="1"/>
  <c r="A145" i="35" s="1"/>
  <c r="A146" i="35" s="1"/>
  <c r="C143" i="35"/>
  <c r="A147" i="35" l="1"/>
  <c r="A148" i="35" s="1"/>
  <c r="A149" i="35" s="1"/>
  <c r="C149" i="35"/>
  <c r="C151" i="35"/>
  <c r="A150" i="35" l="1"/>
  <c r="A151" i="35" s="1"/>
  <c r="A152" i="35" s="1"/>
  <c r="A153" i="35" s="1"/>
  <c r="A154" i="35" s="1"/>
  <c r="C139" i="35"/>
  <c r="C141" i="35"/>
  <c r="A155" i="35" l="1"/>
  <c r="A156" i="35" s="1"/>
  <c r="A157" i="35" l="1"/>
  <c r="C156" i="35"/>
  <c r="A158" i="35" l="1"/>
  <c r="C159" i="35"/>
  <c r="C158" i="35"/>
  <c r="A159" i="35" l="1"/>
  <c r="A160" i="35" s="1"/>
  <c r="A161" i="35" s="1"/>
  <c r="A162" i="35" s="1"/>
  <c r="A163" i="35" s="1"/>
  <c r="A164" i="35" s="1"/>
  <c r="C161" i="35"/>
  <c r="A165" i="35" l="1"/>
  <c r="A166" i="35" s="1"/>
  <c r="C157" i="35" l="1"/>
  <c r="C168" i="35"/>
  <c r="A167" i="35"/>
  <c r="A168" i="35" s="1"/>
  <c r="A169" i="35" s="1"/>
  <c r="A170" i="35" s="1"/>
  <c r="A171" i="35" s="1"/>
  <c r="A172" i="35" s="1"/>
  <c r="A173" i="35" s="1"/>
  <c r="C166" i="35"/>
  <c r="A174" i="35" l="1"/>
  <c r="A175" i="35" s="1"/>
  <c r="A176" i="35" s="1"/>
  <c r="A177" i="35" s="1"/>
  <c r="A178" i="35" s="1"/>
  <c r="A179" i="35" s="1"/>
  <c r="C175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/>
  <c r="D198" i="35" l="1"/>
  <c r="A194" i="35"/>
  <c r="A195" i="35" s="1"/>
  <c r="A196" i="35" s="1"/>
  <c r="A197" i="35" l="1"/>
  <c r="A198" i="35" s="1"/>
  <c r="A199" i="35" s="1"/>
  <c r="C113" i="35" s="1"/>
  <c r="C199" i="35"/>
  <c r="C107" i="35" l="1"/>
</calcChain>
</file>

<file path=xl/comments1.xml><?xml version="1.0" encoding="utf-8"?>
<comments xmlns="http://schemas.openxmlformats.org/spreadsheetml/2006/main">
  <authors>
    <author>Chris Kilpatrick</author>
    <author>Hoffman, Cody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Updated Rev Req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<sst xmlns="http://schemas.openxmlformats.org/spreadsheetml/2006/main" count="739" uniqueCount="460">
  <si>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</si>
  <si>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</si>
  <si>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</si>
  <si>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</si>
  <si>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</si>
  <si>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</si>
  <si>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</si>
  <si>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</si>
  <si>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</si>
  <si>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</si>
  <si>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</si>
  <si>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</si>
  <si>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</si>
  <si>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</si>
  <si>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</si>
  <si>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</si>
  <si>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</si>
  <si>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</si>
  <si>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</si>
  <si>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</si>
  <si>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</si>
  <si>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</si>
  <si>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</si>
  <si>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</si>
  <si>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</si>
  <si>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</si>
  <si>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</si>
  <si>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</si>
  <si>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</si>
  <si>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</si>
  <si>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</si>
  <si>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</si>
  <si>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</si>
  <si>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</si>
  <si>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</si>
  <si>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</si>
  <si>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</si>
  <si>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</si>
  <si>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</si>
  <si>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</si>
  <si>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</si>
  <si>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</si>
  <si>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</si>
  <si>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</si>
  <si>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</si>
  <si>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</si>
  <si>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</si>
  <si>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</si>
  <si>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</si>
  <si>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</si>
  <si>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</si>
  <si>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</si>
  <si>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</si>
  <si>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</si>
  <si>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</si>
  <si>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</si>
  <si>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</si>
  <si>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</si>
  <si>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</si>
  <si>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</si>
  <si>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</si>
  <si>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</si>
  <si>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</si>
  <si>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</si>
  <si>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</si>
  <si>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</si>
  <si>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</si>
  <si>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</si>
  <si>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</si>
  <si>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</si>
  <si>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</si>
  <si>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</si>
  <si>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</si>
  <si>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</si>
  <si>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</si>
  <si>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</si>
  <si>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</si>
  <si>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</si>
  <si>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</si>
  <si>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</si>
  <si>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</si>
  <si>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</si>
  <si>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</si>
  <si>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</si>
  <si>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</si>
  <si>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</si>
  <si>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</si>
  <si>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</si>
  <si>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</si>
  <si>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</si>
  <si>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</si>
  <si>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</si>
  <si>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</si>
  <si>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</si>
  <si>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</si>
  <si>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</si>
  <si>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</si>
  <si>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</si>
  <si>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</si>
  <si>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</si>
  <si>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</si>
  <si>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</si>
  <si>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</si>
  <si>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</si>
  <si>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</si>
  <si>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</si>
  <si>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</si>
  <si>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</si>
  <si>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</si>
  <si>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</si>
  <si>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</si>
  <si>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</si>
  <si>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</si>
  <si>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</si>
  <si>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</si>
  <si>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</si>
  <si>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</si>
  <si>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</si>
  <si>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</si>
  <si>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</si>
  <si>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</si>
  <si>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</si>
  <si>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</si>
  <si>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</si>
  <si>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</si>
  <si>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</si>
  <si>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</si>
  <si>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</si>
  <si>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</si>
  <si>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</si>
  <si>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</si>
  <si>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</si>
  <si>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</si>
  <si>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</si>
  <si>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</si>
  <si>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</si>
  <si>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</si>
  <si>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</si>
  <si>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</si>
  <si>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</si>
  <si>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</si>
  <si>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</si>
  <si>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</si>
  <si>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</si>
  <si>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</si>
  <si>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</si>
  <si>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</si>
  <si>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</si>
  <si>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</si>
  <si>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</si>
  <si>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</si>
  <si>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</si>
  <si>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</si>
  <si>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</si>
  <si>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</si>
  <si>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</si>
  <si>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</si>
  <si>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</si>
  <si>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</si>
  <si>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</si>
  <si>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</si>
  <si>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</si>
  <si>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</si>
  <si>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</si>
  <si>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</si>
  <si>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</si>
  <si>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</si>
  <si>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</si>
  <si>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</si>
  <si>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</si>
  <si>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</si>
  <si>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</si>
  <si>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</si>
  <si>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</si>
  <si>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</si>
  <si>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</si>
  <si>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</si>
  <si>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</si>
  <si>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</si>
  <si>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</si>
  <si>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</si>
  <si>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</si>
  <si>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</si>
  <si>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</si>
  <si>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</si>
  <si>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</si>
  <si>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</si>
  <si>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</si>
  <si>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</si>
  <si>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</si>
  <si>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</si>
  <si>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</si>
  <si>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</si>
  <si>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</si>
  <si>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</si>
  <si>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</si>
  <si>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</si>
  <si>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</si>
  <si>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</si>
  <si>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</si>
  <si>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</si>
  <si>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</si>
  <si>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</si>
  <si>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</si>
  <si>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</si>
  <si>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</si>
  <si>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</si>
  <si>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</si>
  <si>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</si>
  <si>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</si>
  <si>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</si>
  <si>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</si>
  <si>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</si>
  <si>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</si>
  <si>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</si>
  <si>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</si>
  <si>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</si>
  <si>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</si>
  <si>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</si>
  <si>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</si>
  <si>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</si>
  <si>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</si>
  <si>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</si>
  <si>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</si>
  <si>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</si>
  <si>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</si>
  <si>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</si>
  <si>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</si>
  <si>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</si>
  <si>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</si>
  <si>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</si>
  <si>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</si>
  <si>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</si>
  <si>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</si>
  <si>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</si>
  <si>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</si>
  <si>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</si>
  <si>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</si>
  <si>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</si>
  <si>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</si>
  <si>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</si>
  <si>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</si>
  <si>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</si>
  <si>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</si>
  <si>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</si>
  <si>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</si>
  <si>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</si>
  <si>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</si>
  <si>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</si>
  <si>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</si>
  <si>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</si>
  <si>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</si>
  <si>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</si>
  <si>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</si>
  <si>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</si>
  <si>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</si>
  <si>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</si>
  <si>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</si>
  <si>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</si>
  <si>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</si>
  <si>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</si>
  <si>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</si>
  <si>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</si>
  <si>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</si>
  <si>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</si>
  <si>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</si>
  <si>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</si>
  <si>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</si>
  <si>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</si>
  <si>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</si>
  <si>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</si>
  <si>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</si>
  <si>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</si>
  <si>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</si>
  <si>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</si>
  <si>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</si>
  <si>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</si>
  <si>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</si>
  <si>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</si>
  <si>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</si>
  <si>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</si>
  <si>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</si>
  <si>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</si>
  <si>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</si>
  <si>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</si>
  <si>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</si>
  <si>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</si>
  <si>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</si>
  <si>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</si>
  <si>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</si>
  <si>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</si>
  <si>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</si>
  <si>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</si>
  <si>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</si>
  <si>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</si>
  <si>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</si>
  <si>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</si>
  <si>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</si>
  <si>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</si>
  <si>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</si>
  <si>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</si>
  <si>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</si>
  <si>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</si>
  <si>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</si>
  <si>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</si>
  <si>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</si>
  <si>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</si>
  <si>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</si>
  <si>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</si>
  <si>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</si>
  <si>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</si>
  <si>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</si>
  <si>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</si>
  <si>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</si>
  <si>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</si>
  <si>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</si>
  <si>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</si>
  <si>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</si>
  <si>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</si>
  <si>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</si>
  <si>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</si>
  <si>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</si>
  <si>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</si>
  <si>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</si>
  <si>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</si>
  <si>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</si>
  <si>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</si>
  <si>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</si>
  <si>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</si>
  <si>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</si>
  <si>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</si>
  <si>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</si>
  <si>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</si>
  <si>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</si>
  <si>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</si>
  <si>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</si>
  <si>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</si>
  <si>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</si>
  <si>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</si>
  <si>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</si>
  <si>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</si>
  <si>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</si>
  <si>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</si>
  <si>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</si>
  <si>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</si>
  <si>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</si>
  <si>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</si>
  <si>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</si>
  <si>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</si>
  <si>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</si>
  <si>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</si>
  <si>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</si>
  <si>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</si>
  <si>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</si>
  <si>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</si>
  <si>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</si>
  <si>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</si>
  <si>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</si>
  <si>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</si>
  <si>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</si>
  <si>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</si>
  <si>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</si>
  <si>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</si>
  <si>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</si>
  <si>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</si>
  <si>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</si>
  <si>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</si>
  <si>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</si>
  <si>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</si>
  <si>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</si>
  <si>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</si>
  <si>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</si>
  <si>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</si>
  <si>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</si>
  <si>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</si>
  <si>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</si>
  <si>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</si>
  <si>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</si>
  <si>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</si>
  <si>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</si>
  <si>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</si>
  <si>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</si>
  <si>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</si>
  <si>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</si>
  <si>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</si>
  <si>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</si>
  <si>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</si>
  <si>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</si>
  <si>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</si>
  <si>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</si>
  <si>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</si>
  <si>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</si>
  <si>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</si>
  <si>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</si>
  <si>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</si>
  <si>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</si>
  <si>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</si>
  <si>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</si>
  <si>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</si>
  <si>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</si>
  <si>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</si>
  <si>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</si>
  <si>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</si>
  <si>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</si>
  <si>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</si>
  <si>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</si>
  <si>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</si>
  <si>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</si>
  <si>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</si>
  <si>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</si>
  <si>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</si>
  <si>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</si>
  <si>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</si>
  <si>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</si>
  <si>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</si>
  <si>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</si>
  <si>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</si>
  <si>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</si>
  <si>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</si>
  <si>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</si>
  <si>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</si>
  <si>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</si>
  <si>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</si>
  <si>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</si>
  <si>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</si>
  <si>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</si>
  <si>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</si>
  <si>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</si>
  <si>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</si>
  <si>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</si>
  <si>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</si>
  <si>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</si>
  <si>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</si>
  <si>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</si>
  <si>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</si>
  <si>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</si>
  <si>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</si>
  <si>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</si>
  <si>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</si>
  <si>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</si>
  <si>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</si>
  <si>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</si>
  <si>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</si>
  <si>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</si>
  <si>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</si>
  <si>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</si>
  <si>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</si>
  <si>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(See Workpaper 7 2017 Actual Load Data)</t>
  </si>
  <si>
    <t>12/31/17 &amp; 12/31/18 average balance</t>
  </si>
  <si>
    <r>
      <t>2018 Actual Load Data</t>
    </r>
    <r>
      <rPr>
        <b/>
        <vertAlign val="superscript"/>
        <sz val="12"/>
        <rFont val="Arial"/>
        <family val="2"/>
      </rPr>
      <t>1</t>
    </r>
  </si>
  <si>
    <r>
      <t>2018 Projected Load Data</t>
    </r>
    <r>
      <rPr>
        <b/>
        <vertAlign val="superscript"/>
        <sz val="12"/>
        <rFont val="Arial"/>
        <family val="2"/>
      </rPr>
      <t>2</t>
    </r>
  </si>
  <si>
    <t>Actual Expenses (2018)</t>
  </si>
  <si>
    <t>O&amp;M - Acct 561 (2017)</t>
  </si>
  <si>
    <t>TRUE UP OF RATES FOR CALENDAR YEAR 2018</t>
  </si>
  <si>
    <t>Actual 2018 Load</t>
  </si>
  <si>
    <t>Date: May 31, 2019</t>
  </si>
  <si>
    <t>Amount based on actual calendar year 2018</t>
  </si>
  <si>
    <t>278.2.c</t>
  </si>
  <si>
    <t>(232.1.f)*.21 + (278.2.b/f)</t>
  </si>
  <si>
    <t>Effective August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</si>
</sst>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* #,##0.0_);_(* \(#,##0.0\);_(* &quot;-&quot;??_);_(@_)"/>
    <numFmt numFmtId="180" formatCode="_(&quot;$&quot;* #,##0.0000_);_(&quot;$&quot;* \(#,##0.0000\);_(&quot;$&quot;* &quot;-&quot;??_);_(@_)"/>
    <numFmt numFmtId="181" formatCode="_(&quot;$&quot;* #,##0.00000_);_(&quot;$&quot;* \(#,##0.00000\);_(&quot;$&quot;* &quot;-&quot;??_);_(@_)"/>
    <numFmt numFmtId="183" formatCode="mmm\-yyyy"/>
    <numFmt numFmtId="184" formatCode="0.0000%"/>
    <numFmt numFmtId="185" formatCode="#,##0.000000"/>
    <numFmt numFmtId="186" formatCode="[$-409]mmm\-yy;@"/>
    <numFmt numFmtId="187" formatCode="&quot;$&quot;#,##0.0;[Red]\-&quot;$&quot;#,##0.0"/>
    <numFmt numFmtId="188" formatCode="00000"/>
    <numFmt numFmtId="189" formatCode="#,##0\ ;\(#,##0\);\-\ \ \ \ \ "/>
    <numFmt numFmtId="190" formatCode="#,##0\ ;\(#,##0\);\–\ \ \ \ \ "/>
    <numFmt numFmtId="191" formatCode="#,##0;\(#,##0\)"/>
    <numFmt numFmtId="192" formatCode="yyyymmdd"/>
    <numFmt numFmtId="193" formatCode="_([$€-2]* #,##0.00_);_([$€-2]* \(#,##0.00\);_([$€-2]* &quot;-&quot;??_)"/>
    <numFmt numFmtId="194" formatCode="_-* #,##0.0_-;\-* #,##0.0_-;_-* &quot;-&quot;??_-;_-@_-"/>
    <numFmt numFmtId="195" formatCode="#,##0.00&quot; $&quot;;\-#,##0.00&quot; $&quot;"/>
    <numFmt numFmtId="196" formatCode="000000000"/>
    <numFmt numFmtId="197" formatCode="#,##0.0_);\(#,##0.0\)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.00_)"/>
    <numFmt numFmtId="201" formatCode="00"/>
    <numFmt numFmtId="202" formatCode="0_);\(0\)"/>
    <numFmt numFmtId="203" formatCode="000\-00\-0000"/>
    <numFmt numFmtId="208" formatCode="[$-409]mmmm\ d\,\ yyyy;@"/>
  </numFmts>
  <fonts count="9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2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9" fillId="0" borderId="0" applyBorder="0" applyAlignment="0"/>
    <xf numFmtId="187" fontId="43" fillId="20" borderId="1">
      <alignment horizontal="center" vertical="center"/>
    </xf>
    <xf numFmtId="188" fontId="6" fillId="0" borderId="2">
      <alignment horizontal="left"/>
    </xf>
    <xf numFmtId="0" fontId="50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1" fillId="0" borderId="0" applyNumberFormat="0" applyFill="0" applyBorder="0" applyAlignment="0" applyProtection="0"/>
    <xf numFmtId="189" fontId="52" fillId="0" borderId="3" applyNumberFormat="0" applyFill="0" applyAlignment="0" applyProtection="0">
      <alignment horizontal="center"/>
    </xf>
    <xf numFmtId="190" fontId="52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3" fillId="0" borderId="0" applyFill="0">
      <alignment vertical="top"/>
    </xf>
    <xf numFmtId="0" fontId="54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3" fillId="0" borderId="0" applyFill="0">
      <alignment wrapText="1"/>
    </xf>
    <xf numFmtId="0" fontId="54" fillId="0" borderId="0" applyFill="0">
      <alignment horizontal="left" vertical="top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9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37" fontId="59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62" fillId="0" borderId="0">
      <alignment horizontal="center" wrapText="1"/>
    </xf>
    <xf numFmtId="0" fontId="63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91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5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6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67" fillId="0" borderId="0" applyFont="0" applyFill="0" applyBorder="0" applyAlignment="0" applyProtection="0"/>
    <xf numFmtId="192" fontId="6" fillId="0" borderId="2">
      <alignment horizontal="center"/>
    </xf>
    <xf numFmtId="193" fontId="6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4" fontId="6" fillId="0" borderId="0">
      <protection locked="0"/>
    </xf>
    <xf numFmtId="0" fontId="67" fillId="0" borderId="0"/>
    <xf numFmtId="0" fontId="68" fillId="0" borderId="0"/>
    <xf numFmtId="0" fontId="69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7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1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5" fontId="6" fillId="0" borderId="0">
      <protection locked="0"/>
    </xf>
    <xf numFmtId="195" fontId="6" fillId="0" borderId="0">
      <protection locked="0"/>
    </xf>
    <xf numFmtId="0" fontId="72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6" fontId="6" fillId="0" borderId="2">
      <alignment horizontal="center"/>
    </xf>
    <xf numFmtId="197" fontId="73" fillId="0" borderId="0"/>
    <xf numFmtId="17" fontId="74" fillId="0" borderId="0">
      <alignment horizontal="center"/>
    </xf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5" fillId="0" borderId="0" applyNumberFormat="0" applyFill="0" applyBorder="0" applyAlignment="0" applyProtection="0"/>
    <xf numFmtId="0" fontId="52" fillId="0" borderId="0" applyNumberFormat="0" applyFill="0" applyAlignment="0" applyProtection="0"/>
    <xf numFmtId="37" fontId="76" fillId="0" borderId="0"/>
    <xf numFmtId="200" fontId="77" fillId="0" borderId="0"/>
    <xf numFmtId="172" fontId="1" fillId="0" borderId="0" applyProtection="0"/>
    <xf numFmtId="0" fontId="6" fillId="0" borderId="0"/>
    <xf numFmtId="0" fontId="95" fillId="0" borderId="0"/>
    <xf numFmtId="0" fontId="65" fillId="0" borderId="0"/>
    <xf numFmtId="0" fontId="6" fillId="0" borderId="0"/>
    <xf numFmtId="0" fontId="92" fillId="0" borderId="0"/>
    <xf numFmtId="0" fontId="6" fillId="0" borderId="2">
      <alignment horizontal="center" wrapText="1"/>
    </xf>
    <xf numFmtId="2" fontId="6" fillId="0" borderId="2">
      <alignment horizontal="center"/>
    </xf>
    <xf numFmtId="201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9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8" fillId="0" borderId="0" applyFill="0"/>
    <xf numFmtId="0" fontId="10" fillId="0" borderId="0" applyFill="0">
      <alignment horizontal="left"/>
    </xf>
    <xf numFmtId="202" fontId="10" fillId="0" borderId="4" applyFill="0">
      <alignment horizontal="right"/>
    </xf>
    <xf numFmtId="0" fontId="6" fillId="0" borderId="0" applyNumberFormat="0" applyFont="0" applyBorder="0" applyAlignment="0"/>
    <xf numFmtId="0" fontId="56" fillId="0" borderId="0" applyFill="0">
      <alignment horizontal="left" indent="1"/>
    </xf>
    <xf numFmtId="0" fontId="59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6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9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8" fillId="0" borderId="0">
      <alignment horizontal="left" indent="4"/>
    </xf>
    <xf numFmtId="0" fontId="10" fillId="0" borderId="0" applyFill="0">
      <alignment horizontal="left"/>
    </xf>
    <xf numFmtId="37" fontId="59" fillId="0" borderId="0" applyFill="0">
      <alignment horizontal="right"/>
    </xf>
    <xf numFmtId="0" fontId="6" fillId="0" borderId="0" applyNumberFormat="0" applyFont="0" applyBorder="0" applyAlignment="0"/>
    <xf numFmtId="0" fontId="60" fillId="0" borderId="0">
      <alignment horizontal="left" indent="5"/>
    </xf>
    <xf numFmtId="0" fontId="59" fillId="0" borderId="0" applyFill="0">
      <alignment horizontal="left"/>
    </xf>
    <xf numFmtId="37" fontId="59" fillId="0" borderId="0" applyFill="0">
      <alignment horizontal="right"/>
    </xf>
    <xf numFmtId="0" fontId="6" fillId="0" borderId="0" applyNumberFormat="0" applyFont="0" applyFill="0" applyBorder="0" applyAlignment="0"/>
    <xf numFmtId="0" fontId="62" fillId="0" borderId="0" applyFill="0">
      <alignment horizontal="left" indent="6"/>
    </xf>
    <xf numFmtId="0" fontId="59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52" fillId="0" borderId="4" applyNumberFormat="0" applyFill="0" applyAlignment="0" applyProtection="0"/>
    <xf numFmtId="37" fontId="81" fillId="0" borderId="0" applyNumberFormat="0">
      <alignment horizontal="left"/>
    </xf>
    <xf numFmtId="203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3" fontId="6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97" fontId="85" fillId="0" borderId="0"/>
    <xf numFmtId="40" fontId="8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7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05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0" applyFill="1"/>
    <xf numFmtId="173" fontId="6" fillId="0" borderId="0" xfId="105" applyNumberFormat="1" applyFont="1" applyFill="1"/>
    <xf numFmtId="0" fontId="6" fillId="0" borderId="0" xfId="169" applyFont="1" applyFill="1"/>
    <xf numFmtId="0" fontId="6" fillId="0" borderId="0" xfId="169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7" applyFill="1" applyBorder="1" applyAlignment="1">
      <alignment horizontal="center"/>
    </xf>
    <xf numFmtId="0" fontId="6" fillId="0" borderId="20" xfId="167" applyFill="1" applyBorder="1" applyAlignment="1">
      <alignment horizontal="center"/>
    </xf>
    <xf numFmtId="0" fontId="6" fillId="0" borderId="21" xfId="167" applyFill="1" applyBorder="1" applyAlignment="1">
      <alignment horizontal="center"/>
    </xf>
    <xf numFmtId="0" fontId="6" fillId="0" borderId="0" xfId="167" applyFill="1" applyBorder="1" applyAlignment="1">
      <alignment horizontal="center"/>
    </xf>
    <xf numFmtId="0" fontId="6" fillId="0" borderId="21" xfId="167" applyFont="1" applyFill="1" applyBorder="1" applyAlignment="1">
      <alignment horizontal="center"/>
    </xf>
    <xf numFmtId="0" fontId="6" fillId="0" borderId="22" xfId="167" applyFill="1" applyBorder="1" applyAlignment="1">
      <alignment horizontal="center"/>
    </xf>
    <xf numFmtId="0" fontId="6" fillId="0" borderId="3" xfId="167" applyFill="1" applyBorder="1" applyAlignment="1">
      <alignment horizontal="center"/>
    </xf>
    <xf numFmtId="0" fontId="6" fillId="0" borderId="21" xfId="167" applyFill="1" applyBorder="1"/>
    <xf numFmtId="1" fontId="6" fillId="0" borderId="23" xfId="167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0" applyFont="1" applyFill="1" applyAlignment="1">
      <alignment horizontal="left"/>
    </xf>
    <xf numFmtId="0" fontId="6" fillId="0" borderId="19" xfId="167" applyFont="1" applyFill="1" applyBorder="1" applyAlignment="1">
      <alignment horizontal="center"/>
    </xf>
    <xf numFmtId="0" fontId="6" fillId="0" borderId="22" xfId="167" applyFont="1" applyFill="1" applyBorder="1" applyAlignment="1">
      <alignment horizontal="center"/>
    </xf>
    <xf numFmtId="0" fontId="6" fillId="0" borderId="21" xfId="167" quotePrefix="1" applyFont="1" applyFill="1" applyBorder="1" applyAlignment="1">
      <alignment horizontal="left"/>
    </xf>
    <xf numFmtId="0" fontId="6" fillId="0" borderId="20" xfId="167" applyFill="1" applyBorder="1"/>
    <xf numFmtId="0" fontId="6" fillId="0" borderId="0" xfId="167" applyFill="1" applyBorder="1"/>
    <xf numFmtId="0" fontId="6" fillId="0" borderId="22" xfId="167" quotePrefix="1" applyFont="1" applyFill="1" applyBorder="1" applyAlignment="1">
      <alignment horizontal="left"/>
    </xf>
    <xf numFmtId="0" fontId="6" fillId="0" borderId="3" xfId="167" applyFill="1" applyBorder="1"/>
    <xf numFmtId="0" fontId="18" fillId="0" borderId="0" xfId="168" applyFont="1" applyFill="1" applyAlignment="1">
      <alignment horizontal="center"/>
    </xf>
    <xf numFmtId="0" fontId="6" fillId="0" borderId="0" xfId="167" applyFont="1" applyFill="1" applyAlignment="1">
      <alignment horizontal="left"/>
    </xf>
    <xf numFmtId="0" fontId="6" fillId="0" borderId="0" xfId="167" applyFill="1"/>
    <xf numFmtId="0" fontId="6" fillId="0" borderId="0" xfId="167" applyFill="1" applyAlignment="1">
      <alignment horizontal="left"/>
    </xf>
    <xf numFmtId="172" fontId="18" fillId="0" borderId="0" xfId="0" applyFont="1" applyFill="1" applyAlignment="1"/>
    <xf numFmtId="0" fontId="10" fillId="0" borderId="0" xfId="172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2" applyFont="1" applyFill="1" applyAlignment="1">
      <alignment horizontal="center"/>
    </xf>
    <xf numFmtId="164" fontId="10" fillId="0" borderId="0" xfId="172" applyNumberFormat="1" applyFont="1" applyFill="1"/>
    <xf numFmtId="0" fontId="13" fillId="0" borderId="0" xfId="172" applyFont="1" applyFill="1"/>
    <xf numFmtId="0" fontId="16" fillId="0" borderId="0" xfId="172" applyFont="1" applyFill="1"/>
    <xf numFmtId="6" fontId="10" fillId="0" borderId="24" xfId="172" applyNumberFormat="1" applyFont="1" applyFill="1" applyBorder="1"/>
    <xf numFmtId="6" fontId="13" fillId="0" borderId="24" xfId="172" applyNumberFormat="1" applyFont="1" applyFill="1" applyBorder="1"/>
    <xf numFmtId="0" fontId="15" fillId="0" borderId="0" xfId="172" applyFont="1" applyFill="1"/>
    <xf numFmtId="0" fontId="6" fillId="0" borderId="0" xfId="170" applyFont="1" applyFill="1"/>
    <xf numFmtId="0" fontId="12" fillId="0" borderId="0" xfId="172" applyFont="1" applyFill="1"/>
    <xf numFmtId="173" fontId="16" fillId="0" borderId="0" xfId="105" applyNumberFormat="1" applyFont="1" applyFill="1"/>
    <xf numFmtId="6" fontId="10" fillId="0" borderId="0" xfId="172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2" quotePrefix="1" applyFont="1" applyFill="1" applyAlignment="1">
      <alignment horizontal="left"/>
    </xf>
    <xf numFmtId="3" fontId="14" fillId="0" borderId="0" xfId="172" applyNumberFormat="1" applyFont="1" applyFill="1"/>
    <xf numFmtId="0" fontId="10" fillId="0" borderId="0" xfId="172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8" fillId="0" borderId="0" xfId="169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68" applyFont="1" applyFill="1" applyAlignment="1">
      <alignment horizontal="left"/>
    </xf>
    <xf numFmtId="172" fontId="14" fillId="0" borderId="0" xfId="0" applyFont="1" applyFill="1" applyAlignment="1"/>
    <xf numFmtId="0" fontId="18" fillId="0" borderId="0" xfId="168" applyFont="1" applyFill="1"/>
    <xf numFmtId="16" fontId="18" fillId="0" borderId="0" xfId="168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68" applyFont="1" applyFill="1" applyAlignment="1">
      <alignment horizontal="left"/>
    </xf>
    <xf numFmtId="0" fontId="6" fillId="0" borderId="3" xfId="169" applyFont="1" applyFill="1" applyBorder="1" applyAlignment="1">
      <alignment horizontal="center" wrapText="1"/>
    </xf>
    <xf numFmtId="43" fontId="6" fillId="0" borderId="0" xfId="169" applyNumberFormat="1" applyFont="1" applyFill="1"/>
    <xf numFmtId="173" fontId="6" fillId="0" borderId="0" xfId="169" applyNumberFormat="1" applyFont="1" applyFill="1"/>
    <xf numFmtId="173" fontId="6" fillId="0" borderId="3" xfId="169" applyNumberFormat="1" applyFont="1" applyFill="1" applyBorder="1"/>
    <xf numFmtId="43" fontId="6" fillId="0" borderId="3" xfId="169" applyNumberFormat="1" applyFont="1" applyFill="1" applyBorder="1"/>
    <xf numFmtId="1" fontId="6" fillId="0" borderId="0" xfId="167" applyNumberFormat="1" applyFill="1" applyBorder="1" applyAlignment="1">
      <alignment horizontal="center"/>
    </xf>
    <xf numFmtId="43" fontId="14" fillId="0" borderId="0" xfId="105" applyFont="1" applyFill="1" applyAlignment="1"/>
    <xf numFmtId="3" fontId="4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7" applyNumberFormat="1" applyFill="1" applyBorder="1" applyAlignment="1">
      <alignment horizontal="center"/>
    </xf>
    <xf numFmtId="1" fontId="6" fillId="0" borderId="21" xfId="167" applyNumberFormat="1" applyFill="1" applyBorder="1" applyAlignment="1">
      <alignment horizontal="center"/>
    </xf>
    <xf numFmtId="1" fontId="6" fillId="0" borderId="22" xfId="167" applyNumberFormat="1" applyFill="1" applyBorder="1" applyAlignment="1">
      <alignment horizontal="center"/>
    </xf>
    <xf numFmtId="0" fontId="6" fillId="0" borderId="19" xfId="167" applyFill="1" applyBorder="1"/>
    <xf numFmtId="0" fontId="6" fillId="0" borderId="0" xfId="170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68" applyFont="1" applyFill="1" applyAlignment="1">
      <alignment horizontal="center"/>
    </xf>
    <xf numFmtId="3" fontId="10" fillId="0" borderId="0" xfId="172" applyNumberFormat="1" applyFont="1" applyFill="1"/>
    <xf numFmtId="10" fontId="6" fillId="0" borderId="0" xfId="178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78" applyNumberFormat="1" applyFont="1" applyFill="1" applyAlignment="1"/>
    <xf numFmtId="0" fontId="14" fillId="0" borderId="0" xfId="169" applyFont="1" applyFill="1"/>
    <xf numFmtId="176" fontId="6" fillId="0" borderId="0" xfId="169" applyNumberFormat="1" applyFill="1"/>
    <xf numFmtId="3" fontId="96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173" fontId="3" fillId="0" borderId="4" xfId="105" applyNumberFormat="1" applyFont="1" applyFill="1" applyBorder="1" applyAlignment="1"/>
    <xf numFmtId="0" fontId="0" fillId="0" borderId="0" xfId="0" applyNumberFormat="1" applyFill="1"/>
    <xf numFmtId="1" fontId="6" fillId="0" borderId="25" xfId="167" applyNumberFormat="1" applyFill="1" applyBorder="1" applyAlignment="1">
      <alignment horizontal="center"/>
    </xf>
    <xf numFmtId="173" fontId="1" fillId="0" borderId="0" xfId="105" applyNumberFormat="1" applyFont="1" applyFill="1" applyAlignment="1"/>
    <xf numFmtId="173" fontId="0" fillId="0" borderId="0" xfId="105" applyNumberFormat="1" applyFont="1" applyFill="1" applyAlignment="1"/>
    <xf numFmtId="172" fontId="0" fillId="0" borderId="0" xfId="0" applyFill="1" applyAlignment="1">
      <alignment horizontal="left" indent="1"/>
    </xf>
    <xf numFmtId="44" fontId="0" fillId="0" borderId="0" xfId="112" applyFont="1" applyFill="1"/>
    <xf numFmtId="0" fontId="6" fillId="0" borderId="0" xfId="169" applyFill="1" applyAlignment="1">
      <alignment horizontal="center"/>
    </xf>
    <xf numFmtId="0" fontId="6" fillId="0" borderId="0" xfId="169" applyFill="1" applyAlignment="1">
      <alignment horizontal="right"/>
    </xf>
    <xf numFmtId="0" fontId="14" fillId="0" borderId="0" xfId="169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69" applyFill="1" applyBorder="1" applyAlignment="1">
      <alignment horizontal="center"/>
    </xf>
    <xf numFmtId="0" fontId="6" fillId="0" borderId="3" xfId="169" applyFill="1" applyBorder="1"/>
    <xf numFmtId="0" fontId="6" fillId="0" borderId="3" xfId="169" applyFont="1" applyFill="1" applyBorder="1" applyAlignment="1">
      <alignment horizontal="center"/>
    </xf>
    <xf numFmtId="0" fontId="6" fillId="0" borderId="0" xfId="169" applyFill="1" applyAlignment="1">
      <alignment horizontal="center" wrapText="1"/>
    </xf>
    <xf numFmtId="0" fontId="6" fillId="0" borderId="0" xfId="169" applyFont="1" applyFill="1" applyAlignment="1">
      <alignment horizontal="center"/>
    </xf>
    <xf numFmtId="0" fontId="6" fillId="0" borderId="0" xfId="169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78" applyNumberFormat="1" applyFont="1" applyFill="1" applyAlignment="1">
      <alignment horizontal="right"/>
    </xf>
    <xf numFmtId="3" fontId="6" fillId="0" borderId="0" xfId="169" applyNumberFormat="1" applyFill="1"/>
    <xf numFmtId="9" fontId="6" fillId="0" borderId="0" xfId="178" applyFill="1"/>
    <xf numFmtId="44" fontId="6" fillId="0" borderId="0" xfId="169" applyNumberFormat="1" applyFill="1"/>
    <xf numFmtId="41" fontId="6" fillId="0" borderId="0" xfId="169" applyNumberFormat="1" applyFill="1"/>
    <xf numFmtId="0" fontId="6" fillId="0" borderId="3" xfId="169" applyFont="1" applyFill="1" applyBorder="1"/>
    <xf numFmtId="44" fontId="6" fillId="0" borderId="3" xfId="169" applyNumberFormat="1" applyFont="1" applyFill="1" applyBorder="1"/>
    <xf numFmtId="170" fontId="6" fillId="0" borderId="3" xfId="178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78" applyFont="1" applyFill="1" applyAlignment="1">
      <alignment horizontal="right"/>
    </xf>
    <xf numFmtId="174" fontId="6" fillId="0" borderId="0" xfId="169" applyNumberFormat="1" applyFont="1" applyFill="1"/>
    <xf numFmtId="0" fontId="6" fillId="0" borderId="3" xfId="169" applyFill="1" applyBorder="1" applyAlignment="1">
      <alignment horizontal="center" wrapText="1"/>
    </xf>
    <xf numFmtId="0" fontId="6" fillId="0" borderId="26" xfId="169" applyFill="1" applyBorder="1"/>
    <xf numFmtId="0" fontId="6" fillId="0" borderId="6" xfId="169" applyFill="1" applyBorder="1"/>
    <xf numFmtId="0" fontId="6" fillId="0" borderId="27" xfId="169" applyFill="1" applyBorder="1"/>
    <xf numFmtId="174" fontId="6" fillId="0" borderId="0" xfId="169" applyNumberFormat="1" applyFill="1"/>
    <xf numFmtId="175" fontId="17" fillId="0" borderId="0" xfId="169" applyNumberFormat="1" applyFont="1" applyFill="1"/>
    <xf numFmtId="0" fontId="6" fillId="0" borderId="28" xfId="169" applyFill="1" applyBorder="1"/>
    <xf numFmtId="0" fontId="6" fillId="0" borderId="0" xfId="169" applyFill="1" applyBorder="1"/>
    <xf numFmtId="0" fontId="6" fillId="0" borderId="29" xfId="169" applyFill="1" applyBorder="1"/>
    <xf numFmtId="42" fontId="6" fillId="0" borderId="0" xfId="169" applyNumberFormat="1" applyFill="1"/>
    <xf numFmtId="42" fontId="6" fillId="0" borderId="3" xfId="169" applyNumberFormat="1" applyFill="1" applyBorder="1"/>
    <xf numFmtId="174" fontId="6" fillId="0" borderId="3" xfId="169" applyNumberFormat="1" applyFill="1" applyBorder="1"/>
    <xf numFmtId="0" fontId="6" fillId="0" borderId="30" xfId="169" applyFill="1" applyBorder="1"/>
    <xf numFmtId="0" fontId="6" fillId="0" borderId="4" xfId="169" applyFill="1" applyBorder="1"/>
    <xf numFmtId="0" fontId="6" fillId="0" borderId="31" xfId="169" applyFill="1" applyBorder="1"/>
    <xf numFmtId="43" fontId="6" fillId="0" borderId="0" xfId="169" applyNumberFormat="1" applyFill="1"/>
    <xf numFmtId="173" fontId="6" fillId="0" borderId="0" xfId="169" applyNumberFormat="1" applyFill="1"/>
    <xf numFmtId="44" fontId="6" fillId="0" borderId="0" xfId="112" applyFill="1"/>
    <xf numFmtId="0" fontId="6" fillId="0" borderId="0" xfId="169" quotePrefix="1" applyFill="1"/>
    <xf numFmtId="180" fontId="6" fillId="0" borderId="0" xfId="112" applyNumberFormat="1" applyFill="1"/>
    <xf numFmtId="181" fontId="6" fillId="0" borderId="0" xfId="112" applyNumberFormat="1" applyFill="1"/>
    <xf numFmtId="0" fontId="6" fillId="0" borderId="0" xfId="172" applyFont="1" applyFill="1"/>
    <xf numFmtId="0" fontId="13" fillId="0" borderId="0" xfId="172" applyFont="1" applyFill="1" applyAlignment="1">
      <alignment horizontal="right"/>
    </xf>
    <xf numFmtId="0" fontId="14" fillId="0" borderId="0" xfId="172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2" applyFont="1" applyFill="1" applyBorder="1" applyAlignment="1">
      <alignment horizontal="center"/>
    </xf>
    <xf numFmtId="0" fontId="10" fillId="0" borderId="4" xfId="172" applyFont="1" applyFill="1" applyBorder="1" applyAlignment="1">
      <alignment horizontal="center"/>
    </xf>
    <xf numFmtId="0" fontId="8" fillId="0" borderId="0" xfId="172" applyFont="1" applyFill="1"/>
    <xf numFmtId="0" fontId="8" fillId="0" borderId="0" xfId="172" applyFont="1" applyFill="1" applyAlignment="1">
      <alignment horizontal="left"/>
    </xf>
    <xf numFmtId="0" fontId="5" fillId="0" borderId="0" xfId="172" applyFont="1" applyFill="1"/>
    <xf numFmtId="0" fontId="9" fillId="0" borderId="0" xfId="172" applyFont="1" applyFill="1"/>
    <xf numFmtId="0" fontId="11" fillId="0" borderId="0" xfId="172" applyFont="1" applyFill="1" applyAlignment="1">
      <alignment horizontal="center"/>
    </xf>
    <xf numFmtId="0" fontId="11" fillId="0" borderId="0" xfId="172" applyFont="1" applyFill="1"/>
    <xf numFmtId="0" fontId="10" fillId="0" borderId="0" xfId="171" applyFont="1" applyFill="1"/>
    <xf numFmtId="0" fontId="14" fillId="0" borderId="0" xfId="169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7" applyFill="1" applyBorder="1" applyAlignment="1">
      <alignment horizontal="center"/>
    </xf>
    <xf numFmtId="0" fontId="6" fillId="0" borderId="33" xfId="167" applyFill="1" applyBorder="1" applyAlignment="1">
      <alignment horizontal="center"/>
    </xf>
    <xf numFmtId="0" fontId="6" fillId="0" borderId="34" xfId="167" applyFill="1" applyBorder="1" applyAlignment="1">
      <alignment horizontal="center"/>
    </xf>
    <xf numFmtId="0" fontId="6" fillId="0" borderId="35" xfId="167" applyFill="1" applyBorder="1" applyAlignment="1">
      <alignment horizontal="center"/>
    </xf>
    <xf numFmtId="0" fontId="6" fillId="0" borderId="36" xfId="167" applyFill="1" applyBorder="1" applyAlignment="1">
      <alignment horizontal="center"/>
    </xf>
    <xf numFmtId="0" fontId="6" fillId="0" borderId="37" xfId="167" applyFill="1" applyBorder="1" applyAlignment="1">
      <alignment horizontal="center"/>
    </xf>
    <xf numFmtId="0" fontId="6" fillId="0" borderId="33" xfId="167" applyFill="1" applyBorder="1"/>
    <xf numFmtId="0" fontId="6" fillId="0" borderId="25" xfId="167" applyFont="1" applyFill="1" applyBorder="1"/>
    <xf numFmtId="0" fontId="6" fillId="0" borderId="9" xfId="167" applyFill="1" applyBorder="1"/>
    <xf numFmtId="1" fontId="6" fillId="0" borderId="38" xfId="167" applyNumberFormat="1" applyFill="1" applyBorder="1" applyAlignment="1">
      <alignment horizontal="center"/>
    </xf>
    <xf numFmtId="1" fontId="6" fillId="0" borderId="9" xfId="167" applyNumberFormat="1" applyFill="1" applyBorder="1" applyAlignment="1">
      <alignment horizontal="center"/>
    </xf>
    <xf numFmtId="1" fontId="6" fillId="0" borderId="32" xfId="167" applyNumberFormat="1" applyFill="1" applyBorder="1" applyAlignment="1">
      <alignment horizontal="center"/>
    </xf>
    <xf numFmtId="0" fontId="6" fillId="0" borderId="0" xfId="167" applyFont="1" applyFill="1"/>
    <xf numFmtId="1" fontId="6" fillId="0" borderId="33" xfId="167" applyNumberFormat="1" applyFill="1" applyBorder="1" applyAlignment="1">
      <alignment horizontal="center"/>
    </xf>
    <xf numFmtId="1" fontId="6" fillId="0" borderId="34" xfId="167" applyNumberFormat="1" applyFill="1" applyBorder="1" applyAlignment="1">
      <alignment horizontal="center"/>
    </xf>
    <xf numFmtId="10" fontId="6" fillId="0" borderId="0" xfId="167" applyNumberFormat="1" applyFill="1"/>
    <xf numFmtId="43" fontId="6" fillId="0" borderId="0" xfId="105" applyFill="1"/>
    <xf numFmtId="10" fontId="6" fillId="0" borderId="0" xfId="167" applyNumberFormat="1" applyFill="1" applyBorder="1" applyAlignment="1">
      <alignment horizontal="center"/>
    </xf>
    <xf numFmtId="0" fontId="6" fillId="0" borderId="0" xfId="167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3" fontId="44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44" fontId="6" fillId="0" borderId="0" xfId="170" applyNumberFormat="1" applyFill="1"/>
    <xf numFmtId="0" fontId="6" fillId="0" borderId="0" xfId="170" applyFont="1" applyFill="1" applyAlignment="1">
      <alignment horizontal="center"/>
    </xf>
    <xf numFmtId="44" fontId="6" fillId="0" borderId="0" xfId="170" applyNumberFormat="1" applyFill="1" applyAlignment="1">
      <alignment horizontal="center"/>
    </xf>
    <xf numFmtId="0" fontId="6" fillId="0" borderId="4" xfId="170" applyFont="1" applyFill="1" applyBorder="1" applyAlignment="1">
      <alignment horizontal="center"/>
    </xf>
    <xf numFmtId="0" fontId="6" fillId="0" borderId="4" xfId="170" applyFont="1" applyFill="1" applyBorder="1"/>
    <xf numFmtId="44" fontId="6" fillId="0" borderId="4" xfId="170" applyNumberFormat="1" applyFont="1" applyFill="1" applyBorder="1" applyAlignment="1">
      <alignment horizontal="center"/>
    </xf>
    <xf numFmtId="0" fontId="14" fillId="0" borderId="0" xfId="170" applyFont="1" applyFill="1"/>
    <xf numFmtId="10" fontId="6" fillId="0" borderId="0" xfId="170" applyNumberFormat="1" applyFont="1" applyFill="1"/>
    <xf numFmtId="0" fontId="6" fillId="0" borderId="0" xfId="170" applyFont="1" applyFill="1" applyAlignment="1">
      <alignment horizontal="right"/>
    </xf>
    <xf numFmtId="208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4" fontId="18" fillId="0" borderId="0" xfId="178" applyNumberFormat="1" applyFont="1" applyFill="1" applyAlignment="1"/>
    <xf numFmtId="184" fontId="18" fillId="0" borderId="6" xfId="178" applyNumberFormat="1" applyFont="1" applyFill="1" applyBorder="1" applyAlignment="1"/>
    <xf numFmtId="172" fontId="0" fillId="0" borderId="0" xfId="0" applyFill="1" applyAlignment="1">
      <alignment horizontal="right"/>
    </xf>
    <xf numFmtId="208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5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9" xfId="0" applyNumberFormat="1" applyFont="1" applyFill="1" applyBorder="1" applyAlignment="1"/>
    <xf numFmtId="208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3" fontId="2" fillId="0" borderId="0" xfId="105" applyNumberFormat="1" applyFont="1" applyFill="1" applyAlignment="1"/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40" xfId="0" applyNumberFormat="1" applyFont="1" applyFill="1" applyBorder="1" applyAlignment="1"/>
    <xf numFmtId="208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5" fontId="3" fillId="0" borderId="0" xfId="0" applyNumberFormat="1" applyFont="1" applyFill="1" applyAlignment="1">
      <alignment horizontal="right"/>
    </xf>
    <xf numFmtId="3" fontId="3" fillId="0" borderId="0" xfId="162" applyNumberFormat="1" applyFont="1" applyFill="1" applyAlignment="1"/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2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78" applyFont="1" applyFill="1" applyAlignment="1"/>
    <xf numFmtId="10" fontId="3" fillId="0" borderId="0" xfId="178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8" applyFont="1" applyFill="1" applyBorder="1" applyAlignment="1"/>
    <xf numFmtId="10" fontId="3" fillId="0" borderId="0" xfId="178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78" applyNumberFormat="1" applyFont="1" applyFill="1" applyBorder="1" applyAlignment="1"/>
    <xf numFmtId="208" fontId="3" fillId="0" borderId="0" xfId="178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178" fontId="0" fillId="0" borderId="0" xfId="105" applyNumberFormat="1" applyFont="1" applyFill="1" applyAlignment="1"/>
    <xf numFmtId="178" fontId="2" fillId="0" borderId="0" xfId="105" applyNumberFormat="1" applyFont="1" applyFill="1" applyAlignment="1"/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0" fontId="14" fillId="0" borderId="0" xfId="169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0" applyFont="1" applyFill="1" applyAlignment="1">
      <alignment horizontal="center"/>
    </xf>
    <xf numFmtId="172" fontId="0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5" fillId="0" borderId="41" xfId="169" applyFont="1" applyFill="1" applyBorder="1" applyAlignment="1">
      <alignment horizontal="center"/>
    </xf>
    <xf numFmtId="0" fontId="5" fillId="0" borderId="10" xfId="169" applyFont="1" applyFill="1" applyBorder="1" applyAlignment="1">
      <alignment horizontal="center"/>
    </xf>
    <xf numFmtId="0" fontId="5" fillId="0" borderId="42" xfId="169" applyFont="1" applyFill="1" applyBorder="1" applyAlignment="1">
      <alignment horizontal="center"/>
    </xf>
    <xf numFmtId="0" fontId="14" fillId="0" borderId="0" xfId="172" applyFont="1" applyFill="1" applyAlignment="1">
      <alignment horizontal="center"/>
    </xf>
  </cellXfs>
  <cellStyles count="242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3" xfId="114"/>
    <cellStyle name="Date" xfId="115"/>
    <cellStyle name="Euro" xfId="116"/>
    <cellStyle name="Explanatory Text" xfId="117" builtinId="53" customBuiltin="1"/>
    <cellStyle name="Explanatory Text 2" xfId="118"/>
    <cellStyle name="Fixed" xfId="119"/>
    <cellStyle name="Fixed1 - Style1" xfId="120"/>
    <cellStyle name="Gilsans" xfId="121"/>
    <cellStyle name="Gilsansl" xfId="122"/>
    <cellStyle name="Good" xfId="123" builtinId="26" customBuiltin="1"/>
    <cellStyle name="Good 2" xfId="124"/>
    <cellStyle name="Grey" xfId="125"/>
    <cellStyle name="HEADER" xfId="126"/>
    <cellStyle name="Header1" xfId="127"/>
    <cellStyle name="Header2" xfId="128"/>
    <cellStyle name="Heading" xfId="129"/>
    <cellStyle name="Heading 1" xfId="130" builtinId="16" customBuiltin="1"/>
    <cellStyle name="Heading 1 2" xfId="131"/>
    <cellStyle name="Heading 2" xfId="132" builtinId="17" customBuiltin="1"/>
    <cellStyle name="Heading 2 2" xfId="133"/>
    <cellStyle name="Heading 3" xfId="134" builtinId="18" customBuiltin="1"/>
    <cellStyle name="Heading 3 2" xfId="135"/>
    <cellStyle name="Heading 4" xfId="136" builtinId="19" customBuiltin="1"/>
    <cellStyle name="Heading 4 2" xfId="137"/>
    <cellStyle name="Heading1" xfId="138"/>
    <cellStyle name="Heading2" xfId="139"/>
    <cellStyle name="HIGHLIGHT" xfId="140"/>
    <cellStyle name="Input" xfId="141" builtinId="20" customBuiltin="1"/>
    <cellStyle name="Input [yellow]" xfId="142"/>
    <cellStyle name="Input 2" xfId="143"/>
    <cellStyle name="Lines" xfId="144"/>
    <cellStyle name="Linked Cell" xfId="145" builtinId="24" customBuiltin="1"/>
    <cellStyle name="Linked Cell 2" xfId="146"/>
    <cellStyle name="MEM SSN" xfId="147"/>
    <cellStyle name="Mine" xfId="148"/>
    <cellStyle name="mmm-yy" xfId="149"/>
    <cellStyle name="Monétaire [0]_pldt" xfId="150"/>
    <cellStyle name="Monétaire_pldt" xfId="151"/>
    <cellStyle name="Neutral" xfId="152" builtinId="28" customBuiltin="1"/>
    <cellStyle name="Neutral 2" xfId="153"/>
    <cellStyle name="New" xfId="154"/>
    <cellStyle name="No Border" xfId="155"/>
    <cellStyle name="no dec" xfId="156"/>
    <cellStyle name="Normal" xfId="0" builtinId="0"/>
    <cellStyle name="Normal - Style1" xfId="157"/>
    <cellStyle name="Normal 2" xfId="158"/>
    <cellStyle name="Normal 2 2" xfId="159"/>
    <cellStyle name="Normal 3" xfId="160"/>
    <cellStyle name="Normal 3 2" xfId="161"/>
    <cellStyle name="Normal 3 5" xfId="162"/>
    <cellStyle name="Normal 4" xfId="163"/>
    <cellStyle name="Normal CEN" xfId="164"/>
    <cellStyle name="Normal Centered" xfId="165"/>
    <cellStyle name="NORMAL CTR" xfId="166"/>
    <cellStyle name="Normal_2002 AREA LOADS FOR JNT TARIFF" xfId="167"/>
    <cellStyle name="Normal_Capital True-up" xfId="168"/>
    <cellStyle name="Normal_CU AC Rate Design" xfId="169"/>
    <cellStyle name="Normal_PRECorp2002HeintzResponse 8-21-03" xfId="170"/>
    <cellStyle name="Normal_Sheet1" xfId="171"/>
    <cellStyle name="Normal_TopSheet Type Ancillaries Worksheet-Updated 81903" xfId="172"/>
    <cellStyle name="Note" xfId="173" builtinId="10" customBuiltin="1"/>
    <cellStyle name="Note 2" xfId="174"/>
    <cellStyle name="nUMBER" xfId="175"/>
    <cellStyle name="Output" xfId="176" builtinId="21" customBuiltin="1"/>
    <cellStyle name="Output 2" xfId="177"/>
    <cellStyle name="Percent" xfId="178" builtinId="5"/>
    <cellStyle name="Percent [2]" xfId="179"/>
    <cellStyle name="Percent 2" xfId="180"/>
    <cellStyle name="PSChar" xfId="181"/>
    <cellStyle name="PSDate" xfId="182"/>
    <cellStyle name="PSDec" xfId="183"/>
    <cellStyle name="PSHeading" xfId="184"/>
    <cellStyle name="PSInt" xfId="185"/>
    <cellStyle name="PSSpacer" xfId="186"/>
    <cellStyle name="R00A" xfId="187"/>
    <cellStyle name="R00B" xfId="188"/>
    <cellStyle name="R00L" xfId="189"/>
    <cellStyle name="R01A" xfId="190"/>
    <cellStyle name="R01B" xfId="191"/>
    <cellStyle name="R01H" xfId="192"/>
    <cellStyle name="R01L" xfId="193"/>
    <cellStyle name="R02A" xfId="194"/>
    <cellStyle name="R02B" xfId="195"/>
    <cellStyle name="R02H" xfId="196"/>
    <cellStyle name="R02L" xfId="197"/>
    <cellStyle name="R03A" xfId="198"/>
    <cellStyle name="R03B" xfId="199"/>
    <cellStyle name="R03H" xfId="200"/>
    <cellStyle name="R03L" xfId="201"/>
    <cellStyle name="R04A" xfId="202"/>
    <cellStyle name="R04B" xfId="203"/>
    <cellStyle name="R04H" xfId="204"/>
    <cellStyle name="R04L" xfId="205"/>
    <cellStyle name="R05A" xfId="206"/>
    <cellStyle name="R05B" xfId="207"/>
    <cellStyle name="R05H" xfId="208"/>
    <cellStyle name="R05L" xfId="209"/>
    <cellStyle name="R06A" xfId="210"/>
    <cellStyle name="R06B" xfId="211"/>
    <cellStyle name="R06H" xfId="212"/>
    <cellStyle name="R06L" xfId="213"/>
    <cellStyle name="R07A" xfId="214"/>
    <cellStyle name="R07B" xfId="215"/>
    <cellStyle name="R07H" xfId="216"/>
    <cellStyle name="R07L" xfId="217"/>
    <cellStyle name="Resource Detail" xfId="218"/>
    <cellStyle name="Shade" xfId="219"/>
    <cellStyle name="single acct" xfId="220"/>
    <cellStyle name="Single Border" xfId="221"/>
    <cellStyle name="Small Page Heading" xfId="222"/>
    <cellStyle name="ssn" xfId="223"/>
    <cellStyle name="Style 1" xfId="224"/>
    <cellStyle name="Style 2" xfId="225"/>
    <cellStyle name="Style 27" xfId="226"/>
    <cellStyle name="Style 28" xfId="227"/>
    <cellStyle name="Table Sub Heading" xfId="228"/>
    <cellStyle name="Table Title" xfId="229"/>
    <cellStyle name="Table Units" xfId="230"/>
    <cellStyle name="Theirs" xfId="231"/>
    <cellStyle name="Times New Roman" xfId="232"/>
    <cellStyle name="Title" xfId="233" builtinId="15" customBuiltin="1"/>
    <cellStyle name="Title 2" xfId="234"/>
    <cellStyle name="Total" xfId="235" builtinId="25" customBuiltin="1"/>
    <cellStyle name="Total 2" xfId="236"/>
    <cellStyle name="Unprot" xfId="237"/>
    <cellStyle name="Unprot$" xfId="238"/>
    <cellStyle name="Unprotect" xfId="239"/>
    <cellStyle name="Warning Text" xfId="240" builtinId="11" customBuiltin="1"/>
    <cellStyle name="Warning Text 2" xfId="2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6"/>
  <sheetViews>
    <sheetView zoomScaleNormal="100" workbookViewId="0">
      <selection activeCell="H1" sqref="H1"/>
    </sheetView>
  </sheetViews>
  <sheetFormatPr defaultColWidth="7.109375" defaultRowHeight="12.75"/>
  <cols>
    <col min="1" max="1" width="3.77734375" style="105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77734375" style="8" bestFit="1" customWidth="1"/>
    <col min="8" max="8" width="9.5546875" style="8" bestFit="1" customWidth="1"/>
    <col min="9" max="9" width="7.109375" style="8" customWidth="1"/>
    <col min="10" max="10" width="8.777343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106" t="s">
        <v>455</v>
      </c>
    </row>
    <row r="2" spans="1:11">
      <c r="G2" s="7"/>
    </row>
    <row r="3" spans="1:11" ht="15" customHeight="1">
      <c r="A3" s="292" t="s">
        <v>360</v>
      </c>
      <c r="B3" s="292"/>
      <c r="C3" s="292"/>
      <c r="D3" s="292"/>
      <c r="E3" s="292"/>
      <c r="F3" s="292"/>
      <c r="G3" s="292"/>
      <c r="H3" s="292"/>
    </row>
    <row r="4" spans="1:11" ht="15" customHeight="1">
      <c r="A4" s="292" t="s">
        <v>77</v>
      </c>
      <c r="B4" s="292"/>
      <c r="C4" s="292"/>
      <c r="D4" s="292"/>
      <c r="E4" s="292"/>
      <c r="F4" s="292"/>
      <c r="G4" s="292"/>
      <c r="H4" s="292"/>
    </row>
    <row r="6" spans="1:11">
      <c r="A6" s="90" t="s">
        <v>70</v>
      </c>
    </row>
    <row r="8" spans="1:11">
      <c r="A8" s="105">
        <v>1</v>
      </c>
      <c r="B8" s="7" t="s">
        <v>114</v>
      </c>
      <c r="D8" s="7"/>
      <c r="G8" s="7"/>
      <c r="H8" s="108">
        <v>401990.97</v>
      </c>
      <c r="I8" s="7" t="s">
        <v>456</v>
      </c>
    </row>
    <row r="9" spans="1:11">
      <c r="G9" s="7"/>
      <c r="H9" s="7"/>
    </row>
    <row r="10" spans="1:11" ht="39" thickBot="1">
      <c r="D10" s="109" t="str">
        <f>+B20</f>
        <v>Entity</v>
      </c>
      <c r="E10" s="110"/>
      <c r="F10" s="65" t="s">
        <v>164</v>
      </c>
      <c r="G10" s="111" t="s">
        <v>254</v>
      </c>
      <c r="H10" s="65" t="s">
        <v>362</v>
      </c>
    </row>
    <row r="11" spans="1:11">
      <c r="D11" s="105"/>
      <c r="F11" s="112"/>
      <c r="G11" s="113"/>
      <c r="H11" s="114"/>
    </row>
    <row r="12" spans="1:11">
      <c r="A12" s="105">
        <v>2</v>
      </c>
      <c r="D12" s="8" t="s">
        <v>363</v>
      </c>
      <c r="F12" s="115">
        <f>+L22</f>
        <v>23.514352119310285</v>
      </c>
      <c r="G12" s="116">
        <f>+F12/F$15</f>
        <v>0.55160457106896432</v>
      </c>
      <c r="H12" s="108">
        <f>+H$8*G12</f>
        <v>221740.05658044689</v>
      </c>
      <c r="J12" s="117"/>
      <c r="K12" s="118"/>
    </row>
    <row r="13" spans="1:11">
      <c r="A13" s="105">
        <v>3</v>
      </c>
      <c r="D13" s="8" t="s">
        <v>364</v>
      </c>
      <c r="F13" s="119">
        <f>+L23</f>
        <v>16.933084914198826</v>
      </c>
      <c r="G13" s="116">
        <f>+F13/F$15</f>
        <v>0.39721983380952119</v>
      </c>
      <c r="H13" s="108">
        <f>+H$8*G13</f>
        <v>159678.78629632821</v>
      </c>
      <c r="J13" s="120"/>
      <c r="K13" s="118"/>
    </row>
    <row r="14" spans="1:11" ht="13.5" thickBot="1">
      <c r="A14" s="105">
        <v>4</v>
      </c>
      <c r="D14" s="121" t="s">
        <v>365</v>
      </c>
      <c r="E14" s="121"/>
      <c r="F14" s="122">
        <f>+L24</f>
        <v>2.1815645241491315</v>
      </c>
      <c r="G14" s="123">
        <f>+F14/F$15</f>
        <v>5.1175595121514553E-2</v>
      </c>
      <c r="H14" s="124">
        <f>+H$8*G14</f>
        <v>20572.127123224902</v>
      </c>
      <c r="J14" s="120"/>
      <c r="K14" s="118"/>
    </row>
    <row r="15" spans="1:11">
      <c r="A15" s="105">
        <v>5</v>
      </c>
      <c r="D15" s="8" t="s">
        <v>198</v>
      </c>
      <c r="F15" s="119">
        <f>SUM(F12:F14)</f>
        <v>42.629001557658242</v>
      </c>
      <c r="G15" s="125">
        <f>+F15/F$15</f>
        <v>1</v>
      </c>
      <c r="H15" s="126">
        <f>SUM(H12:H14)</f>
        <v>401990.97</v>
      </c>
      <c r="J15" s="117"/>
    </row>
    <row r="16" spans="1:11">
      <c r="G16" s="7"/>
      <c r="H16" s="7"/>
    </row>
    <row r="17" spans="1:16">
      <c r="G17" s="7"/>
      <c r="H17" s="7"/>
    </row>
    <row r="18" spans="1:16">
      <c r="A18" s="90" t="s">
        <v>366</v>
      </c>
      <c r="E18" s="90" t="s">
        <v>453</v>
      </c>
      <c r="G18" s="7"/>
      <c r="H18" s="7"/>
    </row>
    <row r="19" spans="1:16">
      <c r="G19" s="7"/>
      <c r="H19" s="7"/>
    </row>
    <row r="20" spans="1:16" ht="39" thickBot="1">
      <c r="B20" s="110" t="s">
        <v>367</v>
      </c>
      <c r="C20" s="110"/>
      <c r="D20" s="127" t="s">
        <v>165</v>
      </c>
      <c r="E20" s="127" t="s">
        <v>167</v>
      </c>
      <c r="F20" s="127" t="s">
        <v>368</v>
      </c>
      <c r="G20" s="65" t="s">
        <v>454</v>
      </c>
      <c r="H20" s="65" t="s">
        <v>309</v>
      </c>
    </row>
    <row r="21" spans="1:16">
      <c r="G21" s="7"/>
      <c r="H21" s="7"/>
      <c r="M21" s="128" t="s">
        <v>392</v>
      </c>
      <c r="N21" s="129"/>
      <c r="O21" s="129"/>
      <c r="P21" s="130"/>
    </row>
    <row r="22" spans="1:16">
      <c r="A22" s="105">
        <v>6</v>
      </c>
      <c r="B22" s="8" t="str">
        <f>+D12</f>
        <v>Black Hills</v>
      </c>
      <c r="D22" s="55">
        <f>'True-Up'!J115</f>
        <v>22701235.571768671</v>
      </c>
      <c r="E22" s="131">
        <f>-H12</f>
        <v>-221740.05658044689</v>
      </c>
      <c r="F22" s="131">
        <f>+E22+D22</f>
        <v>22479495.515188225</v>
      </c>
      <c r="G22" s="6">
        <f>+'WP7 CU AC LOADS'!J24*1000</f>
        <v>964000</v>
      </c>
      <c r="H22" s="66">
        <f>+F22/G22</f>
        <v>23.318978750195253</v>
      </c>
      <c r="J22" s="132" t="s">
        <v>119</v>
      </c>
      <c r="L22" s="91">
        <v>23.514352119310285</v>
      </c>
      <c r="M22" s="133" t="s">
        <v>393</v>
      </c>
      <c r="N22" s="134"/>
      <c r="O22" s="134"/>
      <c r="P22" s="135"/>
    </row>
    <row r="23" spans="1:16">
      <c r="A23" s="105">
        <v>7</v>
      </c>
      <c r="B23" s="8" t="str">
        <f>+D13</f>
        <v>Basin Electric</v>
      </c>
      <c r="D23" s="136">
        <v>16482130</v>
      </c>
      <c r="E23" s="131">
        <f>-H13</f>
        <v>-159678.78629632821</v>
      </c>
      <c r="F23" s="131">
        <f>+E23+D23</f>
        <v>16322451.213703671</v>
      </c>
      <c r="G23" s="67">
        <f>+G22</f>
        <v>964000</v>
      </c>
      <c r="H23" s="66">
        <f>+F23/G23</f>
        <v>16.9320033337175</v>
      </c>
      <c r="J23" s="132" t="s">
        <v>119</v>
      </c>
      <c r="L23" s="91">
        <v>16.933084914198826</v>
      </c>
      <c r="M23" s="133" t="s">
        <v>394</v>
      </c>
      <c r="N23" s="134"/>
      <c r="O23" s="134"/>
      <c r="P23" s="135"/>
    </row>
    <row r="24" spans="1:16" ht="13.5" thickBot="1">
      <c r="A24" s="105">
        <v>8</v>
      </c>
      <c r="B24" s="110" t="str">
        <f>+D14</f>
        <v>PRECorp</v>
      </c>
      <c r="C24" s="110"/>
      <c r="D24" s="137">
        <v>2123466</v>
      </c>
      <c r="E24" s="138">
        <f>-H14</f>
        <v>-20572.127123224902</v>
      </c>
      <c r="F24" s="138">
        <f>+E24+D24</f>
        <v>2102893.872876775</v>
      </c>
      <c r="G24" s="68">
        <f>+G23</f>
        <v>964000</v>
      </c>
      <c r="H24" s="69">
        <f>+F24/G24</f>
        <v>2.1814251793327539</v>
      </c>
      <c r="J24" s="132" t="s">
        <v>119</v>
      </c>
      <c r="L24" s="91">
        <v>2.1815645241491315</v>
      </c>
      <c r="M24" s="139" t="s">
        <v>395</v>
      </c>
      <c r="N24" s="140"/>
      <c r="O24" s="140"/>
      <c r="P24" s="141"/>
    </row>
    <row r="25" spans="1:16">
      <c r="A25" s="105">
        <v>9</v>
      </c>
      <c r="B25" s="8" t="s">
        <v>198</v>
      </c>
      <c r="D25" s="131">
        <f>SUM(D22:D24)</f>
        <v>41306831.571768671</v>
      </c>
      <c r="E25" s="131">
        <f>SUM(E22:E24)</f>
        <v>-401990.97</v>
      </c>
      <c r="F25" s="131">
        <f>SUM(F22:F24)</f>
        <v>40904840.601768672</v>
      </c>
      <c r="H25" s="142">
        <f>SUM(H22:H24)</f>
        <v>42.432407263245508</v>
      </c>
    </row>
    <row r="26" spans="1:16">
      <c r="F26" s="131"/>
      <c r="G26" s="143"/>
      <c r="H26" s="142"/>
    </row>
    <row r="27" spans="1:16">
      <c r="A27" s="90" t="s">
        <v>369</v>
      </c>
    </row>
    <row r="28" spans="1:16">
      <c r="A28" s="105">
        <v>10</v>
      </c>
      <c r="D28" s="8" t="s">
        <v>370</v>
      </c>
      <c r="F28" s="144">
        <f>+H25</f>
        <v>42.432407263245508</v>
      </c>
      <c r="G28" s="145" t="s">
        <v>371</v>
      </c>
    </row>
    <row r="29" spans="1:16">
      <c r="A29" s="105">
        <f t="shared" ref="A29:A34" si="0">+A28+1</f>
        <v>11</v>
      </c>
      <c r="D29" s="8" t="s">
        <v>372</v>
      </c>
      <c r="F29" s="115">
        <f>ROUND(F28/12,2)</f>
        <v>3.54</v>
      </c>
      <c r="G29" s="145" t="s">
        <v>373</v>
      </c>
    </row>
    <row r="30" spans="1:16">
      <c r="A30" s="105">
        <f t="shared" si="0"/>
        <v>12</v>
      </c>
      <c r="D30" s="8" t="s">
        <v>374</v>
      </c>
      <c r="F30" s="115">
        <f>ROUND(F28/52,2)</f>
        <v>0.82</v>
      </c>
      <c r="G30" s="145" t="s">
        <v>375</v>
      </c>
    </row>
    <row r="31" spans="1:16">
      <c r="A31" s="105">
        <f t="shared" si="0"/>
        <v>13</v>
      </c>
      <c r="D31" s="8" t="s">
        <v>376</v>
      </c>
      <c r="E31" s="8" t="s">
        <v>377</v>
      </c>
      <c r="F31" s="146">
        <f>+F30/6</f>
        <v>0.13666666666666666</v>
      </c>
      <c r="G31" s="145" t="s">
        <v>378</v>
      </c>
    </row>
    <row r="32" spans="1:16">
      <c r="A32" s="105">
        <f t="shared" si="0"/>
        <v>14</v>
      </c>
      <c r="D32" s="8" t="s">
        <v>379</v>
      </c>
      <c r="E32" s="8" t="s">
        <v>380</v>
      </c>
      <c r="F32" s="146">
        <f>+F30/7</f>
        <v>0.11714285714285713</v>
      </c>
      <c r="G32" s="145" t="s">
        <v>378</v>
      </c>
    </row>
    <row r="33" spans="1:7">
      <c r="A33" s="105">
        <f t="shared" si="0"/>
        <v>15</v>
      </c>
      <c r="D33" s="8" t="s">
        <v>381</v>
      </c>
      <c r="E33" s="8" t="s">
        <v>382</v>
      </c>
      <c r="F33" s="147">
        <f>+F31/16</f>
        <v>8.5416666666666662E-3</v>
      </c>
      <c r="G33" s="145" t="s">
        <v>383</v>
      </c>
    </row>
    <row r="34" spans="1:7">
      <c r="A34" s="105">
        <f t="shared" si="0"/>
        <v>16</v>
      </c>
      <c r="D34" s="8" t="s">
        <v>384</v>
      </c>
      <c r="E34" s="8" t="s">
        <v>385</v>
      </c>
      <c r="F34" s="147">
        <f>+F32/24</f>
        <v>4.8809523809523808E-3</v>
      </c>
      <c r="G34" s="145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31">
        <f>+D25</f>
        <v>41306831.571768671</v>
      </c>
    </row>
    <row r="43" spans="1:7">
      <c r="B43" s="7" t="s">
        <v>361</v>
      </c>
      <c r="E43" s="131">
        <f>+E25</f>
        <v>-401990.97</v>
      </c>
    </row>
    <row r="44" spans="1:7">
      <c r="B44" s="8" t="str">
        <f>+F20</f>
        <v>Net Revenue Requirements</v>
      </c>
      <c r="E44" s="131">
        <f>+F25</f>
        <v>40904840.601768672</v>
      </c>
    </row>
    <row r="45" spans="1:7">
      <c r="B45" s="8" t="str">
        <f>+G20</f>
        <v>Actual 2018 Load</v>
      </c>
      <c r="E45" s="143">
        <f>+G22</f>
        <v>964000</v>
      </c>
    </row>
    <row r="46" spans="1:7">
      <c r="B46" s="8" t="str">
        <f>+H20</f>
        <v>Annual Rate</v>
      </c>
      <c r="E46" s="144">
        <f>+E44/E45</f>
        <v>42.432407263245508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N237"/>
  <sheetViews>
    <sheetView showGridLines="0" view="pageBreakPreview" topLeftCell="A64" zoomScale="85" zoomScaleNormal="90" zoomScaleSheetLayoutView="85" workbookViewId="0">
      <selection activeCell="G73" sqref="G73"/>
    </sheetView>
  </sheetViews>
  <sheetFormatPr defaultRowHeight="15"/>
  <cols>
    <col min="1" max="1" width="6" style="76" customWidth="1"/>
    <col min="2" max="2" width="1.44140625" style="76" customWidth="1"/>
    <col min="3" max="3" width="41.109375" style="76" customWidth="1"/>
    <col min="4" max="4" width="34.5546875" style="76" customWidth="1"/>
    <col min="5" max="5" width="15.21875" style="76" customWidth="1"/>
    <col min="6" max="6" width="7.77734375" style="76" customWidth="1"/>
    <col min="7" max="7" width="11.88671875" style="76" bestFit="1" customWidth="1"/>
    <col min="8" max="8" width="14" style="76" customWidth="1"/>
    <col min="9" max="9" width="4.88671875" style="76" customWidth="1"/>
    <col min="10" max="10" width="12.77734375" style="76" customWidth="1"/>
    <col min="11" max="11" width="1.21875" style="76" customWidth="1"/>
    <col min="12" max="12" width="14.44140625" style="76" bestFit="1" customWidth="1"/>
    <col min="13" max="15" width="13.44140625" style="76" bestFit="1" customWidth="1"/>
    <col min="16" max="16384" width="8.88671875" style="76"/>
  </cols>
  <sheetData>
    <row r="1" spans="1:40">
      <c r="I1" s="218" t="s">
        <v>418</v>
      </c>
      <c r="J1" s="219">
        <v>43616</v>
      </c>
    </row>
    <row r="2" spans="1:40" ht="15.75">
      <c r="A2" s="3"/>
      <c r="B2" s="3"/>
      <c r="C2" s="3"/>
      <c r="D2" s="48"/>
      <c r="E2" s="3"/>
      <c r="F2" s="3"/>
      <c r="G2" s="3"/>
      <c r="I2" s="183" t="s">
        <v>166</v>
      </c>
      <c r="J2" s="75">
        <v>2018</v>
      </c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</row>
    <row r="4" spans="1:40" ht="15" customHeight="1">
      <c r="A4" s="293" t="s">
        <v>321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</row>
    <row r="5" spans="1:40" ht="15.75">
      <c r="A5" s="294" t="s">
        <v>195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</row>
    <row r="7" spans="1:40" ht="15" customHeight="1">
      <c r="A7" s="295" t="s">
        <v>320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</row>
    <row r="8" spans="1:40">
      <c r="A8" s="9"/>
      <c r="B8" s="3"/>
      <c r="C8" s="75"/>
      <c r="D8" s="75"/>
      <c r="E8" s="187"/>
      <c r="F8" s="75"/>
      <c r="G8" s="75"/>
      <c r="H8" s="75"/>
      <c r="I8" s="75"/>
      <c r="J8" s="75"/>
      <c r="K8" s="75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</row>
    <row r="9" spans="1:40">
      <c r="A9" s="3"/>
      <c r="B9" s="3"/>
      <c r="C9" s="188" t="s">
        <v>201</v>
      </c>
      <c r="D9" s="188" t="s">
        <v>202</v>
      </c>
      <c r="E9" s="188" t="s">
        <v>203</v>
      </c>
      <c r="F9" s="1" t="s">
        <v>194</v>
      </c>
      <c r="G9" s="1"/>
      <c r="H9" s="221" t="s">
        <v>204</v>
      </c>
      <c r="I9" s="1"/>
      <c r="J9" s="222" t="s">
        <v>205</v>
      </c>
      <c r="K9" s="1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</row>
    <row r="10" spans="1:40" ht="15.75">
      <c r="A10" s="3"/>
      <c r="B10" s="3"/>
      <c r="C10" s="97"/>
      <c r="D10" s="186" t="s">
        <v>206</v>
      </c>
      <c r="E10" s="1"/>
      <c r="F10" s="1"/>
      <c r="G10" s="223" t="s">
        <v>93</v>
      </c>
      <c r="H10" s="9"/>
      <c r="I10" s="1"/>
      <c r="J10" s="185" t="s">
        <v>207</v>
      </c>
      <c r="K10" s="1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</row>
    <row r="11" spans="1:40" ht="15.75">
      <c r="A11" s="9" t="s">
        <v>196</v>
      </c>
      <c r="B11" s="3"/>
      <c r="C11" s="97"/>
      <c r="D11" s="189" t="s">
        <v>208</v>
      </c>
      <c r="E11" s="185" t="s">
        <v>209</v>
      </c>
      <c r="F11" s="190"/>
      <c r="G11" s="224" t="s">
        <v>83</v>
      </c>
      <c r="H11" s="225"/>
      <c r="I11" s="190"/>
      <c r="J11" s="9" t="s">
        <v>210</v>
      </c>
      <c r="K11" s="1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</row>
    <row r="12" spans="1:40" ht="16.5" thickBot="1">
      <c r="A12" s="192" t="s">
        <v>197</v>
      </c>
      <c r="B12" s="3"/>
      <c r="C12" s="193" t="s">
        <v>211</v>
      </c>
      <c r="D12" s="1"/>
      <c r="E12" s="1"/>
      <c r="F12" s="1"/>
      <c r="G12" s="1"/>
      <c r="H12" s="1"/>
      <c r="I12" s="1"/>
      <c r="J12" s="1"/>
      <c r="K12" s="1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</row>
    <row r="14" spans="1:40">
      <c r="A14" s="9"/>
      <c r="B14" s="3"/>
      <c r="C14" s="97" t="s">
        <v>212</v>
      </c>
      <c r="D14" s="1" t="s">
        <v>419</v>
      </c>
      <c r="E14" s="1"/>
      <c r="F14" s="1"/>
      <c r="G14" s="1"/>
      <c r="H14" s="1"/>
      <c r="I14" s="1"/>
      <c r="J14" s="1"/>
      <c r="K14" s="1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589547622.47769225</v>
      </c>
      <c r="F15" s="1"/>
      <c r="G15" s="1" t="s">
        <v>214</v>
      </c>
      <c r="H15" s="226" t="s">
        <v>194</v>
      </c>
      <c r="I15" s="1"/>
      <c r="J15" s="1" t="s">
        <v>194</v>
      </c>
      <c r="K15" s="1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192773341.74615386</v>
      </c>
      <c r="F16" s="1"/>
      <c r="G16" s="1" t="s">
        <v>200</v>
      </c>
      <c r="H16" s="226">
        <f>+J143</f>
        <v>0.87458400000000003</v>
      </c>
      <c r="I16" s="1"/>
      <c r="J16" s="1">
        <f>+H16*E16</f>
        <v>168596480.31771824</v>
      </c>
      <c r="K16" s="1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383755429.39076924</v>
      </c>
      <c r="F17" s="1"/>
      <c r="G17" s="1" t="s">
        <v>214</v>
      </c>
      <c r="H17" s="227"/>
      <c r="I17" s="1"/>
      <c r="J17" s="1"/>
      <c r="K17" s="1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</row>
    <row r="18" spans="1:40">
      <c r="A18" s="9">
        <f t="shared" si="0"/>
        <v>4</v>
      </c>
      <c r="B18" s="3"/>
      <c r="C18" s="97" t="s">
        <v>217</v>
      </c>
      <c r="D18" s="1" t="s">
        <v>420</v>
      </c>
      <c r="E18" s="1">
        <f>+'WP6 Rate Base'!R18</f>
        <v>39422199.28384617</v>
      </c>
      <c r="F18" s="1"/>
      <c r="G18" s="1" t="s">
        <v>218</v>
      </c>
      <c r="H18" s="226">
        <f>J175</f>
        <v>0.12907930019431649</v>
      </c>
      <c r="I18" s="1"/>
      <c r="J18" s="1">
        <f>+H18*E18</f>
        <v>5088589.8956797486</v>
      </c>
      <c r="K18" s="1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</row>
    <row r="19" spans="1:40">
      <c r="A19" s="9">
        <f t="shared" si="0"/>
        <v>5</v>
      </c>
      <c r="B19" s="3"/>
      <c r="C19" s="97" t="s">
        <v>137</v>
      </c>
      <c r="D19" s="1" t="s">
        <v>421</v>
      </c>
      <c r="E19" s="1">
        <f>+'WP6 Rate Base'!R19</f>
        <v>30710943.588461537</v>
      </c>
      <c r="F19" s="1"/>
      <c r="G19" s="1" t="s">
        <v>218</v>
      </c>
      <c r="H19" s="226">
        <f>+H18</f>
        <v>0.12907930019431649</v>
      </c>
      <c r="I19" s="1"/>
      <c r="J19" s="1">
        <f>+H19*E19</f>
        <v>3964147.1067057461</v>
      </c>
      <c r="K19" s="1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</row>
    <row r="20" spans="1:40">
      <c r="A20" s="9">
        <f t="shared" si="0"/>
        <v>6</v>
      </c>
      <c r="B20" s="3"/>
      <c r="C20" s="97" t="s">
        <v>102</v>
      </c>
      <c r="D20" s="1" t="s">
        <v>420</v>
      </c>
      <c r="E20" s="1">
        <f>+'WP6 Rate Base'!R20</f>
        <v>7701372.7261538459</v>
      </c>
      <c r="F20" s="1"/>
      <c r="G20" s="1" t="s">
        <v>131</v>
      </c>
      <c r="H20" s="226">
        <f>+J181</f>
        <v>0.32745510276006462</v>
      </c>
      <c r="I20" s="1"/>
      <c r="J20" s="1">
        <f>+H20*E20</f>
        <v>2521853.7974362667</v>
      </c>
      <c r="K20" s="1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</row>
    <row r="21" spans="1:40" ht="15.75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26">
        <v>0</v>
      </c>
      <c r="I21" s="1"/>
      <c r="J21" s="4">
        <f>+H21*E21</f>
        <v>0</v>
      </c>
      <c r="K21" s="1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1243910909.2130771</v>
      </c>
      <c r="F22" s="1"/>
      <c r="G22" s="1" t="s">
        <v>221</v>
      </c>
      <c r="H22" s="228">
        <f>IF(E22&gt;0,+J22/E22,0)</f>
        <v>0.14484242382882534</v>
      </c>
      <c r="I22" s="1"/>
      <c r="J22" s="1">
        <f>SUM(J15:J21)</f>
        <v>180171071.11754</v>
      </c>
      <c r="K22" s="1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28"/>
      <c r="I23" s="1"/>
      <c r="J23" s="1"/>
      <c r="K23" s="1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</row>
    <row r="24" spans="1:40">
      <c r="A24" s="9">
        <f t="shared" si="0"/>
        <v>10</v>
      </c>
      <c r="B24" s="3"/>
      <c r="C24" s="97" t="s">
        <v>222</v>
      </c>
      <c r="D24" s="1" t="s">
        <v>419</v>
      </c>
      <c r="E24" s="1"/>
      <c r="F24" s="1"/>
      <c r="G24" s="1"/>
      <c r="H24" s="1"/>
      <c r="I24" s="1"/>
      <c r="J24" s="1"/>
      <c r="K24" s="1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408</v>
      </c>
      <c r="E25" s="1">
        <f>+'WP6 Rate Base'!R25</f>
        <v>195391961.37451798</v>
      </c>
      <c r="F25" s="1"/>
      <c r="G25" s="1" t="str">
        <f>+G15</f>
        <v>NA</v>
      </c>
      <c r="H25" s="226" t="str">
        <f>+H15</f>
        <v xml:space="preserve"> </v>
      </c>
      <c r="I25" s="1"/>
      <c r="J25" s="1" t="s">
        <v>194</v>
      </c>
      <c r="K25" s="1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45662573.568181105</v>
      </c>
      <c r="F26" s="1"/>
      <c r="G26" s="1" t="s">
        <v>80</v>
      </c>
      <c r="H26" s="226">
        <f>+J161</f>
        <v>0.81793400000000005</v>
      </c>
      <c r="I26" s="1"/>
      <c r="J26" s="1">
        <f>+H26*E26</f>
        <v>37348971.448916644</v>
      </c>
      <c r="K26" s="1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137955160.32514957</v>
      </c>
      <c r="F27" s="1"/>
      <c r="G27" s="1" t="s">
        <v>214</v>
      </c>
      <c r="H27" s="226"/>
      <c r="I27" s="1"/>
      <c r="J27" s="1"/>
      <c r="K27" s="1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17829686.499512777</v>
      </c>
      <c r="F28" s="1"/>
      <c r="G28" s="1" t="str">
        <f>+G18</f>
        <v>W/S</v>
      </c>
      <c r="H28" s="226">
        <f>+H18</f>
        <v>0.12907930019431649</v>
      </c>
      <c r="I28" s="1"/>
      <c r="J28" s="1">
        <f>+H28*E28</f>
        <v>2301443.4560411614</v>
      </c>
      <c r="K28" s="1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</row>
    <row r="29" spans="1:40">
      <c r="A29" s="9">
        <f t="shared" si="0"/>
        <v>15</v>
      </c>
      <c r="B29" s="3"/>
      <c r="C29" s="97" t="s">
        <v>137</v>
      </c>
      <c r="D29" s="1" t="s">
        <v>421</v>
      </c>
      <c r="E29" s="1">
        <f>+'WP6 Rate Base'!R29</f>
        <v>15134445.923076924</v>
      </c>
      <c r="F29" s="1"/>
      <c r="G29" s="1" t="str">
        <f>+G19</f>
        <v>W/S</v>
      </c>
      <c r="H29" s="226">
        <f>+H28</f>
        <v>0.12907930019431649</v>
      </c>
      <c r="I29" s="1"/>
      <c r="J29" s="1">
        <f>+H29*E29</f>
        <v>1953543.6885794955</v>
      </c>
      <c r="K29" s="1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420</v>
      </c>
      <c r="E30" s="1">
        <f>+'WP6 Rate Base'!R30</f>
        <v>2653310.1876923074</v>
      </c>
      <c r="F30" s="1"/>
      <c r="G30" s="1" t="str">
        <f>+G20</f>
        <v>T&amp;D</v>
      </c>
      <c r="H30" s="226">
        <f>+H20</f>
        <v>0.32745510276006462</v>
      </c>
      <c r="I30" s="1"/>
      <c r="J30" s="1">
        <f>+H30*E30</f>
        <v>868839.96016511088</v>
      </c>
      <c r="K30" s="1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</row>
    <row r="31" spans="1:40" ht="15.75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26">
        <f>+H21</f>
        <v>0</v>
      </c>
      <c r="I31" s="1"/>
      <c r="J31" s="4">
        <f>+H31*E31</f>
        <v>0</v>
      </c>
      <c r="K31" s="1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414627137.87813061</v>
      </c>
      <c r="F32" s="1"/>
      <c r="G32" s="1"/>
      <c r="H32" s="1"/>
      <c r="I32" s="1"/>
      <c r="J32" s="1">
        <f>SUM(J25:J31)</f>
        <v>42472798.553702414</v>
      </c>
      <c r="K32" s="1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28"/>
      <c r="I33" s="1"/>
      <c r="J33" s="3"/>
      <c r="K33" s="1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</row>
    <row r="34" spans="1:40">
      <c r="A34" s="9">
        <f t="shared" si="0"/>
        <v>20</v>
      </c>
      <c r="B34" s="3"/>
      <c r="C34" s="97" t="s">
        <v>223</v>
      </c>
      <c r="D34" s="1" t="s">
        <v>419</v>
      </c>
      <c r="E34" s="1"/>
      <c r="F34" s="1"/>
      <c r="G34" s="1"/>
      <c r="H34" s="1"/>
      <c r="I34" s="1"/>
      <c r="J34" s="1"/>
      <c r="K34" s="1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394155661.10317427</v>
      </c>
      <c r="F35" s="1"/>
      <c r="G35" s="1" t="s">
        <v>91</v>
      </c>
      <c r="H35" s="228"/>
      <c r="I35" s="1"/>
      <c r="J35" s="1" t="s">
        <v>194</v>
      </c>
      <c r="K35" s="1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147110768.17797276</v>
      </c>
      <c r="F36" s="1"/>
      <c r="G36" s="1" t="s">
        <v>91</v>
      </c>
      <c r="H36" s="226"/>
      <c r="I36" s="1"/>
      <c r="J36" s="1">
        <f>J16-J26</f>
        <v>131247508.86880159</v>
      </c>
      <c r="K36" s="1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245800269.06561968</v>
      </c>
      <c r="F37" s="1"/>
      <c r="G37" s="1" t="s">
        <v>91</v>
      </c>
      <c r="H37" s="228"/>
      <c r="I37" s="1"/>
      <c r="J37" s="1"/>
      <c r="K37" s="1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21592512.784333393</v>
      </c>
      <c r="F38" s="1"/>
      <c r="G38" s="1" t="s">
        <v>91</v>
      </c>
      <c r="H38" s="228"/>
      <c r="I38" s="1"/>
      <c r="J38" s="1">
        <f>J18-J28</f>
        <v>2787146.4396385872</v>
      </c>
      <c r="K38" s="1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15576497.665384613</v>
      </c>
      <c r="F39" s="1"/>
      <c r="G39" s="1" t="s">
        <v>91</v>
      </c>
      <c r="H39" s="228"/>
      <c r="I39" s="1"/>
      <c r="J39" s="1">
        <f>J19-J29</f>
        <v>2010603.4181262506</v>
      </c>
      <c r="K39" s="1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5048062.538461538</v>
      </c>
      <c r="F40" s="1"/>
      <c r="G40" s="1" t="s">
        <v>91</v>
      </c>
      <c r="H40" s="228"/>
      <c r="I40" s="1"/>
      <c r="J40" s="1">
        <f>J20-J30</f>
        <v>1653013.8372711558</v>
      </c>
      <c r="K40" s="1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</row>
    <row r="41" spans="1:40" ht="15.75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28"/>
      <c r="I41" s="1"/>
      <c r="J41" s="4">
        <f>J21-J31</f>
        <v>0</v>
      </c>
      <c r="K41" s="1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829283771.33494639</v>
      </c>
      <c r="F42" s="1"/>
      <c r="G42" s="1" t="s">
        <v>224</v>
      </c>
      <c r="H42" s="228">
        <f>IF(E42&gt;0,+J42/E42,0)</f>
        <v>0.16604481761674494</v>
      </c>
      <c r="I42" s="1"/>
      <c r="J42" s="1">
        <f>SUM(J35:J41)</f>
        <v>137698272.56383759</v>
      </c>
      <c r="K42" s="1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</row>
    <row r="44" spans="1:40">
      <c r="A44" s="9">
        <f t="shared" si="0"/>
        <v>30</v>
      </c>
      <c r="B44" s="3"/>
      <c r="C44" s="96" t="s">
        <v>39</v>
      </c>
      <c r="D44" s="1" t="s">
        <v>422</v>
      </c>
      <c r="E44" s="1"/>
      <c r="F44" s="1"/>
      <c r="G44" s="1"/>
      <c r="H44" s="1"/>
      <c r="I44" s="1"/>
      <c r="J44" s="1"/>
      <c r="K44" s="1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29" t="s">
        <v>290</v>
      </c>
      <c r="I45" s="1"/>
      <c r="J45" s="19">
        <v>0</v>
      </c>
      <c r="K45" s="1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-120445803</v>
      </c>
      <c r="F46" s="1"/>
      <c r="G46" s="1" t="s">
        <v>226</v>
      </c>
      <c r="H46" s="226">
        <f>+H42</f>
        <v>0.16604481761674494</v>
      </c>
      <c r="I46" s="1"/>
      <c r="J46" s="19">
        <f>E46*H46</f>
        <v>-19999401.391837392</v>
      </c>
      <c r="K46" s="1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-18340967.5</v>
      </c>
      <c r="F47" s="1"/>
      <c r="G47" s="1" t="str">
        <f>+G46</f>
        <v>NP</v>
      </c>
      <c r="H47" s="226">
        <f>H42</f>
        <v>0.16604481761674494</v>
      </c>
      <c r="I47" s="1"/>
      <c r="J47" s="19">
        <f>E47*H47</f>
        <v>-3045422.6034521465</v>
      </c>
      <c r="K47" s="1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29925412</v>
      </c>
      <c r="F48" s="1"/>
      <c r="G48" s="1" t="str">
        <f>+G47</f>
        <v>NP</v>
      </c>
      <c r="H48" s="226">
        <f>+H47</f>
        <v>0.16604481761674494</v>
      </c>
      <c r="I48" s="1"/>
      <c r="J48" s="19">
        <f>E48*H48</f>
        <v>4968959.577645951</v>
      </c>
      <c r="K48" s="1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26">
        <f>+H47</f>
        <v>0.16604481761674494</v>
      </c>
      <c r="I49" s="1"/>
      <c r="J49" s="47">
        <f>E49*H49</f>
        <v>0</v>
      </c>
      <c r="K49" s="1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</row>
    <row r="50" spans="1:40" ht="15.75" thickBot="1">
      <c r="A50" s="9">
        <f t="shared" si="0"/>
        <v>36</v>
      </c>
      <c r="B50" s="3"/>
      <c r="C50" s="97" t="s">
        <v>292</v>
      </c>
      <c r="D50" s="3" t="s">
        <v>423</v>
      </c>
      <c r="E50" s="230">
        <f>+'WP6 Rate Base'!G55</f>
        <v>-95098270.5</v>
      </c>
      <c r="F50" s="1"/>
      <c r="G50" s="1" t="str">
        <f>+G49</f>
        <v>NP</v>
      </c>
      <c r="H50" s="226">
        <f>+H49</f>
        <v>0.16604481761674494</v>
      </c>
      <c r="I50" s="1"/>
      <c r="J50" s="230">
        <f>+H50*E50</f>
        <v>-15790574.980840376</v>
      </c>
      <c r="K50" s="1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-203959629</v>
      </c>
      <c r="F51" s="1"/>
      <c r="G51" s="1"/>
      <c r="H51" s="1"/>
      <c r="I51" s="1"/>
      <c r="J51" s="19">
        <f>SUM(J45:J50)</f>
        <v>-33866439.398483962</v>
      </c>
      <c r="K51" s="1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28"/>
      <c r="I52" s="1"/>
      <c r="J52" s="3"/>
      <c r="K52" s="1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26">
        <v>0</v>
      </c>
      <c r="I53" s="1"/>
      <c r="J53" s="1">
        <f>+H53*E53</f>
        <v>0</v>
      </c>
      <c r="K53" s="1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3802701.1150000002</v>
      </c>
      <c r="F56" s="1"/>
      <c r="G56" s="1" t="s">
        <v>91</v>
      </c>
      <c r="H56" s="228"/>
      <c r="I56" s="1"/>
      <c r="J56" s="1">
        <f>+J85/8</f>
        <v>786846.78049610229</v>
      </c>
      <c r="K56" s="75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4318183.5</v>
      </c>
      <c r="F57" s="1"/>
      <c r="G57" s="1" t="s">
        <v>131</v>
      </c>
      <c r="H57" s="226">
        <f>+J181</f>
        <v>0.32745510276006462</v>
      </c>
      <c r="I57" s="1"/>
      <c r="J57" s="1">
        <f>+H57*E57</f>
        <v>1414011.2217293156</v>
      </c>
      <c r="K57" s="1" t="s">
        <v>194</v>
      </c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15377.5</v>
      </c>
      <c r="F58" s="1"/>
      <c r="G58" s="1" t="s">
        <v>200</v>
      </c>
      <c r="H58" s="226">
        <f>+J143</f>
        <v>0.87458400000000003</v>
      </c>
      <c r="I58" s="1"/>
      <c r="J58" s="1">
        <f>+H58*E58</f>
        <v>13448.91546</v>
      </c>
      <c r="K58" s="1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</row>
    <row r="59" spans="1:40" ht="15.75" thickBot="1">
      <c r="A59" s="9">
        <f t="shared" si="0"/>
        <v>45</v>
      </c>
      <c r="B59" s="3"/>
      <c r="C59" s="97" t="s">
        <v>274</v>
      </c>
      <c r="D59" s="1" t="s">
        <v>424</v>
      </c>
      <c r="E59" s="231">
        <f>+'WP6 Rate Base'!G64</f>
        <v>3322941.2949999999</v>
      </c>
      <c r="F59" s="1"/>
      <c r="G59" s="1" t="s">
        <v>231</v>
      </c>
      <c r="H59" s="226">
        <f>+H22</f>
        <v>0.14484242382882534</v>
      </c>
      <c r="I59" s="1"/>
      <c r="J59" s="4">
        <f>+H59*E59</f>
        <v>481302.8714086957</v>
      </c>
      <c r="K59" s="1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  <c r="AN59" s="220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11459203.41</v>
      </c>
      <c r="F60" s="75"/>
      <c r="G60" s="75"/>
      <c r="H60" s="75"/>
      <c r="I60" s="75"/>
      <c r="J60" s="1">
        <f>SUM(J56:J59)</f>
        <v>2695609.7890941133</v>
      </c>
      <c r="K60" s="75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</row>
    <row r="61" spans="1:40" ht="15.75" thickBot="1">
      <c r="A61" s="9">
        <f t="shared" si="0"/>
        <v>47</v>
      </c>
      <c r="B61" s="3"/>
      <c r="C61" s="3"/>
      <c r="D61" s="1"/>
      <c r="E61" s="232"/>
      <c r="F61" s="1"/>
      <c r="G61" s="1"/>
      <c r="H61" s="1"/>
      <c r="I61" s="1"/>
      <c r="J61" s="233"/>
      <c r="K61" s="1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</row>
    <row r="62" spans="1:40" ht="15.75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34"/>
      <c r="F62" s="1"/>
      <c r="G62" s="1"/>
      <c r="H62" s="228"/>
      <c r="I62" s="1"/>
      <c r="J62" s="235">
        <f>+J60+J53+J51+J42</f>
        <v>106527442.95444775</v>
      </c>
      <c r="K62" s="1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</row>
    <row r="63" spans="1:40" ht="15.75" thickTop="1">
      <c r="A63" s="9"/>
      <c r="B63" s="3"/>
      <c r="C63" s="97"/>
      <c r="D63" s="1"/>
      <c r="E63" s="234"/>
      <c r="F63" s="1"/>
      <c r="G63" s="1"/>
      <c r="H63" s="228"/>
      <c r="I63" s="183" t="s">
        <v>418</v>
      </c>
      <c r="J63" s="236">
        <f>J1</f>
        <v>43616</v>
      </c>
      <c r="K63" s="1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</row>
    <row r="64" spans="1:40">
      <c r="A64" s="9"/>
      <c r="B64" s="3"/>
      <c r="C64" s="97"/>
      <c r="D64" s="1"/>
      <c r="E64" s="1"/>
      <c r="F64" s="1"/>
      <c r="G64" s="1"/>
      <c r="I64" s="183" t="str">
        <f>$I$2</f>
        <v>Service Year</v>
      </c>
      <c r="J64" s="75">
        <f>$J$2</f>
        <v>2018</v>
      </c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  <c r="AN64" s="220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</row>
    <row r="66" spans="1:40" ht="15.75">
      <c r="A66" s="293" t="s">
        <v>321</v>
      </c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</row>
    <row r="67" spans="1:40" ht="15.75">
      <c r="A67" s="294" t="s">
        <v>195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20"/>
      <c r="AN68" s="220"/>
    </row>
    <row r="69" spans="1:40" ht="15.75">
      <c r="A69" s="295" t="s">
        <v>320</v>
      </c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</row>
    <row r="70" spans="1:40">
      <c r="A70" s="9"/>
      <c r="B70" s="3"/>
      <c r="C70" s="188" t="s">
        <v>201</v>
      </c>
      <c r="D70" s="188" t="s">
        <v>202</v>
      </c>
      <c r="E70" s="188" t="s">
        <v>203</v>
      </c>
      <c r="F70" s="1" t="s">
        <v>194</v>
      </c>
      <c r="G70" s="1"/>
      <c r="H70" s="221" t="s">
        <v>204</v>
      </c>
      <c r="I70" s="1"/>
      <c r="J70" s="222" t="s">
        <v>205</v>
      </c>
      <c r="K70" s="1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  <c r="AK70" s="220"/>
      <c r="AL70" s="220"/>
      <c r="AM70" s="220"/>
      <c r="AN70" s="220"/>
    </row>
    <row r="71" spans="1:40">
      <c r="A71" s="9"/>
      <c r="B71" s="3"/>
      <c r="C71" s="188"/>
      <c r="D71" s="2"/>
      <c r="E71" s="2"/>
      <c r="F71" s="2"/>
      <c r="G71" s="2"/>
      <c r="H71" s="2"/>
      <c r="I71" s="2"/>
      <c r="J71" s="2"/>
      <c r="K71" s="2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</row>
    <row r="72" spans="1:40" ht="15.75">
      <c r="A72" s="9" t="s">
        <v>196</v>
      </c>
      <c r="B72" s="3"/>
      <c r="C72" s="97"/>
      <c r="D72" s="186" t="s">
        <v>206</v>
      </c>
      <c r="E72" s="1"/>
      <c r="F72" s="1"/>
      <c r="G72" s="190" t="str">
        <f>+G10</f>
        <v xml:space="preserve">      Allocator</v>
      </c>
      <c r="H72" s="9"/>
      <c r="I72" s="1"/>
      <c r="J72" s="185" t="s">
        <v>207</v>
      </c>
      <c r="K72" s="1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0"/>
      <c r="AK72" s="220"/>
      <c r="AL72" s="220"/>
      <c r="AM72" s="220"/>
      <c r="AN72" s="220"/>
    </row>
    <row r="73" spans="1:40" ht="16.5" thickBot="1">
      <c r="A73" s="192" t="s">
        <v>197</v>
      </c>
      <c r="B73" s="3"/>
      <c r="C73" s="97"/>
      <c r="D73" s="189" t="s">
        <v>208</v>
      </c>
      <c r="E73" s="185" t="s">
        <v>209</v>
      </c>
      <c r="F73" s="190"/>
      <c r="G73" s="224" t="str">
        <f>+G11</f>
        <v xml:space="preserve">        (page 4)</v>
      </c>
      <c r="H73" s="3"/>
      <c r="I73" s="190"/>
      <c r="J73" s="9" t="s">
        <v>210</v>
      </c>
      <c r="K73" s="1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</row>
    <row r="74" spans="1:40" ht="15.75">
      <c r="A74" s="3"/>
      <c r="B74" s="3"/>
      <c r="C74" s="97"/>
      <c r="D74" s="1"/>
      <c r="E74" s="237"/>
      <c r="F74" s="238"/>
      <c r="G74" s="239"/>
      <c r="H74" s="3"/>
      <c r="I74" s="238"/>
      <c r="J74" s="237"/>
      <c r="K74" s="1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0"/>
      <c r="AK74" s="220"/>
      <c r="AL74" s="220"/>
      <c r="AM74" s="220"/>
      <c r="AN74" s="220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20"/>
      <c r="M75" s="220"/>
      <c r="N75" s="195"/>
      <c r="O75" s="195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1">
        <v>29068142</v>
      </c>
      <c r="F76" s="1"/>
      <c r="G76" s="1" t="s">
        <v>200</v>
      </c>
      <c r="H76" s="226">
        <f>+J143</f>
        <v>0.87458400000000003</v>
      </c>
      <c r="I76" s="1"/>
      <c r="J76" s="1">
        <f>+H76*E76</f>
        <v>25422531.902928002</v>
      </c>
      <c r="K76" s="75"/>
      <c r="L76" s="220"/>
      <c r="M76" s="220"/>
      <c r="N76" s="195"/>
      <c r="O76" s="195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</row>
    <row r="77" spans="1:40">
      <c r="A77" s="9">
        <f>+A76+1</f>
        <v>50</v>
      </c>
      <c r="B77" s="3"/>
      <c r="C77" s="97" t="s">
        <v>49</v>
      </c>
      <c r="D77" s="1" t="s">
        <v>435</v>
      </c>
      <c r="E77" s="1">
        <v>25425624</v>
      </c>
      <c r="F77" s="1"/>
      <c r="G77" s="1" t="str">
        <f>+G76</f>
        <v>TP</v>
      </c>
      <c r="H77" s="226">
        <f>+H76</f>
        <v>0.87458400000000003</v>
      </c>
      <c r="I77" s="1"/>
      <c r="J77" s="1">
        <f t="shared" ref="J77:J84" si="3">+H77*E77</f>
        <v>22236843.940416001</v>
      </c>
      <c r="K77" s="75"/>
      <c r="L77" s="240"/>
      <c r="M77" s="220"/>
      <c r="N77" s="195"/>
      <c r="O77" s="195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  <c r="AN77" s="220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1">
        <v>27960284</v>
      </c>
      <c r="F78" s="1"/>
      <c r="G78" s="1" t="s">
        <v>218</v>
      </c>
      <c r="H78" s="226">
        <f>+H28</f>
        <v>0.12907930019431649</v>
      </c>
      <c r="I78" s="1"/>
      <c r="J78" s="1">
        <f t="shared" si="3"/>
        <v>3609093.8919543442</v>
      </c>
      <c r="K78" s="1"/>
      <c r="L78" s="240"/>
      <c r="M78" s="220"/>
      <c r="N78" s="195"/>
      <c r="O78" s="195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1">
        <v>399049</v>
      </c>
      <c r="F79" s="1"/>
      <c r="G79" s="1" t="s">
        <v>218</v>
      </c>
      <c r="H79" s="226">
        <v>1</v>
      </c>
      <c r="I79" s="1"/>
      <c r="J79" s="1">
        <f t="shared" si="3"/>
        <v>399049</v>
      </c>
      <c r="K79" s="1"/>
      <c r="L79" s="240"/>
      <c r="M79" s="220"/>
      <c r="N79" s="195"/>
      <c r="O79" s="195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  <c r="AN79" s="220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26">
        <f>H78</f>
        <v>0.12907930019431649</v>
      </c>
      <c r="I80" s="1"/>
      <c r="J80" s="1">
        <f t="shared" si="3"/>
        <v>29326.817004148706</v>
      </c>
      <c r="K80" s="1"/>
      <c r="L80" s="102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20"/>
      <c r="AJ80" s="220"/>
      <c r="AK80" s="220"/>
      <c r="AL80" s="220"/>
      <c r="AM80" s="220"/>
      <c r="AN80" s="220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211473</v>
      </c>
      <c r="F81" s="1"/>
      <c r="G81" s="1" t="str">
        <f>+G80</f>
        <v>W/S</v>
      </c>
      <c r="H81" s="226">
        <f>+H80</f>
        <v>0.12907930019431649</v>
      </c>
      <c r="I81" s="1"/>
      <c r="J81" s="1">
        <f t="shared" si="3"/>
        <v>27296.786849992692</v>
      </c>
      <c r="K81" s="1"/>
      <c r="L81" s="102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</row>
    <row r="82" spans="1:40">
      <c r="A82" s="9">
        <f t="shared" si="4"/>
        <v>55</v>
      </c>
      <c r="B82" s="3"/>
      <c r="C82" s="97" t="s">
        <v>48</v>
      </c>
      <c r="D82" s="1"/>
      <c r="E82" s="1">
        <v>797871.08000000007</v>
      </c>
      <c r="F82" s="1"/>
      <c r="G82" s="1" t="str">
        <f>G78</f>
        <v>W/S</v>
      </c>
      <c r="H82" s="226">
        <f>H78</f>
        <v>0.12907930019431649</v>
      </c>
      <c r="I82" s="1"/>
      <c r="J82" s="1">
        <f t="shared" si="3"/>
        <v>102988.64065168351</v>
      </c>
      <c r="K82" s="1"/>
      <c r="L82" s="102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  <c r="AN82" s="220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41" t="str">
        <f>+G76</f>
        <v>TP</v>
      </c>
      <c r="H83" s="226">
        <f>+H76</f>
        <v>0.87458400000000003</v>
      </c>
      <c r="I83" s="1"/>
      <c r="J83" s="1">
        <f>+H83*E83</f>
        <v>0</v>
      </c>
      <c r="K83" s="1"/>
      <c r="L83" s="102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220"/>
      <c r="AN83" s="220"/>
    </row>
    <row r="84" spans="1:40" ht="15.75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26">
        <f>+H31</f>
        <v>0</v>
      </c>
      <c r="I84" s="1"/>
      <c r="J84" s="4">
        <f t="shared" si="3"/>
        <v>0</v>
      </c>
      <c r="K84" s="1"/>
      <c r="L84" s="102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220"/>
      <c r="AN84" s="220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30421608.920000002</v>
      </c>
      <c r="F85" s="1"/>
      <c r="G85" s="1"/>
      <c r="H85" s="1"/>
      <c r="I85" s="1"/>
      <c r="J85" s="1">
        <f>+J76-J77+J78-J79-J82+J84+J83+J80-J81</f>
        <v>6294774.2439688183</v>
      </c>
      <c r="K85" s="1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436</v>
      </c>
      <c r="E88" s="1">
        <f>E16*'BHP WP5 Depreciation Rates'!H17</f>
        <v>4472341.5285107689</v>
      </c>
      <c r="F88" s="1"/>
      <c r="G88" s="1" t="s">
        <v>200</v>
      </c>
      <c r="H88" s="226">
        <f>+J143</f>
        <v>0.87458400000000003</v>
      </c>
      <c r="I88" s="1"/>
      <c r="J88" s="1">
        <f>+H88*E88</f>
        <v>3911438.3433710625</v>
      </c>
      <c r="K88" s="1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</row>
    <row r="89" spans="1:40">
      <c r="A89" s="9">
        <f t="shared" si="4"/>
        <v>62</v>
      </c>
      <c r="B89" s="3"/>
      <c r="C89" s="97" t="s">
        <v>295</v>
      </c>
      <c r="D89" s="1" t="s">
        <v>437</v>
      </c>
      <c r="E89" s="1">
        <f>(E18+E20)*'BHP WP5 Depreciation Rates'!H31</f>
        <v>3077169.2522530006</v>
      </c>
      <c r="F89" s="1"/>
      <c r="G89" s="1" t="s">
        <v>218</v>
      </c>
      <c r="H89" s="226">
        <f>H78</f>
        <v>0.12907930019431649</v>
      </c>
      <c r="I89" s="1"/>
      <c r="J89" s="1">
        <f>+H89*E89</f>
        <v>397198.85366028547</v>
      </c>
      <c r="K89" s="1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  <c r="AM89" s="220"/>
      <c r="AN89" s="220"/>
    </row>
    <row r="90" spans="1:40" ht="15.75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26">
        <f>+H84</f>
        <v>0</v>
      </c>
      <c r="I90" s="1"/>
      <c r="J90" s="4">
        <f>+H90*E90</f>
        <v>0</v>
      </c>
      <c r="K90" s="1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  <c r="AM90" s="220"/>
      <c r="AN90" s="220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7549510.7807637695</v>
      </c>
      <c r="F91" s="1"/>
      <c r="G91" s="1"/>
      <c r="H91" s="1"/>
      <c r="I91" s="1"/>
      <c r="J91" s="1">
        <f>SUM(J88:J90)</f>
        <v>4308637.197031348</v>
      </c>
      <c r="K91" s="1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  <c r="AM91" s="220"/>
      <c r="AN91" s="220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  <c r="AM92" s="220"/>
      <c r="AN92" s="220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0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</row>
    <row r="95" spans="1:40">
      <c r="A95" s="9">
        <f t="shared" si="4"/>
        <v>68</v>
      </c>
      <c r="B95" s="3"/>
      <c r="C95" s="97" t="s">
        <v>236</v>
      </c>
      <c r="D95" s="1" t="s">
        <v>438</v>
      </c>
      <c r="E95" s="1">
        <f>23512-50247+28647</f>
        <v>1912</v>
      </c>
      <c r="F95" s="1"/>
      <c r="G95" s="1" t="s">
        <v>218</v>
      </c>
      <c r="H95" s="242">
        <f>+J175</f>
        <v>0.12907930019431649</v>
      </c>
      <c r="I95" s="1"/>
      <c r="J95" s="1">
        <f>+H95*E95</f>
        <v>246.79962197153313</v>
      </c>
      <c r="K95" s="1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42">
        <f>+H95</f>
        <v>0.12907930019431649</v>
      </c>
      <c r="I96" s="1"/>
      <c r="J96" s="1">
        <f>+H96*E96</f>
        <v>0</v>
      </c>
      <c r="K96" s="1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</row>
    <row r="98" spans="1:40">
      <c r="A98" s="9">
        <f t="shared" si="4"/>
        <v>71</v>
      </c>
      <c r="B98" s="3"/>
      <c r="C98" s="97" t="s">
        <v>239</v>
      </c>
      <c r="D98" s="1" t="s">
        <v>439</v>
      </c>
      <c r="E98" s="1">
        <v>7077717</v>
      </c>
      <c r="F98" s="1"/>
      <c r="G98" s="1" t="s">
        <v>231</v>
      </c>
      <c r="H98" s="242">
        <f>+H22</f>
        <v>0.14484242382882534</v>
      </c>
      <c r="I98" s="1"/>
      <c r="J98" s="1">
        <f>+H98*E98</f>
        <v>1025153.6854544822</v>
      </c>
      <c r="K98" s="1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43" t="s">
        <v>290</v>
      </c>
      <c r="I99" s="1"/>
      <c r="J99" s="1">
        <v>0</v>
      </c>
      <c r="K99" s="1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</row>
    <row r="100" spans="1:40" ht="15.75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42">
        <f>+H98</f>
        <v>0.14484242382882534</v>
      </c>
      <c r="I100" s="1"/>
      <c r="J100" s="4">
        <f>+H100*E100</f>
        <v>0</v>
      </c>
      <c r="K100" s="1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7079629</v>
      </c>
      <c r="F101" s="1"/>
      <c r="G101" s="1"/>
      <c r="H101" s="242"/>
      <c r="I101" s="1"/>
      <c r="J101" s="1">
        <f>SUM(J95:J100)</f>
        <v>1025400.4850764538</v>
      </c>
      <c r="K101" s="1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42"/>
      <c r="I102" s="1"/>
      <c r="J102" s="1"/>
      <c r="K102" s="1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42"/>
      <c r="I103" s="1"/>
      <c r="J103" s="1"/>
      <c r="K103" s="1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44"/>
      <c r="I104" s="1"/>
      <c r="J104" s="3"/>
      <c r="K104" s="1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</row>
    <row r="105" spans="1:40">
      <c r="A105" s="9">
        <f t="shared" si="4"/>
        <v>78</v>
      </c>
      <c r="B105" s="3"/>
      <c r="C105" s="245" t="s">
        <v>286</v>
      </c>
      <c r="D105" s="1"/>
      <c r="E105" s="246">
        <f>IF(E232&gt;0,1-(((1-E233)*(1-E232))/(1-E233*E232*E234)),0)</f>
        <v>0.20999999999999996</v>
      </c>
      <c r="F105" s="1"/>
      <c r="G105" s="3"/>
      <c r="H105" s="244"/>
      <c r="I105" s="1"/>
      <c r="J105" s="3"/>
      <c r="K105" s="1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</row>
    <row r="106" spans="1:40">
      <c r="A106" s="9">
        <f t="shared" si="4"/>
        <v>79</v>
      </c>
      <c r="B106" s="3"/>
      <c r="C106" s="3" t="s">
        <v>287</v>
      </c>
      <c r="D106" s="1"/>
      <c r="E106" s="246">
        <f>IF(J199&gt;0,(E105/(1-E105))*(1-J196/J199),0)</f>
        <v>0.18685630889672661</v>
      </c>
      <c r="F106" s="1"/>
      <c r="G106" s="3"/>
      <c r="H106" s="244"/>
      <c r="I106" s="1"/>
      <c r="J106" s="3"/>
      <c r="K106" s="1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44"/>
      <c r="I107" s="1"/>
      <c r="J107" s="3"/>
      <c r="K107" s="1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44"/>
      <c r="I108" s="1"/>
      <c r="J108" s="3"/>
      <c r="K108" s="1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</row>
    <row r="109" spans="1:40">
      <c r="A109" s="9">
        <f t="shared" si="4"/>
        <v>82</v>
      </c>
      <c r="B109" s="3"/>
      <c r="C109" s="245"/>
      <c r="D109" s="1"/>
      <c r="E109" s="247"/>
      <c r="F109" s="1"/>
      <c r="G109" s="3"/>
      <c r="H109" s="244"/>
      <c r="I109" s="1"/>
      <c r="J109" s="3"/>
      <c r="K109" s="1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</row>
    <row r="110" spans="1:40">
      <c r="A110" s="9">
        <f t="shared" si="4"/>
        <v>83</v>
      </c>
      <c r="B110" s="3"/>
      <c r="C110" s="248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42" t="s">
        <v>194</v>
      </c>
      <c r="I110" s="1"/>
      <c r="J110" s="1">
        <f>E106*J112</f>
        <v>1743220.4703011625</v>
      </c>
      <c r="K110" s="1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  <c r="AN110" s="220"/>
    </row>
    <row r="111" spans="1:40">
      <c r="A111" s="9">
        <f t="shared" si="4"/>
        <v>84</v>
      </c>
      <c r="B111" s="3"/>
      <c r="C111" s="249"/>
      <c r="D111" s="250"/>
      <c r="E111" s="1"/>
      <c r="F111" s="1"/>
      <c r="G111" s="1"/>
      <c r="H111" s="242"/>
      <c r="I111" s="1"/>
      <c r="J111" s="1"/>
      <c r="K111" s="1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</row>
    <row r="112" spans="1:40">
      <c r="A112" s="9">
        <f t="shared" si="4"/>
        <v>85</v>
      </c>
      <c r="B112" s="3"/>
      <c r="C112" s="97" t="s">
        <v>243</v>
      </c>
      <c r="D112" s="228"/>
      <c r="E112" s="1"/>
      <c r="F112" s="1"/>
      <c r="G112" s="1" t="s">
        <v>91</v>
      </c>
      <c r="H112" s="244"/>
      <c r="I112" s="1"/>
      <c r="J112" s="1">
        <f>+$J199*J62</f>
        <v>9329203.175390888</v>
      </c>
      <c r="K112" s="1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</row>
    <row r="113" spans="1:40" ht="17.25" customHeight="1">
      <c r="A113" s="9">
        <f t="shared" si="4"/>
        <v>86</v>
      </c>
      <c r="B113" s="3"/>
      <c r="C113" s="248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44"/>
      <c r="I113" s="1"/>
      <c r="J113" s="1"/>
      <c r="K113" s="1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  <c r="AN113" s="220"/>
    </row>
    <row r="114" spans="1:40">
      <c r="A114" s="9">
        <f t="shared" si="4"/>
        <v>87</v>
      </c>
      <c r="B114" s="3"/>
      <c r="C114" s="97"/>
      <c r="D114" s="3"/>
      <c r="E114" s="234"/>
      <c r="F114" s="1"/>
      <c r="G114" s="1"/>
      <c r="H114" s="244"/>
      <c r="I114" s="1"/>
      <c r="J114" s="234"/>
      <c r="K114" s="1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  <c r="AN114" s="220"/>
    </row>
    <row r="115" spans="1:40" ht="15.75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51">
        <f>E110+E101+E91+E85</f>
        <v>45050748.700763769</v>
      </c>
      <c r="F115" s="1"/>
      <c r="G115" s="1"/>
      <c r="H115" s="1"/>
      <c r="I115" s="1"/>
      <c r="J115" s="95">
        <f>J110+J101+J91+J85+J112</f>
        <v>22701235.571768671</v>
      </c>
      <c r="K115" s="75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0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0"/>
      <c r="AN116" s="220"/>
    </row>
    <row r="117" spans="1:40">
      <c r="A117" s="9">
        <f t="shared" si="4"/>
        <v>90</v>
      </c>
      <c r="B117" s="3"/>
      <c r="C117" s="97" t="s">
        <v>434</v>
      </c>
      <c r="D117" s="3"/>
      <c r="E117" s="3"/>
      <c r="F117" s="3"/>
      <c r="G117" s="3"/>
      <c r="H117" s="3"/>
      <c r="I117" s="3"/>
      <c r="J117" s="231">
        <v>21357079.660677493</v>
      </c>
      <c r="K117" s="1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0"/>
      <c r="AN117" s="220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51">
        <f>+J115-J117</f>
        <v>1344155.9110911787</v>
      </c>
      <c r="K119" s="1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</row>
    <row r="122" spans="1:40">
      <c r="A122" s="9"/>
      <c r="B122" s="3"/>
      <c r="C122" s="3"/>
      <c r="D122" s="3"/>
      <c r="E122" s="3"/>
      <c r="F122" s="3"/>
      <c r="G122" s="3"/>
      <c r="H122" s="3"/>
      <c r="I122" s="183" t="s">
        <v>418</v>
      </c>
      <c r="J122" s="252">
        <f>J1</f>
        <v>43616</v>
      </c>
      <c r="K122" s="1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</row>
    <row r="123" spans="1:40">
      <c r="A123" s="9"/>
      <c r="B123" s="3"/>
      <c r="C123" s="3"/>
      <c r="D123" s="3"/>
      <c r="E123" s="3"/>
      <c r="F123" s="3"/>
      <c r="G123" s="3"/>
      <c r="I123" s="183" t="str">
        <f>$I$2</f>
        <v>Service Year</v>
      </c>
      <c r="J123" s="75">
        <f>$J$2</f>
        <v>2018</v>
      </c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0"/>
      <c r="AJ123" s="220"/>
      <c r="AK123" s="220"/>
      <c r="AL123" s="220"/>
      <c r="AM123" s="220"/>
      <c r="AN123" s="220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</row>
    <row r="125" spans="1:40" ht="15.75">
      <c r="A125" s="293" t="s">
        <v>321</v>
      </c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</row>
    <row r="126" spans="1:40" ht="15.75">
      <c r="A126" s="294" t="s">
        <v>195</v>
      </c>
      <c r="B126" s="294"/>
      <c r="C126" s="294"/>
      <c r="D126" s="294"/>
      <c r="E126" s="294"/>
      <c r="F126" s="294"/>
      <c r="G126" s="294"/>
      <c r="H126" s="294"/>
      <c r="I126" s="294"/>
      <c r="J126" s="294"/>
      <c r="K126" s="294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</row>
    <row r="128" spans="1:40" ht="15.75">
      <c r="A128" s="295" t="s">
        <v>320</v>
      </c>
      <c r="B128" s="295"/>
      <c r="C128" s="295"/>
      <c r="D128" s="295"/>
      <c r="E128" s="295"/>
      <c r="F128" s="295"/>
      <c r="G128" s="295"/>
      <c r="H128" s="295"/>
      <c r="I128" s="295"/>
      <c r="J128" s="295"/>
      <c r="K128" s="295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</row>
    <row r="130" spans="1:40" ht="15.75">
      <c r="A130" s="296" t="s">
        <v>3</v>
      </c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</row>
    <row r="131" spans="1:40" ht="15.75">
      <c r="A131" s="9"/>
      <c r="B131" s="3"/>
      <c r="C131" s="193"/>
      <c r="D131" s="75"/>
      <c r="E131" s="75"/>
      <c r="F131" s="75"/>
      <c r="G131" s="75"/>
      <c r="H131" s="75"/>
      <c r="I131" s="75"/>
      <c r="J131" s="75"/>
      <c r="K131" s="1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</row>
    <row r="132" spans="1:40" ht="15.75">
      <c r="A132" s="9" t="s">
        <v>196</v>
      </c>
      <c r="B132" s="3"/>
      <c r="C132" s="193"/>
      <c r="D132" s="75"/>
      <c r="E132" s="75"/>
      <c r="F132" s="75"/>
      <c r="G132" s="75"/>
      <c r="H132" s="75"/>
      <c r="I132" s="75"/>
      <c r="J132" s="75"/>
      <c r="K132" s="1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</row>
    <row r="133" spans="1:40" ht="15.75" thickBot="1">
      <c r="A133" s="192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</row>
    <row r="134" spans="1:40" ht="15.75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192773341.74615386</v>
      </c>
      <c r="K135" s="1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1">
        <v>25389776.915639967</v>
      </c>
      <c r="K136" s="1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</row>
    <row r="137" spans="1:40" ht="15.75" thickBot="1">
      <c r="A137" s="9">
        <f t="shared" ref="A137:A199" si="5">+A136+1</f>
        <v>95</v>
      </c>
      <c r="B137" s="3"/>
      <c r="C137" s="253" t="s">
        <v>87</v>
      </c>
      <c r="D137" s="254"/>
      <c r="E137" s="4" t="s">
        <v>170</v>
      </c>
      <c r="F137" s="1"/>
      <c r="G137" s="1"/>
      <c r="H137" s="194"/>
      <c r="I137" s="1"/>
      <c r="J137" s="4">
        <v>0</v>
      </c>
      <c r="K137" s="1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94"/>
      <c r="I138" s="1"/>
      <c r="J138" s="1">
        <f>J135-J136-J137</f>
        <v>167383564.83051389</v>
      </c>
      <c r="K138" s="1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94"/>
      <c r="I139" s="1"/>
      <c r="J139" s="1">
        <f>+J149</f>
        <v>9671321.1449999996</v>
      </c>
      <c r="K139" s="1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94"/>
      <c r="I140" s="1"/>
      <c r="J140" s="255">
        <f>SUM(J138:J139)</f>
        <v>177054885.97551391</v>
      </c>
      <c r="K140" s="1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94"/>
      <c r="I141" s="1"/>
      <c r="J141" s="234">
        <f>+J135+J149</f>
        <v>202444662.89115387</v>
      </c>
      <c r="K141" s="1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94"/>
      <c r="I142" s="1"/>
      <c r="J142" s="3"/>
      <c r="K142" s="1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0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87"/>
      <c r="E143" s="256"/>
      <c r="F143" s="256"/>
      <c r="G143" s="256"/>
      <c r="H143" s="222"/>
      <c r="I143" s="1" t="s">
        <v>244</v>
      </c>
      <c r="J143" s="257">
        <f>ROUND(IF(J141&gt;0,J140/J141,0),6)</f>
        <v>0.87458400000000003</v>
      </c>
      <c r="K143" s="1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  <c r="AN143" s="220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</row>
    <row r="145" spans="1:40" ht="15.75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0"/>
      <c r="AL145" s="220"/>
      <c r="AM145" s="220"/>
      <c r="AN145" s="220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383755429.39076924</v>
      </c>
      <c r="K146" s="3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374084108.24576926</v>
      </c>
      <c r="K147" s="3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/>
      <c r="AH147" s="220"/>
      <c r="AI147" s="220"/>
      <c r="AJ147" s="220"/>
      <c r="AK147" s="220"/>
      <c r="AL147" s="220"/>
      <c r="AM147" s="220"/>
      <c r="AN147" s="220"/>
    </row>
    <row r="148" spans="1:40" ht="15.75" thickBot="1">
      <c r="A148" s="9">
        <f t="shared" si="5"/>
        <v>106</v>
      </c>
      <c r="B148" s="3"/>
      <c r="C148" s="253" t="s">
        <v>108</v>
      </c>
      <c r="D148" s="254"/>
      <c r="E148" s="4" t="s">
        <v>170</v>
      </c>
      <c r="F148" s="1"/>
      <c r="G148" s="1"/>
      <c r="H148" s="194"/>
      <c r="I148" s="1"/>
      <c r="J148" s="4">
        <v>0</v>
      </c>
      <c r="K148" s="3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/>
      <c r="AH148" s="220"/>
      <c r="AI148" s="220"/>
      <c r="AJ148" s="220"/>
      <c r="AK148" s="220"/>
      <c r="AL148" s="220"/>
      <c r="AM148" s="220"/>
      <c r="AN148" s="220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94"/>
      <c r="I149" s="1"/>
      <c r="J149" s="1">
        <v>9671321.1449999996</v>
      </c>
      <c r="K149" s="3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/>
      <c r="AH149" s="220"/>
      <c r="AI149" s="220"/>
      <c r="AJ149" s="220"/>
      <c r="AK149" s="220"/>
      <c r="AL149" s="220"/>
      <c r="AM149" s="220"/>
      <c r="AN149" s="220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94"/>
      <c r="I150" s="1"/>
      <c r="J150" s="3"/>
      <c r="K150" s="3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/>
      <c r="AH150" s="220"/>
      <c r="AI150" s="220"/>
      <c r="AJ150" s="220"/>
      <c r="AK150" s="220"/>
      <c r="AL150" s="220"/>
      <c r="AM150" s="220"/>
      <c r="AN150" s="220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87"/>
      <c r="E151" s="256"/>
      <c r="F151" s="256"/>
      <c r="G151" s="256"/>
      <c r="H151" s="222"/>
      <c r="I151" s="1" t="s">
        <v>106</v>
      </c>
      <c r="J151" s="257">
        <f>ROUND(IF(J146&gt;0,J149/J146,0),6)</f>
        <v>2.5201999999999999E-2</v>
      </c>
      <c r="K151" s="3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/>
      <c r="AH151" s="220"/>
      <c r="AI151" s="220"/>
      <c r="AJ151" s="220"/>
      <c r="AK151" s="220"/>
      <c r="AL151" s="220"/>
      <c r="AM151" s="220"/>
      <c r="AN151" s="220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94"/>
      <c r="I152" s="1"/>
      <c r="J152" s="3"/>
      <c r="K152" s="3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0"/>
      <c r="AJ152" s="220"/>
      <c r="AK152" s="220"/>
      <c r="AL152" s="220"/>
      <c r="AM152" s="220"/>
      <c r="AN152" s="220"/>
    </row>
    <row r="153" spans="1:40" ht="15.75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94"/>
      <c r="I153" s="1"/>
      <c r="J153" s="1"/>
      <c r="K153" s="3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/>
      <c r="AH153" s="220"/>
      <c r="AI153" s="220"/>
      <c r="AJ153" s="220"/>
      <c r="AK153" s="220"/>
      <c r="AL153" s="220"/>
      <c r="AM153" s="220"/>
      <c r="AN153" s="220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94"/>
      <c r="I154" s="1"/>
      <c r="J154" s="1">
        <f>+E26</f>
        <v>45662573.568181105</v>
      </c>
      <c r="K154" s="3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/>
      <c r="AH154" s="220"/>
      <c r="AI154" s="220"/>
      <c r="AJ154" s="220"/>
      <c r="AK154" s="220"/>
      <c r="AL154" s="220"/>
      <c r="AM154" s="220"/>
      <c r="AN154" s="220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94"/>
      <c r="I155" s="1"/>
      <c r="J155" s="258">
        <v>8980449.4378651381</v>
      </c>
      <c r="K155" s="3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  <c r="AH155" s="220"/>
      <c r="AI155" s="220"/>
      <c r="AJ155" s="220"/>
      <c r="AK155" s="220"/>
      <c r="AL155" s="220"/>
      <c r="AM155" s="220"/>
      <c r="AN155" s="220"/>
    </row>
    <row r="156" spans="1:40">
      <c r="A156" s="9">
        <f t="shared" si="5"/>
        <v>114</v>
      </c>
      <c r="B156" s="3"/>
      <c r="C156" s="259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60"/>
      <c r="E156" s="255"/>
      <c r="F156" s="1"/>
      <c r="G156" s="1"/>
      <c r="H156" s="194"/>
      <c r="I156" s="1"/>
      <c r="J156" s="255">
        <f>J154-J155</f>
        <v>36682124.130315967</v>
      </c>
      <c r="K156" s="3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/>
      <c r="AH156" s="220"/>
      <c r="AI156" s="220"/>
      <c r="AJ156" s="220"/>
      <c r="AK156" s="220"/>
      <c r="AL156" s="220"/>
      <c r="AM156" s="220"/>
      <c r="AN156" s="220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61"/>
      <c r="E157" s="234"/>
      <c r="F157" s="1"/>
      <c r="G157" s="1"/>
      <c r="H157" s="194"/>
      <c r="I157" s="1"/>
      <c r="J157" s="234">
        <f>+J166</f>
        <v>3662675.74</v>
      </c>
      <c r="K157" s="3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0"/>
      <c r="AI157" s="220"/>
      <c r="AJ157" s="220"/>
      <c r="AK157" s="220"/>
      <c r="AL157" s="220"/>
      <c r="AM157" s="220"/>
      <c r="AN157" s="220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61"/>
      <c r="E158" s="234"/>
      <c r="F158" s="1"/>
      <c r="G158" s="1"/>
      <c r="H158" s="194"/>
      <c r="I158" s="1"/>
      <c r="J158" s="255">
        <f>SUM(J156:J157)</f>
        <v>40344799.870315969</v>
      </c>
      <c r="K158" s="3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0"/>
      <c r="AI158" s="220"/>
      <c r="AJ158" s="220"/>
      <c r="AK158" s="220"/>
      <c r="AL158" s="220"/>
      <c r="AM158" s="220"/>
      <c r="AN158" s="220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61"/>
      <c r="E159" s="234"/>
      <c r="F159" s="1"/>
      <c r="G159" s="1"/>
      <c r="H159" s="194"/>
      <c r="I159" s="1"/>
      <c r="J159" s="234">
        <f>+J154+J157</f>
        <v>49325249.308181107</v>
      </c>
      <c r="K159" s="3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  <c r="AN159" s="220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94"/>
      <c r="I160" s="1"/>
      <c r="J160" s="1"/>
      <c r="K160" s="3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  <c r="AN160" s="220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94"/>
      <c r="I161" s="1" t="s">
        <v>79</v>
      </c>
      <c r="J161" s="257">
        <f>ROUND(IF(J159&gt;0,J158/J159,0),6)</f>
        <v>0.81793400000000005</v>
      </c>
      <c r="K161" s="3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0"/>
      <c r="AI161" s="220"/>
      <c r="AJ161" s="220"/>
      <c r="AK161" s="220"/>
      <c r="AL161" s="220"/>
      <c r="AM161" s="220"/>
      <c r="AN161" s="220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94"/>
      <c r="I162" s="1"/>
      <c r="J162" s="1"/>
      <c r="K162" s="3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0"/>
      <c r="AJ162" s="220"/>
      <c r="AK162" s="220"/>
      <c r="AL162" s="220"/>
      <c r="AM162" s="220"/>
      <c r="AN162" s="220"/>
    </row>
    <row r="163" spans="1:40" ht="15.75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94"/>
      <c r="I163" s="1"/>
      <c r="J163" s="1"/>
      <c r="K163" s="3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/>
      <c r="AH163" s="220"/>
      <c r="AI163" s="220"/>
      <c r="AJ163" s="220"/>
      <c r="AK163" s="220"/>
      <c r="AL163" s="220"/>
      <c r="AM163" s="220"/>
      <c r="AN163" s="220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94"/>
      <c r="I164" s="1"/>
      <c r="J164" s="1">
        <f>+E27</f>
        <v>137955160.32514957</v>
      </c>
      <c r="K164" s="3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94"/>
      <c r="I165" s="1"/>
      <c r="J165" s="1">
        <f>+J164-J166</f>
        <v>134292484.58514956</v>
      </c>
      <c r="K165" s="3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20"/>
      <c r="AK165" s="220"/>
      <c r="AL165" s="220"/>
      <c r="AM165" s="220"/>
      <c r="AN165" s="220"/>
    </row>
    <row r="166" spans="1:40">
      <c r="A166" s="9">
        <f t="shared" si="5"/>
        <v>124</v>
      </c>
      <c r="B166" s="3"/>
      <c r="C166" s="262" t="str">
        <f>"Common Use AC Facilities (line "&amp;A164&amp;" less line "&amp;A165&amp;")"</f>
        <v>Common Use AC Facilities (line 122 less line 123)</v>
      </c>
      <c r="D166" s="260"/>
      <c r="E166" s="255"/>
      <c r="F166" s="1"/>
      <c r="G166" s="1"/>
      <c r="H166" s="194"/>
      <c r="I166" s="1"/>
      <c r="J166" s="255">
        <v>3662675.74</v>
      </c>
      <c r="K166" s="3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/>
      <c r="AH166" s="220"/>
      <c r="AI166" s="220"/>
      <c r="AJ166" s="220"/>
      <c r="AK166" s="220"/>
      <c r="AL166" s="220"/>
      <c r="AM166" s="220"/>
      <c r="AN166" s="220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94"/>
      <c r="I167" s="1"/>
      <c r="J167" s="1"/>
      <c r="K167" s="3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94"/>
      <c r="I168" s="1" t="s">
        <v>82</v>
      </c>
      <c r="J168" s="257">
        <f>ROUND(IF(J164&gt;0,J166/J164,0),6)</f>
        <v>2.6550000000000001E-2</v>
      </c>
      <c r="K168" s="3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  <c r="AN168" s="220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94"/>
      <c r="I169" s="1"/>
      <c r="J169" s="1"/>
      <c r="K169" s="3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  <c r="AN170" s="220"/>
    </row>
    <row r="171" spans="1:40" ht="15.75" thickBot="1">
      <c r="A171" s="9">
        <f t="shared" si="5"/>
        <v>129</v>
      </c>
      <c r="B171" s="3"/>
      <c r="C171" s="97"/>
      <c r="D171" s="4" t="s">
        <v>246</v>
      </c>
      <c r="E171" s="263" t="s">
        <v>247</v>
      </c>
      <c r="F171" s="263" t="s">
        <v>200</v>
      </c>
      <c r="G171" s="1"/>
      <c r="H171" s="263" t="s">
        <v>248</v>
      </c>
      <c r="I171" s="234"/>
      <c r="J171" s="264"/>
      <c r="K171" s="1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1">
        <v>1892751</v>
      </c>
      <c r="F172" s="265">
        <f>+J143</f>
        <v>0.87458400000000003</v>
      </c>
      <c r="G172" s="3"/>
      <c r="H172" s="1">
        <f>E172*F172</f>
        <v>1655369.740584</v>
      </c>
      <c r="I172" s="234"/>
      <c r="J172" s="266"/>
      <c r="K172" s="1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0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1">
        <v>21478577</v>
      </c>
      <c r="F173" s="265">
        <v>0</v>
      </c>
      <c r="G173" s="265"/>
      <c r="H173" s="1">
        <f>E173*F173</f>
        <v>0</v>
      </c>
      <c r="I173" s="234"/>
      <c r="J173" s="264" t="s">
        <v>249</v>
      </c>
      <c r="K173" s="1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0"/>
    </row>
    <row r="174" spans="1:40" ht="15.75" thickBot="1">
      <c r="A174" s="9">
        <f t="shared" si="5"/>
        <v>132</v>
      </c>
      <c r="B174" s="3"/>
      <c r="C174" s="97" t="s">
        <v>143</v>
      </c>
      <c r="D174" s="1" t="s">
        <v>144</v>
      </c>
      <c r="E174" s="4">
        <v>-8654137</v>
      </c>
      <c r="F174" s="265">
        <v>0</v>
      </c>
      <c r="G174" s="265"/>
      <c r="H174" s="4">
        <f>E174*F174</f>
        <v>0</v>
      </c>
      <c r="I174" s="234"/>
      <c r="J174" s="192" t="s">
        <v>250</v>
      </c>
      <c r="K174" s="1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  <c r="AN174" s="220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12824440</v>
      </c>
      <c r="F175" s="1"/>
      <c r="G175" s="3"/>
      <c r="H175" s="1">
        <f>SUM(H172:H174)</f>
        <v>1655369.740584</v>
      </c>
      <c r="I175" s="1" t="s">
        <v>92</v>
      </c>
      <c r="J175" s="226">
        <f>IF(E175&gt;0,+H175/E175,0)</f>
        <v>0.12907930019431649</v>
      </c>
      <c r="K175" s="194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/>
      <c r="AH175" s="220"/>
      <c r="AI175" s="220"/>
      <c r="AJ175" s="220"/>
      <c r="AK175" s="220"/>
      <c r="AL175" s="220"/>
      <c r="AM175" s="220"/>
      <c r="AN175" s="220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/>
      <c r="AH176" s="220"/>
      <c r="AI176" s="220"/>
      <c r="AJ176" s="220"/>
      <c r="AK176" s="220"/>
      <c r="AL176" s="220"/>
      <c r="AM176" s="220"/>
      <c r="AN176" s="220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/>
      <c r="AH177" s="220"/>
      <c r="AI177" s="220"/>
      <c r="AJ177" s="220"/>
      <c r="AK177" s="220"/>
      <c r="AL177" s="220"/>
      <c r="AM177" s="220"/>
      <c r="AN177" s="220"/>
    </row>
    <row r="178" spans="1:40" ht="15.75" thickBot="1">
      <c r="A178" s="9">
        <f t="shared" si="5"/>
        <v>136</v>
      </c>
      <c r="B178" s="3"/>
      <c r="C178" s="97"/>
      <c r="D178" s="1"/>
      <c r="E178" s="263" t="s">
        <v>247</v>
      </c>
      <c r="F178" s="263" t="s">
        <v>254</v>
      </c>
      <c r="G178" s="231" t="s">
        <v>200</v>
      </c>
      <c r="H178" s="267" t="s">
        <v>131</v>
      </c>
      <c r="I178" s="244"/>
      <c r="J178" s="228"/>
      <c r="K178" s="3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20"/>
      <c r="AI178" s="220"/>
      <c r="AJ178" s="220"/>
      <c r="AK178" s="220"/>
      <c r="AL178" s="220"/>
      <c r="AM178" s="220"/>
      <c r="AN178" s="220"/>
    </row>
    <row r="179" spans="1:40">
      <c r="A179" s="9">
        <f t="shared" si="5"/>
        <v>137</v>
      </c>
      <c r="B179" s="3"/>
      <c r="C179" s="97" t="s">
        <v>129</v>
      </c>
      <c r="D179" s="87" t="s">
        <v>440</v>
      </c>
      <c r="E179" s="1">
        <f>J135-J154</f>
        <v>147110768.17797276</v>
      </c>
      <c r="F179" s="89">
        <f>IF(E181&gt;0,+E179/E181,0)</f>
        <v>0.37441240951133864</v>
      </c>
      <c r="G179" s="268">
        <f>+J143</f>
        <v>0.87458400000000003</v>
      </c>
      <c r="H179" s="269">
        <f>IF(F179&gt;0,+G179*F179,0)</f>
        <v>0.32745510276006462</v>
      </c>
      <c r="I179" s="270"/>
      <c r="J179" s="9"/>
      <c r="K179" s="1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</row>
    <row r="180" spans="1:40">
      <c r="A180" s="9">
        <f t="shared" si="5"/>
        <v>138</v>
      </c>
      <c r="B180" s="3"/>
      <c r="C180" s="97" t="s">
        <v>130</v>
      </c>
      <c r="D180" s="87" t="s">
        <v>441</v>
      </c>
      <c r="E180" s="1">
        <f>J146-J164</f>
        <v>245800269.06561968</v>
      </c>
      <c r="F180" s="89">
        <f>IF(E181&gt;0,+E180/E181,0)</f>
        <v>0.6255875904886613</v>
      </c>
      <c r="G180" s="3"/>
      <c r="H180" s="242"/>
      <c r="I180" s="194"/>
      <c r="J180" s="242"/>
      <c r="K180" s="244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  <c r="AF180" s="220"/>
      <c r="AG180" s="220"/>
      <c r="AH180" s="220"/>
      <c r="AI180" s="220"/>
      <c r="AJ180" s="220"/>
      <c r="AK180" s="220"/>
      <c r="AL180" s="220"/>
      <c r="AM180" s="220"/>
      <c r="AN180" s="220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55">
        <f>SUM(E179:E180)</f>
        <v>392911037.24359244</v>
      </c>
      <c r="F181" s="271">
        <f>SUM(F179:F180)</f>
        <v>1</v>
      </c>
      <c r="G181" s="1"/>
      <c r="H181" s="1"/>
      <c r="I181" s="1" t="s">
        <v>132</v>
      </c>
      <c r="J181" s="272">
        <f>+H179</f>
        <v>0.32745510276006462</v>
      </c>
      <c r="K181" s="1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/>
      <c r="AF181" s="220"/>
      <c r="AG181" s="220"/>
      <c r="AH181" s="220"/>
      <c r="AI181" s="220"/>
      <c r="AJ181" s="220"/>
      <c r="AK181" s="220"/>
      <c r="AL181" s="220"/>
      <c r="AM181" s="220"/>
      <c r="AN181" s="220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72"/>
      <c r="K182" s="1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/>
      <c r="AF182" s="220"/>
      <c r="AG182" s="220"/>
      <c r="AH182" s="220"/>
      <c r="AI182" s="220"/>
      <c r="AJ182" s="220"/>
      <c r="AK182" s="220"/>
      <c r="AL182" s="220"/>
      <c r="AM182" s="220"/>
      <c r="AN182" s="220"/>
    </row>
    <row r="183" spans="1:40" s="275" customFormat="1" ht="15.75" thickBot="1">
      <c r="A183" s="9">
        <f t="shared" si="5"/>
        <v>141</v>
      </c>
      <c r="B183" s="273"/>
      <c r="C183" s="274" t="s">
        <v>252</v>
      </c>
      <c r="D183" s="231" t="s">
        <v>246</v>
      </c>
      <c r="E183" s="1"/>
      <c r="F183" s="1"/>
      <c r="G183" s="1"/>
      <c r="H183" s="1"/>
      <c r="I183" s="1"/>
      <c r="J183" s="263" t="s">
        <v>247</v>
      </c>
      <c r="K183" s="1"/>
    </row>
    <row r="184" spans="1:40">
      <c r="A184" s="9">
        <f t="shared" si="5"/>
        <v>142</v>
      </c>
      <c r="B184" s="273"/>
      <c r="C184" s="75" t="s">
        <v>329</v>
      </c>
      <c r="D184" s="1" t="s">
        <v>442</v>
      </c>
      <c r="E184" s="1"/>
      <c r="F184" s="1"/>
      <c r="G184" s="1"/>
      <c r="H184" s="1"/>
      <c r="I184" s="1"/>
      <c r="J184" s="19">
        <f>20258411+204228+275337+0</f>
        <v>20737976</v>
      </c>
      <c r="K184" s="1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/>
      <c r="AH184" s="220"/>
      <c r="AI184" s="220"/>
      <c r="AJ184" s="220"/>
      <c r="AK184" s="220"/>
      <c r="AL184" s="220"/>
      <c r="AM184" s="220"/>
      <c r="AN184" s="220"/>
    </row>
    <row r="185" spans="1:40">
      <c r="A185" s="9">
        <f t="shared" si="5"/>
        <v>143</v>
      </c>
      <c r="B185" s="275"/>
      <c r="C185" s="97"/>
      <c r="D185" s="1"/>
      <c r="E185" s="1"/>
      <c r="F185" s="1"/>
      <c r="G185" s="1"/>
      <c r="H185" s="1"/>
      <c r="I185" s="1"/>
      <c r="J185" s="1"/>
      <c r="K185" s="1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/>
      <c r="AF185" s="220"/>
      <c r="AG185" s="220"/>
      <c r="AH185" s="220"/>
      <c r="AI185" s="220"/>
      <c r="AJ185" s="220"/>
      <c r="AK185" s="220"/>
      <c r="AL185" s="220"/>
      <c r="AM185" s="220"/>
      <c r="AN185" s="220"/>
    </row>
    <row r="186" spans="1:40">
      <c r="A186" s="9">
        <f t="shared" si="5"/>
        <v>144</v>
      </c>
      <c r="B186" s="273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/>
      <c r="AF186" s="220"/>
      <c r="AG186" s="220"/>
      <c r="AH186" s="220"/>
      <c r="AI186" s="220"/>
      <c r="AJ186" s="220"/>
      <c r="AK186" s="220"/>
      <c r="AL186" s="220"/>
      <c r="AM186" s="220"/>
      <c r="AN186" s="220"/>
    </row>
    <row r="187" spans="1:40">
      <c r="A187" s="9">
        <f t="shared" si="5"/>
        <v>145</v>
      </c>
      <c r="B187" s="273"/>
      <c r="C187" s="97"/>
      <c r="D187" s="1"/>
      <c r="E187" s="1"/>
      <c r="F187" s="1"/>
      <c r="G187" s="1"/>
      <c r="H187" s="1"/>
      <c r="I187" s="1"/>
      <c r="J187" s="1"/>
      <c r="K187" s="1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/>
      <c r="AF187" s="220"/>
      <c r="AG187" s="220"/>
      <c r="AH187" s="220"/>
      <c r="AI187" s="220"/>
      <c r="AJ187" s="220"/>
      <c r="AK187" s="220"/>
      <c r="AL187" s="220"/>
      <c r="AM187" s="220"/>
      <c r="AN187" s="220"/>
    </row>
    <row r="188" spans="1:40">
      <c r="A188" s="9">
        <f t="shared" si="5"/>
        <v>146</v>
      </c>
      <c r="B188" s="273"/>
      <c r="C188" s="274" t="s">
        <v>332</v>
      </c>
      <c r="D188" s="231" t="s">
        <v>246</v>
      </c>
      <c r="E188" s="1"/>
      <c r="F188" s="1"/>
      <c r="G188" s="1"/>
      <c r="H188" s="1"/>
      <c r="I188" s="1"/>
      <c r="J188" s="1"/>
      <c r="K188" s="1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/>
      <c r="AH188" s="220"/>
      <c r="AI188" s="220"/>
      <c r="AJ188" s="220"/>
      <c r="AK188" s="220"/>
      <c r="AL188" s="220"/>
      <c r="AM188" s="220"/>
      <c r="AN188" s="220"/>
    </row>
    <row r="189" spans="1:40">
      <c r="A189" s="9">
        <f t="shared" si="5"/>
        <v>147</v>
      </c>
      <c r="B189" s="273"/>
      <c r="C189" s="97" t="s">
        <v>22</v>
      </c>
      <c r="D189" s="1" t="s">
        <v>333</v>
      </c>
      <c r="E189" s="75"/>
      <c r="F189" s="1"/>
      <c r="G189" s="1"/>
      <c r="H189" s="1"/>
      <c r="I189" s="1"/>
      <c r="J189" s="19">
        <v>404245264</v>
      </c>
      <c r="K189" s="1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20"/>
      <c r="AL189" s="220"/>
      <c r="AM189" s="220"/>
      <c r="AN189" s="220"/>
    </row>
    <row r="190" spans="1:40">
      <c r="A190" s="9">
        <f t="shared" si="5"/>
        <v>148</v>
      </c>
      <c r="B190" s="273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/>
      <c r="AH190" s="220"/>
      <c r="AI190" s="220"/>
      <c r="AJ190" s="220"/>
      <c r="AK190" s="220"/>
      <c r="AL190" s="220"/>
      <c r="AM190" s="220"/>
      <c r="AN190" s="220"/>
    </row>
    <row r="191" spans="1:40">
      <c r="A191" s="9">
        <f t="shared" si="5"/>
        <v>149</v>
      </c>
      <c r="B191" s="273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/>
      <c r="AH191" s="220"/>
      <c r="AI191" s="220"/>
      <c r="AJ191" s="220"/>
      <c r="AK191" s="220"/>
      <c r="AL191" s="220"/>
      <c r="AM191" s="220"/>
      <c r="AN191" s="220"/>
    </row>
    <row r="192" spans="1:40" ht="15.75" thickBot="1">
      <c r="A192" s="9">
        <f t="shared" si="5"/>
        <v>150</v>
      </c>
      <c r="B192" s="273"/>
      <c r="C192" s="97" t="s">
        <v>338</v>
      </c>
      <c r="D192" s="1" t="s">
        <v>339</v>
      </c>
      <c r="E192" s="1"/>
      <c r="F192" s="1"/>
      <c r="G192" s="1"/>
      <c r="H192" s="1"/>
      <c r="I192" s="1"/>
      <c r="J192" s="230">
        <v>891260</v>
      </c>
      <c r="K192" s="1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/>
      <c r="AH192" s="220"/>
      <c r="AI192" s="220"/>
      <c r="AJ192" s="220"/>
      <c r="AK192" s="220"/>
      <c r="AL192" s="220"/>
      <c r="AM192" s="220"/>
      <c r="AN192" s="220"/>
    </row>
    <row r="193" spans="1:40">
      <c r="A193" s="9">
        <f t="shared" si="5"/>
        <v>151</v>
      </c>
      <c r="B193" s="273"/>
      <c r="C193" s="276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405136524</v>
      </c>
      <c r="K193" s="1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/>
      <c r="AH193" s="220"/>
      <c r="AI193" s="220"/>
      <c r="AJ193" s="220"/>
      <c r="AK193" s="220"/>
      <c r="AL193" s="220"/>
      <c r="AM193" s="220"/>
      <c r="AN193" s="220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94"/>
      <c r="I194" s="1"/>
      <c r="J194" s="1"/>
      <c r="K194" s="1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  <c r="AN194" s="220"/>
    </row>
    <row r="195" spans="1:40" ht="15.75" thickBot="1">
      <c r="A195" s="9">
        <f t="shared" si="5"/>
        <v>153</v>
      </c>
      <c r="B195" s="3"/>
      <c r="C195" s="97"/>
      <c r="D195" s="4" t="s">
        <v>246</v>
      </c>
      <c r="E195" s="277" t="s">
        <v>247</v>
      </c>
      <c r="F195" s="192" t="s">
        <v>254</v>
      </c>
      <c r="G195" s="1"/>
      <c r="H195" s="192" t="s">
        <v>253</v>
      </c>
      <c r="I195" s="1"/>
      <c r="J195" s="192" t="s">
        <v>255</v>
      </c>
      <c r="K195" s="1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/>
      <c r="AH195" s="220"/>
      <c r="AI195" s="220"/>
      <c r="AJ195" s="220"/>
      <c r="AK195" s="220"/>
      <c r="AL195" s="220"/>
      <c r="AM195" s="220"/>
      <c r="AN195" s="220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1">
        <v>342768750</v>
      </c>
      <c r="F196" s="88">
        <v>0.43</v>
      </c>
      <c r="G196" s="278"/>
      <c r="H196" s="89">
        <f>IF(E196&gt;0,+J184/E196,0)</f>
        <v>6.0501361340553943E-2</v>
      </c>
      <c r="I196" s="3"/>
      <c r="J196" s="89">
        <f>H196*F196</f>
        <v>2.6015585376438194E-2</v>
      </c>
      <c r="K196" s="279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/>
      <c r="AH196" s="220"/>
      <c r="AI196" s="220"/>
      <c r="AJ196" s="220"/>
      <c r="AK196" s="220"/>
      <c r="AL196" s="220"/>
      <c r="AM196" s="220"/>
      <c r="AN196" s="220"/>
    </row>
    <row r="197" spans="1:40">
      <c r="A197" s="9">
        <f t="shared" si="5"/>
        <v>155</v>
      </c>
      <c r="B197" s="3"/>
      <c r="C197" s="96" t="s">
        <v>328</v>
      </c>
      <c r="D197" s="225" t="s">
        <v>335</v>
      </c>
      <c r="E197" s="1"/>
      <c r="F197" s="88">
        <f>IF($E$199&gt;0,E197/$E$199,0)</f>
        <v>0</v>
      </c>
      <c r="G197" s="278"/>
      <c r="H197" s="89">
        <f>IF(E197&gt;0,J186/E197,0)</f>
        <v>0</v>
      </c>
      <c r="I197" s="3"/>
      <c r="J197" s="89">
        <f>H197*F197</f>
        <v>0</v>
      </c>
      <c r="K197" s="1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/>
      <c r="AF197" s="220"/>
      <c r="AG197" s="220"/>
      <c r="AH197" s="220"/>
      <c r="AI197" s="220"/>
      <c r="AJ197" s="220"/>
      <c r="AK197" s="220"/>
      <c r="AL197" s="220"/>
      <c r="AM197" s="220"/>
      <c r="AN197" s="220"/>
    </row>
    <row r="198" spans="1:40" ht="15.75" thickBot="1">
      <c r="A198" s="9">
        <f t="shared" si="5"/>
        <v>156</v>
      </c>
      <c r="B198" s="3"/>
      <c r="C198" s="276" t="s">
        <v>341</v>
      </c>
      <c r="D198" s="225" t="str">
        <f>"(see above line "&amp;A193&amp;")"</f>
        <v>(see above line 151)</v>
      </c>
      <c r="E198" s="4">
        <f>+J193</f>
        <v>405136524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80">
        <f>H198*F198</f>
        <v>6.1559999999999997E-2</v>
      </c>
      <c r="K198" s="1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/>
      <c r="AF198" s="220"/>
      <c r="AG198" s="220"/>
      <c r="AH198" s="220"/>
      <c r="AI198" s="220"/>
      <c r="AJ198" s="220"/>
      <c r="AK198" s="220"/>
      <c r="AL198" s="220"/>
      <c r="AM198" s="220"/>
      <c r="AN198" s="220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747905274</v>
      </c>
      <c r="F199" s="1" t="s">
        <v>194</v>
      </c>
      <c r="G199" s="1"/>
      <c r="H199" s="1"/>
      <c r="I199" s="1" t="s">
        <v>357</v>
      </c>
      <c r="J199" s="89">
        <f>SUM(J196:J198)</f>
        <v>8.7575585376438198E-2</v>
      </c>
      <c r="K199" s="279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/>
      <c r="AH199" s="220"/>
      <c r="AI199" s="220"/>
      <c r="AJ199" s="220"/>
      <c r="AK199" s="220"/>
      <c r="AL199" s="220"/>
      <c r="AM199" s="220"/>
      <c r="AN199" s="220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418</v>
      </c>
      <c r="J200" s="281">
        <f>J1</f>
        <v>43616</v>
      </c>
      <c r="K200" s="279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/>
      <c r="AF200" s="220"/>
      <c r="AG200" s="220"/>
      <c r="AH200" s="220"/>
      <c r="AI200" s="220"/>
      <c r="AJ200" s="220"/>
      <c r="AK200" s="220"/>
      <c r="AL200" s="220"/>
      <c r="AM200" s="220"/>
      <c r="AN200" s="220"/>
    </row>
    <row r="201" spans="1:40">
      <c r="A201" s="3"/>
      <c r="B201" s="3"/>
      <c r="C201" s="3"/>
      <c r="D201" s="3"/>
      <c r="E201" s="3"/>
      <c r="F201" s="1"/>
      <c r="G201" s="1"/>
      <c r="I201" s="183" t="str">
        <f>$I$2</f>
        <v>Service Year</v>
      </c>
      <c r="J201" s="75">
        <f>$J$2</f>
        <v>2018</v>
      </c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/>
      <c r="AF201" s="220"/>
      <c r="AG201" s="220"/>
      <c r="AH201" s="220"/>
      <c r="AI201" s="220"/>
      <c r="AJ201" s="220"/>
      <c r="AK201" s="220"/>
      <c r="AL201" s="220"/>
      <c r="AM201" s="220"/>
      <c r="AN201" s="220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/>
      <c r="AH202" s="220"/>
      <c r="AI202" s="220"/>
      <c r="AJ202" s="220"/>
      <c r="AK202" s="220"/>
      <c r="AL202" s="220"/>
      <c r="AM202" s="220"/>
      <c r="AN202" s="220"/>
    </row>
    <row r="203" spans="1:40" ht="15.75">
      <c r="A203" s="293" t="s">
        <v>321</v>
      </c>
      <c r="B203" s="293"/>
      <c r="C203" s="293"/>
      <c r="D203" s="293"/>
      <c r="E203" s="293"/>
      <c r="F203" s="293"/>
      <c r="G203" s="293"/>
      <c r="H203" s="293"/>
      <c r="I203" s="293"/>
      <c r="J203" s="293"/>
      <c r="K203" s="293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/>
      <c r="AH203" s="220"/>
      <c r="AI203" s="220"/>
      <c r="AJ203" s="220"/>
      <c r="AK203" s="220"/>
      <c r="AL203" s="220"/>
      <c r="AM203" s="220"/>
      <c r="AN203" s="220"/>
    </row>
    <row r="204" spans="1:40" ht="15.75">
      <c r="A204" s="294" t="s">
        <v>195</v>
      </c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  <c r="AN204" s="220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/>
      <c r="AF205" s="220"/>
      <c r="AG205" s="220"/>
      <c r="AH205" s="220"/>
      <c r="AI205" s="220"/>
      <c r="AJ205" s="220"/>
      <c r="AK205" s="220"/>
      <c r="AL205" s="220"/>
      <c r="AM205" s="220"/>
      <c r="AN205" s="220"/>
    </row>
    <row r="206" spans="1:40" ht="15.75">
      <c r="A206" s="295" t="s">
        <v>320</v>
      </c>
      <c r="B206" s="295"/>
      <c r="C206" s="295"/>
      <c r="D206" s="295"/>
      <c r="E206" s="295"/>
      <c r="F206" s="295"/>
      <c r="G206" s="295"/>
      <c r="H206" s="295"/>
      <c r="I206" s="295"/>
      <c r="J206" s="295"/>
      <c r="K206" s="295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/>
      <c r="AF206" s="220"/>
      <c r="AG206" s="220"/>
      <c r="AH206" s="220"/>
      <c r="AI206" s="220"/>
      <c r="AJ206" s="220"/>
      <c r="AK206" s="220"/>
      <c r="AL206" s="220"/>
      <c r="AM206" s="220"/>
      <c r="AN206" s="220"/>
    </row>
    <row r="207" spans="1:40">
      <c r="A207" s="9"/>
      <c r="B207" s="2"/>
      <c r="C207" s="282"/>
      <c r="D207" s="9"/>
      <c r="E207" s="1"/>
      <c r="F207" s="1"/>
      <c r="G207" s="1"/>
      <c r="H207" s="1"/>
      <c r="I207" s="2"/>
      <c r="J207" s="283"/>
      <c r="K207" s="284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/>
      <c r="AF207" s="220"/>
      <c r="AG207" s="220"/>
      <c r="AH207" s="220"/>
      <c r="AI207" s="220"/>
      <c r="AJ207" s="220"/>
      <c r="AK207" s="220"/>
      <c r="AL207" s="220"/>
      <c r="AM207" s="220"/>
      <c r="AN207" s="220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/>
      <c r="AF208" s="220"/>
      <c r="AG208" s="220"/>
      <c r="AH208" s="220"/>
      <c r="AI208" s="220"/>
      <c r="AJ208" s="220"/>
      <c r="AK208" s="220"/>
      <c r="AL208" s="220"/>
      <c r="AM208" s="220"/>
      <c r="AN208" s="220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/>
      <c r="AH209" s="220"/>
      <c r="AI209" s="220"/>
      <c r="AJ209" s="220"/>
      <c r="AK209" s="220"/>
      <c r="AL209" s="220"/>
      <c r="AM209" s="220"/>
      <c r="AN209" s="220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/>
      <c r="AF210" s="220"/>
      <c r="AG210" s="220"/>
      <c r="AH210" s="220"/>
      <c r="AI210" s="220"/>
      <c r="AJ210" s="220"/>
      <c r="AK210" s="220"/>
      <c r="AL210" s="220"/>
      <c r="AM210" s="220"/>
      <c r="AN210" s="220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/>
      <c r="AH211" s="220"/>
      <c r="AI211" s="220"/>
      <c r="AJ211" s="220"/>
      <c r="AK211" s="220"/>
      <c r="AL211" s="220"/>
      <c r="AM211" s="220"/>
      <c r="AN211" s="220"/>
    </row>
    <row r="212" spans="1:40" ht="15.75" thickBot="1">
      <c r="A212" s="192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/>
      <c r="AH212" s="220"/>
      <c r="AI212" s="220"/>
      <c r="AJ212" s="220"/>
      <c r="AK212" s="220"/>
      <c r="AL212" s="220"/>
      <c r="AM212" s="220"/>
      <c r="AN212" s="220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/>
      <c r="AH213" s="220"/>
      <c r="AI213" s="220"/>
      <c r="AJ213" s="220"/>
      <c r="AK213" s="220"/>
      <c r="AL213" s="220"/>
      <c r="AM213" s="220"/>
      <c r="AN213" s="220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0"/>
      <c r="AI214" s="220"/>
      <c r="AJ214" s="220"/>
      <c r="AK214" s="220"/>
      <c r="AL214" s="220"/>
      <c r="AM214" s="220"/>
      <c r="AN214" s="220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/>
      <c r="AH215" s="220"/>
      <c r="AI215" s="220"/>
      <c r="AJ215" s="220"/>
      <c r="AK215" s="220"/>
      <c r="AL215" s="220"/>
      <c r="AM215" s="220"/>
      <c r="AN215" s="220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/>
      <c r="AF216" s="220"/>
      <c r="AG216" s="220"/>
      <c r="AH216" s="220"/>
      <c r="AI216" s="220"/>
      <c r="AJ216" s="220"/>
      <c r="AK216" s="220"/>
      <c r="AL216" s="220"/>
      <c r="AM216" s="220"/>
      <c r="AN216" s="220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/>
      <c r="AF217" s="220"/>
      <c r="AG217" s="220"/>
      <c r="AH217" s="220"/>
      <c r="AI217" s="220"/>
      <c r="AJ217" s="220"/>
      <c r="AK217" s="220"/>
      <c r="AL217" s="220"/>
      <c r="AM217" s="220"/>
      <c r="AN217" s="220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/>
      <c r="AF218" s="220"/>
      <c r="AG218" s="220"/>
      <c r="AH218" s="220"/>
      <c r="AI218" s="220"/>
      <c r="AJ218" s="220"/>
      <c r="AK218" s="220"/>
      <c r="AL218" s="220"/>
      <c r="AM218" s="220"/>
      <c r="AN218" s="220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/>
      <c r="AH219" s="220"/>
      <c r="AI219" s="220"/>
      <c r="AJ219" s="220"/>
      <c r="AK219" s="220"/>
      <c r="AL219" s="220"/>
      <c r="AM219" s="220"/>
      <c r="AN219" s="220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/>
      <c r="AF220" s="220"/>
      <c r="AG220" s="220"/>
      <c r="AH220" s="220"/>
      <c r="AI220" s="220"/>
      <c r="AJ220" s="220"/>
      <c r="AK220" s="220"/>
      <c r="AL220" s="220"/>
      <c r="AM220" s="220"/>
      <c r="AN220" s="220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85"/>
      <c r="K221" s="2"/>
      <c r="L221" s="195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/>
      <c r="AF221" s="220"/>
      <c r="AG221" s="220"/>
      <c r="AH221" s="220"/>
      <c r="AI221" s="220"/>
      <c r="AJ221" s="220"/>
      <c r="AK221" s="220"/>
      <c r="AL221" s="220"/>
      <c r="AM221" s="220"/>
      <c r="AN221" s="220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85"/>
      <c r="K222" s="2"/>
      <c r="L222" s="286"/>
      <c r="M222" s="2"/>
      <c r="N222" s="220"/>
      <c r="O222" s="220"/>
      <c r="P222" s="220"/>
      <c r="Q222" s="220"/>
      <c r="R222" s="220"/>
      <c r="S222" s="220"/>
      <c r="T222" s="220"/>
      <c r="U222" s="220"/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/>
      <c r="AF222" s="220"/>
      <c r="AG222" s="220"/>
      <c r="AH222" s="220"/>
      <c r="AI222" s="220"/>
      <c r="AJ222" s="220"/>
      <c r="AK222" s="220"/>
      <c r="AL222" s="220"/>
      <c r="AM222" s="220"/>
      <c r="AN222" s="220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85"/>
      <c r="K223" s="2"/>
      <c r="L223" s="287"/>
      <c r="M223" s="2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/>
      <c r="AH223" s="220"/>
      <c r="AI223" s="220"/>
      <c r="AJ223" s="220"/>
      <c r="AK223" s="220"/>
      <c r="AL223" s="220"/>
      <c r="AM223" s="220"/>
      <c r="AN223" s="220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85"/>
      <c r="K224" s="2"/>
      <c r="L224" s="220"/>
      <c r="M224" s="2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/>
      <c r="AH224" s="220"/>
      <c r="AI224" s="220"/>
      <c r="AJ224" s="220"/>
      <c r="AK224" s="220"/>
      <c r="AL224" s="220"/>
      <c r="AM224" s="220"/>
      <c r="AN224" s="220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85"/>
      <c r="K225" s="2"/>
      <c r="L225" s="220"/>
      <c r="M225" s="2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/>
      <c r="AH225" s="220"/>
      <c r="AI225" s="220"/>
      <c r="AJ225" s="220"/>
      <c r="AK225" s="220"/>
      <c r="AL225" s="220"/>
      <c r="AM225" s="220"/>
      <c r="AN225" s="220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85"/>
      <c r="J226" s="285"/>
      <c r="K226" s="2"/>
      <c r="L226" s="220"/>
      <c r="M226" s="2"/>
      <c r="N226" s="220"/>
      <c r="O226" s="220"/>
      <c r="P226" s="220"/>
      <c r="Q226" s="220"/>
      <c r="R226" s="220"/>
      <c r="S226" s="220"/>
      <c r="T226" s="220"/>
      <c r="U226" s="220"/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/>
      <c r="AF226" s="220"/>
      <c r="AG226" s="220"/>
      <c r="AH226" s="220"/>
      <c r="AI226" s="220"/>
      <c r="AJ226" s="220"/>
      <c r="AK226" s="220"/>
      <c r="AL226" s="220"/>
      <c r="AM226" s="220"/>
      <c r="AN226" s="220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20"/>
      <c r="M227" s="285"/>
      <c r="N227" s="220"/>
      <c r="O227" s="220"/>
      <c r="P227" s="220"/>
      <c r="Q227" s="220"/>
      <c r="R227" s="220"/>
      <c r="S227" s="220"/>
      <c r="T227" s="220"/>
      <c r="U227" s="220"/>
      <c r="V227" s="220"/>
      <c r="W227" s="220"/>
      <c r="X227" s="220"/>
      <c r="Y227" s="220"/>
      <c r="Z227" s="220"/>
      <c r="AA227" s="220"/>
      <c r="AB227" s="220"/>
      <c r="AC227" s="220"/>
      <c r="AD227" s="220"/>
      <c r="AE227" s="220"/>
      <c r="AF227" s="220"/>
      <c r="AG227" s="220"/>
      <c r="AH227" s="220"/>
      <c r="AI227" s="220"/>
      <c r="AJ227" s="220"/>
      <c r="AK227" s="220"/>
      <c r="AL227" s="220"/>
      <c r="AM227" s="220"/>
      <c r="AN227" s="220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88"/>
      <c r="K228" s="2"/>
      <c r="L228" s="220"/>
      <c r="M228" s="220"/>
      <c r="N228" s="220"/>
      <c r="O228" s="220"/>
      <c r="P228" s="220"/>
      <c r="Q228" s="220"/>
      <c r="R228" s="220"/>
      <c r="S228" s="220"/>
      <c r="T228" s="220"/>
      <c r="U228" s="220"/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/>
      <c r="AF228" s="220"/>
      <c r="AG228" s="220"/>
      <c r="AH228" s="220"/>
      <c r="AI228" s="220"/>
      <c r="AJ228" s="220"/>
      <c r="AK228" s="220"/>
      <c r="AL228" s="220"/>
      <c r="AM228" s="220"/>
      <c r="AN228" s="220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/>
      <c r="AH229" s="220"/>
      <c r="AI229" s="220"/>
      <c r="AJ229" s="220"/>
      <c r="AK229" s="220"/>
      <c r="AL229" s="220"/>
      <c r="AM229" s="220"/>
      <c r="AN229" s="220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/>
      <c r="AH230" s="220"/>
      <c r="AI230" s="220"/>
      <c r="AJ230" s="220"/>
      <c r="AK230" s="220"/>
      <c r="AL230" s="220"/>
      <c r="AM230" s="220"/>
      <c r="AN230" s="220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  <c r="AF231" s="220"/>
      <c r="AG231" s="220"/>
      <c r="AH231" s="220"/>
      <c r="AI231" s="220"/>
      <c r="AJ231" s="220"/>
      <c r="AK231" s="220"/>
      <c r="AL231" s="220"/>
      <c r="AM231" s="220"/>
      <c r="AN231" s="220"/>
    </row>
    <row r="232" spans="1:40">
      <c r="A232" s="9" t="s">
        <v>194</v>
      </c>
      <c r="B232" s="2"/>
      <c r="C232" s="2" t="s">
        <v>288</v>
      </c>
      <c r="D232" s="2" t="s">
        <v>281</v>
      </c>
      <c r="E232" s="289">
        <v>0.21</v>
      </c>
      <c r="F232" s="2"/>
      <c r="G232" s="2"/>
      <c r="H232" s="2"/>
      <c r="I232" s="2"/>
      <c r="J232" s="2"/>
      <c r="K232" s="2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/>
      <c r="AH232" s="220"/>
      <c r="AI232" s="220"/>
      <c r="AJ232" s="220"/>
      <c r="AK232" s="220"/>
      <c r="AL232" s="220"/>
      <c r="AM232" s="220"/>
      <c r="AN232" s="220"/>
    </row>
    <row r="233" spans="1:40">
      <c r="A233" s="9"/>
      <c r="B233" s="2"/>
      <c r="C233" s="2"/>
      <c r="D233" s="2" t="s">
        <v>282</v>
      </c>
      <c r="E233" s="289">
        <v>0</v>
      </c>
      <c r="F233" s="2" t="s">
        <v>283</v>
      </c>
      <c r="G233" s="2"/>
      <c r="H233" s="2"/>
      <c r="I233" s="2"/>
      <c r="J233" s="2"/>
      <c r="K233" s="2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0"/>
      <c r="AK233" s="220"/>
      <c r="AL233" s="220"/>
      <c r="AM233" s="220"/>
      <c r="AN233" s="220"/>
    </row>
    <row r="234" spans="1:40">
      <c r="A234" s="9"/>
      <c r="B234" s="2"/>
      <c r="C234" s="2"/>
      <c r="D234" s="2" t="s">
        <v>284</v>
      </c>
      <c r="E234" s="289">
        <v>0</v>
      </c>
      <c r="F234" s="2" t="s">
        <v>285</v>
      </c>
      <c r="G234" s="2"/>
      <c r="H234" s="2"/>
      <c r="I234" s="2"/>
      <c r="J234" s="2"/>
      <c r="K234" s="2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220"/>
      <c r="AM234" s="220"/>
      <c r="AN234" s="220"/>
    </row>
    <row r="235" spans="1:40">
      <c r="A235" s="290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91" t="s">
        <v>267</v>
      </c>
      <c r="C237" s="96" t="s">
        <v>43</v>
      </c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P77"/>
  <sheetViews>
    <sheetView topLeftCell="A13" zoomScaleNormal="100" zoomScalePageLayoutView="81" workbookViewId="0">
      <selection activeCell="H30" sqref="H30"/>
    </sheetView>
  </sheetViews>
  <sheetFormatPr defaultRowHeight="12.75"/>
  <cols>
    <col min="1" max="1" width="3.77734375" style="32" customWidth="1"/>
    <col min="2" max="2" width="2.5546875" style="32" customWidth="1"/>
    <col min="3" max="3" width="3" style="32" customWidth="1"/>
    <col min="4" max="4" width="2.44140625" style="32" customWidth="1"/>
    <col min="5" max="6" width="8.88671875" style="32"/>
    <col min="7" max="7" width="1.77734375" style="32" customWidth="1"/>
    <col min="8" max="11" width="8.88671875" style="32"/>
    <col min="12" max="12" width="15" style="32" customWidth="1"/>
    <col min="13" max="13" width="11.88671875" style="32" customWidth="1"/>
    <col min="14" max="14" width="10.33203125" style="32" customWidth="1"/>
    <col min="15" max="15" width="9.88671875" style="32" bestFit="1" customWidth="1"/>
    <col min="16" max="16384" width="8.88671875" style="32"/>
  </cols>
  <sheetData>
    <row r="3" spans="1:16" ht="15.75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418</v>
      </c>
      <c r="O3" s="207">
        <f>+'True-Up'!J1</f>
        <v>43616</v>
      </c>
      <c r="P3" s="48"/>
    </row>
    <row r="4" spans="1:16">
      <c r="L4" s="82"/>
      <c r="M4" s="82"/>
      <c r="N4" s="82" t="s">
        <v>166</v>
      </c>
      <c r="O4" s="208">
        <f>+'True-Up'!J2</f>
        <v>2018</v>
      </c>
    </row>
    <row r="5" spans="1:16" ht="15.75">
      <c r="A5" s="297" t="s">
        <v>432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6">
      <c r="A6" s="162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63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425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426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427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428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429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430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1344155.9110911787</v>
      </c>
      <c r="N52" s="71">
        <f>+'BHP Sch. 1'!D22</f>
        <v>-252540</v>
      </c>
      <c r="O52" s="209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210"/>
      <c r="L53" s="60"/>
      <c r="M53" s="211">
        <f>ROUND((1+$K$77)^18,2)</f>
        <v>1.07</v>
      </c>
      <c r="N53" s="211">
        <f>ROUND((1+$K$77)^18,2)</f>
        <v>1.07</v>
      </c>
      <c r="O53" s="209"/>
    </row>
    <row r="54" spans="1:15">
      <c r="A54" s="56">
        <f t="shared" si="0"/>
        <v>47</v>
      </c>
      <c r="C54" s="32" t="s">
        <v>260</v>
      </c>
      <c r="D54" s="60" t="s">
        <v>431</v>
      </c>
      <c r="E54" s="60"/>
      <c r="F54" s="60"/>
      <c r="G54" s="60"/>
      <c r="H54" s="60"/>
      <c r="I54" s="60"/>
      <c r="J54" s="60"/>
      <c r="K54" s="210"/>
      <c r="L54" s="60"/>
      <c r="M54" s="212">
        <f>+M52*M53</f>
        <v>1438246.8248675612</v>
      </c>
      <c r="N54" s="212">
        <f>+N52*N53</f>
        <v>-270217.8</v>
      </c>
      <c r="O54" s="209"/>
    </row>
    <row r="55" spans="1:15">
      <c r="A55" s="56">
        <f t="shared" si="0"/>
        <v>48</v>
      </c>
      <c r="K55" s="213"/>
      <c r="O55" s="213"/>
    </row>
    <row r="56" spans="1:15">
      <c r="A56" s="56">
        <f t="shared" si="0"/>
        <v>49</v>
      </c>
      <c r="E56" s="32" t="s">
        <v>154</v>
      </c>
      <c r="F56" s="32" t="s">
        <v>176</v>
      </c>
      <c r="K56" s="213"/>
      <c r="M56" s="63"/>
      <c r="O56" s="213"/>
    </row>
    <row r="57" spans="1:15">
      <c r="A57" s="56">
        <f t="shared" si="0"/>
        <v>50</v>
      </c>
      <c r="K57" s="213"/>
      <c r="N57" s="213"/>
      <c r="O57" s="213"/>
    </row>
    <row r="58" spans="1:15">
      <c r="A58" s="56">
        <f t="shared" si="0"/>
        <v>51</v>
      </c>
      <c r="D58" s="213" t="s">
        <v>177</v>
      </c>
      <c r="E58" s="213"/>
      <c r="F58" s="213"/>
      <c r="G58" s="213"/>
      <c r="H58" s="213"/>
      <c r="I58" s="213"/>
      <c r="J58" s="213"/>
      <c r="K58" s="213"/>
    </row>
    <row r="59" spans="1:15">
      <c r="A59" s="56">
        <f t="shared" si="0"/>
        <v>52</v>
      </c>
      <c r="D59" s="213"/>
      <c r="E59" s="213"/>
      <c r="F59" s="213"/>
      <c r="G59" s="213"/>
      <c r="H59" s="213"/>
      <c r="I59" s="213"/>
      <c r="J59" s="213"/>
      <c r="K59" s="35" t="s">
        <v>11</v>
      </c>
    </row>
    <row r="60" spans="1:15">
      <c r="A60" s="56">
        <f t="shared" si="0"/>
        <v>53</v>
      </c>
      <c r="D60" s="213"/>
      <c r="E60" s="214" t="s">
        <v>187</v>
      </c>
      <c r="F60" s="35"/>
      <c r="G60" s="35"/>
      <c r="H60" s="214" t="s">
        <v>188</v>
      </c>
      <c r="I60" s="215"/>
      <c r="J60" s="213"/>
      <c r="K60" s="214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16">
        <v>3.5999999999999999E-3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16">
        <v>3.3E-3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16">
        <v>3.5999999999999999E-3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16">
        <v>3.7000000000000002E-3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16">
        <v>3.8E-3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16">
        <v>3.7000000000000002E-3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16">
        <v>4.0000000000000001E-3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16">
        <v>4.0000000000000001E-3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16">
        <v>3.8999999999999998E-3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16">
        <v>4.1999999999999997E-3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16">
        <v>4.1000000000000003E-3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16">
        <v>4.1999999999999997E-3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16">
        <v>4.4000000000000003E-3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16">
        <v>4.0000000000000001E-3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16">
        <v>4.4000000000000003E-3</v>
      </c>
    </row>
    <row r="76" spans="1:11">
      <c r="A76" s="56">
        <f>A75+1</f>
        <v>69</v>
      </c>
      <c r="E76" s="32" t="s">
        <v>190</v>
      </c>
      <c r="H76" s="32" t="s">
        <v>186</v>
      </c>
      <c r="K76" s="216">
        <v>4.4999999999999997E-3</v>
      </c>
    </row>
    <row r="77" spans="1:11">
      <c r="A77" s="56">
        <f>A76+1</f>
        <v>70</v>
      </c>
      <c r="F77" s="32" t="s">
        <v>184</v>
      </c>
      <c r="K77" s="217">
        <f>ROUND(AVERAGE(K61:K76),6)</f>
        <v>3.9630000000000004E-3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H34"/>
  <sheetViews>
    <sheetView zoomScaleNormal="100" workbookViewId="0">
      <selection activeCell="H30" sqref="H30"/>
    </sheetView>
  </sheetViews>
  <sheetFormatPr defaultColWidth="7.109375" defaultRowHeight="12.75"/>
  <cols>
    <col min="1" max="1" width="10.21875" style="5" customWidth="1"/>
    <col min="2" max="2" width="3.5546875" style="5" customWidth="1"/>
    <col min="3" max="4" width="1.77734375" style="5" customWidth="1"/>
    <col min="5" max="5" width="4" style="5" customWidth="1"/>
    <col min="6" max="6" width="24.21875" style="5" customWidth="1"/>
    <col min="7" max="7" width="1.88671875" style="5" customWidth="1"/>
    <col min="8" max="8" width="8.21875" style="198" customWidth="1"/>
    <col min="9" max="9" width="8.21875" style="5" customWidth="1"/>
    <col min="10" max="16384" width="7.109375" style="5"/>
  </cols>
  <sheetData>
    <row r="3" spans="1:8">
      <c r="F3" s="34"/>
    </row>
    <row r="4" spans="1:8">
      <c r="A4" s="298" t="s">
        <v>433</v>
      </c>
      <c r="B4" s="298"/>
      <c r="C4" s="298"/>
      <c r="D4" s="298"/>
      <c r="E4" s="298"/>
      <c r="F4" s="298"/>
      <c r="G4" s="298"/>
      <c r="H4" s="298"/>
    </row>
    <row r="5" spans="1:8">
      <c r="B5" s="199" t="s">
        <v>196</v>
      </c>
      <c r="H5" s="200" t="s">
        <v>417</v>
      </c>
    </row>
    <row r="6" spans="1:8">
      <c r="B6" s="201" t="s">
        <v>197</v>
      </c>
      <c r="D6" s="202" t="s">
        <v>342</v>
      </c>
      <c r="E6" s="202"/>
      <c r="F6" s="202"/>
      <c r="H6" s="203" t="s">
        <v>172</v>
      </c>
    </row>
    <row r="7" spans="1:8">
      <c r="B7" s="81">
        <v>1</v>
      </c>
    </row>
    <row r="8" spans="1:8">
      <c r="B8" s="81">
        <v>2</v>
      </c>
      <c r="D8" s="204" t="s">
        <v>111</v>
      </c>
      <c r="E8" s="204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204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205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416</v>
      </c>
      <c r="E33" s="206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R65"/>
  <sheetViews>
    <sheetView zoomScale="80" zoomScaleNormal="80" zoomScaleSheetLayoutView="85" workbookViewId="0">
      <selection activeCell="AD24" sqref="AD24"/>
    </sheetView>
  </sheetViews>
  <sheetFormatPr defaultRowHeight="15"/>
  <cols>
    <col min="1" max="1" width="6" style="76" customWidth="1"/>
    <col min="2" max="2" width="1.44140625" style="76" customWidth="1"/>
    <col min="3" max="3" width="36" style="76" customWidth="1"/>
    <col min="4" max="4" width="24.44140625" style="76" bestFit="1" customWidth="1"/>
    <col min="5" max="5" width="15.21875" style="76" customWidth="1"/>
    <col min="6" max="12" width="15.88671875" style="76" customWidth="1"/>
    <col min="13" max="13" width="14.33203125" style="76" bestFit="1" customWidth="1"/>
    <col min="14" max="15" width="15.88671875" style="76" customWidth="1"/>
    <col min="16" max="17" width="19.6640625" style="76" bestFit="1" customWidth="1"/>
    <col min="18" max="18" width="17.77734375" style="76" bestFit="1" customWidth="1"/>
    <col min="19" max="19" width="8.88671875" style="76"/>
    <col min="20" max="20" width="50.44140625" style="76" bestFit="1" customWidth="1"/>
    <col min="21" max="21" width="25.6640625" style="76" bestFit="1" customWidth="1"/>
    <col min="22" max="33" width="15.5546875" style="76" bestFit="1" customWidth="1"/>
    <col min="34" max="45" width="12" style="76" bestFit="1" customWidth="1"/>
    <col min="46" max="16384" width="8.88671875" style="76"/>
  </cols>
  <sheetData>
    <row r="2" spans="1:70" ht="15.75">
      <c r="A2" s="3"/>
      <c r="B2" s="3"/>
      <c r="C2" s="3"/>
      <c r="D2" s="48"/>
      <c r="E2" s="3"/>
      <c r="F2" s="3"/>
      <c r="G2" s="3"/>
      <c r="H2" s="3"/>
      <c r="I2" s="183" t="str">
        <f>'CU AC Rate Design - True-Up'!H1</f>
        <v>Date: May 31, 2019</v>
      </c>
      <c r="J2" s="3"/>
      <c r="K2" s="3"/>
      <c r="L2" s="3"/>
      <c r="O2" s="75"/>
      <c r="R2" s="184" t="str">
        <f>I2</f>
        <v>Date: May 31, 2019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</row>
    <row r="3" spans="1:7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</row>
    <row r="4" spans="1:70" ht="15" customHeight="1">
      <c r="A4" s="293" t="s">
        <v>321</v>
      </c>
      <c r="B4" s="293"/>
      <c r="C4" s="293"/>
      <c r="D4" s="293"/>
      <c r="E4" s="293"/>
      <c r="F4" s="293"/>
      <c r="G4" s="293"/>
      <c r="H4" s="293"/>
      <c r="I4" s="293"/>
      <c r="J4" s="293" t="s">
        <v>321</v>
      </c>
      <c r="K4" s="293"/>
      <c r="L4" s="293"/>
      <c r="M4" s="293"/>
      <c r="N4" s="293"/>
      <c r="O4" s="293"/>
      <c r="P4" s="293"/>
      <c r="Q4" s="293"/>
      <c r="R4" s="2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</row>
    <row r="5" spans="1:70" ht="15.75">
      <c r="A5" s="294" t="s">
        <v>195</v>
      </c>
      <c r="B5" s="294"/>
      <c r="C5" s="294"/>
      <c r="D5" s="294"/>
      <c r="E5" s="294"/>
      <c r="F5" s="294"/>
      <c r="G5" s="294"/>
      <c r="H5" s="294"/>
      <c r="I5" s="294"/>
      <c r="J5" s="294" t="s">
        <v>195</v>
      </c>
      <c r="K5" s="294"/>
      <c r="L5" s="294"/>
      <c r="M5" s="294"/>
      <c r="N5" s="294"/>
      <c r="O5" s="294"/>
      <c r="P5" s="294"/>
      <c r="Q5" s="294"/>
      <c r="R5" s="294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</row>
    <row r="6" spans="1:70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</row>
    <row r="7" spans="1:70" ht="15" customHeight="1">
      <c r="A7" s="295" t="s">
        <v>320</v>
      </c>
      <c r="B7" s="295"/>
      <c r="C7" s="295"/>
      <c r="D7" s="295"/>
      <c r="E7" s="295"/>
      <c r="F7" s="295"/>
      <c r="G7" s="295"/>
      <c r="H7" s="295"/>
      <c r="I7" s="295"/>
      <c r="J7" s="295" t="s">
        <v>320</v>
      </c>
      <c r="K7" s="295"/>
      <c r="L7" s="295"/>
      <c r="M7" s="295"/>
      <c r="N7" s="295"/>
      <c r="O7" s="295"/>
      <c r="P7" s="295"/>
      <c r="Q7" s="295"/>
      <c r="R7" s="295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</row>
    <row r="8" spans="1:70">
      <c r="A8" s="9"/>
      <c r="B8" s="3"/>
      <c r="C8" s="75"/>
      <c r="D8" s="75"/>
      <c r="E8" s="187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</row>
    <row r="9" spans="1:70">
      <c r="A9" s="3"/>
      <c r="B9" s="3"/>
      <c r="C9" s="188"/>
      <c r="D9" s="188"/>
      <c r="E9" s="188"/>
      <c r="F9" s="1"/>
      <c r="G9" s="1"/>
      <c r="H9" s="1"/>
      <c r="I9" s="1"/>
      <c r="J9" s="1"/>
      <c r="K9" s="1"/>
      <c r="L9" s="188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</row>
    <row r="10" spans="1:70" ht="15.75">
      <c r="A10" s="3"/>
      <c r="B10" s="3"/>
      <c r="C10" s="97"/>
      <c r="D10" s="186" t="s">
        <v>206</v>
      </c>
      <c r="E10" s="1"/>
      <c r="F10" s="1"/>
      <c r="G10" s="1"/>
      <c r="H10" s="1"/>
      <c r="I10" s="1"/>
      <c r="J10" s="1"/>
      <c r="K10" s="1"/>
      <c r="L10" s="188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</row>
    <row r="11" spans="1:70" ht="15.75">
      <c r="A11" s="9" t="s">
        <v>196</v>
      </c>
      <c r="B11" s="3"/>
      <c r="C11" s="97"/>
      <c r="D11" s="189" t="s">
        <v>208</v>
      </c>
      <c r="E11" s="185" t="s">
        <v>209</v>
      </c>
      <c r="F11" s="190"/>
      <c r="G11" s="190"/>
      <c r="H11" s="190"/>
      <c r="I11" s="190"/>
      <c r="J11" s="190"/>
      <c r="K11" s="190"/>
      <c r="L11" s="188"/>
      <c r="O11" s="93"/>
      <c r="P11" s="93"/>
      <c r="Q11" s="191"/>
      <c r="R11" s="93"/>
      <c r="S11" s="93"/>
      <c r="T11" s="93"/>
      <c r="U11" s="93"/>
      <c r="V11" s="300"/>
      <c r="W11" s="300"/>
      <c r="X11" s="300"/>
      <c r="Y11" s="300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</row>
    <row r="12" spans="1:70" ht="16.5" thickBot="1">
      <c r="A12" s="192" t="s">
        <v>197</v>
      </c>
      <c r="B12" s="3"/>
      <c r="C12" s="193" t="s">
        <v>211</v>
      </c>
      <c r="D12" s="1"/>
      <c r="E12" s="194" t="s">
        <v>26</v>
      </c>
      <c r="F12" s="194" t="s">
        <v>27</v>
      </c>
      <c r="G12" s="194" t="s">
        <v>28</v>
      </c>
      <c r="H12" s="194" t="s">
        <v>29</v>
      </c>
      <c r="I12" s="194" t="s">
        <v>30</v>
      </c>
      <c r="J12" s="194" t="s">
        <v>31</v>
      </c>
      <c r="K12" s="194" t="s">
        <v>32</v>
      </c>
      <c r="L12" s="194" t="s">
        <v>33</v>
      </c>
      <c r="M12" s="194" t="s">
        <v>145</v>
      </c>
      <c r="N12" s="194" t="s">
        <v>34</v>
      </c>
      <c r="O12" s="194" t="s">
        <v>35</v>
      </c>
      <c r="P12" s="194" t="s">
        <v>36</v>
      </c>
      <c r="Q12" s="194" t="s">
        <v>37</v>
      </c>
      <c r="R12" s="194" t="s">
        <v>38</v>
      </c>
      <c r="S12" s="93"/>
      <c r="T12" s="93"/>
      <c r="U12" s="93"/>
      <c r="V12" s="299"/>
      <c r="W12" s="299"/>
      <c r="X12" s="299"/>
      <c r="Y12" s="299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70">
      <c r="A13" s="9"/>
      <c r="B13" s="3"/>
      <c r="C13" s="97"/>
      <c r="D13" s="1"/>
      <c r="E13" s="74">
        <v>43070</v>
      </c>
      <c r="F13" s="74">
        <v>43101</v>
      </c>
      <c r="G13" s="74">
        <v>43132</v>
      </c>
      <c r="H13" s="74">
        <v>43160</v>
      </c>
      <c r="I13" s="74">
        <v>43191</v>
      </c>
      <c r="J13" s="74">
        <v>43221</v>
      </c>
      <c r="K13" s="74">
        <v>43252</v>
      </c>
      <c r="L13" s="74">
        <v>43282</v>
      </c>
      <c r="M13" s="74">
        <v>43313</v>
      </c>
      <c r="N13" s="74">
        <v>43344</v>
      </c>
      <c r="O13" s="74">
        <v>43374</v>
      </c>
      <c r="P13" s="74">
        <v>43405</v>
      </c>
      <c r="Q13" s="74">
        <v>43435</v>
      </c>
      <c r="R13" s="19" t="s">
        <v>25</v>
      </c>
      <c r="S13" s="93"/>
      <c r="T13" s="93"/>
      <c r="U13" s="93"/>
      <c r="W13" s="195"/>
      <c r="Y13" s="195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70">
      <c r="A14" s="9"/>
      <c r="B14" s="3"/>
      <c r="C14" s="97" t="s">
        <v>41</v>
      </c>
      <c r="D14" s="1" t="s">
        <v>412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1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</row>
    <row r="15" spans="1:70">
      <c r="A15" s="9">
        <v>1</v>
      </c>
      <c r="B15" s="3"/>
      <c r="C15" s="97" t="s">
        <v>213</v>
      </c>
      <c r="D15" s="1" t="s">
        <v>73</v>
      </c>
      <c r="E15" s="19">
        <v>590861691.45999992</v>
      </c>
      <c r="F15" s="19">
        <v>590019815.55999994</v>
      </c>
      <c r="G15" s="19">
        <v>589543322.11999977</v>
      </c>
      <c r="H15" s="19">
        <v>588515864.55999994</v>
      </c>
      <c r="I15" s="19">
        <v>588572330.98999989</v>
      </c>
      <c r="J15" s="19">
        <v>588628672.4799999</v>
      </c>
      <c r="K15" s="19">
        <v>588579650.86999989</v>
      </c>
      <c r="L15" s="19">
        <v>588551287.80000007</v>
      </c>
      <c r="M15" s="19">
        <v>588855745.14999998</v>
      </c>
      <c r="N15" s="19">
        <v>589467357.98999989</v>
      </c>
      <c r="O15" s="19">
        <v>590098276.30999994</v>
      </c>
      <c r="P15" s="19">
        <v>590178275.27999997</v>
      </c>
      <c r="Q15" s="19">
        <v>592246801.63999999</v>
      </c>
      <c r="R15" s="19">
        <f t="shared" ref="R15:R21" si="0">AVERAGE(E15:Q15)</f>
        <v>589547622.47769225</v>
      </c>
      <c r="S15" s="1"/>
      <c r="U15" s="19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</row>
    <row r="16" spans="1:70">
      <c r="A16" s="9">
        <f t="shared" ref="A16:A65" si="1">+A15+1</f>
        <v>2</v>
      </c>
      <c r="B16" s="3"/>
      <c r="C16" s="97" t="s">
        <v>215</v>
      </c>
      <c r="D16" s="1" t="s">
        <v>120</v>
      </c>
      <c r="E16" s="19">
        <v>184727231.40999997</v>
      </c>
      <c r="F16" s="19">
        <v>185137078.32999998</v>
      </c>
      <c r="G16" s="19">
        <v>185151722.07999998</v>
      </c>
      <c r="H16" s="19">
        <v>185357707.90000001</v>
      </c>
      <c r="I16" s="19">
        <v>185232380.15000004</v>
      </c>
      <c r="J16" s="19">
        <v>185242163.49000001</v>
      </c>
      <c r="K16" s="19">
        <v>185274552.94999999</v>
      </c>
      <c r="L16" s="19">
        <v>198405948.00999999</v>
      </c>
      <c r="M16" s="19">
        <v>198359982.47000003</v>
      </c>
      <c r="N16" s="19">
        <v>198565872.95000002</v>
      </c>
      <c r="O16" s="19">
        <v>198482563.38000005</v>
      </c>
      <c r="P16" s="19">
        <v>207960577.84999999</v>
      </c>
      <c r="Q16" s="19">
        <v>208155661.73000002</v>
      </c>
      <c r="R16" s="19">
        <f t="shared" si="0"/>
        <v>192773341.74615386</v>
      </c>
      <c r="S16" s="1"/>
      <c r="U16" s="19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</row>
    <row r="17" spans="1:70">
      <c r="A17" s="9">
        <f t="shared" si="1"/>
        <v>3</v>
      </c>
      <c r="B17" s="3"/>
      <c r="C17" s="97" t="s">
        <v>216</v>
      </c>
      <c r="D17" s="1" t="s">
        <v>121</v>
      </c>
      <c r="E17" s="19">
        <v>376277441.11000001</v>
      </c>
      <c r="F17" s="19">
        <v>376661124.24000013</v>
      </c>
      <c r="G17" s="19">
        <v>377590898.83000016</v>
      </c>
      <c r="H17" s="19">
        <v>379087010.51000005</v>
      </c>
      <c r="I17" s="19">
        <v>379810806.70000011</v>
      </c>
      <c r="J17" s="19">
        <v>380310306.8300001</v>
      </c>
      <c r="K17" s="19">
        <v>382595006.60999984</v>
      </c>
      <c r="L17" s="19">
        <v>383397121.93000001</v>
      </c>
      <c r="M17" s="19">
        <v>385866658.5000003</v>
      </c>
      <c r="N17" s="19">
        <v>388538630.20000017</v>
      </c>
      <c r="O17" s="19">
        <v>390374637.11000025</v>
      </c>
      <c r="P17" s="19">
        <v>393636018.78000003</v>
      </c>
      <c r="Q17" s="19">
        <v>394674920.72999978</v>
      </c>
      <c r="R17" s="19">
        <f t="shared" si="0"/>
        <v>383755429.39076924</v>
      </c>
      <c r="S17" s="1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</row>
    <row r="18" spans="1:70">
      <c r="A18" s="9">
        <f t="shared" si="1"/>
        <v>4</v>
      </c>
      <c r="B18" s="3"/>
      <c r="C18" s="97" t="s">
        <v>217</v>
      </c>
      <c r="D18" s="1" t="s">
        <v>407</v>
      </c>
      <c r="E18" s="19">
        <v>44141667.160000026</v>
      </c>
      <c r="F18" s="19">
        <v>38334423.270000011</v>
      </c>
      <c r="G18" s="19">
        <v>38343453.420000039</v>
      </c>
      <c r="H18" s="19">
        <v>38305502.739999987</v>
      </c>
      <c r="I18" s="19">
        <v>38369248.199999996</v>
      </c>
      <c r="J18" s="19">
        <v>38443631.540000014</v>
      </c>
      <c r="K18" s="19">
        <v>38227754.190000005</v>
      </c>
      <c r="L18" s="19">
        <v>38229525.100000016</v>
      </c>
      <c r="M18" s="19">
        <v>38747518.160000004</v>
      </c>
      <c r="N18" s="19">
        <v>39086304.51000002</v>
      </c>
      <c r="O18" s="19">
        <v>39389883.249999985</v>
      </c>
      <c r="P18" s="19">
        <v>40037523.990000002</v>
      </c>
      <c r="Q18" s="19">
        <v>42832155.160000019</v>
      </c>
      <c r="R18" s="19">
        <f t="shared" si="0"/>
        <v>39422199.28384617</v>
      </c>
      <c r="S18" s="1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</row>
    <row r="19" spans="1:70">
      <c r="A19" s="9">
        <f t="shared" si="1"/>
        <v>5</v>
      </c>
      <c r="B19" s="3"/>
      <c r="C19" s="97" t="s">
        <v>137</v>
      </c>
      <c r="D19" s="1" t="s">
        <v>443</v>
      </c>
      <c r="E19" s="19">
        <v>31425945.649999999</v>
      </c>
      <c r="F19" s="19">
        <v>31329479</v>
      </c>
      <c r="G19" s="19">
        <v>31406728</v>
      </c>
      <c r="H19" s="19">
        <v>31799533</v>
      </c>
      <c r="I19" s="19">
        <v>31389632</v>
      </c>
      <c r="J19" s="19">
        <v>31688252</v>
      </c>
      <c r="K19" s="19">
        <v>31444702</v>
      </c>
      <c r="L19" s="19">
        <v>32305730</v>
      </c>
      <c r="M19" s="19">
        <v>30860716</v>
      </c>
      <c r="N19" s="19">
        <v>29757288</v>
      </c>
      <c r="O19" s="19">
        <v>28288531</v>
      </c>
      <c r="P19" s="19">
        <v>28223976</v>
      </c>
      <c r="Q19" s="19">
        <v>29321754</v>
      </c>
      <c r="R19" s="19">
        <f>AVERAGE(E19:Q19)</f>
        <v>30710943.588461537</v>
      </c>
      <c r="S19" s="1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</row>
    <row r="20" spans="1:70">
      <c r="A20" s="9">
        <f t="shared" si="1"/>
        <v>6</v>
      </c>
      <c r="B20" s="3"/>
      <c r="C20" s="97" t="s">
        <v>102</v>
      </c>
      <c r="D20" s="1" t="s">
        <v>101</v>
      </c>
      <c r="E20" s="19">
        <v>7058966.879999999</v>
      </c>
      <c r="F20" s="19">
        <v>7616453.8299999991</v>
      </c>
      <c r="G20" s="19">
        <v>7618591.8999999994</v>
      </c>
      <c r="H20" s="19">
        <v>7617838.8499999996</v>
      </c>
      <c r="I20" s="19">
        <v>7618083.959999999</v>
      </c>
      <c r="J20" s="19">
        <v>7620555.5399999991</v>
      </c>
      <c r="K20" s="19">
        <v>7610687.8699999992</v>
      </c>
      <c r="L20" s="19">
        <v>7880432.4799999995</v>
      </c>
      <c r="M20" s="19">
        <v>7878232.2899999991</v>
      </c>
      <c r="N20" s="19">
        <v>7877890.7999999989</v>
      </c>
      <c r="O20" s="19">
        <v>7877890.7999999989</v>
      </c>
      <c r="P20" s="19">
        <v>7921110.1200000001</v>
      </c>
      <c r="Q20" s="19">
        <v>7921110.1200000001</v>
      </c>
      <c r="R20" s="19">
        <f t="shared" si="0"/>
        <v>7701372.7261538459</v>
      </c>
      <c r="S20" s="1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</row>
    <row r="21" spans="1:70">
      <c r="A21" s="9">
        <f t="shared" si="1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0"/>
        <v>0</v>
      </c>
      <c r="S21" s="1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</row>
    <row r="22" spans="1:70">
      <c r="A22" s="9">
        <f t="shared" si="1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1234492943.6700003</v>
      </c>
      <c r="F22" s="49">
        <f>SUM(F15:F21)</f>
        <v>1229098374.23</v>
      </c>
      <c r="G22" s="49">
        <f t="shared" ref="G22:R22" si="2">SUM(G15:G21)</f>
        <v>1229654716.3500001</v>
      </c>
      <c r="H22" s="49">
        <f t="shared" si="2"/>
        <v>1230683457.5599999</v>
      </c>
      <c r="I22" s="49">
        <f t="shared" si="2"/>
        <v>1230992482</v>
      </c>
      <c r="J22" s="49">
        <f t="shared" si="2"/>
        <v>1231933581.8799999</v>
      </c>
      <c r="K22" s="49">
        <f t="shared" si="2"/>
        <v>1233732354.4899998</v>
      </c>
      <c r="L22" s="49">
        <f t="shared" si="2"/>
        <v>1248770045.3199999</v>
      </c>
      <c r="M22" s="49">
        <f t="shared" si="2"/>
        <v>1250568852.5700004</v>
      </c>
      <c r="N22" s="49">
        <f t="shared" si="2"/>
        <v>1253293344.45</v>
      </c>
      <c r="O22" s="49">
        <f t="shared" si="2"/>
        <v>1254511781.8500001</v>
      </c>
      <c r="P22" s="49">
        <f t="shared" si="2"/>
        <v>1267957482.02</v>
      </c>
      <c r="Q22" s="49">
        <f t="shared" si="2"/>
        <v>1275152403.3799999</v>
      </c>
      <c r="R22" s="49">
        <f t="shared" si="2"/>
        <v>1243910909.2130771</v>
      </c>
      <c r="S22" s="1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</row>
    <row r="23" spans="1:70">
      <c r="A23" s="9">
        <f t="shared" si="1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</row>
    <row r="24" spans="1:70">
      <c r="A24" s="9">
        <f t="shared" si="1"/>
        <v>10</v>
      </c>
      <c r="B24" s="3"/>
      <c r="C24" s="97" t="s">
        <v>42</v>
      </c>
      <c r="D24" s="1" t="s">
        <v>412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</row>
    <row r="25" spans="1:70">
      <c r="A25" s="9">
        <f t="shared" si="1"/>
        <v>11</v>
      </c>
      <c r="B25" s="3"/>
      <c r="C25" s="97" t="str">
        <f>+C15</f>
        <v xml:space="preserve">  Production</v>
      </c>
      <c r="D25" s="1" t="s">
        <v>408</v>
      </c>
      <c r="E25" s="19">
        <v>190308275.37585765</v>
      </c>
      <c r="F25" s="19">
        <v>190956047.51105112</v>
      </c>
      <c r="G25" s="19">
        <v>191867819.68860266</v>
      </c>
      <c r="H25" s="19">
        <v>192316204.64247727</v>
      </c>
      <c r="I25" s="19">
        <v>192701907.6477952</v>
      </c>
      <c r="J25" s="19">
        <v>193150582.68840253</v>
      </c>
      <c r="K25" s="19">
        <v>194493325.5108605</v>
      </c>
      <c r="L25" s="19">
        <v>195860311.0600377</v>
      </c>
      <c r="M25" s="19">
        <v>197196019.29319263</v>
      </c>
      <c r="N25" s="19">
        <v>198354506.7238239</v>
      </c>
      <c r="O25" s="19">
        <v>199680669.64534965</v>
      </c>
      <c r="P25" s="19">
        <v>200923046.72423679</v>
      </c>
      <c r="Q25" s="19">
        <v>202286781.35704654</v>
      </c>
      <c r="R25" s="19">
        <f t="shared" ref="R25:R31" si="3">AVERAGE(E25:Q25)</f>
        <v>195391961.37451798</v>
      </c>
      <c r="S25" s="1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</row>
    <row r="26" spans="1:70">
      <c r="A26" s="9">
        <f t="shared" si="1"/>
        <v>12</v>
      </c>
      <c r="B26" s="3"/>
      <c r="C26" s="97" t="s">
        <v>215</v>
      </c>
      <c r="D26" s="1" t="s">
        <v>122</v>
      </c>
      <c r="E26" s="19">
        <v>43694318</v>
      </c>
      <c r="F26" s="19">
        <v>44021316.903654873</v>
      </c>
      <c r="G26" s="19">
        <v>44335698.609153129</v>
      </c>
      <c r="H26" s="19">
        <v>44643097.991596259</v>
      </c>
      <c r="I26" s="19">
        <v>45028669.460721269</v>
      </c>
      <c r="J26" s="19">
        <v>45367420.754334979</v>
      </c>
      <c r="K26" s="19">
        <v>45708803.092400201</v>
      </c>
      <c r="L26" s="19">
        <v>46005470.176557012</v>
      </c>
      <c r="M26" s="19">
        <v>46219361.537181139</v>
      </c>
      <c r="N26" s="19">
        <v>46590991.852520026</v>
      </c>
      <c r="O26" s="19">
        <v>46949892.025496669</v>
      </c>
      <c r="P26" s="19">
        <v>47342714.562738881</v>
      </c>
      <c r="Q26" s="19">
        <v>47705701.420000002</v>
      </c>
      <c r="R26" s="19">
        <f t="shared" si="3"/>
        <v>45662573.568181105</v>
      </c>
      <c r="S26" s="1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</row>
    <row r="27" spans="1:70">
      <c r="A27" s="9">
        <f t="shared" si="1"/>
        <v>13</v>
      </c>
      <c r="B27" s="3"/>
      <c r="C27" s="97" t="s">
        <v>216</v>
      </c>
      <c r="D27" s="1" t="s">
        <v>123</v>
      </c>
      <c r="E27" s="19">
        <v>133804900</v>
      </c>
      <c r="F27" s="19">
        <v>134473807.40301153</v>
      </c>
      <c r="G27" s="19">
        <v>135160208.94387707</v>
      </c>
      <c r="H27" s="19">
        <v>135804396.77811816</v>
      </c>
      <c r="I27" s="19">
        <v>136739982.74018726</v>
      </c>
      <c r="J27" s="19">
        <v>137422230.98519814</v>
      </c>
      <c r="K27" s="19">
        <v>138028866.91409019</v>
      </c>
      <c r="L27" s="19">
        <v>138584827.42038071</v>
      </c>
      <c r="M27" s="19">
        <v>139319337.40327412</v>
      </c>
      <c r="N27" s="19">
        <v>140073478.55382833</v>
      </c>
      <c r="O27" s="19">
        <v>140792918.62416914</v>
      </c>
      <c r="P27" s="19">
        <v>141254359.88081011</v>
      </c>
      <c r="Q27" s="19">
        <v>141957768.58000001</v>
      </c>
      <c r="R27" s="19">
        <f>AVERAGE(E27:Q27)</f>
        <v>137955160.32514957</v>
      </c>
      <c r="S27" s="1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</row>
    <row r="28" spans="1:70">
      <c r="A28" s="9">
        <f t="shared" si="1"/>
        <v>14</v>
      </c>
      <c r="B28" s="3"/>
      <c r="C28" s="97" t="str">
        <f>+C18</f>
        <v xml:space="preserve">  General &amp; Intangible</v>
      </c>
      <c r="D28" s="1" t="s">
        <v>444</v>
      </c>
      <c r="E28" s="19">
        <v>17944745.93</v>
      </c>
      <c r="F28" s="19">
        <v>17446453.91736982</v>
      </c>
      <c r="G28" s="19">
        <v>17542753.179069623</v>
      </c>
      <c r="H28" s="19">
        <v>17578739.815689102</v>
      </c>
      <c r="I28" s="19">
        <v>17686576.681872834</v>
      </c>
      <c r="J28" s="19">
        <v>17795898.066605091</v>
      </c>
      <c r="K28" s="19">
        <v>17670944.696190093</v>
      </c>
      <c r="L28" s="19">
        <v>17716989.216611594</v>
      </c>
      <c r="M28" s="19">
        <v>17946927.189431105</v>
      </c>
      <c r="N28" s="19">
        <v>17973806.511934586</v>
      </c>
      <c r="O28" s="19">
        <v>18069474.801516704</v>
      </c>
      <c r="P28" s="19">
        <v>18183513.50272388</v>
      </c>
      <c r="Q28" s="19">
        <v>18229100.984651692</v>
      </c>
      <c r="R28" s="19">
        <f>AVERAGE(E28:Q28)</f>
        <v>17829686.499512777</v>
      </c>
      <c r="S28" s="1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</row>
    <row r="29" spans="1:70">
      <c r="A29" s="9">
        <f t="shared" si="1"/>
        <v>15</v>
      </c>
      <c r="B29" s="3"/>
      <c r="C29" s="97" t="s">
        <v>137</v>
      </c>
      <c r="D29" s="1" t="s">
        <v>445</v>
      </c>
      <c r="E29" s="19">
        <v>15571482</v>
      </c>
      <c r="F29" s="19">
        <v>15701938</v>
      </c>
      <c r="G29" s="19">
        <v>15895803</v>
      </c>
      <c r="H29" s="19">
        <v>15924193</v>
      </c>
      <c r="I29" s="19">
        <v>15441747</v>
      </c>
      <c r="J29" s="19">
        <v>15726808</v>
      </c>
      <c r="K29" s="19">
        <v>15844192</v>
      </c>
      <c r="L29" s="19">
        <v>15221600</v>
      </c>
      <c r="M29" s="19">
        <v>15204912</v>
      </c>
      <c r="N29" s="19">
        <v>15090060</v>
      </c>
      <c r="O29" s="19">
        <v>13653278</v>
      </c>
      <c r="P29" s="19">
        <v>13844495</v>
      </c>
      <c r="Q29" s="19">
        <v>13627289</v>
      </c>
      <c r="R29" s="19">
        <f>AVERAGE(E29:Q29)</f>
        <v>15134445.923076924</v>
      </c>
      <c r="S29" s="1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</row>
    <row r="30" spans="1:70">
      <c r="A30" s="9">
        <f t="shared" si="1"/>
        <v>16</v>
      </c>
      <c r="B30" s="3"/>
      <c r="C30" s="97" t="str">
        <f>+C20</f>
        <v xml:space="preserve">  Communication System</v>
      </c>
      <c r="D30" s="1" t="s">
        <v>446</v>
      </c>
      <c r="E30" s="19">
        <v>2450694.38</v>
      </c>
      <c r="F30" s="19">
        <v>2484734.08</v>
      </c>
      <c r="G30" s="19">
        <v>2519939.67</v>
      </c>
      <c r="H30" s="19">
        <v>2555148.14</v>
      </c>
      <c r="I30" s="19">
        <v>2590355.5499999998</v>
      </c>
      <c r="J30" s="19">
        <v>2625568.62</v>
      </c>
      <c r="K30" s="19">
        <v>2650900.9700000002</v>
      </c>
      <c r="L30" s="19">
        <v>2678355.67</v>
      </c>
      <c r="M30" s="19">
        <v>2714706.11</v>
      </c>
      <c r="N30" s="19">
        <v>2751051.02</v>
      </c>
      <c r="O30" s="19">
        <v>2787395.19</v>
      </c>
      <c r="P30" s="19">
        <v>2823829.4000000004</v>
      </c>
      <c r="Q30" s="19">
        <v>2860353.6399999997</v>
      </c>
      <c r="R30" s="19">
        <f t="shared" si="3"/>
        <v>2653310.1876923074</v>
      </c>
      <c r="S30" s="1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</row>
    <row r="31" spans="1:70">
      <c r="A31" s="9">
        <f t="shared" si="1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3"/>
        <v>0</v>
      </c>
      <c r="S31" s="1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</row>
    <row r="32" spans="1:70">
      <c r="A32" s="9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403774415.68585765</v>
      </c>
      <c r="F32" s="49">
        <f t="shared" ref="F32:R32" si="4">SUM(F25:F31)</f>
        <v>405084297.81508738</v>
      </c>
      <c r="G32" s="49">
        <f t="shared" si="4"/>
        <v>407322223.09070247</v>
      </c>
      <c r="H32" s="49">
        <f t="shared" si="4"/>
        <v>408821780.36788076</v>
      </c>
      <c r="I32" s="49">
        <f t="shared" si="4"/>
        <v>410189239.0805766</v>
      </c>
      <c r="J32" s="49">
        <f t="shared" si="4"/>
        <v>412088509.11454076</v>
      </c>
      <c r="K32" s="49">
        <f t="shared" si="4"/>
        <v>414397033.18354106</v>
      </c>
      <c r="L32" s="49">
        <f t="shared" si="4"/>
        <v>416067553.54358703</v>
      </c>
      <c r="M32" s="49">
        <f t="shared" si="4"/>
        <v>418601263.53307903</v>
      </c>
      <c r="N32" s="49">
        <f t="shared" si="4"/>
        <v>420833894.66210681</v>
      </c>
      <c r="O32" s="49">
        <f>SUM(O25:O31)</f>
        <v>421933628.28653216</v>
      </c>
      <c r="P32" s="49">
        <f>SUM(P25:P31)</f>
        <v>424371959.07050961</v>
      </c>
      <c r="Q32" s="49">
        <f>SUM(Q25:Q31)</f>
        <v>426666994.98169827</v>
      </c>
      <c r="R32" s="49">
        <f t="shared" si="4"/>
        <v>414627137.87813061</v>
      </c>
      <c r="S32" s="1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</row>
    <row r="33" spans="1:70">
      <c r="A33" s="9">
        <f t="shared" si="1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</row>
    <row r="34" spans="1:70">
      <c r="A34" s="9">
        <f t="shared" si="1"/>
        <v>20</v>
      </c>
      <c r="B34" s="3"/>
      <c r="C34" s="97" t="s">
        <v>223</v>
      </c>
      <c r="D34" s="1" t="s">
        <v>412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</row>
    <row r="35" spans="1:70">
      <c r="A35" s="9">
        <f t="shared" si="1"/>
        <v>21</v>
      </c>
      <c r="B35" s="3"/>
      <c r="C35" s="97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19">
        <f t="shared" ref="E35:E41" si="6">+E15-E25</f>
        <v>400553416.08414227</v>
      </c>
      <c r="F35" s="19">
        <f t="shared" ref="F35:Q35" si="7">+F15-F25</f>
        <v>399063768.04894882</v>
      </c>
      <c r="G35" s="19">
        <f t="shared" si="7"/>
        <v>397675502.43139708</v>
      </c>
      <c r="H35" s="19">
        <f t="shared" si="7"/>
        <v>396199659.91752267</v>
      </c>
      <c r="I35" s="19">
        <f t="shared" si="7"/>
        <v>395870423.34220469</v>
      </c>
      <c r="J35" s="19">
        <f t="shared" si="7"/>
        <v>395478089.79159737</v>
      </c>
      <c r="K35" s="19">
        <f t="shared" si="7"/>
        <v>394086325.35913938</v>
      </c>
      <c r="L35" s="19">
        <f t="shared" si="7"/>
        <v>392690976.73996234</v>
      </c>
      <c r="M35" s="19">
        <f t="shared" si="7"/>
        <v>391659725.85680735</v>
      </c>
      <c r="N35" s="19">
        <f t="shared" si="7"/>
        <v>391112851.26617599</v>
      </c>
      <c r="O35" s="19">
        <f t="shared" si="7"/>
        <v>390417606.66465032</v>
      </c>
      <c r="P35" s="19">
        <f t="shared" si="7"/>
        <v>389255228.55576319</v>
      </c>
      <c r="Q35" s="19">
        <f t="shared" si="7"/>
        <v>389960020.28295344</v>
      </c>
      <c r="R35" s="19">
        <f>R15-R25</f>
        <v>394155661.10317427</v>
      </c>
      <c r="S35" s="1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</row>
    <row r="36" spans="1:70">
      <c r="A36" s="9">
        <f t="shared" si="1"/>
        <v>22</v>
      </c>
      <c r="B36" s="3"/>
      <c r="C36" s="97" t="s">
        <v>215</v>
      </c>
      <c r="D36" s="1" t="str">
        <f t="shared" si="5"/>
        <v>(line 2 - line 12)</v>
      </c>
      <c r="E36" s="19">
        <f t="shared" si="6"/>
        <v>141032913.40999997</v>
      </c>
      <c r="F36" s="19">
        <f t="shared" ref="F36:Q41" si="8">+F16-F26</f>
        <v>141115761.42634511</v>
      </c>
      <c r="G36" s="19">
        <f t="shared" si="8"/>
        <v>140816023.47084686</v>
      </c>
      <c r="H36" s="19">
        <f t="shared" si="8"/>
        <v>140714609.90840375</v>
      </c>
      <c r="I36" s="19">
        <f t="shared" si="8"/>
        <v>140203710.68927878</v>
      </c>
      <c r="J36" s="19">
        <f t="shared" si="8"/>
        <v>139874742.73566502</v>
      </c>
      <c r="K36" s="19">
        <f t="shared" si="8"/>
        <v>139565749.85759979</v>
      </c>
      <c r="L36" s="19">
        <f t="shared" si="8"/>
        <v>152400477.83344299</v>
      </c>
      <c r="M36" s="19">
        <f t="shared" si="8"/>
        <v>152140620.93281889</v>
      </c>
      <c r="N36" s="19">
        <f t="shared" si="8"/>
        <v>151974881.09748</v>
      </c>
      <c r="O36" s="19">
        <f t="shared" si="8"/>
        <v>151532671.35450339</v>
      </c>
      <c r="P36" s="19">
        <f t="shared" si="8"/>
        <v>160617863.28726113</v>
      </c>
      <c r="Q36" s="19">
        <f t="shared" si="8"/>
        <v>160449960.31</v>
      </c>
      <c r="R36" s="19">
        <f t="shared" ref="R36:R41" si="9">R16-R26</f>
        <v>147110768.17797276</v>
      </c>
      <c r="S36" s="1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</row>
    <row r="37" spans="1:70">
      <c r="A37" s="9">
        <f t="shared" si="1"/>
        <v>23</v>
      </c>
      <c r="B37" s="3"/>
      <c r="C37" s="97" t="s">
        <v>297</v>
      </c>
      <c r="D37" s="1" t="str">
        <f t="shared" si="5"/>
        <v>(line 3 - line 13)</v>
      </c>
      <c r="E37" s="19">
        <f t="shared" si="6"/>
        <v>242472541.11000001</v>
      </c>
      <c r="F37" s="19">
        <f t="shared" si="8"/>
        <v>242187316.8369886</v>
      </c>
      <c r="G37" s="19">
        <f t="shared" si="8"/>
        <v>242430689.88612309</v>
      </c>
      <c r="H37" s="19">
        <f t="shared" si="8"/>
        <v>243282613.73188189</v>
      </c>
      <c r="I37" s="19">
        <f t="shared" si="8"/>
        <v>243070823.95981285</v>
      </c>
      <c r="J37" s="19">
        <f t="shared" si="8"/>
        <v>242888075.84480196</v>
      </c>
      <c r="K37" s="19">
        <f t="shared" si="8"/>
        <v>244566139.69590965</v>
      </c>
      <c r="L37" s="19">
        <f t="shared" si="8"/>
        <v>244812294.5096193</v>
      </c>
      <c r="M37" s="19">
        <f t="shared" si="8"/>
        <v>246547321.09672618</v>
      </c>
      <c r="N37" s="19">
        <f t="shared" si="8"/>
        <v>248465151.64617184</v>
      </c>
      <c r="O37" s="19">
        <f t="shared" si="8"/>
        <v>249581718.48583111</v>
      </c>
      <c r="P37" s="19">
        <f t="shared" si="8"/>
        <v>252381658.89918992</v>
      </c>
      <c r="Q37" s="19">
        <f t="shared" si="8"/>
        <v>252717152.14999977</v>
      </c>
      <c r="R37" s="19">
        <f t="shared" si="9"/>
        <v>245800269.06561968</v>
      </c>
      <c r="S37" s="1"/>
      <c r="T37" s="103"/>
      <c r="U37" s="103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</row>
    <row r="38" spans="1:70">
      <c r="A38" s="9">
        <f t="shared" si="1"/>
        <v>24</v>
      </c>
      <c r="B38" s="3"/>
      <c r="C38" s="97" t="str">
        <f>+C28</f>
        <v xml:space="preserve">  General &amp; Intangible</v>
      </c>
      <c r="D38" s="1" t="str">
        <f t="shared" si="5"/>
        <v>(line 4 - line 14)</v>
      </c>
      <c r="E38" s="19">
        <f t="shared" si="6"/>
        <v>26196921.230000027</v>
      </c>
      <c r="F38" s="19">
        <f t="shared" si="8"/>
        <v>20887969.352630191</v>
      </c>
      <c r="G38" s="19">
        <f t="shared" si="8"/>
        <v>20800700.240930416</v>
      </c>
      <c r="H38" s="19">
        <f t="shared" si="8"/>
        <v>20726762.924310885</v>
      </c>
      <c r="I38" s="19">
        <f t="shared" si="8"/>
        <v>20682671.518127162</v>
      </c>
      <c r="J38" s="19">
        <f t="shared" si="8"/>
        <v>20647733.473394923</v>
      </c>
      <c r="K38" s="19">
        <f t="shared" si="8"/>
        <v>20556809.493809912</v>
      </c>
      <c r="L38" s="19">
        <f t="shared" si="8"/>
        <v>20512535.883388422</v>
      </c>
      <c r="M38" s="19">
        <f t="shared" si="8"/>
        <v>20800590.970568899</v>
      </c>
      <c r="N38" s="19">
        <f t="shared" si="8"/>
        <v>21112497.998065434</v>
      </c>
      <c r="O38" s="19">
        <f t="shared" si="8"/>
        <v>21320408.448483281</v>
      </c>
      <c r="P38" s="19">
        <f t="shared" si="8"/>
        <v>21854010.487276122</v>
      </c>
      <c r="Q38" s="19">
        <f t="shared" si="8"/>
        <v>24603054.175348327</v>
      </c>
      <c r="R38" s="19">
        <f t="shared" si="9"/>
        <v>21592512.784333393</v>
      </c>
      <c r="S38" s="1"/>
      <c r="T38" s="103"/>
      <c r="U38" s="103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</row>
    <row r="39" spans="1:70">
      <c r="A39" s="9">
        <f t="shared" si="1"/>
        <v>25</v>
      </c>
      <c r="B39" s="3"/>
      <c r="C39" s="97" t="s">
        <v>137</v>
      </c>
      <c r="D39" s="1" t="str">
        <f t="shared" si="5"/>
        <v>(line 5 - line 15)</v>
      </c>
      <c r="E39" s="19">
        <f t="shared" si="6"/>
        <v>15854463.649999999</v>
      </c>
      <c r="F39" s="19">
        <f t="shared" si="8"/>
        <v>15627541</v>
      </c>
      <c r="G39" s="19">
        <f t="shared" si="8"/>
        <v>15510925</v>
      </c>
      <c r="H39" s="19">
        <f t="shared" si="8"/>
        <v>15875340</v>
      </c>
      <c r="I39" s="19">
        <f t="shared" si="8"/>
        <v>15947885</v>
      </c>
      <c r="J39" s="19">
        <f t="shared" si="8"/>
        <v>15961444</v>
      </c>
      <c r="K39" s="19">
        <f t="shared" si="8"/>
        <v>15600510</v>
      </c>
      <c r="L39" s="19">
        <f t="shared" si="8"/>
        <v>17084130</v>
      </c>
      <c r="M39" s="19">
        <f t="shared" si="8"/>
        <v>15655804</v>
      </c>
      <c r="N39" s="19">
        <f t="shared" si="8"/>
        <v>14667228</v>
      </c>
      <c r="O39" s="19">
        <f t="shared" si="8"/>
        <v>14635253</v>
      </c>
      <c r="P39" s="19">
        <f t="shared" si="8"/>
        <v>14379481</v>
      </c>
      <c r="Q39" s="19">
        <f t="shared" si="8"/>
        <v>15694465</v>
      </c>
      <c r="R39" s="19">
        <f t="shared" si="9"/>
        <v>15576497.665384613</v>
      </c>
      <c r="S39" s="1"/>
      <c r="T39" s="103"/>
      <c r="U39" s="103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</row>
    <row r="40" spans="1:70">
      <c r="A40" s="9">
        <f t="shared" si="1"/>
        <v>26</v>
      </c>
      <c r="B40" s="3"/>
      <c r="C40" s="97" t="str">
        <f>+C30</f>
        <v xml:space="preserve">  Communication System</v>
      </c>
      <c r="D40" s="1" t="str">
        <f t="shared" si="5"/>
        <v>(line 6 - line 16)</v>
      </c>
      <c r="E40" s="19">
        <f t="shared" si="6"/>
        <v>4608272.4999999991</v>
      </c>
      <c r="F40" s="19">
        <f t="shared" si="8"/>
        <v>5131719.7499999991</v>
      </c>
      <c r="G40" s="19">
        <f t="shared" si="8"/>
        <v>5098652.2299999995</v>
      </c>
      <c r="H40" s="19">
        <f t="shared" si="8"/>
        <v>5062690.709999999</v>
      </c>
      <c r="I40" s="19">
        <f t="shared" si="8"/>
        <v>5027728.4099999992</v>
      </c>
      <c r="J40" s="19">
        <f t="shared" si="8"/>
        <v>4994986.919999999</v>
      </c>
      <c r="K40" s="19">
        <f t="shared" si="8"/>
        <v>4959786.8999999985</v>
      </c>
      <c r="L40" s="19">
        <f t="shared" si="8"/>
        <v>5202076.8099999996</v>
      </c>
      <c r="M40" s="19">
        <f t="shared" si="8"/>
        <v>5163526.18</v>
      </c>
      <c r="N40" s="19">
        <f t="shared" si="8"/>
        <v>5126839.7799999993</v>
      </c>
      <c r="O40" s="19">
        <f t="shared" si="8"/>
        <v>5090495.6099999994</v>
      </c>
      <c r="P40" s="19">
        <f t="shared" si="8"/>
        <v>5097280.72</v>
      </c>
      <c r="Q40" s="19">
        <f>+Q20-Q30</f>
        <v>5060756.4800000004</v>
      </c>
      <c r="R40" s="19">
        <f t="shared" si="9"/>
        <v>5048062.538461538</v>
      </c>
      <c r="S40" s="1"/>
      <c r="T40" s="103"/>
      <c r="U40" s="103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</row>
    <row r="41" spans="1:70">
      <c r="A41" s="9">
        <f t="shared" si="1"/>
        <v>27</v>
      </c>
      <c r="B41" s="3"/>
      <c r="C41" s="97" t="str">
        <f>+C31</f>
        <v xml:space="preserve">  Common</v>
      </c>
      <c r="D41" s="1" t="str">
        <f t="shared" si="5"/>
        <v>(line 7 - line 17)</v>
      </c>
      <c r="E41" s="19">
        <f t="shared" si="6"/>
        <v>0</v>
      </c>
      <c r="F41" s="19">
        <f t="shared" si="8"/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9">
        <f t="shared" si="8"/>
        <v>0</v>
      </c>
      <c r="L41" s="19">
        <f t="shared" si="8"/>
        <v>0</v>
      </c>
      <c r="M41" s="19">
        <f t="shared" si="8"/>
        <v>0</v>
      </c>
      <c r="N41" s="19">
        <f t="shared" si="8"/>
        <v>0</v>
      </c>
      <c r="O41" s="19">
        <f t="shared" si="8"/>
        <v>0</v>
      </c>
      <c r="P41" s="19">
        <f t="shared" si="8"/>
        <v>0</v>
      </c>
      <c r="Q41" s="19">
        <f t="shared" si="8"/>
        <v>0</v>
      </c>
      <c r="R41" s="47">
        <f t="shared" si="9"/>
        <v>0</v>
      </c>
      <c r="S41" s="1"/>
      <c r="T41" s="103"/>
      <c r="U41" s="103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</row>
    <row r="42" spans="1:70">
      <c r="A42" s="9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830718527.9841423</v>
      </c>
      <c r="F42" s="49">
        <f t="shared" ref="F42:Q42" si="10">SUM(F35:F41)</f>
        <v>824014076.41491258</v>
      </c>
      <c r="G42" s="49">
        <f t="shared" si="10"/>
        <v>822332493.25929749</v>
      </c>
      <c r="H42" s="49">
        <f t="shared" si="10"/>
        <v>821861677.19211924</v>
      </c>
      <c r="I42" s="49">
        <f t="shared" si="10"/>
        <v>820803242.91942346</v>
      </c>
      <c r="J42" s="49">
        <f t="shared" si="10"/>
        <v>819845072.76545918</v>
      </c>
      <c r="K42" s="49">
        <f t="shared" si="10"/>
        <v>819335321.30645871</v>
      </c>
      <c r="L42" s="49">
        <f t="shared" si="10"/>
        <v>832702491.77641284</v>
      </c>
      <c r="M42" s="49">
        <f t="shared" si="10"/>
        <v>831967589.03692126</v>
      </c>
      <c r="N42" s="49">
        <f t="shared" si="10"/>
        <v>832459449.7878933</v>
      </c>
      <c r="O42" s="49">
        <f t="shared" si="10"/>
        <v>832578153.5634681</v>
      </c>
      <c r="P42" s="49">
        <f t="shared" si="10"/>
        <v>843585522.94949031</v>
      </c>
      <c r="Q42" s="49">
        <f t="shared" si="10"/>
        <v>848485408.39830148</v>
      </c>
      <c r="R42" s="49">
        <f>SUM(R35:R41)</f>
        <v>829283771.33494627</v>
      </c>
      <c r="S42" s="1"/>
      <c r="T42" s="103"/>
      <c r="U42" s="103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</row>
    <row r="43" spans="1:70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103"/>
      <c r="U43" s="103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</row>
    <row r="44" spans="1:70">
      <c r="A44" s="9"/>
      <c r="B44" s="3"/>
      <c r="C44" s="97" t="s">
        <v>413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103"/>
      <c r="U44" s="103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</row>
    <row r="45" spans="1:70" ht="18">
      <c r="A45" s="9"/>
      <c r="B45" s="3"/>
      <c r="C45" s="96" t="s">
        <v>414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03"/>
      <c r="U45" s="103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</row>
    <row r="46" spans="1:70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03"/>
      <c r="U46" s="103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</row>
    <row r="47" spans="1:70" ht="23.25">
      <c r="A47" s="9"/>
      <c r="B47" s="3"/>
      <c r="C47" s="97"/>
      <c r="D47" s="1"/>
      <c r="E47" s="72" t="s">
        <v>448</v>
      </c>
      <c r="F47" s="1"/>
      <c r="G47" s="1"/>
      <c r="H47" s="92"/>
      <c r="I47" s="97"/>
      <c r="J47" s="1"/>
      <c r="S47" s="1"/>
      <c r="T47" s="103"/>
      <c r="U47" s="103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</row>
    <row r="48" spans="1:70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1"/>
      <c r="S48" s="93"/>
      <c r="T48" s="103"/>
      <c r="U48" s="103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</row>
    <row r="49" spans="1:63">
      <c r="A49" s="9">
        <f t="shared" si="1"/>
        <v>30</v>
      </c>
      <c r="B49" s="3"/>
      <c r="C49" s="96" t="s">
        <v>409</v>
      </c>
      <c r="D49" s="1"/>
      <c r="E49" s="74">
        <v>43070</v>
      </c>
      <c r="F49" s="74">
        <v>43435</v>
      </c>
      <c r="G49" s="1" t="s">
        <v>40</v>
      </c>
      <c r="H49" s="74"/>
      <c r="I49" s="96"/>
      <c r="J49" s="1"/>
      <c r="S49" s="93"/>
      <c r="T49" s="103"/>
      <c r="U49" s="103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</row>
    <row r="50" spans="1:63">
      <c r="A50" s="9">
        <f t="shared" si="1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1">(+E50+F50)/2</f>
        <v>0</v>
      </c>
      <c r="H50" s="19"/>
      <c r="I50" s="97"/>
      <c r="J50" s="1"/>
      <c r="K50" s="19"/>
      <c r="L50" s="19"/>
      <c r="M50" s="19"/>
      <c r="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</row>
    <row r="51" spans="1:63">
      <c r="A51" s="9">
        <f t="shared" si="1"/>
        <v>32</v>
      </c>
      <c r="B51" s="3"/>
      <c r="C51" s="97" t="s">
        <v>270</v>
      </c>
      <c r="D51" s="1" t="s">
        <v>402</v>
      </c>
      <c r="E51" s="19">
        <v>-118329580</v>
      </c>
      <c r="F51" s="19">
        <v>-122562026</v>
      </c>
      <c r="G51" s="19">
        <f t="shared" si="11"/>
        <v>-120445803</v>
      </c>
      <c r="H51" s="1"/>
      <c r="I51" s="97"/>
      <c r="J51" s="1"/>
      <c r="K51" s="19"/>
      <c r="L51" s="19"/>
      <c r="M51" s="19"/>
      <c r="S51" s="93"/>
      <c r="T51" s="93"/>
      <c r="U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1:63">
      <c r="A52" s="9">
        <f>+A51+1</f>
        <v>33</v>
      </c>
      <c r="B52" s="3"/>
      <c r="C52" s="97" t="s">
        <v>271</v>
      </c>
      <c r="D52" s="1" t="s">
        <v>403</v>
      </c>
      <c r="E52" s="47">
        <v>-18129142</v>
      </c>
      <c r="F52" s="47">
        <v>-18552793</v>
      </c>
      <c r="G52" s="19">
        <f t="shared" si="11"/>
        <v>-18340967.5</v>
      </c>
      <c r="H52" s="1"/>
      <c r="I52" s="97"/>
      <c r="J52" s="1"/>
      <c r="S52" s="93"/>
      <c r="T52" s="93"/>
      <c r="U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</row>
    <row r="53" spans="1:63" ht="23.25">
      <c r="A53" s="9">
        <f>+A52+1</f>
        <v>34</v>
      </c>
      <c r="B53" s="3"/>
      <c r="C53" s="97" t="s">
        <v>273</v>
      </c>
      <c r="D53" s="1" t="s">
        <v>404</v>
      </c>
      <c r="E53" s="47">
        <v>29587154</v>
      </c>
      <c r="F53" s="47">
        <v>30263670</v>
      </c>
      <c r="G53" s="19">
        <f t="shared" si="11"/>
        <v>29925412</v>
      </c>
      <c r="H53" s="1"/>
      <c r="I53" s="97"/>
      <c r="J53" s="1"/>
      <c r="K53" s="72"/>
      <c r="L53" s="1"/>
      <c r="M53" s="1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</row>
    <row r="54" spans="1:63">
      <c r="A54" s="9">
        <f>+A53+1</f>
        <v>35</v>
      </c>
      <c r="B54" s="3"/>
      <c r="C54" s="3" t="s">
        <v>272</v>
      </c>
      <c r="D54" s="1" t="s">
        <v>457</v>
      </c>
      <c r="E54" s="47"/>
      <c r="F54" s="47">
        <v>0</v>
      </c>
      <c r="G54" s="19">
        <f t="shared" si="11"/>
        <v>0</v>
      </c>
      <c r="H54" s="1"/>
      <c r="I54" s="1"/>
      <c r="J54" s="1"/>
      <c r="K54" s="74"/>
      <c r="L54" s="74"/>
      <c r="M54" s="1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</row>
    <row r="55" spans="1:63">
      <c r="A55" s="9">
        <f t="shared" si="1"/>
        <v>36</v>
      </c>
      <c r="B55" s="3"/>
      <c r="C55" s="97" t="s">
        <v>292</v>
      </c>
      <c r="D55" s="3" t="s">
        <v>458</v>
      </c>
      <c r="E55" s="98">
        <v>-93503001</v>
      </c>
      <c r="F55" s="98">
        <v>-96693540</v>
      </c>
      <c r="G55" s="98">
        <f t="shared" si="11"/>
        <v>-95098270.5</v>
      </c>
      <c r="H55" s="97"/>
      <c r="J55" s="1"/>
      <c r="K55" s="47"/>
      <c r="L55" s="47"/>
      <c r="M55" s="19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</row>
    <row r="56" spans="1:63">
      <c r="A56" s="9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-200374569</v>
      </c>
      <c r="F56" s="19">
        <f>SUM(F50:F55)</f>
        <v>-207544689</v>
      </c>
      <c r="G56" s="19">
        <f>SUM(G50:G55)</f>
        <v>-203959629</v>
      </c>
      <c r="H56" s="1"/>
      <c r="I56" s="1"/>
      <c r="J56" s="1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</row>
    <row r="57" spans="1:63">
      <c r="A57" s="9">
        <f t="shared" si="1"/>
        <v>38</v>
      </c>
      <c r="B57" s="3"/>
      <c r="C57" s="3"/>
      <c r="D57" s="1"/>
      <c r="E57" s="19"/>
      <c r="F57" s="19"/>
      <c r="G57" s="19"/>
      <c r="H57" s="1"/>
      <c r="I57" s="1"/>
      <c r="J57" s="1"/>
      <c r="K57" s="1"/>
      <c r="L57" s="1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</row>
    <row r="58" spans="1:63">
      <c r="A58" s="9">
        <f t="shared" si="1"/>
        <v>39</v>
      </c>
      <c r="B58" s="3"/>
      <c r="C58" s="96" t="s">
        <v>230</v>
      </c>
      <c r="D58" s="1" t="s">
        <v>299</v>
      </c>
      <c r="E58" s="19"/>
      <c r="F58" s="19"/>
      <c r="G58" s="19">
        <f>(+E58+F58)/2</f>
        <v>0</v>
      </c>
      <c r="H58" s="1"/>
      <c r="I58" s="1"/>
      <c r="J58" s="1"/>
      <c r="K58" s="1"/>
      <c r="L58" s="196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1:63">
      <c r="A59" s="9">
        <f t="shared" si="1"/>
        <v>40</v>
      </c>
      <c r="B59" s="3"/>
      <c r="C59" s="97"/>
      <c r="D59" s="1"/>
      <c r="E59" s="19"/>
      <c r="F59" s="19"/>
      <c r="G59" s="19"/>
      <c r="H59" s="1"/>
      <c r="I59" s="1"/>
      <c r="J59" s="1"/>
      <c r="K59" s="1"/>
      <c r="L59" s="1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</row>
    <row r="60" spans="1:63">
      <c r="A60" s="9">
        <f t="shared" si="1"/>
        <v>41</v>
      </c>
      <c r="B60" s="3"/>
      <c r="C60" s="97" t="s">
        <v>415</v>
      </c>
      <c r="D60" s="1"/>
      <c r="E60" s="19"/>
      <c r="F60" s="19"/>
      <c r="G60" s="19"/>
      <c r="H60" s="1"/>
      <c r="I60" s="1"/>
      <c r="J60" s="1"/>
      <c r="K60" s="1"/>
      <c r="L60" s="1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</row>
    <row r="61" spans="1:63">
      <c r="A61" s="9">
        <f t="shared" si="1"/>
        <v>42</v>
      </c>
      <c r="B61" s="3"/>
      <c r="C61" s="97"/>
      <c r="D61" s="3"/>
      <c r="E61" s="19"/>
      <c r="F61" s="19"/>
      <c r="G61" s="19"/>
      <c r="H61" s="1"/>
      <c r="I61" s="1"/>
      <c r="J61" s="1"/>
      <c r="K61" s="1"/>
      <c r="L61" s="194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</row>
    <row r="62" spans="1:63">
      <c r="A62" s="9">
        <f t="shared" si="1"/>
        <v>43</v>
      </c>
      <c r="B62" s="3"/>
      <c r="C62" s="97" t="s">
        <v>358</v>
      </c>
      <c r="D62" s="1" t="s">
        <v>134</v>
      </c>
      <c r="E62" s="47">
        <v>4210110</v>
      </c>
      <c r="F62" s="47">
        <v>4426257</v>
      </c>
      <c r="G62" s="19">
        <f>(+E62+F62)/2</f>
        <v>4318183.5</v>
      </c>
      <c r="H62" s="1"/>
      <c r="I62" s="1"/>
      <c r="J62" s="1"/>
      <c r="K62" s="1"/>
      <c r="L62" s="194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</row>
    <row r="63" spans="1:63">
      <c r="A63" s="9">
        <f t="shared" si="1"/>
        <v>44</v>
      </c>
      <c r="B63" s="3"/>
      <c r="C63" s="97" t="s">
        <v>358</v>
      </c>
      <c r="D63" s="1" t="s">
        <v>133</v>
      </c>
      <c r="E63" s="47">
        <v>17641</v>
      </c>
      <c r="F63" s="47">
        <v>13114</v>
      </c>
      <c r="G63" s="19">
        <f>(+E63+F63)/2</f>
        <v>15377.5</v>
      </c>
      <c r="H63" s="1"/>
      <c r="I63" s="1"/>
      <c r="J63" s="1"/>
      <c r="K63" s="1"/>
      <c r="L63" s="194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</row>
    <row r="64" spans="1:63">
      <c r="A64" s="9">
        <f t="shared" si="1"/>
        <v>45</v>
      </c>
      <c r="B64" s="3"/>
      <c r="C64" s="97" t="s">
        <v>274</v>
      </c>
      <c r="D64" s="1" t="s">
        <v>74</v>
      </c>
      <c r="E64" s="47">
        <v>3496663.59</v>
      </c>
      <c r="F64" s="47">
        <v>3149219</v>
      </c>
      <c r="G64" s="19">
        <f>(+E64+F64)/2</f>
        <v>3322941.2949999999</v>
      </c>
      <c r="H64" s="1"/>
      <c r="I64" s="1"/>
      <c r="J64" s="1"/>
      <c r="K64" s="1"/>
      <c r="L64" s="194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</row>
    <row r="65" spans="1:63">
      <c r="A65" s="9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7724414.5899999999</v>
      </c>
      <c r="F65" s="49">
        <f>SUM(F62:F64)</f>
        <v>7588590</v>
      </c>
      <c r="G65" s="49">
        <f>SUM(G62:G64)</f>
        <v>7656502.2949999999</v>
      </c>
      <c r="H65" s="75"/>
      <c r="I65" s="75"/>
      <c r="J65" s="75"/>
      <c r="K65" s="75"/>
      <c r="L65" s="197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</row>
  </sheetData>
  <mergeCells count="10">
    <mergeCell ref="X12:Y12"/>
    <mergeCell ref="X11:Y11"/>
    <mergeCell ref="A4:I4"/>
    <mergeCell ref="A5:I5"/>
    <mergeCell ref="A7:I7"/>
    <mergeCell ref="J4:R4"/>
    <mergeCell ref="J5:R5"/>
    <mergeCell ref="J7:R7"/>
    <mergeCell ref="V11:W11"/>
    <mergeCell ref="V12:W12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206"/>
  <sheetViews>
    <sheetView topLeftCell="A4" zoomScaleNormal="100" workbookViewId="0">
      <selection activeCell="H30" sqref="H30"/>
    </sheetView>
  </sheetViews>
  <sheetFormatPr defaultColWidth="7.109375" defaultRowHeight="12.75"/>
  <cols>
    <col min="1" max="1" width="4.77734375" style="30" customWidth="1"/>
    <col min="2" max="2" width="15.6640625" style="30" customWidth="1"/>
    <col min="3" max="3" width="7.109375" style="30" customWidth="1"/>
    <col min="4" max="4" width="8.77734375" style="30" customWidth="1"/>
    <col min="5" max="5" width="7.88671875" style="30" customWidth="1"/>
    <col min="6" max="6" width="7.6640625" style="30" customWidth="1"/>
    <col min="7" max="7" width="10.33203125" style="30" customWidth="1"/>
    <col min="8" max="8" width="13" style="30" customWidth="1"/>
    <col min="9" max="9" width="11.77734375" style="30" customWidth="1"/>
    <col min="10" max="10" width="11.21875" style="30" customWidth="1"/>
    <col min="11" max="11" width="8" style="30" customWidth="1"/>
    <col min="12" max="16384" width="7.109375" style="30"/>
  </cols>
  <sheetData>
    <row r="1" spans="1:11">
      <c r="K1" s="161"/>
    </row>
    <row r="2" spans="1:11">
      <c r="B2" s="105"/>
      <c r="C2" s="8"/>
      <c r="D2" s="8"/>
      <c r="E2" s="8"/>
      <c r="F2" s="8"/>
      <c r="G2" s="8"/>
      <c r="H2" s="8"/>
      <c r="J2" s="82" t="str">
        <f>+'CU AC Rate Design - True-Up'!H1</f>
        <v>Date: May 31, 2019</v>
      </c>
    </row>
    <row r="3" spans="1:11" ht="15" customHeight="1">
      <c r="A3" s="292" t="s">
        <v>360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1" ht="15" customHeight="1">
      <c r="A4" s="292" t="s">
        <v>77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1">
      <c r="B5" s="105"/>
      <c r="C5" s="8"/>
      <c r="D5" s="107"/>
      <c r="E5" s="8"/>
      <c r="G5" s="8"/>
      <c r="H5" s="8"/>
      <c r="I5" s="8"/>
      <c r="J5" s="8"/>
    </row>
    <row r="6" spans="1:11" ht="18.75">
      <c r="A6" s="162" t="s">
        <v>196</v>
      </c>
      <c r="B6" s="105"/>
      <c r="C6" s="8"/>
      <c r="D6" s="301" t="s">
        <v>449</v>
      </c>
      <c r="E6" s="302"/>
      <c r="F6" s="302"/>
      <c r="G6" s="302"/>
      <c r="H6" s="303"/>
      <c r="I6" s="8"/>
      <c r="J6" s="8"/>
    </row>
    <row r="7" spans="1:11" ht="13.5" thickBot="1">
      <c r="A7" s="163" t="s">
        <v>197</v>
      </c>
    </row>
    <row r="8" spans="1:11" ht="15">
      <c r="A8" s="56">
        <v>1</v>
      </c>
      <c r="B8" s="164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1" ht="15">
      <c r="A9" s="56">
        <f>A8+1</f>
        <v>2</v>
      </c>
      <c r="B9" s="165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1" ht="15.75" thickBot="1">
      <c r="A10" s="56">
        <f t="shared" ref="A10:A47" si="0">A9+1</f>
        <v>3</v>
      </c>
      <c r="B10" s="166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1" ht="15">
      <c r="A11" s="56">
        <f t="shared" si="0"/>
        <v>4</v>
      </c>
      <c r="B11" s="23" t="s">
        <v>159</v>
      </c>
      <c r="C11" s="24"/>
      <c r="D11" s="164">
        <v>305</v>
      </c>
      <c r="E11" s="77">
        <v>361</v>
      </c>
      <c r="F11" s="167">
        <v>2</v>
      </c>
      <c r="G11" s="77">
        <v>56</v>
      </c>
      <c r="H11" s="11">
        <v>260</v>
      </c>
      <c r="I11" s="164">
        <v>80</v>
      </c>
      <c r="J11" s="77">
        <f>SUM(D11:I11)</f>
        <v>1064</v>
      </c>
      <c r="K11" s="76"/>
    </row>
    <row r="12" spans="1:11" ht="15">
      <c r="A12" s="56">
        <f t="shared" si="0"/>
        <v>5</v>
      </c>
      <c r="B12" s="23" t="s">
        <v>179</v>
      </c>
      <c r="C12" s="25"/>
      <c r="D12" s="165">
        <v>279</v>
      </c>
      <c r="E12" s="78">
        <v>337</v>
      </c>
      <c r="F12" s="168">
        <v>3</v>
      </c>
      <c r="G12" s="78">
        <v>52</v>
      </c>
      <c r="H12" s="13">
        <v>260</v>
      </c>
      <c r="I12" s="165">
        <v>80</v>
      </c>
      <c r="J12" s="78">
        <f t="shared" ref="J12:J21" si="1">SUM(D12:I12)</f>
        <v>1011</v>
      </c>
      <c r="K12" s="76"/>
    </row>
    <row r="13" spans="1:11" ht="15">
      <c r="A13" s="56">
        <f t="shared" si="0"/>
        <v>6</v>
      </c>
      <c r="B13" s="23" t="s">
        <v>180</v>
      </c>
      <c r="C13" s="25"/>
      <c r="D13" s="165">
        <v>245</v>
      </c>
      <c r="E13" s="78">
        <v>334</v>
      </c>
      <c r="F13" s="168">
        <v>2</v>
      </c>
      <c r="G13" s="78">
        <v>42</v>
      </c>
      <c r="H13" s="13">
        <v>260</v>
      </c>
      <c r="I13" s="165">
        <v>80</v>
      </c>
      <c r="J13" s="78">
        <f t="shared" si="1"/>
        <v>963</v>
      </c>
      <c r="K13" s="76"/>
    </row>
    <row r="14" spans="1:11" ht="15">
      <c r="A14" s="56">
        <f t="shared" si="0"/>
        <v>7</v>
      </c>
      <c r="B14" s="23" t="s">
        <v>190</v>
      </c>
      <c r="C14" s="25"/>
      <c r="D14" s="165">
        <v>249</v>
      </c>
      <c r="E14" s="78">
        <v>302</v>
      </c>
      <c r="F14" s="168">
        <v>3</v>
      </c>
      <c r="G14" s="78">
        <v>43</v>
      </c>
      <c r="H14" s="13">
        <v>260</v>
      </c>
      <c r="I14" s="165">
        <v>80</v>
      </c>
      <c r="J14" s="78">
        <f t="shared" si="1"/>
        <v>937</v>
      </c>
      <c r="K14" s="76"/>
    </row>
    <row r="15" spans="1:11" ht="15">
      <c r="A15" s="56">
        <f t="shared" si="0"/>
        <v>8</v>
      </c>
      <c r="B15" s="23" t="s">
        <v>191</v>
      </c>
      <c r="C15" s="25"/>
      <c r="D15" s="165">
        <v>299</v>
      </c>
      <c r="E15" s="78">
        <v>241</v>
      </c>
      <c r="F15" s="168">
        <v>3</v>
      </c>
      <c r="G15" s="78">
        <v>50</v>
      </c>
      <c r="H15" s="13">
        <v>260</v>
      </c>
      <c r="I15" s="165">
        <v>80</v>
      </c>
      <c r="J15" s="78">
        <f t="shared" si="1"/>
        <v>933</v>
      </c>
      <c r="K15" s="76"/>
    </row>
    <row r="16" spans="1:11" ht="15">
      <c r="A16" s="56">
        <f t="shared" si="0"/>
        <v>9</v>
      </c>
      <c r="B16" s="23" t="s">
        <v>192</v>
      </c>
      <c r="C16" s="25"/>
      <c r="D16" s="165">
        <v>322</v>
      </c>
      <c r="E16" s="78">
        <v>265</v>
      </c>
      <c r="F16" s="168">
        <v>4</v>
      </c>
      <c r="G16" s="78">
        <v>69</v>
      </c>
      <c r="H16" s="13">
        <v>255</v>
      </c>
      <c r="I16" s="165">
        <v>80</v>
      </c>
      <c r="J16" s="78">
        <f t="shared" si="1"/>
        <v>995</v>
      </c>
      <c r="K16" s="76"/>
    </row>
    <row r="17" spans="1:12" ht="15">
      <c r="A17" s="56">
        <f t="shared" si="0"/>
        <v>10</v>
      </c>
      <c r="B17" s="23" t="s">
        <v>181</v>
      </c>
      <c r="C17" s="25"/>
      <c r="D17" s="165">
        <v>352</v>
      </c>
      <c r="E17" s="78">
        <v>250</v>
      </c>
      <c r="F17" s="168">
        <v>4</v>
      </c>
      <c r="G17" s="78">
        <v>74</v>
      </c>
      <c r="H17" s="13">
        <v>255</v>
      </c>
      <c r="I17" s="165">
        <v>80</v>
      </c>
      <c r="J17" s="78">
        <f t="shared" si="1"/>
        <v>1015</v>
      </c>
      <c r="K17" s="76"/>
    </row>
    <row r="18" spans="1:12" ht="15">
      <c r="A18" s="56">
        <f t="shared" si="0"/>
        <v>11</v>
      </c>
      <c r="B18" s="23" t="s">
        <v>156</v>
      </c>
      <c r="C18" s="25"/>
      <c r="D18" s="165">
        <v>325</v>
      </c>
      <c r="E18" s="78">
        <v>268</v>
      </c>
      <c r="F18" s="168">
        <v>3</v>
      </c>
      <c r="G18" s="78">
        <v>62</v>
      </c>
      <c r="H18" s="13">
        <v>255</v>
      </c>
      <c r="I18" s="165">
        <v>80</v>
      </c>
      <c r="J18" s="78">
        <f t="shared" si="1"/>
        <v>993</v>
      </c>
      <c r="K18" s="76"/>
    </row>
    <row r="19" spans="1:12" ht="15">
      <c r="A19" s="56">
        <f t="shared" si="0"/>
        <v>12</v>
      </c>
      <c r="B19" s="23" t="s">
        <v>182</v>
      </c>
      <c r="C19" s="25"/>
      <c r="D19" s="165">
        <v>244</v>
      </c>
      <c r="E19" s="78">
        <v>257</v>
      </c>
      <c r="F19" s="168">
        <v>3</v>
      </c>
      <c r="G19" s="78">
        <v>45</v>
      </c>
      <c r="H19" s="13">
        <v>255</v>
      </c>
      <c r="I19" s="165">
        <v>80</v>
      </c>
      <c r="J19" s="78">
        <f t="shared" si="1"/>
        <v>884</v>
      </c>
      <c r="K19" s="76"/>
    </row>
    <row r="20" spans="1:12" ht="15">
      <c r="A20" s="56">
        <f t="shared" si="0"/>
        <v>13</v>
      </c>
      <c r="B20" s="23" t="s">
        <v>157</v>
      </c>
      <c r="C20" s="25"/>
      <c r="D20" s="165">
        <v>215</v>
      </c>
      <c r="E20" s="78">
        <v>265</v>
      </c>
      <c r="F20" s="168">
        <v>3</v>
      </c>
      <c r="G20" s="78">
        <v>38</v>
      </c>
      <c r="H20" s="13">
        <v>255</v>
      </c>
      <c r="I20" s="165">
        <v>80</v>
      </c>
      <c r="J20" s="78">
        <f t="shared" si="1"/>
        <v>856</v>
      </c>
      <c r="K20" s="76"/>
    </row>
    <row r="21" spans="1:12" ht="15">
      <c r="A21" s="56">
        <f t="shared" si="0"/>
        <v>14</v>
      </c>
      <c r="B21" s="23" t="s">
        <v>158</v>
      </c>
      <c r="C21" s="25"/>
      <c r="D21" s="165">
        <v>236</v>
      </c>
      <c r="E21" s="78">
        <v>307</v>
      </c>
      <c r="F21" s="168">
        <v>3</v>
      </c>
      <c r="G21" s="78">
        <v>42</v>
      </c>
      <c r="H21" s="13">
        <v>255</v>
      </c>
      <c r="I21" s="165">
        <v>80</v>
      </c>
      <c r="J21" s="78">
        <f t="shared" si="1"/>
        <v>923</v>
      </c>
      <c r="K21" s="76"/>
    </row>
    <row r="22" spans="1:12" ht="15.75" thickBot="1">
      <c r="A22" s="56">
        <f t="shared" si="0"/>
        <v>15</v>
      </c>
      <c r="B22" s="26" t="s">
        <v>183</v>
      </c>
      <c r="C22" s="27"/>
      <c r="D22" s="166">
        <v>287</v>
      </c>
      <c r="E22" s="79">
        <v>321</v>
      </c>
      <c r="F22" s="169">
        <v>2</v>
      </c>
      <c r="G22" s="79">
        <v>49</v>
      </c>
      <c r="H22" s="169">
        <v>255</v>
      </c>
      <c r="I22" s="166">
        <v>80</v>
      </c>
      <c r="J22" s="79">
        <f>SUM(D22:I22)</f>
        <v>994</v>
      </c>
      <c r="K22" s="76"/>
    </row>
    <row r="23" spans="1:12" ht="15.75" thickBot="1">
      <c r="A23" s="56">
        <f t="shared" si="0"/>
        <v>16</v>
      </c>
      <c r="B23" s="170"/>
      <c r="C23" s="25"/>
      <c r="D23" s="17"/>
      <c r="E23" s="17"/>
      <c r="F23" s="17"/>
      <c r="G23" s="12"/>
      <c r="H23" s="13"/>
      <c r="I23" s="15"/>
      <c r="J23" s="17"/>
      <c r="K23" s="76"/>
    </row>
    <row r="24" spans="1:12" ht="15.75" thickBot="1">
      <c r="A24" s="56">
        <f t="shared" si="0"/>
        <v>17</v>
      </c>
      <c r="B24" s="171" t="s">
        <v>118</v>
      </c>
      <c r="C24" s="172"/>
      <c r="D24" s="100">
        <f t="shared" ref="D24:J24" si="2">SUM(D11:D22)/12</f>
        <v>279.83333333333331</v>
      </c>
      <c r="E24" s="18">
        <f t="shared" si="2"/>
        <v>292.33333333333331</v>
      </c>
      <c r="F24" s="173">
        <f t="shared" si="2"/>
        <v>2.9166666666666665</v>
      </c>
      <c r="G24" s="18">
        <f t="shared" si="2"/>
        <v>51.833333333333336</v>
      </c>
      <c r="H24" s="174">
        <f t="shared" si="2"/>
        <v>257.08333333333331</v>
      </c>
      <c r="I24" s="100">
        <f t="shared" si="2"/>
        <v>80</v>
      </c>
      <c r="J24" s="18">
        <f t="shared" si="2"/>
        <v>964</v>
      </c>
      <c r="K24" s="76"/>
    </row>
    <row r="25" spans="1:12">
      <c r="A25" s="56">
        <f t="shared" si="0"/>
        <v>18</v>
      </c>
    </row>
    <row r="26" spans="1:12" ht="18.75">
      <c r="A26" s="56">
        <f t="shared" si="0"/>
        <v>19</v>
      </c>
      <c r="B26" s="105"/>
      <c r="C26" s="8"/>
      <c r="D26" s="301" t="s">
        <v>450</v>
      </c>
      <c r="E26" s="302"/>
      <c r="F26" s="302"/>
      <c r="G26" s="302"/>
      <c r="H26" s="303"/>
      <c r="I26" s="8"/>
    </row>
    <row r="27" spans="1:12" ht="13.5" thickBot="1">
      <c r="A27" s="56">
        <f t="shared" si="0"/>
        <v>20</v>
      </c>
    </row>
    <row r="28" spans="1:12">
      <c r="A28" s="56">
        <f t="shared" si="0"/>
        <v>21</v>
      </c>
      <c r="B28" s="164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12">
      <c r="A29" s="56">
        <f t="shared" si="0"/>
        <v>22</v>
      </c>
      <c r="B29" s="165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12" ht="13.5" thickBot="1">
      <c r="A30" s="56">
        <f t="shared" si="0"/>
        <v>23</v>
      </c>
      <c r="B30" s="166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12">
      <c r="A31" s="56">
        <f t="shared" si="0"/>
        <v>24</v>
      </c>
      <c r="B31" s="23" t="s">
        <v>159</v>
      </c>
      <c r="C31" s="24"/>
      <c r="D31" s="175">
        <v>284</v>
      </c>
      <c r="E31" s="77">
        <v>335.32</v>
      </c>
      <c r="F31" s="167">
        <v>2</v>
      </c>
      <c r="G31" s="77">
        <v>55.666666666666664</v>
      </c>
      <c r="H31" s="11">
        <v>260</v>
      </c>
      <c r="I31" s="164">
        <v>80</v>
      </c>
      <c r="J31" s="77">
        <f>SUM(D31:I31)</f>
        <v>1016.9866666666666</v>
      </c>
      <c r="K31" s="25"/>
      <c r="L31" s="176"/>
    </row>
    <row r="32" spans="1:12">
      <c r="A32" s="56">
        <f t="shared" si="0"/>
        <v>25</v>
      </c>
      <c r="B32" s="23" t="s">
        <v>179</v>
      </c>
      <c r="C32" s="25"/>
      <c r="D32" s="177">
        <v>292</v>
      </c>
      <c r="E32" s="78">
        <v>314.11</v>
      </c>
      <c r="F32" s="168">
        <v>2</v>
      </c>
      <c r="G32" s="78">
        <v>53</v>
      </c>
      <c r="H32" s="13">
        <v>260</v>
      </c>
      <c r="I32" s="165">
        <v>80</v>
      </c>
      <c r="J32" s="78">
        <f t="shared" ref="J32:J41" si="3">SUM(D32:I32)</f>
        <v>1001.11</v>
      </c>
      <c r="K32" s="25"/>
    </row>
    <row r="33" spans="1:11">
      <c r="A33" s="56">
        <f t="shared" si="0"/>
        <v>26</v>
      </c>
      <c r="B33" s="23" t="s">
        <v>180</v>
      </c>
      <c r="C33" s="25"/>
      <c r="D33" s="177">
        <v>269</v>
      </c>
      <c r="E33" s="78">
        <v>287.85000000000002</v>
      </c>
      <c r="F33" s="168">
        <v>2</v>
      </c>
      <c r="G33" s="78">
        <v>46.333333333333336</v>
      </c>
      <c r="H33" s="13">
        <v>260</v>
      </c>
      <c r="I33" s="165">
        <v>80</v>
      </c>
      <c r="J33" s="78">
        <f t="shared" si="3"/>
        <v>945.18333333333339</v>
      </c>
      <c r="K33" s="25"/>
    </row>
    <row r="34" spans="1:11">
      <c r="A34" s="56">
        <f t="shared" si="0"/>
        <v>27</v>
      </c>
      <c r="B34" s="23" t="s">
        <v>190</v>
      </c>
      <c r="C34" s="25"/>
      <c r="D34" s="177">
        <v>250</v>
      </c>
      <c r="E34" s="78">
        <v>252.5</v>
      </c>
      <c r="F34" s="168">
        <v>3</v>
      </c>
      <c r="G34" s="78">
        <v>38.666666666666664</v>
      </c>
      <c r="H34" s="13">
        <v>260</v>
      </c>
      <c r="I34" s="165">
        <v>80</v>
      </c>
      <c r="J34" s="78">
        <f t="shared" si="3"/>
        <v>884.16666666666663</v>
      </c>
      <c r="K34" s="25"/>
    </row>
    <row r="35" spans="1:11">
      <c r="A35" s="56">
        <f t="shared" si="0"/>
        <v>28</v>
      </c>
      <c r="B35" s="23" t="s">
        <v>191</v>
      </c>
      <c r="C35" s="25"/>
      <c r="D35" s="177">
        <v>231</v>
      </c>
      <c r="E35" s="78">
        <v>211.09</v>
      </c>
      <c r="F35" s="168">
        <v>3</v>
      </c>
      <c r="G35" s="78">
        <v>38</v>
      </c>
      <c r="H35" s="13">
        <v>260</v>
      </c>
      <c r="I35" s="165">
        <v>80</v>
      </c>
      <c r="J35" s="78">
        <f t="shared" si="3"/>
        <v>823.09</v>
      </c>
      <c r="K35" s="25"/>
    </row>
    <row r="36" spans="1:11">
      <c r="A36" s="56">
        <f t="shared" si="0"/>
        <v>29</v>
      </c>
      <c r="B36" s="23" t="s">
        <v>192</v>
      </c>
      <c r="C36" s="25"/>
      <c r="D36" s="177">
        <v>317</v>
      </c>
      <c r="E36" s="78">
        <v>267.64999999999998</v>
      </c>
      <c r="F36" s="168">
        <v>3</v>
      </c>
      <c r="G36" s="78">
        <v>53.666666666666664</v>
      </c>
      <c r="H36" s="13">
        <v>255</v>
      </c>
      <c r="I36" s="165">
        <v>80</v>
      </c>
      <c r="J36" s="78">
        <f t="shared" si="3"/>
        <v>976.31666666666661</v>
      </c>
      <c r="K36" s="25"/>
    </row>
    <row r="37" spans="1:11">
      <c r="A37" s="56">
        <f t="shared" si="0"/>
        <v>30</v>
      </c>
      <c r="B37" s="23" t="s">
        <v>181</v>
      </c>
      <c r="C37" s="25"/>
      <c r="D37" s="177">
        <v>374.85</v>
      </c>
      <c r="E37" s="78">
        <v>277.75</v>
      </c>
      <c r="F37" s="168">
        <v>4</v>
      </c>
      <c r="G37" s="78">
        <v>73.436666666666667</v>
      </c>
      <c r="H37" s="13">
        <v>255</v>
      </c>
      <c r="I37" s="165">
        <v>80</v>
      </c>
      <c r="J37" s="78">
        <f t="shared" si="3"/>
        <v>1065.0366666666666</v>
      </c>
      <c r="K37" s="25"/>
    </row>
    <row r="38" spans="1:11">
      <c r="A38" s="56">
        <f t="shared" si="0"/>
        <v>31</v>
      </c>
      <c r="B38" s="23" t="s">
        <v>156</v>
      </c>
      <c r="C38" s="25"/>
      <c r="D38" s="177">
        <v>352.8</v>
      </c>
      <c r="E38" s="78">
        <v>294.92</v>
      </c>
      <c r="F38" s="168">
        <v>4</v>
      </c>
      <c r="G38" s="78">
        <v>68.660000000000011</v>
      </c>
      <c r="H38" s="13">
        <v>255</v>
      </c>
      <c r="I38" s="165">
        <v>80</v>
      </c>
      <c r="J38" s="78">
        <f t="shared" si="3"/>
        <v>1055.3800000000001</v>
      </c>
      <c r="K38" s="25"/>
    </row>
    <row r="39" spans="1:11">
      <c r="A39" s="56">
        <f t="shared" si="0"/>
        <v>32</v>
      </c>
      <c r="B39" s="23" t="s">
        <v>182</v>
      </c>
      <c r="C39" s="25"/>
      <c r="D39" s="177">
        <v>259.35000000000002</v>
      </c>
      <c r="E39" s="78">
        <v>285.83</v>
      </c>
      <c r="F39" s="168">
        <v>4</v>
      </c>
      <c r="G39" s="78">
        <v>51.116666666666667</v>
      </c>
      <c r="H39" s="13">
        <v>255</v>
      </c>
      <c r="I39" s="165">
        <v>80</v>
      </c>
      <c r="J39" s="78">
        <f t="shared" si="3"/>
        <v>935.29666666666674</v>
      </c>
      <c r="K39" s="25"/>
    </row>
    <row r="40" spans="1:11">
      <c r="A40" s="56">
        <f t="shared" si="0"/>
        <v>33</v>
      </c>
      <c r="B40" s="23" t="s">
        <v>157</v>
      </c>
      <c r="C40" s="25"/>
      <c r="D40" s="177">
        <v>246.75</v>
      </c>
      <c r="E40" s="78">
        <v>270.68</v>
      </c>
      <c r="F40" s="168">
        <v>3</v>
      </c>
      <c r="G40" s="78">
        <v>41.419999999999995</v>
      </c>
      <c r="H40" s="13">
        <v>255</v>
      </c>
      <c r="I40" s="165">
        <v>80</v>
      </c>
      <c r="J40" s="78">
        <f t="shared" si="3"/>
        <v>896.85</v>
      </c>
      <c r="K40" s="25"/>
    </row>
    <row r="41" spans="1:11">
      <c r="A41" s="56">
        <f t="shared" si="0"/>
        <v>34</v>
      </c>
      <c r="B41" s="23" t="s">
        <v>158</v>
      </c>
      <c r="C41" s="25"/>
      <c r="D41" s="177">
        <v>220.5</v>
      </c>
      <c r="E41" s="78">
        <v>309.06</v>
      </c>
      <c r="F41" s="168">
        <v>2</v>
      </c>
      <c r="G41" s="78">
        <v>41.016666666666673</v>
      </c>
      <c r="H41" s="13">
        <v>255</v>
      </c>
      <c r="I41" s="165">
        <v>80</v>
      </c>
      <c r="J41" s="78">
        <f t="shared" si="3"/>
        <v>907.5766666666666</v>
      </c>
      <c r="K41" s="25"/>
    </row>
    <row r="42" spans="1:11" ht="13.5" thickBot="1">
      <c r="A42" s="56">
        <f t="shared" si="0"/>
        <v>35</v>
      </c>
      <c r="B42" s="26" t="s">
        <v>183</v>
      </c>
      <c r="C42" s="27"/>
      <c r="D42" s="178">
        <v>315</v>
      </c>
      <c r="E42" s="79">
        <v>351.48</v>
      </c>
      <c r="F42" s="169">
        <v>2</v>
      </c>
      <c r="G42" s="79">
        <v>55.206666666666671</v>
      </c>
      <c r="H42" s="169">
        <v>255</v>
      </c>
      <c r="I42" s="166">
        <v>80</v>
      </c>
      <c r="J42" s="79">
        <f>SUM(D42:I42)</f>
        <v>1058.6866666666667</v>
      </c>
      <c r="K42" s="25"/>
    </row>
    <row r="43" spans="1:11" ht="13.5" thickBot="1">
      <c r="A43" s="56">
        <f t="shared" si="0"/>
        <v>36</v>
      </c>
      <c r="B43" s="170"/>
      <c r="C43" s="25"/>
      <c r="D43" s="17"/>
      <c r="E43" s="17"/>
      <c r="F43" s="17"/>
      <c r="G43" s="12"/>
      <c r="H43" s="13"/>
      <c r="I43" s="15"/>
      <c r="J43" s="80"/>
      <c r="K43" s="25"/>
    </row>
    <row r="44" spans="1:11" ht="13.5" thickBot="1">
      <c r="A44" s="56">
        <f t="shared" si="0"/>
        <v>37</v>
      </c>
      <c r="B44" s="171" t="s">
        <v>118</v>
      </c>
      <c r="C44" s="172"/>
      <c r="D44" s="18">
        <f t="shared" ref="D44:J44" si="4">SUM(D31:D42)/12</f>
        <v>284.35416666666669</v>
      </c>
      <c r="E44" s="18">
        <f t="shared" si="4"/>
        <v>288.18666666666667</v>
      </c>
      <c r="F44" s="18">
        <f t="shared" si="4"/>
        <v>2.8333333333333335</v>
      </c>
      <c r="G44" s="18">
        <f t="shared" si="4"/>
        <v>51.349166666666669</v>
      </c>
      <c r="H44" s="18">
        <f t="shared" si="4"/>
        <v>257.08333333333331</v>
      </c>
      <c r="I44" s="18">
        <f t="shared" si="4"/>
        <v>80</v>
      </c>
      <c r="J44" s="18">
        <f t="shared" si="4"/>
        <v>963.8066666666665</v>
      </c>
      <c r="K44" s="70"/>
    </row>
    <row r="45" spans="1:11">
      <c r="A45" s="56">
        <f t="shared" si="0"/>
        <v>38</v>
      </c>
    </row>
    <row r="46" spans="1:11">
      <c r="A46" s="56">
        <f t="shared" si="0"/>
        <v>39</v>
      </c>
      <c r="B46" s="29" t="s">
        <v>410</v>
      </c>
      <c r="C46" s="176"/>
      <c r="D46" s="179"/>
      <c r="E46" s="179"/>
      <c r="F46" s="179"/>
      <c r="G46" s="180"/>
      <c r="H46" s="180"/>
      <c r="I46" s="181"/>
    </row>
    <row r="47" spans="1:11">
      <c r="A47" s="56">
        <f t="shared" si="0"/>
        <v>40</v>
      </c>
      <c r="B47" s="29" t="s">
        <v>411</v>
      </c>
      <c r="C47" s="176"/>
      <c r="G47" s="180"/>
    </row>
    <row r="48" spans="1:11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82"/>
      <c r="C59" s="182"/>
      <c r="D59" s="182"/>
      <c r="E59" s="182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R120"/>
  <sheetViews>
    <sheetView tabSelected="1" topLeftCell="A10" zoomScaleNormal="100" zoomScalePageLayoutView="125" workbookViewId="0">
      <selection activeCell="D29" sqref="D29"/>
    </sheetView>
  </sheetViews>
  <sheetFormatPr defaultColWidth="8.5546875" defaultRowHeight="11.25"/>
  <cols>
    <col min="1" max="1" width="3.77734375" style="33" customWidth="1"/>
    <col min="2" max="2" width="18.44140625" style="33" customWidth="1"/>
    <col min="3" max="3" width="11.77734375" style="33" customWidth="1"/>
    <col min="4" max="4" width="10.109375" style="33" customWidth="1"/>
    <col min="5" max="5" width="0.88671875" style="33" customWidth="1"/>
    <col min="6" max="6" width="10.109375" style="33" customWidth="1"/>
    <col min="7" max="7" width="8.5546875" style="33" customWidth="1"/>
    <col min="8" max="8" width="8" style="33" customWidth="1"/>
    <col min="9" max="12" width="8.5546875" style="33"/>
    <col min="13" max="13" width="11.88671875" style="33" customWidth="1"/>
    <col min="14" max="16384" width="8.5546875" style="33"/>
  </cols>
  <sheetData>
    <row r="1" spans="1:10" ht="12.75">
      <c r="C1" s="148"/>
      <c r="H1" s="53" t="str">
        <f>'CU AC Rate Design - True-Up'!H1</f>
        <v>Date: May 31, 2019</v>
      </c>
      <c r="J1" s="149"/>
    </row>
    <row r="2" spans="1:10">
      <c r="C2" s="39"/>
      <c r="D2" s="39"/>
      <c r="H2" s="53" t="s">
        <v>459</v>
      </c>
    </row>
    <row r="3" spans="1:10" ht="12.75">
      <c r="B3" s="304"/>
      <c r="C3" s="304"/>
      <c r="D3" s="304"/>
      <c r="E3" s="304"/>
      <c r="F3" s="304"/>
      <c r="G3" s="304"/>
      <c r="H3" s="304"/>
      <c r="J3" s="149"/>
    </row>
    <row r="4" spans="1:10" ht="12.75">
      <c r="B4" s="150"/>
      <c r="C4" s="148"/>
    </row>
    <row r="5" spans="1:10" ht="12" customHeight="1">
      <c r="B5" s="151"/>
    </row>
    <row r="8" spans="1:10" ht="13.5" customHeight="1">
      <c r="A8" s="152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0" ht="13.5" customHeight="1">
      <c r="A9" s="153" t="s">
        <v>197</v>
      </c>
      <c r="B9" s="44" t="s">
        <v>322</v>
      </c>
      <c r="C9" s="153" t="s">
        <v>302</v>
      </c>
      <c r="D9" s="153" t="s">
        <v>198</v>
      </c>
      <c r="F9" s="153" t="s">
        <v>303</v>
      </c>
      <c r="G9" s="153" t="s">
        <v>199</v>
      </c>
      <c r="H9" s="153" t="s">
        <v>198</v>
      </c>
    </row>
    <row r="10" spans="1:10" ht="13.5" customHeight="1">
      <c r="G10" s="37"/>
    </row>
    <row r="11" spans="1:10">
      <c r="A11" s="36">
        <v>1</v>
      </c>
      <c r="B11" s="33" t="s">
        <v>452</v>
      </c>
      <c r="C11" s="33" t="s">
        <v>397</v>
      </c>
      <c r="D11" s="45">
        <v>3092752</v>
      </c>
      <c r="F11" s="36" t="s">
        <v>387</v>
      </c>
      <c r="G11" s="37">
        <v>1</v>
      </c>
      <c r="H11" s="45">
        <f>D11*G11</f>
        <v>3092752</v>
      </c>
    </row>
    <row r="12" spans="1:10">
      <c r="A12" s="36">
        <f>+A11+1</f>
        <v>2</v>
      </c>
      <c r="B12" s="33" t="s">
        <v>65</v>
      </c>
      <c r="C12" s="33" t="s">
        <v>399</v>
      </c>
      <c r="D12" s="45">
        <v>19265</v>
      </c>
      <c r="F12" s="36" t="s">
        <v>387</v>
      </c>
      <c r="G12" s="37">
        <f>+G11</f>
        <v>1</v>
      </c>
      <c r="H12" s="45">
        <f>D12*G12</f>
        <v>19265</v>
      </c>
    </row>
    <row r="13" spans="1:10">
      <c r="A13" s="36">
        <f t="shared" ref="A13:A34" si="0">+A12+1</f>
        <v>3</v>
      </c>
      <c r="B13" s="33" t="s">
        <v>66</v>
      </c>
      <c r="C13" s="33" t="s">
        <v>400</v>
      </c>
      <c r="D13" s="45">
        <v>12611</v>
      </c>
      <c r="F13" s="36" t="s">
        <v>387</v>
      </c>
      <c r="G13" s="37">
        <f>+G12</f>
        <v>1</v>
      </c>
      <c r="H13" s="45">
        <f>D13*G13</f>
        <v>12611</v>
      </c>
    </row>
    <row r="14" spans="1:10" ht="12" thickBot="1">
      <c r="A14" s="36">
        <f t="shared" si="0"/>
        <v>4</v>
      </c>
      <c r="B14" s="38" t="s">
        <v>325</v>
      </c>
      <c r="C14" s="39"/>
      <c r="D14" s="40">
        <f>+D11-D12-D13</f>
        <v>3060876</v>
      </c>
      <c r="H14" s="41">
        <f>+H11-H12-H13</f>
        <v>3060876</v>
      </c>
    </row>
    <row r="15" spans="1:10">
      <c r="A15" s="36">
        <f t="shared" si="0"/>
        <v>5</v>
      </c>
    </row>
    <row r="16" spans="1:10">
      <c r="A16" s="36">
        <f t="shared" si="0"/>
        <v>6</v>
      </c>
      <c r="B16" s="44" t="s">
        <v>451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v>2819017</v>
      </c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243</v>
      </c>
      <c r="F18" s="84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10438</v>
      </c>
      <c r="F19" s="84"/>
      <c r="G19" s="84"/>
    </row>
    <row r="20" spans="1:7" ht="12" thickBot="1">
      <c r="A20" s="36">
        <f t="shared" si="0"/>
        <v>10</v>
      </c>
      <c r="D20" s="40">
        <f>+D17-D18-D19</f>
        <v>2808336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-252540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2.75">
      <c r="A27" s="36">
        <f t="shared" si="0"/>
        <v>17</v>
      </c>
      <c r="B27" s="33" t="s">
        <v>306</v>
      </c>
      <c r="D27" s="50">
        <f>D20</f>
        <v>2808336</v>
      </c>
    </row>
    <row r="28" spans="1:7" ht="12.75">
      <c r="A28" s="36">
        <f t="shared" si="0"/>
        <v>18</v>
      </c>
      <c r="B28" s="51" t="s">
        <v>307</v>
      </c>
      <c r="D28" s="52">
        <f>'WP7 CU AC LOADS'!J24*1000</f>
        <v>964000</v>
      </c>
      <c r="F28" s="154" t="s">
        <v>308</v>
      </c>
      <c r="G28" s="33" t="s">
        <v>447</v>
      </c>
    </row>
    <row r="29" spans="1:7" ht="12">
      <c r="A29" s="36">
        <f t="shared" si="0"/>
        <v>19</v>
      </c>
      <c r="F29" s="154"/>
    </row>
    <row r="30" spans="1:7" ht="12.75">
      <c r="A30" s="36">
        <f t="shared" si="0"/>
        <v>20</v>
      </c>
      <c r="B30" s="53" t="s">
        <v>309</v>
      </c>
      <c r="D30" s="54">
        <f>D27/D28</f>
        <v>2.9132116182572614</v>
      </c>
      <c r="E30" s="33" t="s">
        <v>310</v>
      </c>
      <c r="F30" s="155" t="s">
        <v>311</v>
      </c>
      <c r="G30" s="33" t="s">
        <v>14</v>
      </c>
    </row>
    <row r="31" spans="1:7" ht="12.75">
      <c r="A31" s="36">
        <f t="shared" si="0"/>
        <v>21</v>
      </c>
      <c r="B31" s="53" t="s">
        <v>312</v>
      </c>
      <c r="D31" s="54">
        <f>D30/12</f>
        <v>0.24276763485477179</v>
      </c>
      <c r="E31" s="33" t="s">
        <v>310</v>
      </c>
      <c r="F31" s="155" t="s">
        <v>313</v>
      </c>
      <c r="G31" s="33" t="s">
        <v>15</v>
      </c>
    </row>
    <row r="32" spans="1:7" ht="12.75">
      <c r="A32" s="36">
        <f t="shared" si="0"/>
        <v>22</v>
      </c>
      <c r="B32" s="53" t="s">
        <v>314</v>
      </c>
      <c r="D32" s="54">
        <f>D30/52</f>
        <v>5.6023300351101181E-2</v>
      </c>
      <c r="E32" s="33" t="s">
        <v>310</v>
      </c>
      <c r="F32" s="155" t="s">
        <v>315</v>
      </c>
      <c r="G32" s="33" t="s">
        <v>16</v>
      </c>
    </row>
    <row r="33" spans="1:8" ht="12.75">
      <c r="A33" s="36">
        <f t="shared" si="0"/>
        <v>23</v>
      </c>
      <c r="B33" s="53" t="s">
        <v>316</v>
      </c>
      <c r="C33" s="36" t="s">
        <v>323</v>
      </c>
      <c r="D33" s="54">
        <f>D30/365</f>
        <v>7.9814016938555103E-3</v>
      </c>
      <c r="E33" s="33" t="s">
        <v>310</v>
      </c>
      <c r="F33" s="155" t="s">
        <v>317</v>
      </c>
      <c r="G33" s="33" t="s">
        <v>17</v>
      </c>
    </row>
    <row r="34" spans="1:8" ht="12.75">
      <c r="A34" s="36">
        <f t="shared" si="0"/>
        <v>24</v>
      </c>
      <c r="B34" s="53" t="s">
        <v>318</v>
      </c>
      <c r="C34" s="36" t="s">
        <v>324</v>
      </c>
      <c r="D34" s="54">
        <f>(D30/8760)*1000</f>
        <v>0.33255840391064628</v>
      </c>
      <c r="E34" s="33" t="s">
        <v>310</v>
      </c>
      <c r="F34" s="155" t="s">
        <v>319</v>
      </c>
      <c r="G34" s="33" t="s">
        <v>18</v>
      </c>
    </row>
    <row r="35" spans="1:8">
      <c r="B35" s="53"/>
    </row>
    <row r="42" spans="1:8" ht="10.5" customHeight="1"/>
    <row r="46" spans="1:8" ht="15.75">
      <c r="H46" s="156"/>
    </row>
    <row r="47" spans="1:8" ht="15">
      <c r="H47" s="157"/>
    </row>
    <row r="48" spans="1:8">
      <c r="H48" s="33" t="s">
        <v>194</v>
      </c>
    </row>
    <row r="52" spans="1:9" ht="14.25">
      <c r="C52" s="158"/>
    </row>
    <row r="53" spans="1:9" ht="14.25">
      <c r="C53" s="158"/>
    </row>
    <row r="54" spans="1:9" ht="14.25">
      <c r="C54" s="159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60"/>
      <c r="O92" s="160"/>
      <c r="P92" s="160"/>
      <c r="Q92" s="160"/>
      <c r="R92" s="160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60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60"/>
      <c r="O94" s="160"/>
      <c r="P94" s="160"/>
      <c r="Q94" s="160"/>
      <c r="R94" s="160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2019-05-28T14:23:33Z</cp:lastPrinted>
  <dcterms:created xsi:type="dcterms:W3CDTF">1997-04-03T19:40:56Z</dcterms:created>
  <dcterms:modified xsi:type="dcterms:W3CDTF">2020-05-28T22:09:02Z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