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IHCS_2020 Workfront\66563_20_BHBE 2019 Adjustments\Originals\"/>
    </mc:Choice>
  </mc:AlternateContent>
  <xr:revisionPtr revIDLastSave="0" documentId="8_{C2890F24-F0B9-4E36-A604-22B71083CA68}" xr6:coauthVersionLast="44" xr6:coauthVersionMax="44" xr10:uidLastSave="{00000000-0000-0000-0000-000000000000}"/>
  <bookViews>
    <workbookView xWindow="780" yWindow="780" windowWidth="19245" windowHeight="14820" tabRatio="923" firstSheet="4" activeTab="13"/>
  </bookViews>
  <sheets>
    <sheet name="RCDC Rev Req" sheetId="12" state="hidden" r:id="rId1"/>
    <sheet name="RCDC Detail" sheetId="23" state="hidden" r:id="rId2"/>
    <sheet name="CU AC Rate Design" sheetId="11" r:id="rId3"/>
    <sheet name="CU AC Rate Design - True-Up" sheetId="41" r:id="rId4"/>
    <sheet name="Estimate" sheetId="1" r:id="rId5"/>
    <sheet name="True-Up" sheetId="35" r:id="rId6"/>
    <sheet name="Capital True-up" sheetId="31" r:id="rId7"/>
    <sheet name="BHP WP1" sheetId="25" r:id="rId8"/>
    <sheet name="BHP WP2" sheetId="27" r:id="rId9"/>
    <sheet name="BHP WP3" sheetId="32" r:id="rId10"/>
    <sheet name="BHP WP4" sheetId="36" r:id="rId11"/>
    <sheet name="BHP WP4A" sheetId="38" r:id="rId12"/>
    <sheet name="BHP WP5" sheetId="34" r:id="rId13"/>
    <sheet name="True-Up Rate Base" sheetId="37" r:id="rId14"/>
    <sheet name="CU AC LOADS WP7" sheetId="24" r:id="rId15"/>
    <sheet name="BHP Sch. 1" sheetId="3" r:id="rId16"/>
    <sheet name="BHP Sch. 2" sheetId="4" state="hidden" r:id="rId17"/>
    <sheet name="BPH Sch. 2 a" sheetId="9" state="hidden" r:id="rId18"/>
    <sheet name="BHP Sch. 2 b" sheetId="10" state="hidden" r:id="rId19"/>
    <sheet name="BEPC ATRR" sheetId="14" state="hidden" r:id="rId20"/>
    <sheet name="BEPC Facilities" sheetId="15" state="hidden" r:id="rId21"/>
    <sheet name="BEPC WP2" sheetId="26" state="hidden" r:id="rId22"/>
    <sheet name="PREC ATRR" sheetId="16" state="hidden" r:id="rId23"/>
    <sheet name="PREC Facilities" sheetId="17" state="hidden" r:id="rId24"/>
    <sheet name="PREC Gross Plant" sheetId="18" state="hidden" r:id="rId25"/>
    <sheet name="PREC Reg Exp" sheetId="19" state="hidden" r:id="rId26"/>
    <sheet name="PREC Deprec System" sheetId="20" state="hidden" r:id="rId27"/>
    <sheet name="PREC Deprec CU " sheetId="21" state="hidden" r:id="rId28"/>
    <sheet name="PREC Materials" sheetId="22" state="hidden" r:id="rId29"/>
  </sheets>
  <externalReferences>
    <externalReference r:id="rId30"/>
  </externalReferences>
  <definedNames>
    <definedName name="_xlnm.Print_Area" localSheetId="19">'BEPC ATRR'!$A$1:$P$223</definedName>
    <definedName name="_xlnm.Print_Area" localSheetId="20">'BEPC Facilities'!$A$1:$G$26</definedName>
    <definedName name="_xlnm.Print_Area" localSheetId="15">'BHP Sch. 1'!$A$1:$I$37</definedName>
    <definedName name="_xlnm.Print_Area" localSheetId="16">'BHP Sch. 2'!$A$1:$L$50</definedName>
    <definedName name="_xlnm.Print_Area" localSheetId="18">'BHP Sch. 2 b'!$A$1:$G$68</definedName>
    <definedName name="_xlnm.Print_Area" localSheetId="7">'BHP WP1'!$A$1:$E$44</definedName>
    <definedName name="_xlnm.Print_Area" localSheetId="8">'BHP WP2'!$A$1:$G$56</definedName>
    <definedName name="_xlnm.Print_Area" localSheetId="9">'BHP WP3'!$A$1:$G$30</definedName>
    <definedName name="_xlnm.Print_Area" localSheetId="10">'BHP WP4'!$A$1:$F$31</definedName>
    <definedName name="_xlnm.Print_Area" localSheetId="11">'BHP WP4A'!$A$1:$G$33</definedName>
    <definedName name="_xlnm.Print_Area" localSheetId="12">'BHP WP5'!$A$7:$K$45</definedName>
    <definedName name="_xlnm.Print_Area" localSheetId="6">'Capital True-up'!$A$1:$P$74</definedName>
    <definedName name="_xlnm.Print_Area" localSheetId="14">'CU AC LOADS WP7'!$A$1:$J$45</definedName>
    <definedName name="_xlnm.Print_Area" localSheetId="2">'CU AC Rate Design'!$A$1:$H$36</definedName>
    <definedName name="_xlnm.Print_Area" localSheetId="3">'CU AC Rate Design - True-Up'!$A$1:$H$36</definedName>
    <definedName name="_xlnm.Print_Area" localSheetId="4">Estimate!$A$1:$K$246</definedName>
    <definedName name="_xlnm.Print_Area" localSheetId="22">'PREC ATRR'!$A$1:$O$216</definedName>
    <definedName name="_xlnm.Print_Area" localSheetId="26">'PREC Deprec System'!$A$1:$I$34</definedName>
    <definedName name="_xlnm.Print_Area" localSheetId="5">'True-Up'!$A$1:$K$237</definedName>
    <definedName name="_xlnm.Print_Area" localSheetId="13">'True-Up Rate Base'!$A$1:$R$67</definedName>
    <definedName name="_xlnm.Print_Titles" localSheetId="13">'True-Up Rate Base'!$A:$A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37" l="1"/>
  <c r="G51" i="37"/>
  <c r="E46" i="35"/>
  <c r="E51" i="37"/>
  <c r="Q30" i="37"/>
  <c r="Q32" i="37"/>
  <c r="P30" i="37"/>
  <c r="P40" i="37"/>
  <c r="O30" i="37"/>
  <c r="N30" i="37"/>
  <c r="N40" i="37"/>
  <c r="M30" i="37"/>
  <c r="L30" i="37"/>
  <c r="K30" i="37"/>
  <c r="J30" i="37"/>
  <c r="I30" i="37"/>
  <c r="H30" i="37"/>
  <c r="G30" i="37"/>
  <c r="F30" i="37"/>
  <c r="R30" i="37"/>
  <c r="E30" i="37"/>
  <c r="Q28" i="37"/>
  <c r="P28" i="37"/>
  <c r="P38" i="37"/>
  <c r="O28" i="37"/>
  <c r="O38" i="37"/>
  <c r="N28" i="37"/>
  <c r="M28" i="37"/>
  <c r="L28" i="37"/>
  <c r="K28" i="37"/>
  <c r="J28" i="37"/>
  <c r="I28" i="37"/>
  <c r="H28" i="37"/>
  <c r="G28" i="37"/>
  <c r="F28" i="37"/>
  <c r="E28" i="37"/>
  <c r="E32" i="37"/>
  <c r="Q26" i="37"/>
  <c r="P26" i="37"/>
  <c r="O26" i="37"/>
  <c r="O36" i="37"/>
  <c r="N26" i="37"/>
  <c r="N36" i="37"/>
  <c r="M26" i="37"/>
  <c r="L26" i="37"/>
  <c r="L36" i="37"/>
  <c r="K26" i="37"/>
  <c r="J26" i="37"/>
  <c r="I26" i="37"/>
  <c r="H26" i="37"/>
  <c r="G26" i="37"/>
  <c r="F26" i="37"/>
  <c r="E26" i="37"/>
  <c r="E36" i="37"/>
  <c r="L54" i="37"/>
  <c r="K54" i="37"/>
  <c r="Q82" i="37"/>
  <c r="P82" i="37"/>
  <c r="O82" i="37"/>
  <c r="N82" i="37"/>
  <c r="M82" i="37"/>
  <c r="L82" i="37"/>
  <c r="K82" i="37"/>
  <c r="J82" i="37"/>
  <c r="I82" i="37"/>
  <c r="H82" i="37"/>
  <c r="G82" i="37"/>
  <c r="F82" i="37"/>
  <c r="E82" i="37"/>
  <c r="R81" i="37"/>
  <c r="R80" i="37"/>
  <c r="Q78" i="37"/>
  <c r="P78" i="37"/>
  <c r="O78" i="37"/>
  <c r="N78" i="37"/>
  <c r="M78" i="37"/>
  <c r="L78" i="37"/>
  <c r="K78" i="37"/>
  <c r="J78" i="37"/>
  <c r="I78" i="37"/>
  <c r="H78" i="37"/>
  <c r="G78" i="37"/>
  <c r="F78" i="37"/>
  <c r="E78" i="37"/>
  <c r="R77" i="37"/>
  <c r="R76" i="37"/>
  <c r="Q74" i="37"/>
  <c r="P74" i="37"/>
  <c r="O74" i="37"/>
  <c r="N74" i="37"/>
  <c r="M74" i="37"/>
  <c r="L74" i="37"/>
  <c r="K74" i="37"/>
  <c r="J74" i="37"/>
  <c r="I74" i="37"/>
  <c r="H74" i="37"/>
  <c r="G74" i="37"/>
  <c r="F74" i="37"/>
  <c r="E74" i="37"/>
  <c r="R73" i="37"/>
  <c r="R72" i="37"/>
  <c r="K74" i="31"/>
  <c r="M50" i="31"/>
  <c r="N50" i="31"/>
  <c r="E175" i="35"/>
  <c r="N18" i="37"/>
  <c r="M18" i="37"/>
  <c r="L18" i="37"/>
  <c r="N16" i="37"/>
  <c r="M16" i="37"/>
  <c r="M36" i="37"/>
  <c r="L16" i="37"/>
  <c r="L15" i="37"/>
  <c r="J11" i="24"/>
  <c r="D24" i="24"/>
  <c r="J193" i="35"/>
  <c r="E198" i="35"/>
  <c r="E199" i="35"/>
  <c r="F197" i="35"/>
  <c r="J139" i="35"/>
  <c r="J24" i="24"/>
  <c r="J20" i="24"/>
  <c r="J16" i="24"/>
  <c r="F14" i="41"/>
  <c r="F13" i="41"/>
  <c r="J184" i="35"/>
  <c r="H196" i="35"/>
  <c r="J196" i="35"/>
  <c r="J157" i="35"/>
  <c r="G62" i="37"/>
  <c r="G65" i="37"/>
  <c r="Q19" i="37"/>
  <c r="P19" i="37"/>
  <c r="P39" i="37"/>
  <c r="O19" i="37"/>
  <c r="N19" i="37"/>
  <c r="N39" i="37"/>
  <c r="M19" i="37"/>
  <c r="L19" i="37"/>
  <c r="Q18" i="37"/>
  <c r="Q38" i="37"/>
  <c r="Q15" i="37"/>
  <c r="P18" i="37"/>
  <c r="P15" i="37"/>
  <c r="P22" i="37"/>
  <c r="O18" i="37"/>
  <c r="O15" i="37"/>
  <c r="O35" i="37"/>
  <c r="N15" i="37"/>
  <c r="N22" i="37"/>
  <c r="M15" i="37"/>
  <c r="M22" i="37"/>
  <c r="M35" i="37"/>
  <c r="E41" i="37"/>
  <c r="E40" i="37"/>
  <c r="E37" i="37"/>
  <c r="E35" i="37"/>
  <c r="E29" i="37"/>
  <c r="R29" i="37"/>
  <c r="E29" i="35"/>
  <c r="E18" i="37"/>
  <c r="E22" i="37"/>
  <c r="E95" i="35"/>
  <c r="E101" i="35"/>
  <c r="H11" i="3"/>
  <c r="F55" i="37"/>
  <c r="E55" i="37"/>
  <c r="E56" i="37"/>
  <c r="F24" i="24"/>
  <c r="F44" i="24"/>
  <c r="R17" i="37"/>
  <c r="J146" i="35"/>
  <c r="J147" i="35"/>
  <c r="R20" i="37"/>
  <c r="E20" i="35"/>
  <c r="J22" i="24"/>
  <c r="J21" i="24"/>
  <c r="J19" i="24"/>
  <c r="J18" i="24"/>
  <c r="J17" i="24"/>
  <c r="J15" i="24"/>
  <c r="J14" i="24"/>
  <c r="J13" i="24"/>
  <c r="J12" i="24"/>
  <c r="I24" i="24"/>
  <c r="H24" i="24"/>
  <c r="G24" i="24"/>
  <c r="E24" i="24"/>
  <c r="E105" i="35"/>
  <c r="E85" i="35"/>
  <c r="E56" i="35"/>
  <c r="G25" i="35"/>
  <c r="G45" i="35"/>
  <c r="G99" i="35"/>
  <c r="G80" i="35"/>
  <c r="G82" i="35"/>
  <c r="N37" i="35"/>
  <c r="N27" i="35"/>
  <c r="N17" i="35"/>
  <c r="F20" i="27"/>
  <c r="G24" i="32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E12" i="21"/>
  <c r="E13" i="21"/>
  <c r="E14" i="21"/>
  <c r="E15" i="21"/>
  <c r="A16" i="21"/>
  <c r="B16" i="21"/>
  <c r="D16" i="21"/>
  <c r="E16" i="21"/>
  <c r="E17" i="21"/>
  <c r="E18" i="21"/>
  <c r="E19" i="21"/>
  <c r="C20" i="21"/>
  <c r="H14" i="20"/>
  <c r="H15" i="20"/>
  <c r="H16" i="20"/>
  <c r="H17" i="20"/>
  <c r="H18" i="20"/>
  <c r="H19" i="20"/>
  <c r="G20" i="20"/>
  <c r="H20" i="20"/>
  <c r="G21" i="20"/>
  <c r="G26" i="20"/>
  <c r="G33" i="20"/>
  <c r="E119" i="16"/>
  <c r="H21" i="20"/>
  <c r="G22" i="20"/>
  <c r="H22" i="20"/>
  <c r="G23" i="20"/>
  <c r="H23" i="20"/>
  <c r="G24" i="20"/>
  <c r="H24" i="20"/>
  <c r="G25" i="20"/>
  <c r="H25" i="20"/>
  <c r="C26" i="20"/>
  <c r="D26" i="20"/>
  <c r="G32" i="20"/>
  <c r="E26" i="20"/>
  <c r="G31" i="20"/>
  <c r="E117" i="16"/>
  <c r="F26" i="20"/>
  <c r="G34" i="20"/>
  <c r="C13" i="19"/>
  <c r="C19" i="19"/>
  <c r="C21" i="19"/>
  <c r="E111" i="16"/>
  <c r="J111" i="16"/>
  <c r="C28" i="19"/>
  <c r="C17" i="18"/>
  <c r="C23" i="18"/>
  <c r="C26" i="18"/>
  <c r="C27" i="18"/>
  <c r="C28" i="18"/>
  <c r="C38" i="18"/>
  <c r="C44" i="18"/>
  <c r="F12" i="17"/>
  <c r="G12" i="17"/>
  <c r="F13" i="17"/>
  <c r="F18" i="17"/>
  <c r="G13" i="17"/>
  <c r="F14" i="17"/>
  <c r="F15" i="17"/>
  <c r="G15" i="17"/>
  <c r="F16" i="17"/>
  <c r="G16" i="17"/>
  <c r="F17" i="17"/>
  <c r="G17" i="17"/>
  <c r="G18" i="17"/>
  <c r="O117" i="16"/>
  <c r="D18" i="17"/>
  <c r="O55" i="16"/>
  <c r="E18" i="17"/>
  <c r="O2" i="16"/>
  <c r="J8" i="16"/>
  <c r="J9" i="16"/>
  <c r="E113" i="16"/>
  <c r="E114" i="16"/>
  <c r="E87" i="16"/>
  <c r="E90" i="16"/>
  <c r="O66" i="16"/>
  <c r="C43" i="16"/>
  <c r="D43" i="16"/>
  <c r="D44" i="16"/>
  <c r="D46" i="16"/>
  <c r="J55" i="16"/>
  <c r="J58" i="16"/>
  <c r="O58" i="16"/>
  <c r="O80" i="16"/>
  <c r="A62" i="16"/>
  <c r="E62" i="16"/>
  <c r="L62" i="16"/>
  <c r="A64" i="16"/>
  <c r="A65" i="16"/>
  <c r="A66" i="16"/>
  <c r="A67" i="16"/>
  <c r="A68" i="16"/>
  <c r="A69" i="16"/>
  <c r="A70" i="16"/>
  <c r="A71" i="16"/>
  <c r="A72" i="16"/>
  <c r="A73" i="16"/>
  <c r="A75" i="16"/>
  <c r="A76" i="16"/>
  <c r="A77" i="16"/>
  <c r="C65" i="16"/>
  <c r="C76" i="16"/>
  <c r="G66" i="16"/>
  <c r="H66" i="16"/>
  <c r="J66" i="16"/>
  <c r="L66" i="16"/>
  <c r="M66" i="16"/>
  <c r="C67" i="16"/>
  <c r="C68" i="16"/>
  <c r="C79" i="16"/>
  <c r="C69" i="16"/>
  <c r="C80" i="16"/>
  <c r="J69" i="16"/>
  <c r="O69" i="16"/>
  <c r="C70" i="16"/>
  <c r="C81" i="16"/>
  <c r="C71" i="16"/>
  <c r="C72" i="16"/>
  <c r="C83" i="16"/>
  <c r="E73" i="16"/>
  <c r="E76" i="16"/>
  <c r="J76" i="16"/>
  <c r="O76" i="16"/>
  <c r="C77" i="16"/>
  <c r="E77" i="16"/>
  <c r="E78" i="16"/>
  <c r="J78" i="16"/>
  <c r="O78" i="16"/>
  <c r="E79" i="16"/>
  <c r="H79" i="16"/>
  <c r="J79" i="16"/>
  <c r="O79" i="16"/>
  <c r="E80" i="16"/>
  <c r="H80" i="16"/>
  <c r="H81" i="16"/>
  <c r="J80" i="16"/>
  <c r="E81" i="16"/>
  <c r="J81" i="16"/>
  <c r="O81" i="16"/>
  <c r="C82" i="16"/>
  <c r="E82" i="16"/>
  <c r="H82" i="16"/>
  <c r="A83" i="16"/>
  <c r="A84" i="16"/>
  <c r="E83" i="16"/>
  <c r="J83" i="16"/>
  <c r="O83" i="16"/>
  <c r="L84" i="16"/>
  <c r="G85" i="16"/>
  <c r="H85" i="16"/>
  <c r="L87" i="16"/>
  <c r="J88" i="16"/>
  <c r="H89" i="16"/>
  <c r="C95" i="16"/>
  <c r="D95" i="16"/>
  <c r="D96" i="16"/>
  <c r="D98" i="16"/>
  <c r="J105" i="16"/>
  <c r="J106" i="16"/>
  <c r="O106" i="16"/>
  <c r="J107" i="16"/>
  <c r="L107" i="16"/>
  <c r="M107" i="16"/>
  <c r="O107" i="16"/>
  <c r="H108" i="16"/>
  <c r="J108" i="16"/>
  <c r="L110" i="16"/>
  <c r="M111" i="16"/>
  <c r="M113" i="16"/>
  <c r="C112" i="16"/>
  <c r="C113" i="16"/>
  <c r="G113" i="16"/>
  <c r="G117" i="16"/>
  <c r="H113" i="16"/>
  <c r="C117" i="16"/>
  <c r="E118" i="16"/>
  <c r="C119" i="16"/>
  <c r="G119" i="16"/>
  <c r="L119" i="16"/>
  <c r="L124" i="16"/>
  <c r="G125" i="16"/>
  <c r="L125" i="16"/>
  <c r="H127" i="16"/>
  <c r="H129" i="16"/>
  <c r="J129" i="16"/>
  <c r="H130" i="16"/>
  <c r="E131" i="16"/>
  <c r="C139" i="16"/>
  <c r="D139" i="16"/>
  <c r="D140" i="16"/>
  <c r="D142" i="16"/>
  <c r="J148" i="16"/>
  <c r="J157" i="16"/>
  <c r="J159" i="16"/>
  <c r="H168" i="16"/>
  <c r="H169" i="16"/>
  <c r="H170" i="16"/>
  <c r="H171" i="16"/>
  <c r="E172" i="16"/>
  <c r="E180" i="16"/>
  <c r="H178" i="16"/>
  <c r="D186" i="16"/>
  <c r="E187" i="16"/>
  <c r="C194" i="16"/>
  <c r="D194" i="16"/>
  <c r="D195" i="16"/>
  <c r="D197" i="16"/>
  <c r="A5" i="26"/>
  <c r="C13" i="26"/>
  <c r="C17" i="26"/>
  <c r="C19" i="26"/>
  <c r="E122" i="14"/>
  <c r="C26" i="26"/>
  <c r="E123" i="14"/>
  <c r="J123" i="14"/>
  <c r="E12" i="15"/>
  <c r="E16" i="15"/>
  <c r="E13" i="15"/>
  <c r="E14" i="15"/>
  <c r="E15" i="15"/>
  <c r="C16" i="15"/>
  <c r="D16" i="15"/>
  <c r="D18" i="15"/>
  <c r="P65" i="14"/>
  <c r="F16" i="15"/>
  <c r="F18" i="15"/>
  <c r="P128" i="14"/>
  <c r="C18" i="15"/>
  <c r="E22" i="15"/>
  <c r="E23" i="15"/>
  <c r="E24" i="15"/>
  <c r="E25" i="15"/>
  <c r="E26" i="15"/>
  <c r="P59" i="14"/>
  <c r="P82" i="14"/>
  <c r="P71" i="14"/>
  <c r="C42" i="14"/>
  <c r="E42" i="14"/>
  <c r="P42" i="14"/>
  <c r="N47" i="14"/>
  <c r="O47" i="14"/>
  <c r="P47" i="14"/>
  <c r="A24" i="15"/>
  <c r="Q47" i="14"/>
  <c r="D48" i="14"/>
  <c r="L48" i="14"/>
  <c r="N48" i="14"/>
  <c r="O48" i="14"/>
  <c r="P48" i="14"/>
  <c r="Q48" i="14"/>
  <c r="J53" i="14"/>
  <c r="L59" i="14"/>
  <c r="E60" i="14"/>
  <c r="J65" i="14"/>
  <c r="J76" i="14"/>
  <c r="C68" i="14"/>
  <c r="C79" i="14"/>
  <c r="J68" i="14"/>
  <c r="L71" i="14"/>
  <c r="E72" i="14"/>
  <c r="E75" i="14"/>
  <c r="E76" i="14"/>
  <c r="L14" i="14"/>
  <c r="N76" i="14"/>
  <c r="O76" i="14"/>
  <c r="Q76" i="14"/>
  <c r="E77" i="14"/>
  <c r="E78" i="14"/>
  <c r="E79" i="14"/>
  <c r="J79" i="14"/>
  <c r="N79" i="14"/>
  <c r="O79" i="14"/>
  <c r="P79" i="14"/>
  <c r="Q79" i="14"/>
  <c r="C80" i="14"/>
  <c r="E80" i="14"/>
  <c r="E81" i="14"/>
  <c r="E82" i="14"/>
  <c r="J82" i="14"/>
  <c r="N82" i="14"/>
  <c r="O82" i="14"/>
  <c r="Q82" i="14"/>
  <c r="L87" i="14"/>
  <c r="L89" i="14"/>
  <c r="C104" i="14"/>
  <c r="P104" i="14"/>
  <c r="P153" i="14"/>
  <c r="N109" i="14"/>
  <c r="O109" i="14"/>
  <c r="P109" i="14"/>
  <c r="Q109" i="14"/>
  <c r="E110" i="14"/>
  <c r="N110" i="14"/>
  <c r="O110" i="14"/>
  <c r="P110" i="14"/>
  <c r="Q110" i="14"/>
  <c r="E114" i="14"/>
  <c r="J115" i="14"/>
  <c r="E116" i="14"/>
  <c r="J116" i="14"/>
  <c r="E118" i="14"/>
  <c r="J119" i="14"/>
  <c r="L120" i="14"/>
  <c r="D122" i="14"/>
  <c r="H123" i="14"/>
  <c r="M123" i="14"/>
  <c r="J128" i="14"/>
  <c r="J129" i="14"/>
  <c r="E131" i="14"/>
  <c r="J131" i="14"/>
  <c r="L131" i="14"/>
  <c r="D131" i="14"/>
  <c r="P131" i="14"/>
  <c r="E132" i="14"/>
  <c r="E143" i="14"/>
  <c r="C153" i="14"/>
  <c r="P164" i="14"/>
  <c r="E167" i="14"/>
  <c r="O167" i="14"/>
  <c r="O175" i="14"/>
  <c r="O172" i="14"/>
  <c r="E172" i="14"/>
  <c r="L172" i="14"/>
  <c r="H58" i="14"/>
  <c r="A179" i="14"/>
  <c r="E179" i="14"/>
  <c r="A180" i="14"/>
  <c r="E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6" i="14"/>
  <c r="A197" i="14"/>
  <c r="A198" i="14"/>
  <c r="E182" i="14"/>
  <c r="A199" i="14"/>
  <c r="A200" i="14"/>
  <c r="A207" i="14"/>
  <c r="A208" i="14"/>
  <c r="A209" i="14"/>
  <c r="E209" i="14"/>
  <c r="B1" i="9"/>
  <c r="B1" i="10"/>
  <c r="A4" i="4"/>
  <c r="L2" i="4"/>
  <c r="L1" i="9"/>
  <c r="G2" i="10"/>
  <c r="D39" i="10"/>
  <c r="E39" i="10"/>
  <c r="D9" i="10"/>
  <c r="F46" i="10"/>
  <c r="F48" i="10"/>
  <c r="F47" i="10"/>
  <c r="F50" i="10"/>
  <c r="F52" i="10"/>
  <c r="F53" i="10"/>
  <c r="F55" i="10"/>
  <c r="F56" i="10"/>
  <c r="F58" i="10"/>
  <c r="F60" i="10"/>
  <c r="F62" i="10"/>
  <c r="F64" i="10"/>
  <c r="F66" i="10"/>
  <c r="E4" i="9"/>
  <c r="F4" i="9"/>
  <c r="H4" i="9"/>
  <c r="I4" i="9"/>
  <c r="E5" i="9"/>
  <c r="F5" i="9"/>
  <c r="H5" i="9"/>
  <c r="I5" i="9"/>
  <c r="L9" i="9"/>
  <c r="L11" i="9"/>
  <c r="L10" i="9"/>
  <c r="H8" i="4"/>
  <c r="F17" i="9"/>
  <c r="G17" i="9"/>
  <c r="G18" i="9"/>
  <c r="F18" i="9"/>
  <c r="F20" i="9"/>
  <c r="G20" i="9"/>
  <c r="H20" i="9"/>
  <c r="F22" i="9"/>
  <c r="G22" i="9"/>
  <c r="G23" i="9"/>
  <c r="H23" i="9"/>
  <c r="F23" i="9"/>
  <c r="F25" i="9"/>
  <c r="G25" i="9"/>
  <c r="G26" i="9"/>
  <c r="H26" i="9"/>
  <c r="F26" i="9"/>
  <c r="F28" i="9"/>
  <c r="G28" i="9"/>
  <c r="H28" i="9"/>
  <c r="F30" i="9"/>
  <c r="G30" i="9"/>
  <c r="H30" i="9"/>
  <c r="F32" i="9"/>
  <c r="G32" i="9"/>
  <c r="H32" i="9"/>
  <c r="F34" i="9"/>
  <c r="G34" i="9"/>
  <c r="H34" i="9"/>
  <c r="F36" i="9"/>
  <c r="G36" i="9"/>
  <c r="H36" i="9"/>
  <c r="D38" i="9"/>
  <c r="H10" i="4"/>
  <c r="I10" i="4"/>
  <c r="A14" i="4"/>
  <c r="A16" i="4"/>
  <c r="A18" i="4"/>
  <c r="A20" i="4"/>
  <c r="A22" i="4"/>
  <c r="A24" i="4"/>
  <c r="A26" i="4"/>
  <c r="A29" i="4"/>
  <c r="A31" i="4"/>
  <c r="A33" i="4"/>
  <c r="H20" i="4"/>
  <c r="J31" i="24"/>
  <c r="J32" i="24"/>
  <c r="J33" i="24"/>
  <c r="J34" i="24"/>
  <c r="J35" i="24"/>
  <c r="J36" i="24"/>
  <c r="J37" i="24"/>
  <c r="J38" i="24"/>
  <c r="J39" i="24"/>
  <c r="J40" i="24"/>
  <c r="J41" i="24"/>
  <c r="J42" i="24"/>
  <c r="A47" i="4"/>
  <c r="H47" i="4"/>
  <c r="A48" i="4"/>
  <c r="A49" i="4"/>
  <c r="A50" i="4"/>
  <c r="I48" i="4"/>
  <c r="I49" i="4"/>
  <c r="A12" i="3"/>
  <c r="A13" i="3"/>
  <c r="G12" i="3"/>
  <c r="H12" i="3"/>
  <c r="G13" i="3"/>
  <c r="H13" i="3"/>
  <c r="A14" i="3"/>
  <c r="A15" i="3"/>
  <c r="A16" i="3"/>
  <c r="A17" i="3"/>
  <c r="D14" i="3"/>
  <c r="A18" i="3"/>
  <c r="A19" i="3"/>
  <c r="A20" i="3"/>
  <c r="D20" i="3"/>
  <c r="D27" i="3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D44" i="24"/>
  <c r="E44" i="24"/>
  <c r="G44" i="24"/>
  <c r="H44" i="24"/>
  <c r="I44" i="24"/>
  <c r="I114" i="24"/>
  <c r="I115" i="24"/>
  <c r="A16" i="37"/>
  <c r="R21" i="37"/>
  <c r="E21" i="35"/>
  <c r="C25" i="37"/>
  <c r="C35" i="37"/>
  <c r="R25" i="37"/>
  <c r="R27" i="37"/>
  <c r="J164" i="35"/>
  <c r="J165" i="35"/>
  <c r="C28" i="37"/>
  <c r="C38" i="37"/>
  <c r="C30" i="37"/>
  <c r="C40" i="37"/>
  <c r="C31" i="37"/>
  <c r="R31" i="37"/>
  <c r="E31" i="35"/>
  <c r="M32" i="37"/>
  <c r="L35" i="37"/>
  <c r="P35" i="37"/>
  <c r="P36" i="37"/>
  <c r="Q36" i="37"/>
  <c r="E179" i="35"/>
  <c r="L37" i="37"/>
  <c r="M37" i="37"/>
  <c r="N37" i="37"/>
  <c r="O37" i="37"/>
  <c r="P37" i="37"/>
  <c r="Q37" i="37"/>
  <c r="M38" i="37"/>
  <c r="N38" i="37"/>
  <c r="L39" i="37"/>
  <c r="M39" i="37"/>
  <c r="Q39" i="37"/>
  <c r="L40" i="37"/>
  <c r="M40" i="37"/>
  <c r="O40" i="37"/>
  <c r="Q40" i="37"/>
  <c r="C41" i="37"/>
  <c r="L41" i="37"/>
  <c r="M41" i="37"/>
  <c r="N41" i="37"/>
  <c r="O41" i="37"/>
  <c r="P41" i="37"/>
  <c r="Q41" i="37"/>
  <c r="G52" i="37"/>
  <c r="G53" i="37"/>
  <c r="E48" i="35"/>
  <c r="G54" i="37"/>
  <c r="G58" i="37"/>
  <c r="E53" i="35"/>
  <c r="J53" i="35"/>
  <c r="G61" i="37"/>
  <c r="G63" i="37"/>
  <c r="G64" i="37"/>
  <c r="E59" i="35"/>
  <c r="E65" i="37"/>
  <c r="F65" i="37"/>
  <c r="H117" i="34"/>
  <c r="H118" i="34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E12" i="38"/>
  <c r="F12" i="38"/>
  <c r="G12" i="38"/>
  <c r="F14" i="38"/>
  <c r="G14" i="38"/>
  <c r="G20" i="38"/>
  <c r="F24" i="38"/>
  <c r="F28" i="38"/>
  <c r="G24" i="38"/>
  <c r="F26" i="38"/>
  <c r="G26" i="38"/>
  <c r="G28" i="38"/>
  <c r="H116" i="38"/>
  <c r="H117" i="38"/>
  <c r="E12" i="36"/>
  <c r="F12" i="36"/>
  <c r="F14" i="36"/>
  <c r="F20" i="36"/>
  <c r="F22" i="36"/>
  <c r="F24" i="36"/>
  <c r="F26" i="36"/>
  <c r="G114" i="36"/>
  <c r="G115" i="36"/>
  <c r="G8" i="32"/>
  <c r="G9" i="32"/>
  <c r="G10" i="32"/>
  <c r="G11" i="32"/>
  <c r="G12" i="32"/>
  <c r="G13" i="32"/>
  <c r="G14" i="32"/>
  <c r="G15" i="32"/>
  <c r="G16" i="32"/>
  <c r="E17" i="32"/>
  <c r="G18" i="32"/>
  <c r="G19" i="32"/>
  <c r="G20" i="32"/>
  <c r="H108" i="32"/>
  <c r="H109" i="32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F18" i="27"/>
  <c r="F19" i="27"/>
  <c r="H114" i="27"/>
  <c r="H115" i="27"/>
  <c r="D17" i="25"/>
  <c r="D19" i="25"/>
  <c r="E88" i="1"/>
  <c r="E90" i="1"/>
  <c r="E61" i="1"/>
  <c r="H114" i="25"/>
  <c r="H115" i="25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E29" i="31"/>
  <c r="E58" i="35"/>
  <c r="E17" i="35"/>
  <c r="E49" i="35"/>
  <c r="A16" i="35"/>
  <c r="A17" i="35"/>
  <c r="A18" i="35"/>
  <c r="A19" i="35"/>
  <c r="A20" i="35"/>
  <c r="A21" i="35"/>
  <c r="C25" i="35"/>
  <c r="C35" i="35"/>
  <c r="H25" i="35"/>
  <c r="C28" i="35"/>
  <c r="C38" i="35"/>
  <c r="G28" i="35"/>
  <c r="G29" i="35"/>
  <c r="C30" i="35"/>
  <c r="C40" i="35"/>
  <c r="G30" i="35"/>
  <c r="C31" i="35"/>
  <c r="C41" i="35"/>
  <c r="G31" i="35"/>
  <c r="H31" i="35"/>
  <c r="H84" i="35"/>
  <c r="G47" i="35"/>
  <c r="G48" i="35"/>
  <c r="G49" i="35"/>
  <c r="G50" i="35"/>
  <c r="I64" i="35"/>
  <c r="J64" i="35"/>
  <c r="G72" i="35"/>
  <c r="G73" i="35"/>
  <c r="G77" i="35"/>
  <c r="G81" i="35"/>
  <c r="G83" i="35"/>
  <c r="D84" i="35"/>
  <c r="C88" i="35"/>
  <c r="C90" i="35"/>
  <c r="G96" i="35"/>
  <c r="D100" i="35"/>
  <c r="G100" i="35"/>
  <c r="I123" i="35"/>
  <c r="H173" i="35"/>
  <c r="H174" i="35"/>
  <c r="H197" i="35"/>
  <c r="J198" i="35"/>
  <c r="I201" i="35"/>
  <c r="J201" i="35"/>
  <c r="A16" i="1"/>
  <c r="A17" i="1"/>
  <c r="D18" i="1"/>
  <c r="G18" i="1"/>
  <c r="E20" i="1"/>
  <c r="J23" i="1"/>
  <c r="C27" i="1"/>
  <c r="E27" i="1"/>
  <c r="G27" i="1"/>
  <c r="H27" i="1"/>
  <c r="G29" i="1"/>
  <c r="C31" i="1"/>
  <c r="D31" i="1"/>
  <c r="G31" i="1"/>
  <c r="G32" i="1"/>
  <c r="C33" i="1"/>
  <c r="C45" i="1"/>
  <c r="D33" i="1"/>
  <c r="G33" i="1"/>
  <c r="C34" i="1"/>
  <c r="C46" i="1"/>
  <c r="G34" i="1"/>
  <c r="H34" i="1"/>
  <c r="C38" i="1"/>
  <c r="E38" i="1"/>
  <c r="E39" i="1"/>
  <c r="C40" i="1"/>
  <c r="E42" i="1"/>
  <c r="C43" i="1"/>
  <c r="E44" i="1"/>
  <c r="E46" i="1"/>
  <c r="G50" i="1"/>
  <c r="G52" i="1"/>
  <c r="G53" i="1"/>
  <c r="G54" i="1"/>
  <c r="G55" i="1"/>
  <c r="E55" i="1"/>
  <c r="J58" i="1"/>
  <c r="J69" i="1"/>
  <c r="G77" i="1"/>
  <c r="G78" i="1"/>
  <c r="E82" i="1"/>
  <c r="G82" i="1"/>
  <c r="J84" i="1"/>
  <c r="G85" i="1"/>
  <c r="E86" i="1"/>
  <c r="G86" i="1"/>
  <c r="E87" i="1"/>
  <c r="G87" i="1"/>
  <c r="G88" i="1"/>
  <c r="D89" i="1"/>
  <c r="C93" i="1"/>
  <c r="C94" i="1"/>
  <c r="C95" i="1"/>
  <c r="D95" i="1"/>
  <c r="G95" i="1"/>
  <c r="C97" i="1"/>
  <c r="E102" i="1"/>
  <c r="E108" i="1"/>
  <c r="G103" i="1"/>
  <c r="G106" i="1"/>
  <c r="D107" i="1"/>
  <c r="G107" i="1"/>
  <c r="E112" i="1"/>
  <c r="J125" i="1"/>
  <c r="J147" i="1"/>
  <c r="J165" i="1"/>
  <c r="J167" i="1"/>
  <c r="J158" i="1"/>
  <c r="H174" i="1"/>
  <c r="H175" i="1"/>
  <c r="E176" i="1"/>
  <c r="E180" i="1"/>
  <c r="J184" i="1"/>
  <c r="H196" i="1"/>
  <c r="J196" i="1"/>
  <c r="J199" i="1"/>
  <c r="J193" i="1"/>
  <c r="E198" i="1"/>
  <c r="E199" i="1"/>
  <c r="F197" i="1"/>
  <c r="J197" i="1"/>
  <c r="E196" i="1"/>
  <c r="H197" i="1"/>
  <c r="J198" i="1"/>
  <c r="I201" i="1"/>
  <c r="J201" i="1"/>
  <c r="D10" i="41"/>
  <c r="F12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D10" i="11"/>
  <c r="F12" i="11"/>
  <c r="F13" i="11"/>
  <c r="F14" i="11"/>
  <c r="B22" i="11"/>
  <c r="B23" i="11"/>
  <c r="B24" i="11"/>
  <c r="A29" i="11"/>
  <c r="A30" i="11"/>
  <c r="A31" i="11"/>
  <c r="A32" i="11"/>
  <c r="A33" i="11"/>
  <c r="A34" i="11"/>
  <c r="B42" i="11"/>
  <c r="B44" i="11"/>
  <c r="B45" i="11"/>
  <c r="B46" i="11"/>
  <c r="E1" i="23"/>
  <c r="G13" i="23"/>
  <c r="H13" i="23"/>
  <c r="H27" i="23"/>
  <c r="H28" i="23"/>
  <c r="G14" i="23"/>
  <c r="H14" i="23"/>
  <c r="G15" i="23"/>
  <c r="H15" i="23"/>
  <c r="G16" i="23"/>
  <c r="H16" i="23"/>
  <c r="G17" i="23"/>
  <c r="H17" i="23"/>
  <c r="J18" i="23"/>
  <c r="J19" i="23"/>
  <c r="K20" i="23"/>
  <c r="J21" i="23"/>
  <c r="G22" i="23"/>
  <c r="H22" i="23"/>
  <c r="J23" i="23"/>
  <c r="G24" i="23"/>
  <c r="H24" i="23"/>
  <c r="G25" i="23"/>
  <c r="H25" i="23"/>
  <c r="B27" i="23"/>
  <c r="C27" i="23"/>
  <c r="C30" i="23"/>
  <c r="B30" i="23"/>
  <c r="D11" i="12"/>
  <c r="F11" i="12"/>
  <c r="D27" i="23"/>
  <c r="E27" i="23"/>
  <c r="G27" i="23"/>
  <c r="G28" i="23"/>
  <c r="J27" i="23"/>
  <c r="J28" i="23"/>
  <c r="K27" i="23"/>
  <c r="K28" i="23"/>
  <c r="D30" i="23"/>
  <c r="F17" i="12"/>
  <c r="E11" i="12"/>
  <c r="E113" i="1"/>
  <c r="J169" i="1"/>
  <c r="A18" i="1"/>
  <c r="G17" i="32"/>
  <c r="G22" i="32"/>
  <c r="E22" i="32"/>
  <c r="G50" i="37"/>
  <c r="H12" i="4"/>
  <c r="H16" i="4"/>
  <c r="G187" i="16"/>
  <c r="J161" i="16"/>
  <c r="O77" i="16"/>
  <c r="O111" i="16"/>
  <c r="H117" i="16"/>
  <c r="E45" i="35"/>
  <c r="E136" i="1"/>
  <c r="J79" i="35"/>
  <c r="N79" i="35"/>
  <c r="E25" i="35"/>
  <c r="E57" i="35"/>
  <c r="E27" i="35"/>
  <c r="R37" i="37"/>
  <c r="J44" i="24"/>
  <c r="L38" i="37"/>
  <c r="N35" i="37"/>
  <c r="A17" i="37"/>
  <c r="A18" i="37"/>
  <c r="E38" i="37"/>
  <c r="R18" i="37"/>
  <c r="E39" i="37"/>
  <c r="R41" i="37"/>
  <c r="E180" i="35"/>
  <c r="J21" i="35"/>
  <c r="E41" i="35"/>
  <c r="J151" i="35"/>
  <c r="N151" i="35"/>
  <c r="E18" i="35"/>
  <c r="E89" i="35"/>
  <c r="F15" i="41"/>
  <c r="G14" i="41"/>
  <c r="H14" i="41"/>
  <c r="E24" i="41"/>
  <c r="F24" i="41"/>
  <c r="E30" i="35"/>
  <c r="E40" i="35"/>
  <c r="R40" i="37"/>
  <c r="L32" i="37"/>
  <c r="O32" i="37"/>
  <c r="N42" i="37"/>
  <c r="L42" i="37"/>
  <c r="P42" i="37"/>
  <c r="M42" i="37"/>
  <c r="N32" i="37"/>
  <c r="R26" i="37"/>
  <c r="E42" i="37"/>
  <c r="E67" i="37"/>
  <c r="R82" i="37"/>
  <c r="R78" i="37"/>
  <c r="R74" i="37"/>
  <c r="E37" i="35"/>
  <c r="E181" i="35"/>
  <c r="F180" i="35"/>
  <c r="J168" i="35"/>
  <c r="N168" i="35"/>
  <c r="N21" i="35"/>
  <c r="G22" i="11"/>
  <c r="H31" i="4"/>
  <c r="G15" i="41"/>
  <c r="G12" i="41"/>
  <c r="H12" i="41"/>
  <c r="G13" i="41"/>
  <c r="H13" i="41"/>
  <c r="E23" i="41"/>
  <c r="F23" i="41"/>
  <c r="E83" i="14"/>
  <c r="J122" i="14"/>
  <c r="P122" i="14"/>
  <c r="E124" i="14"/>
  <c r="C78" i="16"/>
  <c r="C118" i="16"/>
  <c r="A19" i="37"/>
  <c r="H70" i="14"/>
  <c r="J58" i="14"/>
  <c r="H18" i="9"/>
  <c r="F38" i="9"/>
  <c r="O130" i="14"/>
  <c r="O117" i="14"/>
  <c r="O116" i="14"/>
  <c r="D28" i="3"/>
  <c r="D30" i="3"/>
  <c r="G22" i="41"/>
  <c r="D22" i="35"/>
  <c r="A22" i="35"/>
  <c r="A23" i="35"/>
  <c r="A24" i="35"/>
  <c r="A25" i="35"/>
  <c r="E13" i="12"/>
  <c r="E15" i="12"/>
  <c r="F15" i="12"/>
  <c r="F19" i="12"/>
  <c r="F13" i="12"/>
  <c r="B20" i="27"/>
  <c r="B21" i="27"/>
  <c r="D17" i="1"/>
  <c r="C21" i="27"/>
  <c r="H89" i="1"/>
  <c r="J34" i="1"/>
  <c r="G38" i="9"/>
  <c r="F68" i="10"/>
  <c r="B9" i="10"/>
  <c r="O58" i="14"/>
  <c r="O70" i="14"/>
  <c r="O72" i="14"/>
  <c r="O125" i="14"/>
  <c r="Q35" i="37"/>
  <c r="Q42" i="37"/>
  <c r="Q22" i="37"/>
  <c r="J150" i="1"/>
  <c r="J140" i="1"/>
  <c r="J152" i="1"/>
  <c r="P32" i="37"/>
  <c r="R28" i="37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B22" i="3"/>
  <c r="F56" i="37"/>
  <c r="G55" i="37"/>
  <c r="E50" i="35"/>
  <c r="G30" i="38"/>
  <c r="F22" i="38"/>
  <c r="F30" i="38"/>
  <c r="E32" i="38"/>
  <c r="E47" i="35"/>
  <c r="P53" i="14"/>
  <c r="E18" i="15"/>
  <c r="P76" i="14"/>
  <c r="F15" i="11"/>
  <c r="G12" i="11"/>
  <c r="H12" i="11"/>
  <c r="G208" i="14"/>
  <c r="G207" i="14"/>
  <c r="J207" i="14"/>
  <c r="E18" i="1"/>
  <c r="E41" i="1"/>
  <c r="G26" i="32"/>
  <c r="E95" i="1"/>
  <c r="F28" i="36"/>
  <c r="J149" i="16"/>
  <c r="J151" i="16"/>
  <c r="J153" i="16"/>
  <c r="J162" i="16"/>
  <c r="D41" i="1"/>
  <c r="A19" i="1"/>
  <c r="O41" i="16"/>
  <c r="O95" i="16"/>
  <c r="O139" i="16"/>
  <c r="O194" i="16"/>
  <c r="H1" i="17"/>
  <c r="F2" i="18"/>
  <c r="G2" i="19"/>
  <c r="I1" i="20"/>
  <c r="F1" i="21"/>
  <c r="N1" i="22"/>
  <c r="E120" i="16"/>
  <c r="J117" i="16"/>
  <c r="H26" i="20"/>
  <c r="H90" i="35"/>
  <c r="J90" i="35"/>
  <c r="J84" i="35"/>
  <c r="H14" i="3"/>
  <c r="J113" i="16"/>
  <c r="O113" i="16"/>
  <c r="C30" i="22"/>
  <c r="L22" i="37"/>
  <c r="R16" i="37"/>
  <c r="J77" i="16"/>
  <c r="D22" i="3"/>
  <c r="N49" i="31"/>
  <c r="N51" i="31"/>
  <c r="F21" i="27"/>
  <c r="E94" i="1"/>
  <c r="E17" i="1"/>
  <c r="G185" i="16"/>
  <c r="J185" i="16"/>
  <c r="G186" i="16"/>
  <c r="J186" i="16"/>
  <c r="H172" i="16"/>
  <c r="J172" i="16"/>
  <c r="R19" i="37"/>
  <c r="O39" i="37"/>
  <c r="O42" i="37"/>
  <c r="O22" i="37"/>
  <c r="J46" i="1"/>
  <c r="J197" i="35"/>
  <c r="J199" i="35"/>
  <c r="E84" i="16"/>
  <c r="E92" i="16"/>
  <c r="E20" i="21"/>
  <c r="J31" i="35"/>
  <c r="R15" i="37"/>
  <c r="F179" i="35"/>
  <c r="E26" i="35"/>
  <c r="J154" i="35"/>
  <c r="L169" i="16"/>
  <c r="M169" i="16"/>
  <c r="J163" i="16"/>
  <c r="A20" i="1"/>
  <c r="E147" i="1"/>
  <c r="E22" i="11"/>
  <c r="H15" i="11"/>
  <c r="D35" i="35"/>
  <c r="A26" i="35"/>
  <c r="E30" i="36"/>
  <c r="E31" i="1"/>
  <c r="E43" i="1"/>
  <c r="E33" i="1"/>
  <c r="E45" i="1"/>
  <c r="R35" i="37"/>
  <c r="E15" i="35"/>
  <c r="R22" i="37"/>
  <c r="F9" i="10"/>
  <c r="N31" i="35"/>
  <c r="J41" i="35"/>
  <c r="J60" i="16"/>
  <c r="J71" i="16"/>
  <c r="J73" i="16"/>
  <c r="H60" i="16"/>
  <c r="H71" i="16"/>
  <c r="H110" i="16"/>
  <c r="E16" i="35"/>
  <c r="J135" i="35"/>
  <c r="R36" i="37"/>
  <c r="H38" i="9"/>
  <c r="D10" i="10"/>
  <c r="H49" i="4"/>
  <c r="H50" i="4"/>
  <c r="H18" i="4"/>
  <c r="H22" i="4"/>
  <c r="H15" i="41"/>
  <c r="E22" i="41"/>
  <c r="G15" i="11"/>
  <c r="G14" i="11"/>
  <c r="H14" i="11"/>
  <c r="E24" i="11"/>
  <c r="F24" i="11"/>
  <c r="O60" i="14"/>
  <c r="O81" i="14"/>
  <c r="O83" i="14"/>
  <c r="O84" i="14"/>
  <c r="F67" i="37"/>
  <c r="B10" i="10"/>
  <c r="H48" i="4"/>
  <c r="J187" i="16"/>
  <c r="H133" i="16"/>
  <c r="M133" i="16"/>
  <c r="E28" i="35"/>
  <c r="R38" i="37"/>
  <c r="R32" i="37"/>
  <c r="E19" i="35"/>
  <c r="E39" i="35"/>
  <c r="R39" i="37"/>
  <c r="H23" i="41"/>
  <c r="J89" i="1"/>
  <c r="H97" i="1"/>
  <c r="J97" i="1"/>
  <c r="G23" i="41"/>
  <c r="G24" i="41"/>
  <c r="H24" i="41"/>
  <c r="E45" i="41"/>
  <c r="J60" i="14"/>
  <c r="H60" i="14"/>
  <c r="G23" i="11"/>
  <c r="G24" i="11"/>
  <c r="E45" i="11"/>
  <c r="N84" i="35"/>
  <c r="A20" i="37"/>
  <c r="E181" i="14"/>
  <c r="D94" i="1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F181" i="35"/>
  <c r="G56" i="37"/>
  <c r="E106" i="35"/>
  <c r="E24" i="1"/>
  <c r="J136" i="1"/>
  <c r="E98" i="1"/>
  <c r="E122" i="1"/>
  <c r="G209" i="14"/>
  <c r="J208" i="14"/>
  <c r="J209" i="14"/>
  <c r="E147" i="14"/>
  <c r="G13" i="11"/>
  <c r="H13" i="11"/>
  <c r="E23" i="11"/>
  <c r="F23" i="11"/>
  <c r="H23" i="11"/>
  <c r="O132" i="14"/>
  <c r="O120" i="14"/>
  <c r="O124" i="14"/>
  <c r="D32" i="3"/>
  <c r="D31" i="3"/>
  <c r="D33" i="3"/>
  <c r="D34" i="3"/>
  <c r="J70" i="14"/>
  <c r="J72" i="14"/>
  <c r="H120" i="14"/>
  <c r="E145" i="14"/>
  <c r="E150" i="14"/>
  <c r="E87" i="14"/>
  <c r="J159" i="35"/>
  <c r="J156" i="35"/>
  <c r="J158" i="35"/>
  <c r="E36" i="35"/>
  <c r="E88" i="35"/>
  <c r="E91" i="35"/>
  <c r="E115" i="35"/>
  <c r="E183" i="14"/>
  <c r="J186" i="14"/>
  <c r="J120" i="14"/>
  <c r="J124" i="14"/>
  <c r="J87" i="14"/>
  <c r="H130" i="14"/>
  <c r="J130" i="14"/>
  <c r="J132" i="14"/>
  <c r="E133" i="16"/>
  <c r="E136" i="16"/>
  <c r="O127" i="14"/>
  <c r="O128" i="14"/>
  <c r="J82" i="16"/>
  <c r="J84" i="16"/>
  <c r="J62" i="16"/>
  <c r="R42" i="37"/>
  <c r="E25" i="41"/>
  <c r="E43" i="41"/>
  <c r="H24" i="4"/>
  <c r="H26" i="4"/>
  <c r="H29" i="4"/>
  <c r="H33" i="4"/>
  <c r="E25" i="11"/>
  <c r="E43" i="11"/>
  <c r="A21" i="37"/>
  <c r="J81" i="14"/>
  <c r="J83" i="14"/>
  <c r="H83" i="14"/>
  <c r="H24" i="11"/>
  <c r="N41" i="35"/>
  <c r="A21" i="1"/>
  <c r="B40" i="27"/>
  <c r="B41" i="27"/>
  <c r="D36" i="35"/>
  <c r="A27" i="35"/>
  <c r="M88" i="16"/>
  <c r="O88" i="16"/>
  <c r="M105" i="16"/>
  <c r="J139" i="1"/>
  <c r="J141" i="1"/>
  <c r="J142" i="1"/>
  <c r="J144" i="1"/>
  <c r="J110" i="16"/>
  <c r="J114" i="16"/>
  <c r="H124" i="16"/>
  <c r="E22" i="35"/>
  <c r="E35" i="35"/>
  <c r="O147" i="14"/>
  <c r="H140" i="14"/>
  <c r="J140" i="14"/>
  <c r="J143" i="14"/>
  <c r="J89" i="14"/>
  <c r="O62" i="14"/>
  <c r="O61" i="14"/>
  <c r="O140" i="14"/>
  <c r="O143" i="14"/>
  <c r="O145" i="14"/>
  <c r="O150" i="14"/>
  <c r="O9" i="14"/>
  <c r="E38" i="35"/>
  <c r="E32" i="35"/>
  <c r="J141" i="35"/>
  <c r="J138" i="35"/>
  <c r="J140" i="35"/>
  <c r="O172" i="16"/>
  <c r="M172" i="16"/>
  <c r="J161" i="35"/>
  <c r="H43" i="4"/>
  <c r="H42" i="4"/>
  <c r="H40" i="4"/>
  <c r="H37" i="4"/>
  <c r="H39" i="4"/>
  <c r="H35" i="4"/>
  <c r="J87" i="16"/>
  <c r="J90" i="16"/>
  <c r="J92" i="16"/>
  <c r="J133" i="16"/>
  <c r="J136" i="16"/>
  <c r="M60" i="16"/>
  <c r="J178" i="16"/>
  <c r="O178" i="16"/>
  <c r="H62" i="16"/>
  <c r="H128" i="16"/>
  <c r="O128" i="16"/>
  <c r="O131" i="16"/>
  <c r="J128" i="16"/>
  <c r="J131" i="16"/>
  <c r="E190" i="14"/>
  <c r="P167" i="14"/>
  <c r="D22" i="37"/>
  <c r="A22" i="37"/>
  <c r="A23" i="37"/>
  <c r="A24" i="37"/>
  <c r="A25" i="37"/>
  <c r="J143" i="35"/>
  <c r="O105" i="16"/>
  <c r="M108" i="16"/>
  <c r="O108" i="16"/>
  <c r="A22" i="1"/>
  <c r="H84" i="16"/>
  <c r="D53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J145" i="14"/>
  <c r="H16" i="1"/>
  <c r="H81" i="1"/>
  <c r="G179" i="1"/>
  <c r="H63" i="1"/>
  <c r="J63" i="1"/>
  <c r="H93" i="1"/>
  <c r="F173" i="1"/>
  <c r="H173" i="1"/>
  <c r="H176" i="1"/>
  <c r="J176" i="1"/>
  <c r="E188" i="14"/>
  <c r="J184" i="14"/>
  <c r="J187" i="14"/>
  <c r="J185" i="14"/>
  <c r="E191" i="14"/>
  <c r="Q167" i="14"/>
  <c r="E42" i="35"/>
  <c r="A28" i="35"/>
  <c r="D37" i="35"/>
  <c r="J90" i="14"/>
  <c r="J92" i="14"/>
  <c r="J147" i="14"/>
  <c r="H119" i="16"/>
  <c r="J119" i="16"/>
  <c r="J120" i="16"/>
  <c r="H125" i="16"/>
  <c r="N161" i="35"/>
  <c r="H26" i="35"/>
  <c r="J26" i="35"/>
  <c r="N26" i="35"/>
  <c r="Q175" i="14"/>
  <c r="Q172" i="14"/>
  <c r="P172" i="14"/>
  <c r="P175" i="14"/>
  <c r="H20" i="1"/>
  <c r="H102" i="1"/>
  <c r="H87" i="1"/>
  <c r="J87" i="1"/>
  <c r="H85" i="1"/>
  <c r="H86" i="1"/>
  <c r="J86" i="1"/>
  <c r="H94" i="1"/>
  <c r="J93" i="1"/>
  <c r="A23" i="1"/>
  <c r="J16" i="1"/>
  <c r="H17" i="1"/>
  <c r="J150" i="14"/>
  <c r="A29" i="35"/>
  <c r="D38" i="35"/>
  <c r="D35" i="37"/>
  <c r="A26" i="37"/>
  <c r="H88" i="1"/>
  <c r="J88" i="1"/>
  <c r="J81" i="1"/>
  <c r="H82" i="1"/>
  <c r="J82" i="1"/>
  <c r="E192" i="14"/>
  <c r="N167" i="14"/>
  <c r="D54" i="27"/>
  <c r="B54" i="27"/>
  <c r="G179" i="35"/>
  <c r="H179" i="35"/>
  <c r="J181" i="35"/>
  <c r="H76" i="35"/>
  <c r="H58" i="35"/>
  <c r="J58" i="35"/>
  <c r="H88" i="35"/>
  <c r="J88" i="35"/>
  <c r="H16" i="35"/>
  <c r="J16" i="35"/>
  <c r="F172" i="35"/>
  <c r="H172" i="35"/>
  <c r="H175" i="35"/>
  <c r="J175" i="35"/>
  <c r="N143" i="35"/>
  <c r="O60" i="16"/>
  <c r="M110" i="16"/>
  <c r="M71" i="16"/>
  <c r="O71" i="16"/>
  <c r="O73" i="16"/>
  <c r="H18" i="1"/>
  <c r="J18" i="1"/>
  <c r="J41" i="1"/>
  <c r="J17" i="1"/>
  <c r="A27" i="37"/>
  <c r="D36" i="37"/>
  <c r="E27" i="27"/>
  <c r="J102" i="1"/>
  <c r="H103" i="1"/>
  <c r="J103" i="1"/>
  <c r="J36" i="35"/>
  <c r="N16" i="35"/>
  <c r="P116" i="14"/>
  <c r="P124" i="14"/>
  <c r="P87" i="14"/>
  <c r="P88" i="14"/>
  <c r="P119" i="14"/>
  <c r="O82" i="16"/>
  <c r="O84" i="16"/>
  <c r="O62" i="16"/>
  <c r="M62" i="16"/>
  <c r="M128" i="16"/>
  <c r="B55" i="27"/>
  <c r="B56" i="27"/>
  <c r="D29" i="1"/>
  <c r="D56" i="27"/>
  <c r="H18" i="35"/>
  <c r="H95" i="35"/>
  <c r="J98" i="1"/>
  <c r="P120" i="14"/>
  <c r="P70" i="14"/>
  <c r="P72" i="14"/>
  <c r="P58" i="14"/>
  <c r="P130" i="14"/>
  <c r="P132" i="14"/>
  <c r="N58" i="35"/>
  <c r="A30" i="35"/>
  <c r="D39" i="35"/>
  <c r="J94" i="1"/>
  <c r="H95" i="1"/>
  <c r="J95" i="1"/>
  <c r="A24" i="1"/>
  <c r="A25" i="1"/>
  <c r="A26" i="1"/>
  <c r="A27" i="1"/>
  <c r="D24" i="1"/>
  <c r="N175" i="14"/>
  <c r="N172" i="14"/>
  <c r="Q70" i="14"/>
  <c r="Q72" i="14"/>
  <c r="Q58" i="14"/>
  <c r="Q125" i="14"/>
  <c r="H31" i="1"/>
  <c r="J20" i="1"/>
  <c r="H21" i="1"/>
  <c r="J21" i="1"/>
  <c r="N88" i="35"/>
  <c r="H83" i="35"/>
  <c r="J83" i="35"/>
  <c r="J76" i="35"/>
  <c r="H77" i="35"/>
  <c r="J77" i="35"/>
  <c r="M124" i="16"/>
  <c r="M125" i="16"/>
  <c r="O110" i="16"/>
  <c r="O114" i="16"/>
  <c r="M119" i="16"/>
  <c r="O119" i="16"/>
  <c r="O120" i="16"/>
  <c r="H20" i="35"/>
  <c r="H57" i="35"/>
  <c r="J57" i="35"/>
  <c r="L9" i="14"/>
  <c r="L15" i="14"/>
  <c r="L16" i="14"/>
  <c r="E17" i="12"/>
  <c r="E19" i="12"/>
  <c r="D19" i="12"/>
  <c r="C26" i="12"/>
  <c r="H96" i="1"/>
  <c r="J96" i="1"/>
  <c r="J85" i="1"/>
  <c r="Q130" i="14"/>
  <c r="Q117" i="14"/>
  <c r="N117" i="14"/>
  <c r="N130" i="14"/>
  <c r="H96" i="35"/>
  <c r="J96" i="35"/>
  <c r="J95" i="35"/>
  <c r="E28" i="27"/>
  <c r="F27" i="27"/>
  <c r="A31" i="35"/>
  <c r="D40" i="35"/>
  <c r="H19" i="35"/>
  <c r="J19" i="35"/>
  <c r="J18" i="35"/>
  <c r="H28" i="35"/>
  <c r="H32" i="1"/>
  <c r="J32" i="1"/>
  <c r="J44" i="1"/>
  <c r="J31" i="1"/>
  <c r="J43" i="1"/>
  <c r="H83" i="1"/>
  <c r="J83" i="1"/>
  <c r="J90" i="1"/>
  <c r="J61" i="1"/>
  <c r="N83" i="35"/>
  <c r="Q120" i="14"/>
  <c r="Q132" i="14"/>
  <c r="N57" i="35"/>
  <c r="Q81" i="14"/>
  <c r="Q83" i="14"/>
  <c r="Q84" i="14"/>
  <c r="Q60" i="14"/>
  <c r="P81" i="14"/>
  <c r="P83" i="14"/>
  <c r="M83" i="14"/>
  <c r="P60" i="14"/>
  <c r="M60" i="14"/>
  <c r="A28" i="37"/>
  <c r="D37" i="37"/>
  <c r="N132" i="14"/>
  <c r="N125" i="14"/>
  <c r="N120" i="14"/>
  <c r="N58" i="14"/>
  <c r="N70" i="14"/>
  <c r="N72" i="14"/>
  <c r="C27" i="12"/>
  <c r="C28" i="12"/>
  <c r="A28" i="1"/>
  <c r="D38" i="1"/>
  <c r="M84" i="16"/>
  <c r="N36" i="35"/>
  <c r="O87" i="16"/>
  <c r="O90" i="16"/>
  <c r="O92" i="16"/>
  <c r="O133" i="16"/>
  <c r="O136" i="16"/>
  <c r="J10" i="16"/>
  <c r="N77" i="35"/>
  <c r="N76" i="35"/>
  <c r="J20" i="35"/>
  <c r="H30" i="35"/>
  <c r="J30" i="35"/>
  <c r="Q116" i="14"/>
  <c r="Q119" i="14"/>
  <c r="A32" i="35"/>
  <c r="A33" i="35"/>
  <c r="A34" i="35"/>
  <c r="A35" i="35"/>
  <c r="D41" i="35"/>
  <c r="D32" i="35"/>
  <c r="P89" i="14"/>
  <c r="P90" i="14"/>
  <c r="P92" i="14"/>
  <c r="P147" i="14"/>
  <c r="P140" i="14"/>
  <c r="P143" i="14"/>
  <c r="P145" i="14"/>
  <c r="J28" i="35"/>
  <c r="H29" i="35"/>
  <c r="J29" i="35"/>
  <c r="J39" i="35"/>
  <c r="H78" i="35"/>
  <c r="N18" i="35"/>
  <c r="J22" i="35"/>
  <c r="N95" i="35"/>
  <c r="Q124" i="14"/>
  <c r="A29" i="1"/>
  <c r="E155" i="1"/>
  <c r="D39" i="1"/>
  <c r="C30" i="12"/>
  <c r="C32" i="12"/>
  <c r="C29" i="12"/>
  <c r="C31" i="12"/>
  <c r="E29" i="27"/>
  <c r="F28" i="27"/>
  <c r="N60" i="14"/>
  <c r="N81" i="14"/>
  <c r="N83" i="14"/>
  <c r="N84" i="14"/>
  <c r="Q62" i="14"/>
  <c r="Q61" i="14"/>
  <c r="Q140" i="14"/>
  <c r="Q143" i="14"/>
  <c r="N19" i="35"/>
  <c r="N30" i="35"/>
  <c r="N20" i="35"/>
  <c r="J40" i="35"/>
  <c r="Q128" i="14"/>
  <c r="Q127" i="14"/>
  <c r="Q147" i="14"/>
  <c r="A29" i="37"/>
  <c r="D38" i="37"/>
  <c r="N116" i="14"/>
  <c r="N119" i="14"/>
  <c r="N29" i="35"/>
  <c r="A30" i="37"/>
  <c r="D39" i="37"/>
  <c r="N28" i="35"/>
  <c r="J32" i="35"/>
  <c r="E30" i="27"/>
  <c r="F29" i="27"/>
  <c r="H80" i="35"/>
  <c r="H89" i="35"/>
  <c r="J89" i="35"/>
  <c r="H82" i="35"/>
  <c r="J82" i="35"/>
  <c r="J78" i="35"/>
  <c r="N22" i="35"/>
  <c r="H22" i="35"/>
  <c r="P150" i="14"/>
  <c r="P9" i="14"/>
  <c r="N39" i="35"/>
  <c r="N127" i="14"/>
  <c r="N128" i="14"/>
  <c r="N147" i="14"/>
  <c r="A30" i="1"/>
  <c r="D40" i="1"/>
  <c r="N61" i="14"/>
  <c r="N140" i="14"/>
  <c r="N143" i="14"/>
  <c r="N62" i="14"/>
  <c r="Q145" i="14"/>
  <c r="Q150" i="14"/>
  <c r="Q9" i="14"/>
  <c r="Q20" i="14"/>
  <c r="J38" i="35"/>
  <c r="N124" i="14"/>
  <c r="N145" i="14"/>
  <c r="N150" i="14"/>
  <c r="N9" i="14"/>
  <c r="N40" i="35"/>
  <c r="A36" i="35"/>
  <c r="A37" i="35"/>
  <c r="A38" i="35"/>
  <c r="A39" i="35"/>
  <c r="A40" i="35"/>
  <c r="A41" i="35"/>
  <c r="A42" i="35"/>
  <c r="N38" i="35"/>
  <c r="J42" i="35"/>
  <c r="N78" i="35"/>
  <c r="A43" i="35"/>
  <c r="A44" i="35"/>
  <c r="A45" i="35"/>
  <c r="J80" i="35"/>
  <c r="J85" i="35"/>
  <c r="H81" i="35"/>
  <c r="J81" i="35"/>
  <c r="A31" i="37"/>
  <c r="D40" i="37"/>
  <c r="N82" i="35"/>
  <c r="N89" i="35"/>
  <c r="N91" i="35"/>
  <c r="O125" i="35"/>
  <c r="O128" i="35"/>
  <c r="O130" i="35"/>
  <c r="J91" i="35"/>
  <c r="A31" i="1"/>
  <c r="D42" i="1"/>
  <c r="H98" i="35"/>
  <c r="H59" i="35"/>
  <c r="J59" i="35"/>
  <c r="F30" i="27"/>
  <c r="E31" i="27"/>
  <c r="D42" i="35"/>
  <c r="N32" i="35"/>
  <c r="A32" i="1"/>
  <c r="D43" i="1"/>
  <c r="J98" i="35"/>
  <c r="H100" i="35"/>
  <c r="J100" i="35"/>
  <c r="J56" i="35"/>
  <c r="A32" i="37"/>
  <c r="A33" i="37"/>
  <c r="A34" i="37"/>
  <c r="A35" i="37"/>
  <c r="D41" i="37"/>
  <c r="D32" i="37"/>
  <c r="A46" i="35"/>
  <c r="A47" i="35"/>
  <c r="A48" i="35"/>
  <c r="A49" i="35"/>
  <c r="A50" i="35"/>
  <c r="A51" i="35"/>
  <c r="E32" i="27"/>
  <c r="F31" i="27"/>
  <c r="N81" i="35"/>
  <c r="N42" i="35"/>
  <c r="H42" i="35"/>
  <c r="N80" i="35"/>
  <c r="N85" i="35"/>
  <c r="N59" i="35"/>
  <c r="D42" i="37"/>
  <c r="A36" i="37"/>
  <c r="A37" i="37"/>
  <c r="A38" i="37"/>
  <c r="A39" i="37"/>
  <c r="A40" i="37"/>
  <c r="A41" i="37"/>
  <c r="A42" i="37"/>
  <c r="A33" i="1"/>
  <c r="D44" i="1"/>
  <c r="E33" i="27"/>
  <c r="F32" i="27"/>
  <c r="A52" i="35"/>
  <c r="A53" i="35"/>
  <c r="A54" i="35"/>
  <c r="A55" i="35"/>
  <c r="A56" i="35"/>
  <c r="H47" i="35"/>
  <c r="H46" i="35"/>
  <c r="J46" i="35"/>
  <c r="J60" i="35"/>
  <c r="N56" i="35"/>
  <c r="D51" i="35"/>
  <c r="N98" i="35"/>
  <c r="N101" i="35"/>
  <c r="J101" i="35"/>
  <c r="E34" i="27"/>
  <c r="F33" i="27"/>
  <c r="A57" i="35"/>
  <c r="A58" i="35"/>
  <c r="A59" i="35"/>
  <c r="A60" i="35"/>
  <c r="A61" i="35"/>
  <c r="A62" i="35"/>
  <c r="N60" i="35"/>
  <c r="N46" i="35"/>
  <c r="H48" i="35"/>
  <c r="J48" i="35"/>
  <c r="H49" i="35"/>
  <c r="J47" i="35"/>
  <c r="A34" i="1"/>
  <c r="D45" i="1"/>
  <c r="A48" i="37"/>
  <c r="A49" i="37"/>
  <c r="A50" i="37"/>
  <c r="J49" i="35"/>
  <c r="H50" i="35"/>
  <c r="J50" i="35"/>
  <c r="N48" i="35"/>
  <c r="N47" i="35"/>
  <c r="A51" i="37"/>
  <c r="A52" i="37"/>
  <c r="A53" i="37"/>
  <c r="A54" i="37"/>
  <c r="A55" i="37"/>
  <c r="A56" i="37"/>
  <c r="E35" i="27"/>
  <c r="F34" i="27"/>
  <c r="D62" i="35"/>
  <c r="D60" i="35"/>
  <c r="A76" i="35"/>
  <c r="A35" i="1"/>
  <c r="A36" i="1"/>
  <c r="A37" i="1"/>
  <c r="A38" i="1"/>
  <c r="D46" i="1"/>
  <c r="D35" i="1"/>
  <c r="A57" i="37"/>
  <c r="A58" i="37"/>
  <c r="A59" i="37"/>
  <c r="A60" i="37"/>
  <c r="A61" i="37"/>
  <c r="A77" i="35"/>
  <c r="A78" i="35"/>
  <c r="A79" i="35"/>
  <c r="A80" i="35"/>
  <c r="A81" i="35"/>
  <c r="A82" i="35"/>
  <c r="A83" i="35"/>
  <c r="A84" i="35"/>
  <c r="A85" i="35"/>
  <c r="N49" i="35"/>
  <c r="N50" i="35"/>
  <c r="A39" i="1"/>
  <c r="E36" i="27"/>
  <c r="F35" i="27"/>
  <c r="D56" i="37"/>
  <c r="J51" i="35"/>
  <c r="F36" i="27"/>
  <c r="E37" i="27"/>
  <c r="D56" i="35"/>
  <c r="A86" i="35"/>
  <c r="A87" i="35"/>
  <c r="A88" i="35"/>
  <c r="N51" i="35"/>
  <c r="N62" i="35"/>
  <c r="J62" i="35"/>
  <c r="A40" i="1"/>
  <c r="A41" i="1"/>
  <c r="A42" i="1"/>
  <c r="D179" i="1"/>
  <c r="C85" i="35"/>
  <c r="A62" i="37"/>
  <c r="A63" i="37"/>
  <c r="A64" i="37"/>
  <c r="A65" i="37"/>
  <c r="A89" i="35"/>
  <c r="A90" i="35"/>
  <c r="A91" i="35"/>
  <c r="A66" i="37"/>
  <c r="A67" i="37"/>
  <c r="D67" i="37"/>
  <c r="D65" i="37"/>
  <c r="E38" i="27"/>
  <c r="F37" i="27"/>
  <c r="D180" i="1"/>
  <c r="A43" i="1"/>
  <c r="A44" i="1"/>
  <c r="A45" i="1"/>
  <c r="A46" i="1"/>
  <c r="J112" i="35"/>
  <c r="E41" i="27"/>
  <c r="F38" i="27"/>
  <c r="F39" i="27"/>
  <c r="N112" i="35"/>
  <c r="J110" i="35"/>
  <c r="A92" i="35"/>
  <c r="A93" i="35"/>
  <c r="A94" i="35"/>
  <c r="A95" i="35"/>
  <c r="A47" i="1"/>
  <c r="D47" i="1"/>
  <c r="C91" i="35"/>
  <c r="N110" i="35"/>
  <c r="N115" i="35"/>
  <c r="J115" i="35"/>
  <c r="Q115" i="35"/>
  <c r="A96" i="35"/>
  <c r="A97" i="35"/>
  <c r="A98" i="35"/>
  <c r="A99" i="35"/>
  <c r="A100" i="35"/>
  <c r="A101" i="35"/>
  <c r="A48" i="1"/>
  <c r="A49" i="1"/>
  <c r="A50" i="1"/>
  <c r="E42" i="27"/>
  <c r="F41" i="27"/>
  <c r="J119" i="35"/>
  <c r="M49" i="31"/>
  <c r="M51" i="31"/>
  <c r="D22" i="41"/>
  <c r="A51" i="1"/>
  <c r="A52" i="1"/>
  <c r="A53" i="1"/>
  <c r="A54" i="1"/>
  <c r="A55" i="1"/>
  <c r="A56" i="1"/>
  <c r="F42" i="27"/>
  <c r="E43" i="27"/>
  <c r="A102" i="35"/>
  <c r="A103" i="35"/>
  <c r="A104" i="35"/>
  <c r="A105" i="35"/>
  <c r="A106" i="35"/>
  <c r="C101" i="35"/>
  <c r="A107" i="35"/>
  <c r="A108" i="35"/>
  <c r="A109" i="35"/>
  <c r="A110" i="35"/>
  <c r="D56" i="1"/>
  <c r="A57" i="1"/>
  <c r="A58" i="1"/>
  <c r="A59" i="1"/>
  <c r="A60" i="1"/>
  <c r="A61" i="1"/>
  <c r="D25" i="41"/>
  <c r="E42" i="41"/>
  <c r="F22" i="41"/>
  <c r="E44" i="27"/>
  <c r="F43" i="27"/>
  <c r="A111" i="35"/>
  <c r="A112" i="35"/>
  <c r="A113" i="35"/>
  <c r="H22" i="41"/>
  <c r="H25" i="41"/>
  <c r="F28" i="41"/>
  <c r="F25" i="41"/>
  <c r="E44" i="41"/>
  <c r="E46" i="41"/>
  <c r="E45" i="27"/>
  <c r="F44" i="27"/>
  <c r="A62" i="1"/>
  <c r="A63" i="1"/>
  <c r="A64" i="1"/>
  <c r="A65" i="1"/>
  <c r="D65" i="1"/>
  <c r="A114" i="35"/>
  <c r="A115" i="35"/>
  <c r="D110" i="35"/>
  <c r="A66" i="1"/>
  <c r="A67" i="1"/>
  <c r="D67" i="1"/>
  <c r="E46" i="27"/>
  <c r="F45" i="27"/>
  <c r="F29" i="41"/>
  <c r="F30" i="41"/>
  <c r="C115" i="35"/>
  <c r="F32" i="41"/>
  <c r="F34" i="41"/>
  <c r="F31" i="41"/>
  <c r="F33" i="41"/>
  <c r="F46" i="27"/>
  <c r="E47" i="27"/>
  <c r="A116" i="35"/>
  <c r="A117" i="35"/>
  <c r="A118" i="35"/>
  <c r="A119" i="35"/>
  <c r="A81" i="1"/>
  <c r="A82" i="1"/>
  <c r="A83" i="1"/>
  <c r="A84" i="1"/>
  <c r="A85" i="1"/>
  <c r="A86" i="1"/>
  <c r="A87" i="1"/>
  <c r="A88" i="1"/>
  <c r="A89" i="1"/>
  <c r="A90" i="1"/>
  <c r="C90" i="1"/>
  <c r="D49" i="31"/>
  <c r="A135" i="35"/>
  <c r="F47" i="27"/>
  <c r="E48" i="27"/>
  <c r="C119" i="35"/>
  <c r="D61" i="1"/>
  <c r="A91" i="1"/>
  <c r="A92" i="1"/>
  <c r="A93" i="1"/>
  <c r="F48" i="27"/>
  <c r="E49" i="27"/>
  <c r="A136" i="35"/>
  <c r="A137" i="35"/>
  <c r="A138" i="35"/>
  <c r="F49" i="27"/>
  <c r="E50" i="27"/>
  <c r="A94" i="1"/>
  <c r="A95" i="1"/>
  <c r="A96" i="1"/>
  <c r="A97" i="1"/>
  <c r="A98" i="1"/>
  <c r="C98" i="1"/>
  <c r="A139" i="35"/>
  <c r="A140" i="35"/>
  <c r="C138" i="35"/>
  <c r="F50" i="27"/>
  <c r="E51" i="27"/>
  <c r="A141" i="35"/>
  <c r="A142" i="35"/>
  <c r="A143" i="35"/>
  <c r="A144" i="35"/>
  <c r="A145" i="35"/>
  <c r="A146" i="35"/>
  <c r="C143" i="35"/>
  <c r="C140" i="35"/>
  <c r="A99" i="1"/>
  <c r="A100" i="1"/>
  <c r="A101" i="1"/>
  <c r="A102" i="1"/>
  <c r="F51" i="27"/>
  <c r="E52" i="27"/>
  <c r="F52" i="27"/>
  <c r="F53" i="27"/>
  <c r="F54" i="27"/>
  <c r="F56" i="27"/>
  <c r="E29" i="1"/>
  <c r="A103" i="1"/>
  <c r="A104" i="1"/>
  <c r="A105" i="1"/>
  <c r="A106" i="1"/>
  <c r="A107" i="1"/>
  <c r="A108" i="1"/>
  <c r="A147" i="35"/>
  <c r="A148" i="35"/>
  <c r="A149" i="35"/>
  <c r="C151" i="35"/>
  <c r="C149" i="35"/>
  <c r="E35" i="1"/>
  <c r="E47" i="1"/>
  <c r="J155" i="1"/>
  <c r="E40" i="1"/>
  <c r="E179" i="1"/>
  <c r="A150" i="35"/>
  <c r="A151" i="35"/>
  <c r="A152" i="35"/>
  <c r="A153" i="35"/>
  <c r="A154" i="35"/>
  <c r="C139" i="35"/>
  <c r="C141" i="35"/>
  <c r="A109" i="1"/>
  <c r="A110" i="1"/>
  <c r="A111" i="1"/>
  <c r="A112" i="1"/>
  <c r="A113" i="1"/>
  <c r="C108" i="1"/>
  <c r="A114" i="1"/>
  <c r="A115" i="1"/>
  <c r="A116" i="1"/>
  <c r="A117" i="1"/>
  <c r="J160" i="1"/>
  <c r="J157" i="1"/>
  <c r="J159" i="1"/>
  <c r="A155" i="35"/>
  <c r="A156" i="35"/>
  <c r="E181" i="1"/>
  <c r="F180" i="1"/>
  <c r="F179" i="1"/>
  <c r="F181" i="1"/>
  <c r="H179" i="1"/>
  <c r="J181" i="1"/>
  <c r="A118" i="1"/>
  <c r="A119" i="1"/>
  <c r="A120" i="1"/>
  <c r="C122" i="1"/>
  <c r="A157" i="35"/>
  <c r="C158" i="35"/>
  <c r="C156" i="35"/>
  <c r="J162" i="1"/>
  <c r="H28" i="1"/>
  <c r="J28" i="1"/>
  <c r="H29" i="1"/>
  <c r="J29" i="1"/>
  <c r="J40" i="1"/>
  <c r="A158" i="35"/>
  <c r="C159" i="35"/>
  <c r="A121" i="1"/>
  <c r="A122" i="1"/>
  <c r="D117" i="1"/>
  <c r="H62" i="1"/>
  <c r="J62" i="1"/>
  <c r="H22" i="1"/>
  <c r="J35" i="1"/>
  <c r="J39" i="1"/>
  <c r="H33" i="1"/>
  <c r="J33" i="1"/>
  <c r="J22" i="1"/>
  <c r="C117" i="35"/>
  <c r="A136" i="1"/>
  <c r="A159" i="35"/>
  <c r="A160" i="35"/>
  <c r="A161" i="35"/>
  <c r="A162" i="35"/>
  <c r="A163" i="35"/>
  <c r="A164" i="35"/>
  <c r="C161" i="35"/>
  <c r="J47" i="1"/>
  <c r="H47" i="1"/>
  <c r="H51" i="1"/>
  <c r="C166" i="35"/>
  <c r="A165" i="35"/>
  <c r="A166" i="35"/>
  <c r="A137" i="1"/>
  <c r="A138" i="1"/>
  <c r="A139" i="1"/>
  <c r="J45" i="1"/>
  <c r="J24" i="1"/>
  <c r="H24" i="1"/>
  <c r="H52" i="1"/>
  <c r="J51" i="1"/>
  <c r="C139" i="1"/>
  <c r="H64" i="1"/>
  <c r="J64" i="1"/>
  <c r="J65" i="1"/>
  <c r="H105" i="1"/>
  <c r="A140" i="1"/>
  <c r="A141" i="1"/>
  <c r="C141" i="1"/>
  <c r="C168" i="35"/>
  <c r="C157" i="35"/>
  <c r="A167" i="35"/>
  <c r="A168" i="35"/>
  <c r="A169" i="35"/>
  <c r="A170" i="35"/>
  <c r="A171" i="35"/>
  <c r="A172" i="35"/>
  <c r="A173" i="35"/>
  <c r="A174" i="35"/>
  <c r="A175" i="35"/>
  <c r="A176" i="35"/>
  <c r="A177" i="35"/>
  <c r="A178" i="35"/>
  <c r="A179" i="35"/>
  <c r="A142" i="1"/>
  <c r="A143" i="1"/>
  <c r="A144" i="1"/>
  <c r="A145" i="1"/>
  <c r="A146" i="1"/>
  <c r="A147" i="1"/>
  <c r="C144" i="1"/>
  <c r="J105" i="1"/>
  <c r="H107" i="1"/>
  <c r="J107" i="1"/>
  <c r="J52" i="1"/>
  <c r="H54" i="1"/>
  <c r="H53" i="1"/>
  <c r="J53" i="1"/>
  <c r="J56" i="1"/>
  <c r="J67" i="1"/>
  <c r="J120" i="1"/>
  <c r="J117" i="1"/>
  <c r="J122" i="1"/>
  <c r="D22" i="11"/>
  <c r="A148" i="1"/>
  <c r="A149" i="1"/>
  <c r="A150" i="1"/>
  <c r="J108" i="1"/>
  <c r="C175" i="35"/>
  <c r="H55" i="1"/>
  <c r="J55" i="1"/>
  <c r="J54" i="1"/>
  <c r="A180" i="35"/>
  <c r="A181" i="35"/>
  <c r="A182" i="35"/>
  <c r="A183" i="35"/>
  <c r="A184" i="35"/>
  <c r="A185" i="35"/>
  <c r="A186" i="35"/>
  <c r="A187" i="35"/>
  <c r="A188" i="35"/>
  <c r="A189" i="35"/>
  <c r="A151" i="1"/>
  <c r="A152" i="1"/>
  <c r="A153" i="1"/>
  <c r="A154" i="1"/>
  <c r="A155" i="1"/>
  <c r="C140" i="1"/>
  <c r="C142" i="1"/>
  <c r="A190" i="35"/>
  <c r="A191" i="35"/>
  <c r="A192" i="35"/>
  <c r="A193" i="35"/>
  <c r="C152" i="1"/>
  <c r="D25" i="11"/>
  <c r="E42" i="11"/>
  <c r="F22" i="11"/>
  <c r="C150" i="1"/>
  <c r="C181" i="35"/>
  <c r="A156" i="1"/>
  <c r="A157" i="1"/>
  <c r="F25" i="11"/>
  <c r="E44" i="11"/>
  <c r="E46" i="11"/>
  <c r="H22" i="11"/>
  <c r="H25" i="11"/>
  <c r="F28" i="11"/>
  <c r="D198" i="35"/>
  <c r="A194" i="35"/>
  <c r="A195" i="35"/>
  <c r="A196" i="35"/>
  <c r="E193" i="35"/>
  <c r="F29" i="11"/>
  <c r="F30" i="11"/>
  <c r="A197" i="35"/>
  <c r="A198" i="35"/>
  <c r="A199" i="35"/>
  <c r="C113" i="35"/>
  <c r="A158" i="1"/>
  <c r="C157" i="1"/>
  <c r="A159" i="1"/>
  <c r="C160" i="1"/>
  <c r="C159" i="1"/>
  <c r="C107" i="35"/>
  <c r="C199" i="35"/>
  <c r="F31" i="11"/>
  <c r="F33" i="11"/>
  <c r="F32" i="11"/>
  <c r="F34" i="11"/>
  <c r="A160" i="1"/>
  <c r="A161" i="1"/>
  <c r="A162" i="1"/>
  <c r="A163" i="1"/>
  <c r="A164" i="1"/>
  <c r="A165" i="1"/>
  <c r="C162" i="1"/>
  <c r="A166" i="1"/>
  <c r="A167" i="1"/>
  <c r="C167" i="1"/>
  <c r="C158" i="1"/>
  <c r="A168" i="1"/>
  <c r="A169" i="1"/>
  <c r="A170" i="1"/>
  <c r="A171" i="1"/>
  <c r="A172" i="1"/>
  <c r="A173" i="1"/>
  <c r="A174" i="1"/>
  <c r="C169" i="1"/>
  <c r="A175" i="1"/>
  <c r="A176" i="1"/>
  <c r="A177" i="1"/>
  <c r="A178" i="1"/>
  <c r="A179" i="1"/>
  <c r="C176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E193" i="1"/>
  <c r="C181" i="1"/>
  <c r="A194" i="1"/>
  <c r="A195" i="1"/>
  <c r="A196" i="1"/>
  <c r="D198" i="1"/>
  <c r="A197" i="1"/>
  <c r="A198" i="1"/>
  <c r="A199" i="1"/>
  <c r="C120" i="1"/>
  <c r="C114" i="1"/>
  <c r="C199" i="1"/>
</calcChain>
</file>

<file path=xl/comments1.xml><?xml version="1.0" encoding="utf-8"?>
<comments xmlns="http://schemas.openxmlformats.org/spreadsheetml/2006/main">
  <authors>
    <author>BEPC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1/2 of two breakers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</rPr>
          <t>1/2 of two breakers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Your Name</author>
    <author>BEPC</author>
  </authors>
  <commentList>
    <comment ref="O6" authorId="0" shapeId="0">
      <text>
        <r>
          <rPr>
            <b/>
            <sz val="8"/>
            <color indexed="81"/>
            <rFont val="Tahoma"/>
            <family val="2"/>
          </rPr>
          <t xml:space="preserve">This represents 100% of BEPC  MBPP costs. This amount would have to be reduced to 93.4003% for West Side. The remaining percent is MBPP East.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" authorId="1" shapeId="0">
      <text>
        <r>
          <rPr>
            <b/>
            <sz val="8"/>
            <color indexed="81"/>
            <rFont val="Tahoma"/>
            <family val="2"/>
          </rPr>
          <t xml:space="preserve">differs from G/L by 1,199,738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3" authorId="1" shapeId="0">
      <text>
        <r>
          <rPr>
            <b/>
            <sz val="8"/>
            <color indexed="81"/>
            <rFont val="Tahoma"/>
            <family val="2"/>
          </rPr>
          <t xml:space="preserve">Differs from Asset Management by $1,199,738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19" authorId="1" shapeId="0">
      <text>
        <r>
          <rPr>
            <b/>
            <sz val="8"/>
            <color indexed="81"/>
            <rFont val="Tahoma"/>
            <family val="2"/>
          </rPr>
          <t>Amount is based on data provided by accounting: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BEPC</author>
  </authors>
  <commentList>
    <comment ref="E84" authorId="0" shapeId="0">
      <text>
        <r>
          <rPr>
            <b/>
            <sz val="8"/>
            <color indexed="81"/>
            <rFont val="Tahoma"/>
            <family val="2"/>
          </rPr>
          <t>differs from G/L  by $1,199,738 due to an adjustment made in G/L for taxes.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 Kilpatrick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Project #786
Work Orders 12474, 12553, 12554, 12555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Updated with Basin's RR dated May 20, 2011.  </t>
        </r>
      </text>
    </comment>
  </commentList>
</comments>
</file>

<file path=xl/comments3.xml><?xml version="1.0" encoding="utf-8"?>
<comments xmlns="http://schemas.openxmlformats.org/spreadsheetml/2006/main">
  <authors>
    <author>Chris Kilpatrick</author>
  </authors>
  <commentLis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4.xml><?xml version="1.0" encoding="utf-8"?>
<comments xmlns="http://schemas.openxmlformats.org/spreadsheetml/2006/main">
  <authors>
    <author>Chris Kilpatrick</author>
  </authors>
  <commentList>
    <comment ref="E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5.xml><?xml version="1.0" encoding="utf-8"?>
<comments xmlns="http://schemas.openxmlformats.org/spreadsheetml/2006/main">
  <authors>
    <author>Chris Kilpatrick</author>
  </authors>
  <commentList>
    <comment ref="E50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6.xml><?xml version="1.0" encoding="utf-8"?>
<comments xmlns="http://schemas.openxmlformats.org/spreadsheetml/2006/main">
  <authors>
    <author>jkirsch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Wygen 1 &amp; Wyodak 230 KV to Donkey Creek - WO number 99996101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Lange Transformer Rewind - 50%</t>
        </r>
      </text>
    </comment>
    <comment ref="F18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1. Pumpkin Buttes to Windstar 230KV Project No. 56254, 
2. Replace 100MVA 230/69KV transformer at Wyodak (only 50% considered CUS), 
3. "Purchase DJ and Windstar Interests"- this includes 2 230KV substations and 1 230KV line.   </t>
        </r>
      </text>
    </comment>
  </commentList>
</comments>
</file>

<file path=xl/comments7.xml><?xml version="1.0" encoding="utf-8"?>
<comments xmlns="http://schemas.openxmlformats.org/spreadsheetml/2006/main">
  <authors>
    <author>jkirsch</author>
  </authors>
  <commentList>
    <comment ref="E17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Minnekahta 230 KV Substation (Project No. 56270)</t>
        </r>
      </text>
    </comment>
  </commentList>
</comments>
</file>

<file path=xl/comments8.xml><?xml version="1.0" encoding="utf-8"?>
<comments xmlns="http://schemas.openxmlformats.org/spreadsheetml/2006/main">
  <authors>
    <author>Reiter, Jill</author>
    <author>Chris Kilpatrick</author>
    <author>jkirsch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Reiter, Jill:</t>
        </r>
        <r>
          <rPr>
            <sz val="9"/>
            <color indexed="81"/>
            <rFont val="Tahoma"/>
            <family val="2"/>
          </rPr>
          <t xml:space="preserve">
Dec through June came from Rate Case worksheet</t>
        </r>
      </text>
    </comment>
    <comment ref="E55" authorId="1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F55" authorId="1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G76" authorId="2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N76" authorId="2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76" authorId="2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76" authorId="2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</commentList>
</comments>
</file>

<file path=xl/comments9.xml><?xml version="1.0" encoding="utf-8"?>
<comments xmlns="http://schemas.openxmlformats.org/spreadsheetml/2006/main">
  <authors>
    <author>Wentz, Erin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 - did not use actual usage amount</t>
        </r>
      </text>
    </comment>
  </commentList>
</comments>
</file>

<file path=xl/sharedStrings.xml><?xml version="1.0" encoding="utf-8"?>
<sst xmlns="http://schemas.openxmlformats.org/spreadsheetml/2006/main" count="2464" uniqueCount="1106">
  <si>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</si>
  <si>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16a</t>
  </si>
  <si>
    <t>16b</t>
  </si>
  <si>
    <t>16c</t>
  </si>
  <si>
    <t>WORKING CAPITAL (Note B)</t>
  </si>
  <si>
    <t xml:space="preserve">  Materials &amp; Supplies (Note A)  Transmission</t>
  </si>
  <si>
    <t>12h.G.4+ 5</t>
  </si>
  <si>
    <t xml:space="preserve">  Prepayments</t>
  </si>
  <si>
    <t>12a.B.24</t>
  </si>
  <si>
    <t>TOTAL WORKING CAPITAL (sum lines 19-21)</t>
  </si>
  <si>
    <t>Differs from the RUS 12h by $1,199,738</t>
  </si>
  <si>
    <t>Revenue Requirement Worksheet</t>
  </si>
  <si>
    <t>Page 3</t>
  </si>
  <si>
    <t>Reference</t>
  </si>
  <si>
    <t xml:space="preserve">  Transmission less Account 565</t>
  </si>
  <si>
    <t>12a.A.8.b+ A.16.b-12I.A.9.a</t>
  </si>
  <si>
    <t xml:space="preserve">     Direct Assignment</t>
  </si>
  <si>
    <t>Accounting Records</t>
  </si>
  <si>
    <t xml:space="preserve">     Other</t>
  </si>
  <si>
    <t>12 month ending november</t>
  </si>
  <si>
    <t>TPWS</t>
  </si>
  <si>
    <t xml:space="preserve">12a.A.13.b </t>
  </si>
  <si>
    <t xml:space="preserve">     Production</t>
  </si>
  <si>
    <t>112.24.c</t>
  </si>
  <si>
    <t xml:space="preserve">     Transmission</t>
  </si>
  <si>
    <t xml:space="preserve"> TPWS</t>
  </si>
  <si>
    <t xml:space="preserve">     Headquarters</t>
  </si>
  <si>
    <t xml:space="preserve">     Distribution</t>
  </si>
  <si>
    <t>8a</t>
  </si>
  <si>
    <t>Regulatory Expense of this Filing</t>
  </si>
  <si>
    <t>12i.A.23.a.b.</t>
  </si>
  <si>
    <t xml:space="preserve">  Direct Assign - Transmission Microwave</t>
  </si>
  <si>
    <t xml:space="preserve">  Headquarters</t>
  </si>
  <si>
    <t>Fixed Asset  records</t>
  </si>
  <si>
    <t>TOTAL DEPRECIATION (Sum lines 11-14)</t>
  </si>
  <si>
    <t xml:space="preserve">    Property total</t>
  </si>
  <si>
    <t xml:space="preserve">         Property Headquarters</t>
  </si>
  <si>
    <t>12a.A.21.b (less income tax)</t>
  </si>
  <si>
    <t xml:space="preserve">         Property  Directly Assigned</t>
  </si>
  <si>
    <t xml:space="preserve">         Production</t>
  </si>
  <si>
    <t>12d &amp; 12f</t>
  </si>
  <si>
    <t>TOTAL OPERATING EXPENSES (Sum 9+15+25)</t>
  </si>
  <si>
    <t>REV. REQUIREMENT  (sum lines 26+27)</t>
  </si>
  <si>
    <t>Page 4</t>
  </si>
  <si>
    <t>(From Accounting Report - Cognos)</t>
  </si>
  <si>
    <t>Line #</t>
  </si>
  <si>
    <t>Percent</t>
  </si>
  <si>
    <t xml:space="preserve">Production </t>
  </si>
  <si>
    <t>Transmission-East</t>
  </si>
  <si>
    <t>3</t>
  </si>
  <si>
    <t>Transmission-West</t>
  </si>
  <si>
    <t>Transmission-Allocated</t>
  </si>
  <si>
    <t>Distribution</t>
  </si>
  <si>
    <t>Total Wages and Salaries (exclude adm)</t>
  </si>
  <si>
    <t>Trans % of total wages</t>
  </si>
  <si>
    <t>(line 2/ total)</t>
  </si>
  <si>
    <t>(line 3/ total)</t>
  </si>
  <si>
    <t>Trans % of total trans wages</t>
  </si>
  <si>
    <t>transmission)</t>
  </si>
  <si>
    <t xml:space="preserve">IS Transmission Wage and Salary Dollar Split </t>
  </si>
  <si>
    <t>Net IS transmission Plant (p.2.c.6.L.14, 16, 17)</t>
  </si>
  <si>
    <t>Net  West transmission Plant (p.2.c.7.L.14, 16,17)</t>
  </si>
  <si>
    <t>Net Common Use Plant (p.2.c.8.L.14, 16,17)</t>
  </si>
  <si>
    <t>Net Other transmission (p.2.c.9.L.14, 16,17)</t>
  </si>
  <si>
    <t>Total (sum lines 6 and 7)</t>
  </si>
  <si>
    <t>December-10 (Pumpkin Buttes to Windstar 230KV Line and Substation)</t>
  </si>
  <si>
    <t>April-10 (Double circuit from Wyodak to Donkey Creek Sub)</t>
  </si>
  <si>
    <t>Note:  The capital additions in September 2011 are for the new Minnekahta 230KV Substation.</t>
  </si>
  <si>
    <t>CHEYENNE</t>
  </si>
  <si>
    <t>LIGHT CUS</t>
  </si>
  <si>
    <t xml:space="preserve">Percent of IS to Total Transmission </t>
  </si>
  <si>
    <t>ISTP</t>
  </si>
  <si>
    <t xml:space="preserve">Percent of  West to total Transmission </t>
  </si>
  <si>
    <t>WTP</t>
  </si>
  <si>
    <t xml:space="preserve">Percent of Common Use to total Transmission </t>
  </si>
  <si>
    <t>CUSTP</t>
  </si>
  <si>
    <t xml:space="preserve">Percent of Other to total Transmission </t>
  </si>
  <si>
    <t>OTP</t>
  </si>
  <si>
    <t>West Trans Wage &amp; Salary Dollar (line 4 times line 14)</t>
  </si>
  <si>
    <t>Common Use Wage &amp; Salary (line 4 times line 15)</t>
  </si>
  <si>
    <t>Other Transmission Wage &amp; Salary (line 4 times line 16)</t>
  </si>
  <si>
    <t>Total Transmission Wage and Salary</t>
  </si>
  <si>
    <t xml:space="preserve">                  </t>
  </si>
  <si>
    <t xml:space="preserve">The above rates were developed in June 2006. </t>
  </si>
  <si>
    <t xml:space="preserve">  Proprietary Capital</t>
  </si>
  <si>
    <t>Common Equity</t>
  </si>
  <si>
    <t>Total (sum lines 22-23)</t>
  </si>
  <si>
    <t>Basin Electric Power Cooperative</t>
  </si>
  <si>
    <t>December 31, 2002</t>
  </si>
  <si>
    <t>BOOK</t>
  </si>
  <si>
    <t>12/31/02</t>
  </si>
  <si>
    <t>Depreciation</t>
  </si>
  <si>
    <t>Description</t>
  </si>
  <si>
    <t>COST</t>
  </si>
  <si>
    <t>ACCUM DEPR</t>
  </si>
  <si>
    <t>Net Book Value</t>
  </si>
  <si>
    <t>Expense</t>
  </si>
  <si>
    <t xml:space="preserve">Teckla Substation </t>
  </si>
  <si>
    <t>230 kv line Yellow Creek/Osage</t>
  </si>
  <si>
    <t>230 kv Spearfish/Yellow Creek</t>
  </si>
  <si>
    <t>230 kv Yellow Creek/Osage (274)</t>
  </si>
  <si>
    <t>Adjustment to Accum Depr</t>
  </si>
  <si>
    <t>Common Use - Joint Tariff</t>
  </si>
  <si>
    <t>Intangible Plant</t>
  </si>
  <si>
    <t>Total West</t>
  </si>
  <si>
    <t>Total IS</t>
  </si>
  <si>
    <t>Total Other</t>
  </si>
  <si>
    <r>
      <t xml:space="preserve">IS Trans Wage &amp; Salary Dollar </t>
    </r>
    <r>
      <rPr>
        <sz val="8"/>
        <rFont val="Arial MT"/>
      </rPr>
      <t>(line 4 times line 13)</t>
    </r>
  </si>
  <si>
    <t xml:space="preserve"> Utilizing RUS Form 7 Data</t>
  </si>
  <si>
    <t>Powder River Energy Corporation</t>
  </si>
  <si>
    <t>RUS Form 7</t>
  </si>
  <si>
    <t xml:space="preserve">Allocator </t>
  </si>
  <si>
    <t>Form 7 Part E Line 5E</t>
  </si>
  <si>
    <t>Form 7 Part E Line 1E</t>
  </si>
  <si>
    <t>Form 7 Part E Line 2E, 3E, 6E</t>
  </si>
  <si>
    <t xml:space="preserve">      Direct Assign - Transmission</t>
  </si>
  <si>
    <t>Accounting records</t>
  </si>
  <si>
    <t xml:space="preserve">      Direct Assign - Distribution</t>
  </si>
  <si>
    <t xml:space="preserve">      Other</t>
  </si>
  <si>
    <t>Form 7 Part E Line 4E</t>
  </si>
  <si>
    <t>Note: This needs to be collected over 2009-2011 and through the 2011 true-up filed in June 2012</t>
  </si>
  <si>
    <t>Note: to address circular reference, copy "Annual Rate" cells</t>
  </si>
  <si>
    <t>and paste special values to the circular reference cells.</t>
  </si>
  <si>
    <t>(Line 1 - Line 11)</t>
  </si>
  <si>
    <t>(Line 2 - Line 12)</t>
  </si>
  <si>
    <t>(Line 3 - Line 13)</t>
  </si>
  <si>
    <t>(Line 4 - Line 14)</t>
  </si>
  <si>
    <t>(Line 5 - Line 15)</t>
  </si>
  <si>
    <t>(Line 6 - Line 16)</t>
  </si>
  <si>
    <t>(Line 7 - Line 17)</t>
  </si>
  <si>
    <t>(Line 8 - Line 18)</t>
  </si>
  <si>
    <t xml:space="preserve">WORKING CAPITAL </t>
  </si>
  <si>
    <t xml:space="preserve">  CWC   (Note A)</t>
  </si>
  <si>
    <t xml:space="preserve">  Materials &amp; Supplies   (Note B)</t>
  </si>
  <si>
    <t>Form 7 Part C Line 23</t>
  </si>
  <si>
    <t>TOTAL WORKING CAPITAL (sum lines 30-32)</t>
  </si>
  <si>
    <t>RATE BASE  (sum lines 29+ 33)</t>
  </si>
  <si>
    <t>Form 7 Part A Line 4b</t>
  </si>
  <si>
    <t>1a</t>
  </si>
  <si>
    <t>1b</t>
  </si>
  <si>
    <t>Basin's records</t>
  </si>
  <si>
    <t>A&amp;G</t>
  </si>
  <si>
    <t>Form 7 Part A Line 10b</t>
  </si>
  <si>
    <t>TOTAL O&amp;M and A&amp;G (sum lines 1 through 7)</t>
  </si>
  <si>
    <t>TAXES OTHER THAN INCOME TAXES  (Note D)</t>
  </si>
  <si>
    <t>Property</t>
  </si>
  <si>
    <t>SUPPORTING CALCULATIONS AND NOTES</t>
  </si>
  <si>
    <t>Total Transmission</t>
  </si>
  <si>
    <t>COMMON PLANT ALLOCATOR  (CE)   (Note I)</t>
  </si>
  <si>
    <t>Labor Ratio</t>
  </si>
  <si>
    <t xml:space="preserve">  Total (sum lines 17-19)</t>
  </si>
  <si>
    <t>Total (sum lines 21-22)</t>
  </si>
  <si>
    <t>Transmission related only.</t>
  </si>
  <si>
    <t>This amount is not included in this calculation.</t>
  </si>
  <si>
    <t>Per RUS accounting requirements, payroll taxes are included in the same account as direct labor.  Property taxes are also charged directly to functional accounts.</t>
  </si>
  <si>
    <t xml:space="preserve">  Therefore, taxes related to income and property are already included in O&amp;M and A&amp;G.</t>
  </si>
  <si>
    <t>Calculation does not include an income tax amount.</t>
  </si>
  <si>
    <t>Other transmission plant not included in this tariff</t>
  </si>
  <si>
    <t>Removes dollar amount of transmission expenses included in the OATT ancillary services rates.</t>
  </si>
  <si>
    <t>Powder River Energy Corporation is all Electric</t>
  </si>
  <si>
    <t>230 kv transmission line</t>
  </si>
  <si>
    <t>Hughes Sub 230 kv equipment</t>
  </si>
  <si>
    <t>Reno Sub 230 kv equipment</t>
  </si>
  <si>
    <t>Teckla Sub 230 kv equipment</t>
  </si>
  <si>
    <t>Wyodak Sub 230 kv equipment</t>
  </si>
  <si>
    <t>Work Papers - Gross Plant in Service</t>
  </si>
  <si>
    <t>Operations Report, Transformer Detail by FERC-Year-Size</t>
  </si>
  <si>
    <t>(0.1035% of Ln.9) (Line 3 of BHP Sch. 2b)</t>
  </si>
  <si>
    <t>Gross Plant in Service - Transmission</t>
  </si>
  <si>
    <t>Total Transmission Plant</t>
  </si>
  <si>
    <t>Form 7, Part E, Lines 5E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</si>
  <si>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</si>
  <si>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</si>
  <si>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</si>
  <si>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</si>
  <si>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</si>
  <si>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</si>
  <si>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</si>
  <si>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Gross Plant in Service - Distribution</t>
  </si>
  <si>
    <t>Total Distribution Plant</t>
  </si>
  <si>
    <t>Form 7, Part E, Lines 1E</t>
  </si>
  <si>
    <t>Less:  Electric Plant Sold</t>
  </si>
  <si>
    <t>Form 7, Part E, Line 6E</t>
  </si>
  <si>
    <t>Gross Plant in Service - Other</t>
  </si>
  <si>
    <t>Total General Plant</t>
  </si>
  <si>
    <t>Form 7, Part E, Lines 2E &amp; 3E</t>
  </si>
  <si>
    <t>Add:  Total Leased Plant</t>
  </si>
  <si>
    <t>Reconciliation of Form 7, Part E, Line 6E</t>
  </si>
  <si>
    <t>Electric Plant Sold</t>
  </si>
  <si>
    <t>Total Leased Plant</t>
  </si>
  <si>
    <t>Total All Other Utility Plant</t>
  </si>
  <si>
    <t xml:space="preserve">Jan-10 - See line 2 col 5 of Estimate </t>
  </si>
  <si>
    <t>Subtotal of 2010 Increase for Accumulated Depreciation</t>
  </si>
  <si>
    <t>See WP3 for additional information on 2011 Transmission Additions</t>
  </si>
  <si>
    <t>Transmission Accumulated Depreciation for 2010 &amp; 2011</t>
  </si>
  <si>
    <t>Total 2010 CUS Transmission Assets Place in Service</t>
  </si>
  <si>
    <t>2011 Weighted Average Plant in Service Additions for projects over $1,000,000</t>
  </si>
  <si>
    <t>Accumulated Depreciation - Transmission</t>
  </si>
  <si>
    <t>Accum. Deprec. - Transmission</t>
  </si>
  <si>
    <t>See work paper - Utility Plant</t>
  </si>
  <si>
    <t>Accumulated Depreciation - Distribution</t>
  </si>
  <si>
    <t>Accum. Deprec. - Distribution</t>
  </si>
  <si>
    <t>Retirement Work in Progress</t>
  </si>
  <si>
    <t>Accumulated Depreciation - Other</t>
  </si>
  <si>
    <t>Accum. Deprec. - General Plant</t>
  </si>
  <si>
    <t>Accum. Deprec. - Leased Plant</t>
  </si>
  <si>
    <t>Work Papers - Depreciation Expense</t>
  </si>
  <si>
    <t>For the Year Ending December 31, 2002</t>
  </si>
  <si>
    <t>Amortization</t>
  </si>
  <si>
    <t>Land Rights</t>
  </si>
  <si>
    <t xml:space="preserve"> Depreciation</t>
  </si>
  <si>
    <t>Gen. Plant</t>
  </si>
  <si>
    <t>Projected 2011 Load</t>
  </si>
  <si>
    <t>Tools, Shop and Garage Equipment</t>
  </si>
  <si>
    <t>Updated for 12/31/09</t>
  </si>
  <si>
    <t>Total amount per FERC at 12/31/09</t>
  </si>
  <si>
    <t>2009 Depreciation Expense (Line 16 x Line 18)</t>
  </si>
  <si>
    <t>263.3i, 263.4i, 263.11i</t>
  </si>
  <si>
    <t>A/C 405.1</t>
  </si>
  <si>
    <t>A/C 405.2</t>
  </si>
  <si>
    <t>A/C 403.1</t>
  </si>
  <si>
    <t>A/C 403.2</t>
  </si>
  <si>
    <t>403.4 &amp; 403.5</t>
  </si>
  <si>
    <t>Totals</t>
  </si>
  <si>
    <t>Summary:</t>
  </si>
  <si>
    <t>Depreciation Expense - Transmission</t>
  </si>
  <si>
    <t>Accounts 405.1 &amp; 403.1</t>
  </si>
  <si>
    <t>Depreciation Expense - Distribution</t>
  </si>
  <si>
    <t>Accounts 405.2 &amp; 403.2</t>
  </si>
  <si>
    <t>Depreciation Expense - Other</t>
  </si>
  <si>
    <t>Accounts 403.4 &amp; 403.5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</si>
  <si>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</si>
  <si>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</si>
  <si>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</si>
  <si>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</si>
  <si>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</si>
  <si>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</si>
  <si>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</si>
  <si>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</si>
  <si>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</si>
  <si>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</si>
  <si>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</si>
  <si>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</si>
  <si>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201.13.e</t>
  </si>
  <si>
    <t>201.14.e</t>
  </si>
  <si>
    <t>Monthly Additions to the CUS System (over $1,000,000)</t>
  </si>
  <si>
    <t>Total amount per FERC Form 1</t>
  </si>
  <si>
    <t>Communication Plant Depreciation Rate (WP 5 line 23)</t>
  </si>
  <si>
    <t>Accumulated Depreciation from the previous year</t>
  </si>
  <si>
    <t>Adjusted Accumulated Depreciation for Communication Plant (Line 13 + Line 15 + Line 21)</t>
  </si>
  <si>
    <t>Adjusted Accumulated Depreciation for General Plant (Line 11 Col 1 less Line 23 Col 2)</t>
  </si>
  <si>
    <t>2008 Depreciation Expense (Line 17 x Line 19)</t>
  </si>
  <si>
    <t>Amount allocated to Communication for Accum Depr (Line 7 * Line 11)</t>
  </si>
  <si>
    <t>(Allocation / $)</t>
  </si>
  <si>
    <r>
      <t xml:space="preserve">Average 2009 Communication Plant in Service (Line 3 Col 1 + Line 3 Col 2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2)</t>
    </r>
  </si>
  <si>
    <t>FERC Acct 118/121-1800</t>
  </si>
  <si>
    <t>FERC Acct 119/122-1100</t>
  </si>
  <si>
    <t>Amount based on actual calendar year 2009</t>
  </si>
  <si>
    <t>207.99.g - line 6</t>
  </si>
  <si>
    <t>219.28.c - line 16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</si>
  <si>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</si>
  <si>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</si>
  <si>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</si>
  <si>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</si>
  <si>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</si>
  <si>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</si>
  <si>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</si>
  <si>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</si>
  <si>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</si>
  <si>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</si>
  <si>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</si>
  <si>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</si>
  <si>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</si>
  <si>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</si>
  <si>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204.58.g</t>
  </si>
  <si>
    <t>204.75.g</t>
  </si>
  <si>
    <t>219.25.b</t>
  </si>
  <si>
    <t>219.26.b</t>
  </si>
  <si>
    <t>(line 93 - line 112)</t>
  </si>
  <si>
    <t>(line 104 - line 122)</t>
  </si>
  <si>
    <t>BHP-11, page 7, line 1, (n)</t>
  </si>
  <si>
    <t>BHP-11, page 7, line 2, (n)</t>
  </si>
  <si>
    <t>BHP-11, page 7, line 3, (n)</t>
  </si>
  <si>
    <t>BHP-11, page 7, line 4, (n)</t>
  </si>
  <si>
    <t>BHP-11, page 7, line 5, (n)</t>
  </si>
  <si>
    <t>BHP-11, page 7, line 6, (n)</t>
  </si>
  <si>
    <t>BHP-11, page 7, line 7, (n)</t>
  </si>
  <si>
    <t>BHP-11, page 7, line 11, (n)</t>
  </si>
  <si>
    <t>BHP-11, page 7, line 12, (n)</t>
  </si>
  <si>
    <t>BHP-11, page 7, line 13, (n)</t>
  </si>
  <si>
    <t>BHP-11, page 7, line 14, (n)</t>
  </si>
  <si>
    <t>BHP-11, page 7, line 15, (n)</t>
  </si>
  <si>
    <t>BHP-11, page 7, line 16, (n)</t>
  </si>
  <si>
    <t>BHP-11, page 7, line 17, (n)</t>
  </si>
  <si>
    <t>BHP-11, Page 6, line 31, ( c)</t>
  </si>
  <si>
    <t>BHP-11, Page 6, line 32, ( c)</t>
  </si>
  <si>
    <t>BHP-11, Page 6, line 33, ( c)</t>
  </si>
  <si>
    <t>BHP-11, Page 6, line 34, ( c)</t>
  </si>
  <si>
    <t>BHP-11, Page 6, line 35, ( c)</t>
  </si>
  <si>
    <t>BHP-11, Page 6, line 36, ( c)</t>
  </si>
  <si>
    <t>BHP-11, Page 6, line 43, ( c)</t>
  </si>
  <si>
    <t>BHP-11, Page 6, line 44, ( c)</t>
  </si>
  <si>
    <t>BHP-11, Page 6, line 45, ( c)</t>
  </si>
  <si>
    <t>Transmission Plant Depreciation Rate (WP 5 line 11)</t>
  </si>
  <si>
    <r>
      <t xml:space="preserve">Average 2008 Communication Plant in Service (Line 3 Col 1 + Line 3 Col 2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2)</t>
    </r>
  </si>
  <si>
    <t>Average Balance</t>
  </si>
  <si>
    <t>Amount per Attachment H, pg 160b, line 95, col 5</t>
  </si>
  <si>
    <t>GROSS PLANT IN SERVICE (101 &amp; 106)</t>
  </si>
  <si>
    <t>ACCUMULATED DEPRECIATION (108)</t>
  </si>
  <si>
    <t>Amount Placed</t>
  </si>
  <si>
    <t>EPRI Annual Membership Dues listed in Form 1 at 335.1.b, all Regulatory Commission Expenses itemized at 351.1.h, and non-safety</t>
  </si>
  <si>
    <t xml:space="preserve">   related advertising included in Account 930.1 at 323.191.b.</t>
  </si>
  <si>
    <t>336.10.b &amp; 336.10.d&amp;e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</si>
  <si>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</si>
  <si>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</si>
  <si>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</si>
  <si>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>Total Depreciation Expense</t>
  </si>
  <si>
    <t>Account</t>
  </si>
  <si>
    <t>Book</t>
  </si>
  <si>
    <t>Rate</t>
  </si>
  <si>
    <t>230 kv trans line - land rights</t>
  </si>
  <si>
    <t>230 kv trans line - poles &amp; fixtures</t>
  </si>
  <si>
    <t xml:space="preserve">    Less FERC Annual Fees  (Note D)</t>
  </si>
  <si>
    <t xml:space="preserve">    Plus Trans Related Reg. Comm.  Exp. (Note E)   (Workpaper 1 line 11)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</si>
  <si>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</si>
  <si>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</si>
  <si>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</si>
  <si>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</si>
  <si>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</si>
  <si>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</si>
  <si>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</si>
  <si>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</si>
  <si>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</si>
  <si>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</si>
  <si>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</si>
  <si>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</si>
  <si>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</si>
  <si>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</si>
  <si>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</si>
  <si>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</si>
  <si>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</si>
  <si>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</si>
  <si>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>230 kv trans line - OH cond &amp; devices</t>
  </si>
  <si>
    <t>Transmission Material Inventory</t>
  </si>
  <si>
    <t>13 month average ending December 31, 2002</t>
  </si>
  <si>
    <t>Inventory</t>
  </si>
  <si>
    <t>Item</t>
  </si>
  <si>
    <t xml:space="preserve">   Less Account 561.6</t>
  </si>
  <si>
    <t xml:space="preserve">   Less Account 561.7</t>
  </si>
  <si>
    <t>pg 321.90.b</t>
  </si>
  <si>
    <t>pg 321.91.b</t>
  </si>
  <si>
    <t>Travel and Other Expenses</t>
  </si>
  <si>
    <t>BHP</t>
  </si>
  <si>
    <t>Allocation of the Revenue Credits to the Common Use AC Facilities:</t>
  </si>
  <si>
    <t>ADJUSTMENTS TO RATE BASE       (Note A)</t>
  </si>
  <si>
    <t>214.x.d  (Note B)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</si>
  <si>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</si>
  <si>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</si>
  <si>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See Note H for the True-Up calculation.</t>
  </si>
  <si>
    <t>Amount allocated to Communication for Accum Depr (Line 7 * Line 12)</t>
  </si>
  <si>
    <t>Adjusted Accumulated Depreciation for Communication Plant (Line 14 + Line 20)</t>
  </si>
  <si>
    <t>Adjusted Accumulated Depreciation for General Plant (Line 12 Col 1 less Line 22 Col 2)</t>
  </si>
  <si>
    <r>
      <t xml:space="preserve">Communication Plant % of Total (Line 3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Line 1)</t>
    </r>
  </si>
  <si>
    <t>See Workpaper 4 (line 5 col 1)</t>
  </si>
  <si>
    <t>205.46.g</t>
  </si>
  <si>
    <t>111.57.c</t>
  </si>
  <si>
    <t>336.7.b</t>
  </si>
  <si>
    <t>263.i</t>
  </si>
  <si>
    <t>263.23i</t>
  </si>
  <si>
    <t>Cash Working Capital assigned to transmission is one-eighth of O&amp;M allocated to transmission at line 47, column 5.</t>
  </si>
  <si>
    <t>Cash Working Capital assigned to transmission is one-eighth of O&amp;M allocated to transmission at line 42, column 5.</t>
  </si>
  <si>
    <t>Dec. 01</t>
  </si>
  <si>
    <t>Jan. 02</t>
  </si>
  <si>
    <t>Feb. 02</t>
  </si>
  <si>
    <t>Mar. 02</t>
  </si>
  <si>
    <t>Apr. 02</t>
  </si>
  <si>
    <t>May. 02</t>
  </si>
  <si>
    <t>Jun. 02</t>
  </si>
  <si>
    <t>Jul. 02</t>
  </si>
  <si>
    <t>Aug. 02</t>
  </si>
  <si>
    <t>Sept. 02</t>
  </si>
  <si>
    <t>Oct. 02</t>
  </si>
  <si>
    <t>Nov.  02</t>
  </si>
  <si>
    <t>Dec. 02</t>
  </si>
  <si>
    <t>Crossarms 8'</t>
  </si>
  <si>
    <t>Crossarms 10'</t>
  </si>
  <si>
    <t>Crossarms 12'</t>
  </si>
  <si>
    <t>Crossarms 22'</t>
  </si>
  <si>
    <t>Poles 65'</t>
  </si>
  <si>
    <t>Poles 70'</t>
  </si>
  <si>
    <t>Poles 75'</t>
  </si>
  <si>
    <t>Poles 80'</t>
  </si>
  <si>
    <t>Poles 85'</t>
  </si>
  <si>
    <t>Poles 90'</t>
  </si>
  <si>
    <t>Poles 95'</t>
  </si>
  <si>
    <t>Poles 100'</t>
  </si>
  <si>
    <t xml:space="preserve">13 month average </t>
  </si>
  <si>
    <t>Exciter Real Power Requirements</t>
  </si>
  <si>
    <t>Voltage</t>
  </si>
  <si>
    <t>(Current*Voltage)/10^6</t>
  </si>
  <si>
    <t>HEAVY SUMMER BASE CASE</t>
  </si>
  <si>
    <t>Common Use AC Facilities</t>
  </si>
  <si>
    <t>Form 1, page 337. &amp; 337.1, column (e)</t>
  </si>
  <si>
    <t>UNIT</t>
  </si>
  <si>
    <t>4</t>
  </si>
  <si>
    <t>Common Use AC Facility Transmission Load</t>
  </si>
  <si>
    <t>Exciter MW Requirements (Ln. 19-31)</t>
  </si>
  <si>
    <t>Generator MVAR @ Peak (Ln. 5-18)</t>
  </si>
  <si>
    <t>Rapid City DC Tie/West Transmission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</si>
  <si>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</si>
  <si>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</si>
  <si>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</si>
  <si>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</si>
  <si>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</si>
  <si>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</si>
  <si>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</si>
  <si>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>Rapid City</t>
  </si>
  <si>
    <t>Basin Share</t>
  </si>
  <si>
    <t>BHP Share</t>
  </si>
  <si>
    <t>BEPC East</t>
  </si>
  <si>
    <t>100% Project</t>
  </si>
  <si>
    <t>DC Tie</t>
  </si>
  <si>
    <t>WREC</t>
  </si>
  <si>
    <t>RC South substation (overheads)</t>
  </si>
  <si>
    <t>West Transmission</t>
  </si>
  <si>
    <t>Converter Facilities</t>
  </si>
  <si>
    <t>Converter Only - overheads</t>
  </si>
  <si>
    <t>Converter Facilities-W interconnect</t>
  </si>
  <si>
    <t>Converter Facilities-E interconnect</t>
  </si>
  <si>
    <t>East Transmission</t>
  </si>
  <si>
    <t>East Transmission -WREC</t>
  </si>
  <si>
    <t>New Underwood Substation</t>
  </si>
  <si>
    <t>Communication Facilities</t>
  </si>
  <si>
    <t>BEPC Cost Only</t>
  </si>
  <si>
    <t>Unrecorded Liabilities- est-(ABB)</t>
  </si>
  <si>
    <t xml:space="preserve">RC South Substation </t>
  </si>
  <si>
    <t>DC Tie Connection</t>
  </si>
  <si>
    <t>East Side - IS</t>
  </si>
  <si>
    <t>Total Rapid City DC Tie</t>
  </si>
  <si>
    <t>Total Project Costs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</si>
  <si>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</si>
  <si>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</si>
  <si>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</si>
  <si>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</si>
  <si>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</si>
  <si>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</si>
  <si>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</si>
  <si>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</si>
  <si>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</si>
  <si>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Converter Project - BHP</t>
  </si>
  <si>
    <t>Workpaper  2</t>
  </si>
  <si>
    <t>Workpaper 1</t>
  </si>
  <si>
    <t>AN</t>
  </si>
  <si>
    <t>Workpaper 11</t>
  </si>
  <si>
    <t>Workpaper 10</t>
  </si>
  <si>
    <t>BASIN</t>
  </si>
  <si>
    <t>SD</t>
  </si>
  <si>
    <t xml:space="preserve">CITY OF </t>
  </si>
  <si>
    <t>WEST</t>
  </si>
  <si>
    <t>GILLETTE</t>
  </si>
  <si>
    <t>LOAD</t>
  </si>
  <si>
    <t xml:space="preserve">TP </t>
  </si>
  <si>
    <t>General Plant</t>
  </si>
  <si>
    <t>Less: FERC Acct 397 Communication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</si>
  <si>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</si>
  <si>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</si>
  <si>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</si>
  <si>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</si>
  <si>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</si>
  <si>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</si>
  <si>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>General Accumulated Depreciation</t>
  </si>
  <si>
    <t>Total General Accumulated Depreciation</t>
  </si>
  <si>
    <t>219.28.b</t>
  </si>
  <si>
    <t>Asset Placed</t>
  </si>
  <si>
    <t>in Service</t>
  </si>
  <si>
    <t>(Col A * Depr Rate/12)</t>
  </si>
  <si>
    <t>Annual Transmission Depreciation Expense (line 19 x line 21)</t>
  </si>
  <si>
    <t xml:space="preserve">Less distribution plant excluded from Common Use Facilities </t>
  </si>
  <si>
    <t xml:space="preserve">Less distribution plant included in Ancillary Services </t>
  </si>
  <si>
    <t>321.84-92.b &amp; 96.b</t>
  </si>
  <si>
    <t>COMMON USE</t>
  </si>
  <si>
    <t>AC LOAD</t>
  </si>
  <si>
    <t>Osage Sub 230 kv equipment</t>
  </si>
  <si>
    <t>Regulatory Expense</t>
  </si>
  <si>
    <t>Consultant Fees</t>
  </si>
  <si>
    <t>Legal Fees</t>
  </si>
  <si>
    <t>Travel</t>
  </si>
  <si>
    <t>3 Year Amortization of Regulatory Expense</t>
  </si>
  <si>
    <t>Regulatory Expense- FERC Regulation</t>
  </si>
  <si>
    <t>OASIS Fees paid to WAPA</t>
  </si>
  <si>
    <t>Total Additional Annual A&amp;G</t>
  </si>
  <si>
    <t>Workpaper 3</t>
  </si>
  <si>
    <t>Source</t>
  </si>
  <si>
    <t>One Time OASIS Fee paid to WAPA-RMR</t>
  </si>
  <si>
    <t>Annual OASIS Fees To WAPA-RMR</t>
  </si>
  <si>
    <t>Work Paper</t>
  </si>
  <si>
    <t>Transmission Plant</t>
  </si>
  <si>
    <t>Work paper</t>
  </si>
  <si>
    <t>Common Use System</t>
  </si>
  <si>
    <t>Work Papers - Depreciation - Common Use Transmission Plant</t>
  </si>
  <si>
    <t xml:space="preserve">  Long Term Debt </t>
  </si>
  <si>
    <t>8b</t>
  </si>
  <si>
    <t>On going OASIS costs</t>
  </si>
  <si>
    <t>Workpaper 2</t>
  </si>
  <si>
    <t xml:space="preserve">Carrying Charge from page 5, line 3 and page 18, line 4 </t>
  </si>
  <si>
    <t xml:space="preserve">  chose to utilize amortization of tax credits against taxable income.  Account 281 is not allocated.</t>
  </si>
  <si>
    <t xml:space="preserve">  multiplied by (1/1-T) (page 7, line 26).</t>
  </si>
  <si>
    <t>(page 16)</t>
  </si>
  <si>
    <t>(page 13)</t>
  </si>
  <si>
    <t>[(page 13) less Ln. 8)]</t>
  </si>
  <si>
    <t>(page 16)*1000</t>
  </si>
  <si>
    <t>Generator MW Capability (page 16, Ln. 15)</t>
  </si>
  <si>
    <t>Generator MVAR Capability (Page 16, Ln. 15)</t>
  </si>
  <si>
    <r>
      <t xml:space="preserve">GROSS REVENUE REQUIREMENT </t>
    </r>
    <r>
      <rPr>
        <b/>
        <sz val="8"/>
        <rFont val="Arial"/>
        <family val="2"/>
      </rPr>
      <t>(page 20, line 28)</t>
    </r>
  </si>
  <si>
    <t>Page 19, line 14</t>
  </si>
  <si>
    <t>Page 20, line 28</t>
  </si>
  <si>
    <t>(Page 21)</t>
  </si>
  <si>
    <t>Adjustment of $1,199,738 made to transmission fixed assets is due to a correction for over accrual</t>
  </si>
  <si>
    <t>RETURN (Page 19, line 23 * Page 21, Line 29)</t>
  </si>
  <si>
    <t>Page 19, Line 18</t>
  </si>
  <si>
    <t>Page19, Line 6</t>
  </si>
  <si>
    <t>Page 19</t>
  </si>
  <si>
    <t>GROSS REVENUE REQUIREMENT (page 26, line 22)</t>
  </si>
  <si>
    <t>RETURN   (Note E)</t>
  </si>
  <si>
    <t xml:space="preserve">  [ Rate Base (page 25, line 34) * Rate of Return (page 27, line 23)]</t>
  </si>
  <si>
    <t>Total transmission plant    (page 25, line 2)</t>
  </si>
  <si>
    <t>Total transmission expenses    (page 6, lines 1- 2)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</si>
  <si>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</si>
  <si>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</si>
  <si>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</si>
  <si>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Cash Working Capital assigned to transmission is 12.5% of O&amp;M and A&amp;G allocated to transmission at page 26, line 8.</t>
  </si>
  <si>
    <t>Total depreciation on page 26, line 12 does not match Form 7 Part A Line 12b due to the booking of a regulatory liability of $793,095 in December 2002.</t>
  </si>
  <si>
    <t>Exhibit No. BBP-10, Sch. 21</t>
  </si>
  <si>
    <t>TRANSMISSION PLANT INCLUDED IN JOINT TARIFF RATES</t>
  </si>
  <si>
    <t>ANNUAL AVERAGE MW</t>
  </si>
  <si>
    <t>Circular Reference</t>
  </si>
  <si>
    <t>TOTAL O&amp;M  (sum lines 2, 3, 5, 6, 7, 8, 8a, &amp; 8b)</t>
  </si>
  <si>
    <t>TOTAL OTHER TAXES  (Sum lines 18-24)</t>
  </si>
  <si>
    <t>Source: Exhibit No. BBP-10, Sch. 21</t>
  </si>
  <si>
    <t>TOTAL GROSS PLANT (sum lines 1-3 &amp; 5-8)</t>
  </si>
  <si>
    <t>TOTAL NET PLANT (sum lines 21-23 &amp; 25-28)</t>
  </si>
  <si>
    <t>TOTAL ACCUM. DEPRECIATION (sum lines 11-18)</t>
  </si>
  <si>
    <t xml:space="preserve">   Add O&amp;M and taxes paid by Basin</t>
  </si>
  <si>
    <t xml:space="preserve">Transmission </t>
  </si>
  <si>
    <t xml:space="preserve">   Add O&amp;M on 230 kV line</t>
  </si>
  <si>
    <t xml:space="preserve">   Less Account 565</t>
  </si>
  <si>
    <t xml:space="preserve">  Add:  Regulatory Expense</t>
  </si>
  <si>
    <t>TOTAL DEPRECIATION (Sum lines 9 - 11)  (Note C)</t>
  </si>
  <si>
    <t xml:space="preserve"> GP</t>
  </si>
  <si>
    <t>Actual</t>
  </si>
  <si>
    <t>207.58.g</t>
  </si>
  <si>
    <t>207.75.g</t>
  </si>
  <si>
    <t>219.20-24.c</t>
  </si>
  <si>
    <t>219.25.c</t>
  </si>
  <si>
    <t>219.26.c</t>
  </si>
  <si>
    <t>207.96.g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</si>
  <si>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</si>
  <si>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</si>
  <si>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</si>
  <si>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</si>
  <si>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</si>
  <si>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</si>
  <si>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</si>
  <si>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</si>
  <si>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</si>
  <si>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</si>
  <si>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</si>
  <si>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pg 321.84-92.b</t>
  </si>
  <si>
    <t>350.1.b</t>
  </si>
  <si>
    <t>Line 1 - EPRI Annual Membership Dues listed in Form 1 at 335.b, all Regulatory Commission Expenses itemized at 351.h, and non-safety</t>
  </si>
  <si>
    <t xml:space="preserve">   related advertising included in Account 930.1.  </t>
  </si>
  <si>
    <t xml:space="preserve">  Allocated Plant</t>
  </si>
  <si>
    <t>321.112.b</t>
  </si>
  <si>
    <t>General and Intangible Assets</t>
  </si>
  <si>
    <t>Adjusted General and Intangible Assets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</si>
  <si>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</si>
  <si>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</si>
  <si>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</si>
  <si>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</si>
  <si>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</si>
  <si>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</si>
  <si>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Monthly Incremental Addition to the CUS System</t>
  </si>
  <si>
    <t>Weighted Amount in Service</t>
  </si>
  <si>
    <t>(D) = (B) * (C)/12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</si>
  <si>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</si>
  <si>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</si>
  <si>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</si>
  <si>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</si>
  <si>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</si>
  <si>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</si>
  <si>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</si>
  <si>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</si>
  <si>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</si>
  <si>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</si>
  <si>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</si>
  <si>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</si>
  <si>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</si>
  <si>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</si>
  <si>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</si>
  <si>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</si>
  <si>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</si>
  <si>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</si>
  <si>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</si>
  <si>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</si>
  <si>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</si>
  <si>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</si>
  <si>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</si>
  <si>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</si>
  <si>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</si>
  <si>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</si>
  <si>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 (Company Records)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</si>
  <si>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</si>
  <si>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</si>
  <si>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</si>
  <si>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</si>
  <si>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</si>
  <si>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</si>
  <si>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</si>
  <si>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</si>
  <si>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</si>
  <si>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</si>
  <si>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</si>
  <si>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</si>
  <si>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</si>
  <si>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</si>
  <si>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</si>
  <si>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</si>
  <si>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</si>
  <si>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</si>
  <si>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</si>
  <si>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</si>
  <si>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</si>
  <si>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</si>
  <si>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>Weighting</t>
  </si>
  <si>
    <t>(A)</t>
  </si>
  <si>
    <t>(B)</t>
  </si>
  <si>
    <t>(C)</t>
  </si>
  <si>
    <t>Cooperative Total</t>
  </si>
  <si>
    <t>TRANSMISSION RATE BASE  (sum lines 18+22)</t>
  </si>
  <si>
    <t xml:space="preserve"> Allocator A</t>
  </si>
  <si>
    <t>Allocators</t>
  </si>
  <si>
    <t>WAGES AND SALARY ALLOCATOR (WS)</t>
  </si>
  <si>
    <t>Long Term Debt</t>
  </si>
  <si>
    <t>Other  Allocators</t>
  </si>
  <si>
    <t>Gross Plant</t>
  </si>
  <si>
    <t>Not Applicable</t>
  </si>
  <si>
    <t>Directly Assigned</t>
  </si>
  <si>
    <t>Note in Col 2 explains the calculation</t>
  </si>
  <si>
    <t xml:space="preserve">DA </t>
  </si>
  <si>
    <t>Notes</t>
  </si>
  <si>
    <t>Return</t>
  </si>
  <si>
    <t xml:space="preserve">Only transmission related </t>
  </si>
  <si>
    <t xml:space="preserve">  Taxes related to income are excluded.  Gross receipts taxes are not included in transmission revenue requirement in rates, </t>
  </si>
  <si>
    <t>Cash Working Capital assigned to transmission is one-eighth of O&amp;M allocated to transmission .</t>
  </si>
  <si>
    <t xml:space="preserve">  Prepayments are the electric related prepayments booked to Account No. 165 </t>
  </si>
  <si>
    <t>Line 5 - EPRI Annual Membership Dues, all Regulatory Commission Expenses, and non-safety</t>
  </si>
  <si>
    <t xml:space="preserve">   ISO filings, or transmission siting. </t>
  </si>
  <si>
    <t>O&amp;M  (Note C)</t>
  </si>
  <si>
    <t>REV. REQUIREMENT  (sum lines 8, 12, 20, &amp; 21)</t>
  </si>
  <si>
    <t>WorkPaper 1</t>
  </si>
  <si>
    <t>WorkPaper 2</t>
  </si>
  <si>
    <t>WorkPaper 3</t>
  </si>
  <si>
    <t>WorkPaper 4</t>
  </si>
  <si>
    <t>WorkPaper 5</t>
  </si>
  <si>
    <t>WorkPaper 6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</si>
  <si>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</si>
  <si>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</si>
  <si>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</si>
  <si>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</si>
  <si>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</si>
  <si>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</si>
  <si>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</si>
  <si>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</si>
  <si>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</si>
  <si>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</si>
  <si>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</si>
  <si>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</si>
  <si>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</si>
  <si>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</si>
  <si>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</si>
  <si>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</si>
  <si>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</si>
  <si>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</si>
  <si>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</si>
  <si>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</si>
  <si>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</si>
  <si>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</si>
  <si>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</si>
  <si>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</si>
  <si>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</si>
  <si>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</si>
  <si>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</si>
  <si>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</si>
  <si>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</si>
  <si>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</si>
  <si>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</si>
  <si>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</si>
  <si>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1- line 7)</t>
  </si>
  <si>
    <t xml:space="preserve"> (line 2- line 8)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</si>
  <si>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</si>
  <si>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</si>
  <si>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</si>
  <si>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</si>
  <si>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</si>
  <si>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</si>
  <si>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</si>
  <si>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</si>
  <si>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</si>
  <si>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</si>
  <si>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</si>
  <si>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TE</t>
  </si>
  <si>
    <t>GP</t>
  </si>
  <si>
    <t>O&amp;M</t>
  </si>
  <si>
    <t xml:space="preserve">  Transmission </t>
  </si>
  <si>
    <t xml:space="preserve">  A&amp;G</t>
  </si>
  <si>
    <t>DEPRECIATION EXPENSE</t>
  </si>
  <si>
    <t xml:space="preserve">  General 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</si>
  <si>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</si>
  <si>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</si>
  <si>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</si>
  <si>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</si>
  <si>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</si>
  <si>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</si>
  <si>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</si>
  <si>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>TOTAL OTHER TAXES  (sum lines 13 - 19)</t>
  </si>
  <si>
    <t xml:space="preserve">  </t>
  </si>
  <si>
    <t xml:space="preserve">INCOME TAXES          </t>
  </si>
  <si>
    <t xml:space="preserve">RETURN </t>
  </si>
  <si>
    <t xml:space="preserve">TRANSMISSION EXPENSES </t>
  </si>
  <si>
    <t>TE=</t>
  </si>
  <si>
    <t>TP=</t>
  </si>
  <si>
    <t>WAGES &amp; SALARY ALLOCATOR   (W&amp;S)</t>
  </si>
  <si>
    <t>Form 1 Reference</t>
  </si>
  <si>
    <t>$</t>
  </si>
  <si>
    <t>Allocation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</si>
  <si>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</si>
  <si>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</si>
  <si>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</si>
  <si>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</si>
  <si>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</si>
  <si>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</si>
  <si>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</si>
  <si>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</si>
  <si>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</si>
  <si>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</si>
  <si>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</si>
  <si>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</si>
  <si>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</si>
  <si>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</si>
  <si>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</si>
  <si>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</si>
  <si>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</si>
  <si>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</si>
  <si>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</si>
  <si>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</si>
  <si>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</si>
  <si>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</si>
  <si>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</si>
  <si>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</si>
  <si>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</si>
  <si>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</si>
  <si>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</si>
  <si>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</si>
  <si>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</si>
  <si>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</si>
  <si>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</si>
  <si>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</si>
  <si>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</si>
  <si>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</si>
  <si>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</si>
  <si>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</si>
  <si>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</si>
  <si>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</si>
  <si>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</si>
  <si>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</si>
  <si>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</si>
  <si>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</si>
  <si>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</si>
  <si>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</si>
  <si>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</si>
  <si>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</si>
  <si>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</si>
  <si>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</si>
  <si>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</si>
  <si>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>calculated</t>
  </si>
  <si>
    <t>WS</t>
  </si>
  <si>
    <t xml:space="preserve">  CWC  </t>
  </si>
  <si>
    <t xml:space="preserve">  Total  (sum lines 12-15)</t>
  </si>
  <si>
    <t>Removes dollar amount of transmission plant included in the development of OATT ancillary services rates and generation</t>
  </si>
  <si>
    <t>zero</t>
  </si>
  <si>
    <t xml:space="preserve">   since they are recovered elsewhere.</t>
  </si>
  <si>
    <t>Percentage of transmission expenses after adjustment (line 8 divided by line 6)</t>
  </si>
  <si>
    <t xml:space="preserve">   related advertising included in Account 930.1.  Line 5a - Regulatory Commission Expenses directly related to transmission service,  </t>
  </si>
  <si>
    <t xml:space="preserve">  step-up facilities, which are deemed to included in OATT ancillary services.  For these purposes, generation step-up</t>
  </si>
  <si>
    <t xml:space="preserve">  facilities are those facilities at a generator substation on which there is no through-flow when the generator is shut down.</t>
  </si>
  <si>
    <t xml:space="preserve">  FAS 109 Adjustment</t>
  </si>
  <si>
    <t>Investment</t>
  </si>
  <si>
    <t>Other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</si>
  <si>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</si>
  <si>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</si>
  <si>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</si>
  <si>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</si>
  <si>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Additional Transmission Depr</t>
  </si>
  <si>
    <t xml:space="preserve">  New Construction CUS Assets</t>
  </si>
  <si>
    <t xml:space="preserve">  Distribution </t>
  </si>
  <si>
    <t>\\appserver\company\bhc\rates\FERC\2008 CUS Rate Case\CUS Tariff Detail-Schedule 2a SupportDocumentation file</t>
  </si>
  <si>
    <t>(Note H)</t>
  </si>
  <si>
    <t>WORKING CAPITAL  (Notes C &amp; H)</t>
  </si>
  <si>
    <t>214.x.d  (Notes B &amp; H)</t>
  </si>
  <si>
    <t>ADJUSTMENTS TO RATE BASE       (Notes A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</si>
  <si>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</si>
  <si>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</si>
  <si>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</si>
  <si>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</si>
  <si>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</si>
  <si>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</si>
  <si>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</si>
  <si>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</si>
  <si>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</si>
  <si>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</si>
  <si>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</si>
  <si>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</si>
  <si>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</si>
  <si>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</si>
  <si>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</si>
  <si>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</si>
  <si>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</si>
  <si>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</si>
  <si>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</si>
  <si>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</si>
  <si>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 xml:space="preserve">Ancillary Services, Schedule No. 2 - </t>
  </si>
  <si>
    <t>REACTIVE SUPPLY AND VOLTAGE CONTROL FROM</t>
  </si>
  <si>
    <t>GENERATION SOURCE SERVICES</t>
  </si>
  <si>
    <t>Generator Step-up Units</t>
  </si>
  <si>
    <t>Total Dual Use Production Plant</t>
  </si>
  <si>
    <t xml:space="preserve">Dual Use Plant Alloc. To Reactive Power </t>
  </si>
  <si>
    <t>Fixed Charge Rate (including O&amp;M) for all Production Plant</t>
  </si>
  <si>
    <t xml:space="preserve">Annual Cost of Reactive Power Equipment </t>
  </si>
  <si>
    <t>Total Production Plant Revenue Requirement including O&amp;M</t>
  </si>
  <si>
    <t>Revenue Requirement for Real Power losses to Produce Rated</t>
  </si>
  <si>
    <t>Total Revenue Requirement for Reactive Power</t>
  </si>
  <si>
    <t>$ per kW - Year</t>
  </si>
  <si>
    <t>$ per kW - Month</t>
  </si>
  <si>
    <t>$ per kW - Week</t>
  </si>
  <si>
    <t>$ per kW - day off peak</t>
  </si>
  <si>
    <t>$ per kW - day on peak</t>
  </si>
  <si>
    <t>$ per MW - hour off peak</t>
  </si>
  <si>
    <t>$ per MW - hour on peak</t>
  </si>
  <si>
    <t>Total Rated Capacity (kVA)</t>
  </si>
  <si>
    <t>Total Generator Max. Nameplate (kW)</t>
  </si>
  <si>
    <t xml:space="preserve">Total VAR Rating (kVAR) </t>
  </si>
  <si>
    <t>Black Hills Power, Inc.</t>
  </si>
  <si>
    <t>Rev Req</t>
  </si>
  <si>
    <t>Net Transmission Plant</t>
  </si>
  <si>
    <t>Carrying Charge:</t>
  </si>
  <si>
    <t>Cost of Service</t>
  </si>
  <si>
    <t xml:space="preserve">Schedule No. 1 </t>
  </si>
  <si>
    <t>365 days/Yr</t>
  </si>
  <si>
    <t>8760 hours/Yr</t>
  </si>
  <si>
    <t>Schedule No. 1 Total Rev Requirement</t>
  </si>
  <si>
    <t>Generator Allocation Ratios</t>
  </si>
  <si>
    <t>Nameplate</t>
  </si>
  <si>
    <t>Rating</t>
  </si>
  <si>
    <t>PLANT</t>
  </si>
  <si>
    <t>UNITS</t>
  </si>
  <si>
    <t>MVA</t>
  </si>
  <si>
    <t>P.F.</t>
  </si>
  <si>
    <t>MW</t>
  </si>
  <si>
    <t>MVAR</t>
  </si>
  <si>
    <t>OSAGE</t>
  </si>
  <si>
    <t>1-3</t>
  </si>
  <si>
    <t>BEN FRENCH STEAM</t>
  </si>
  <si>
    <t>BEN FRENCH CTS</t>
  </si>
  <si>
    <t>1-4</t>
  </si>
  <si>
    <t>BEN FRENCH DIESELS</t>
  </si>
  <si>
    <t>1-5</t>
  </si>
  <si>
    <t>NEIL SIMPSON #1</t>
  </si>
  <si>
    <t>1</t>
  </si>
  <si>
    <t>NEIL SIMPSON #2</t>
  </si>
  <si>
    <t>NEIL SIMPSON CT #1</t>
  </si>
  <si>
    <t>LANGE CT #1</t>
  </si>
  <si>
    <t>WYODAK</t>
  </si>
  <si>
    <t>TOTAL</t>
  </si>
  <si>
    <t>1&amp;3</t>
  </si>
  <si>
    <t>2</t>
  </si>
  <si>
    <t xml:space="preserve">  Long Term Debt</t>
  </si>
  <si>
    <t xml:space="preserve">  Preferred Stock </t>
  </si>
  <si>
    <t>$(000)</t>
  </si>
  <si>
    <t>Less transmission plant excluded from Common Use Facilities       (Note F)</t>
  </si>
  <si>
    <t>(232.1.f - 278.1.f - 278.3.f)*.35</t>
  </si>
  <si>
    <t>Long Term Interest</t>
  </si>
  <si>
    <t>Preferred Dividends</t>
  </si>
  <si>
    <t>118.29.c (positive number)</t>
  </si>
  <si>
    <t>117, sum of 62.c through 66.c</t>
  </si>
  <si>
    <t>Development of Common Stock:</t>
  </si>
  <si>
    <t>112.16.c</t>
  </si>
  <si>
    <t xml:space="preserve">% of Plant dedicated to VAR Production = (kVAR^2 / (kW ^2 + kVAR^2) X 100 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</si>
  <si>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</si>
  <si>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</si>
  <si>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</si>
  <si>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</si>
  <si>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</si>
  <si>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</si>
  <si>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</si>
  <si>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</si>
  <si>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</si>
  <si>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</si>
  <si>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</si>
  <si>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</si>
  <si>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</si>
  <si>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</si>
  <si>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</si>
  <si>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</si>
  <si>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</si>
  <si>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</si>
  <si>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</si>
  <si>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</si>
  <si>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</si>
  <si>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</si>
  <si>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</si>
  <si>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</si>
  <si>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</si>
  <si>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</si>
  <si>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Less transmission plant included in Ancillary Services    (Note G)</t>
  </si>
  <si>
    <t>Transmission plant included in Common Use Facilities  (line 1 less lines 2 &amp; 3)</t>
  </si>
  <si>
    <t>Percentage of transmission plant included in Common Use Facilities (line 4 divided by line 1)</t>
  </si>
  <si>
    <t>Less transmission expenses included in Ancillary Services   (Note H)</t>
  </si>
  <si>
    <t>Included transmission expenses (line 7 less line 6)</t>
  </si>
  <si>
    <t>Percentage of transmission plant included in Common Use Facilities (line 5)</t>
  </si>
  <si>
    <t>Percentage of transmission expenses included in Common Use Facilities (line 9 times line 10)</t>
  </si>
  <si>
    <t>Generating Plant Reactive Power/Voltage Control Costs</t>
  </si>
  <si>
    <t>LANGE</t>
  </si>
  <si>
    <t>STEAM</t>
  </si>
  <si>
    <t>CTS</t>
  </si>
  <si>
    <t>DIESELS</t>
  </si>
  <si>
    <t>#1</t>
  </si>
  <si>
    <t>#2</t>
  </si>
  <si>
    <t>CT #1</t>
  </si>
  <si>
    <t>Alloc. Ratio</t>
  </si>
  <si>
    <t xml:space="preserve">Rated </t>
  </si>
  <si>
    <t>Current</t>
  </si>
  <si>
    <t>Real Power Allocation Ratio - Plant</t>
  </si>
  <si>
    <t>Power Flow Representation</t>
  </si>
  <si>
    <t>Exciter Investment</t>
  </si>
  <si>
    <t>Generator Investment</t>
  </si>
  <si>
    <t>Total Exciter and Generator Investment</t>
  </si>
  <si>
    <t>BEN</t>
  </si>
  <si>
    <t>FRENCH</t>
  </si>
  <si>
    <t>NEIL</t>
  </si>
  <si>
    <t>SIMPSON</t>
  </si>
  <si>
    <t>(MW^2+MVAR^2)</t>
  </si>
  <si>
    <t>MVAR^2/</t>
  </si>
  <si>
    <t/>
  </si>
  <si>
    <t>(Ln. 2 + Ln. 3)</t>
  </si>
  <si>
    <t>(Ln. 3 + Ln. 4)</t>
  </si>
  <si>
    <t xml:space="preserve">   (Ln. 8 + Ln. 10)</t>
  </si>
  <si>
    <t xml:space="preserve">Reactive Power of 375 MVAR </t>
  </si>
  <si>
    <t>(Ln. 11/Ln. 12)</t>
  </si>
  <si>
    <t>Annual Reactive Power Charges</t>
  </si>
  <si>
    <t>(Ln. 23) * Ln. 5)</t>
  </si>
  <si>
    <t>Joint Tariff Rates</t>
  </si>
  <si>
    <t>Revenue Credits</t>
  </si>
  <si>
    <t>(Ln. 6 * Ln. 7)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</si>
  <si>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</si>
  <si>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</si>
  <si>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</si>
  <si>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</si>
  <si>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</si>
  <si>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</si>
  <si>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</si>
  <si>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Load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</si>
  <si>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</si>
  <si>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</si>
  <si>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</si>
  <si>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</si>
  <si>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</si>
  <si>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</si>
  <si>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</si>
  <si>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</si>
  <si>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</si>
  <si>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</si>
  <si>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</si>
  <si>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</si>
  <si>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</si>
  <si>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</si>
  <si>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</si>
  <si>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</si>
  <si>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</si>
  <si>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</si>
  <si>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Rapid City DC Tie</t>
  </si>
  <si>
    <t>Capitalized Cost Estimate</t>
  </si>
  <si>
    <t>Page 2</t>
  </si>
  <si>
    <t>Half Year's Accumulated Depreciation</t>
  </si>
  <si>
    <t>35 Years</t>
  </si>
  <si>
    <t>Net Plant</t>
  </si>
  <si>
    <t>Line 1 - Line 2</t>
  </si>
  <si>
    <t xml:space="preserve">Carrying Charge </t>
  </si>
  <si>
    <t>Annual Revenue Requirement</t>
  </si>
  <si>
    <t>Line 3 * Line 4</t>
  </si>
  <si>
    <t>RC DC Tie Rate</t>
  </si>
  <si>
    <t>Note:</t>
  </si>
  <si>
    <t>For the 12 months ended 12/31/02</t>
  </si>
  <si>
    <t>Utilizing RUS Form 12 Data</t>
  </si>
  <si>
    <t>BASIN ELECTRIC POWER COOPERATIVE</t>
  </si>
  <si>
    <t>IS</t>
  </si>
  <si>
    <t>West</t>
  </si>
  <si>
    <t>Common Use</t>
  </si>
  <si>
    <t>AC Facilities</t>
  </si>
  <si>
    <t>Carrying Charge</t>
  </si>
  <si>
    <t>Line 3/line 2</t>
  </si>
  <si>
    <t>Utilitizing RUS form 12 Data</t>
  </si>
  <si>
    <t>(4a)</t>
  </si>
  <si>
    <t>(6)</t>
  </si>
  <si>
    <t>(7)</t>
  </si>
  <si>
    <t>(8)</t>
  </si>
  <si>
    <t>(9)</t>
  </si>
  <si>
    <t>RUS Form 12</t>
  </si>
  <si>
    <t xml:space="preserve">                  Allocator A</t>
  </si>
  <si>
    <t>Allocator B</t>
  </si>
  <si>
    <t>12h.1.A.6.e</t>
  </si>
  <si>
    <t xml:space="preserve">  Transmission *</t>
  </si>
  <si>
    <t>12h.1.A.11.e</t>
  </si>
  <si>
    <t>DA</t>
  </si>
  <si>
    <t>Worksheet 1</t>
  </si>
  <si>
    <t>12h.1.A.16.e</t>
  </si>
  <si>
    <t xml:space="preserve">  General</t>
  </si>
  <si>
    <t>12h.1.A.17.e</t>
  </si>
  <si>
    <t>4a</t>
  </si>
  <si>
    <t xml:space="preserve">          Direct Assign - Transmission Microwave</t>
  </si>
  <si>
    <t>4b</t>
  </si>
  <si>
    <t xml:space="preserve">          Direct Assign - Production</t>
  </si>
  <si>
    <t>4c</t>
  </si>
  <si>
    <t xml:space="preserve">          Other</t>
  </si>
  <si>
    <t xml:space="preserve">WS </t>
  </si>
  <si>
    <t xml:space="preserve">  Intangible</t>
  </si>
  <si>
    <t xml:space="preserve">12h.1.A.1.e </t>
  </si>
  <si>
    <t>12h.1.B.1&amp;4.f</t>
  </si>
  <si>
    <t>12h.1.B.5.f</t>
  </si>
  <si>
    <t>12h.1.B.6.f</t>
  </si>
  <si>
    <t>12h.1.B.7.f</t>
  </si>
  <si>
    <t>10a</t>
  </si>
  <si>
    <t>10b</t>
  </si>
  <si>
    <t>10c</t>
  </si>
  <si>
    <t xml:space="preserve">12h.1.B.12.f </t>
  </si>
  <si>
    <t>minus</t>
  </si>
  <si>
    <t>Summary of Formula Rate Process including True-Up Adjustment  (Using 2011 as an example)</t>
  </si>
  <si>
    <t>TO populates the formula with 2011 Actual data and calculates the 2010 True-up Adjustment before Interest</t>
  </si>
  <si>
    <t>TO compares the revenue received during 2011 to the True-Up calculation done above</t>
  </si>
  <si>
    <t>TO calculates the Interest to include in the 2011 True-Up Adjustment</t>
  </si>
  <si>
    <t>TO populates the formula with 2011 Actual data plus known additions placed in service (over $1,000,000) for 2012 (See WP 2 for an example)</t>
  </si>
  <si>
    <t>TO estimates transmission Capital Additions (over $1,000,000) for 2013 expected to be in service in 2013 (See WP 3 for an example)</t>
  </si>
  <si>
    <t>113.62 b</t>
  </si>
  <si>
    <t>113.64 b</t>
  </si>
  <si>
    <t>113.57 b</t>
  </si>
  <si>
    <t>111.82 b</t>
  </si>
  <si>
    <t>113.63 b</t>
  </si>
  <si>
    <t xml:space="preserve">                      -  </t>
  </si>
  <si>
    <t>ANALYSIS</t>
  </si>
  <si>
    <t>12/2011 Accrual</t>
  </si>
  <si>
    <t>W/S Allocator</t>
  </si>
  <si>
    <t>ROR Correction</t>
  </si>
  <si>
    <t>Accrual to True-up Walk:</t>
  </si>
  <si>
    <t>Depreciation Expense</t>
  </si>
  <si>
    <t>TP Alloc</t>
  </si>
  <si>
    <t>line 2 x BHP-11, Page 7 line 11</t>
  </si>
  <si>
    <t>(line 4 + line 6) x BHP-11, page 7, line 25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</si>
  <si>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</si>
  <si>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</si>
  <si>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</si>
  <si>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</si>
  <si>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</si>
  <si>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</si>
  <si>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</si>
  <si>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</si>
  <si>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see Sep filing</t>
  </si>
  <si>
    <t>Amount based on actual calendar year 2012</t>
  </si>
  <si>
    <t>Actual Expenses (2012)</t>
  </si>
  <si>
    <t>O&amp;M - Acct 561 (2011)</t>
  </si>
  <si>
    <t>2012 Actual Load Data</t>
  </si>
  <si>
    <t>2012 Projected Load Data</t>
  </si>
  <si>
    <t>As filed in Oct 2011</t>
  </si>
  <si>
    <t>Actual 2012 Load</t>
  </si>
  <si>
    <t>Did not update these:</t>
  </si>
  <si>
    <t>** NOT UPDATED</t>
  </si>
  <si>
    <t>12/31/11 &amp; 12/31/12 average balance</t>
  </si>
  <si>
    <t>(232.1.f - 278.5.f)*.35</t>
  </si>
  <si>
    <t>321.85-92.b &amp; 96.b</t>
  </si>
  <si>
    <t>263.3i &amp; l, 263.4i &amp; l, 263.11i &amp; l, 263.11 I, 263.12 l</t>
  </si>
  <si>
    <t>263.20i &amp; l</t>
  </si>
  <si>
    <t>(See Workpaper 7 2012 Actual Load Data)</t>
  </si>
  <si>
    <t>True-Up Amount to be (Refunded)/Paid based on 2012 Actual Costs (A*B)</t>
  </si>
  <si>
    <t>TRUE-UP OF RATES FOR CALENDAR YEAR 2012</t>
  </si>
  <si>
    <t>ACCUMULATED DEPRECIATION CORRECTION SUMMARY</t>
  </si>
  <si>
    <t>Transmission Originally provided</t>
  </si>
  <si>
    <t>Transmission Adjustment</t>
  </si>
  <si>
    <t>Adjusted Transmission</t>
  </si>
  <si>
    <t>General and Intangible Originally provided</t>
  </si>
  <si>
    <t>General and Intangible Adjustment</t>
  </si>
  <si>
    <t>Adjusted General and Intangible</t>
  </si>
  <si>
    <t>Communication System Originally provided</t>
  </si>
  <si>
    <t>Communication System Adjustment</t>
  </si>
  <si>
    <t>Adjusted Communication System</t>
  </si>
  <si>
    <t>Account 282 Adjustment</t>
  </si>
  <si>
    <t>Original</t>
  </si>
  <si>
    <t>Adjustment</t>
  </si>
  <si>
    <t>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</si>
</sst>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2" formatCode="0.0%"/>
    <numFmt numFmtId="173" formatCode="#,##0.0"/>
    <numFmt numFmtId="174" formatCode="0.0"/>
    <numFmt numFmtId="175" formatCode="&quot;$&quot;#,##0.000"/>
    <numFmt numFmtId="176" formatCode="&quot;$&quot;#,##0.00"/>
    <numFmt numFmtId="178" formatCode="_(* #,##0_);_(* \(#,##0\);_(* &quot;-&quot;??_);_(@_)"/>
    <numFmt numFmtId="179" formatCode="_(&quot;$&quot;* #,##0_);_(&quot;$&quot;* \(#,##0\);_(&quot;$&quot;* &quot;-&quot;??_);_(@_)"/>
    <numFmt numFmtId="180" formatCode="&quot;$&quot;#,##0.00000"/>
    <numFmt numFmtId="181" formatCode="0.00000%"/>
    <numFmt numFmtId="183" formatCode="_(* #,##0.0000_);_(* \(#,##0.0000\);_(* &quot;-&quot;??_);_(@_)"/>
    <numFmt numFmtId="184" formatCode="_(* #,##0.00_);_(* \(#,##0.00\);_(* &quot;-&quot;_);_(@_)"/>
    <numFmt numFmtId="186" formatCode="0.0000000"/>
    <numFmt numFmtId="189" formatCode="_(&quot;$&quot;* #,##0.000_);_(&quot;$&quot;* \(#,##0.000\);_(&quot;$&quot;* &quot;-&quot;??_);_(@_)"/>
    <numFmt numFmtId="193" formatCode="_(* #,##0.0_);_(* \(#,##0.0\);_(* &quot;-&quot;??_);_(@_)"/>
    <numFmt numFmtId="194" formatCode="_(* #,##0.00000_);_(* \(#,##0.00000\);_(* &quot;-&quot;??_);_(@_)"/>
    <numFmt numFmtId="196" formatCode="_(* #,##0.0000_);_(* \(#,##0.0000\);_(* &quot;-&quot;_);_(@_)"/>
    <numFmt numFmtId="197" formatCode="_(* #,##0.000000_);_(* \(#,##0.000000\);_(* &quot;-&quot;??_);_(@_)"/>
    <numFmt numFmtId="198" formatCode="_(* #,##0.00000_);_(* \(#,##0.00000\);_(* &quot;-&quot;_);_(@_)"/>
    <numFmt numFmtId="202" formatCode="_(&quot;$&quot;* #,##0.0000_);_(&quot;$&quot;* \(#,##0.0000\);_(&quot;$&quot;* &quot;-&quot;??_);_(@_)"/>
    <numFmt numFmtId="203" formatCode="_(&quot;$&quot;* #,##0.00000_);_(&quot;$&quot;* \(#,##0.00000\);_(&quot;$&quot;* &quot;-&quot;??_);_(@_)"/>
    <numFmt numFmtId="210" formatCode="[$-409]mmmm\-yy;@"/>
    <numFmt numFmtId="212" formatCode="0.0000%"/>
    <numFmt numFmtId="213" formatCode="#,##0.000000"/>
    <numFmt numFmtId="216" formatCode="[$-409]mmm\-yy;@"/>
  </numFmts>
  <fonts count="79">
    <font>
      <sz val="12"/>
      <name val="Arial MT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 MT"/>
    </font>
    <font>
      <sz val="14"/>
      <name val="Arial MT"/>
    </font>
    <font>
      <sz val="14"/>
      <name val="Times New Roman"/>
      <family val="1"/>
    </font>
    <font>
      <sz val="16"/>
      <name val="Arial MT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 MT"/>
    </font>
    <font>
      <sz val="8"/>
      <name val="Arial MT"/>
    </font>
    <font>
      <b/>
      <sz val="8"/>
      <name val="Arial MT"/>
    </font>
    <font>
      <sz val="8"/>
      <color indexed="10"/>
      <name val="Arial"/>
      <family val="2"/>
    </font>
    <font>
      <sz val="8"/>
      <color indexed="10"/>
      <name val="Arial MT"/>
    </font>
    <font>
      <sz val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 MT"/>
    </font>
    <font>
      <sz val="9"/>
      <name val="Arial MT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 MT"/>
    </font>
    <font>
      <sz val="14"/>
      <color indexed="10"/>
      <name val="Times New Roman"/>
      <family val="1"/>
    </font>
    <font>
      <sz val="12"/>
      <color indexed="10"/>
      <name val="Arial MT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2"/>
      <color indexed="12"/>
      <name val="Arial"/>
      <family val="2"/>
    </font>
    <font>
      <sz val="10"/>
      <color indexed="21"/>
      <name val="Arial"/>
      <family val="2"/>
    </font>
    <font>
      <sz val="10"/>
      <color indexed="1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176" fontId="0" fillId="0" borderId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9" fillId="20" borderId="1" applyNumberFormat="0" applyAlignment="0" applyProtection="0"/>
    <xf numFmtId="0" fontId="49" fillId="20" borderId="1" applyNumberFormat="0" applyAlignment="0" applyProtection="0"/>
    <xf numFmtId="0" fontId="50" fillId="21" borderId="2" applyNumberFormat="0" applyAlignment="0" applyProtection="0"/>
    <xf numFmtId="0" fontId="50" fillId="21" borderId="2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3" fillId="0" borderId="3" applyNumberFormat="0" applyFill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7" borderId="1" applyNumberFormat="0" applyAlignment="0" applyProtection="0"/>
    <xf numFmtId="0" fontId="56" fillId="7" borderId="1" applyNumberFormat="0" applyAlignment="0" applyProtection="0"/>
    <xf numFmtId="0" fontId="57" fillId="0" borderId="6" applyNumberFormat="0" applyFill="0" applyAlignment="0" applyProtection="0"/>
    <xf numFmtId="0" fontId="57" fillId="0" borderId="6" applyNumberFormat="0" applyFill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176" fontId="1" fillId="0" borderId="0" applyProtection="0"/>
    <xf numFmtId="0" fontId="7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25" fillId="23" borderId="7" applyNumberFormat="0" applyFont="0" applyAlignment="0" applyProtection="0"/>
    <xf numFmtId="0" fontId="12" fillId="23" borderId="7" applyNumberFormat="0" applyFont="0" applyAlignment="0" applyProtection="0"/>
    <xf numFmtId="0" fontId="59" fillId="20" borderId="8" applyNumberFormat="0" applyAlignment="0" applyProtection="0"/>
    <xf numFmtId="0" fontId="59" fillId="20" borderId="8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1" fillId="0" borderId="9">
      <alignment horizontal="center"/>
    </xf>
    <xf numFmtId="3" fontId="60" fillId="0" borderId="0" applyFont="0" applyFill="0" applyBorder="0" applyAlignment="0" applyProtection="0"/>
    <xf numFmtId="0" fontId="60" fillId="24" borderId="0" applyNumberFormat="0" applyFont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10" applyNumberFormat="0" applyFill="0" applyAlignment="0" applyProtection="0"/>
    <xf numFmtId="0" fontId="63" fillId="0" borderId="10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</cellStyleXfs>
  <cellXfs count="1204">
    <xf numFmtId="176" fontId="0" fillId="0" borderId="0" xfId="0" applyAlignment="1"/>
    <xf numFmtId="176" fontId="4" fillId="0" borderId="0" xfId="0" applyFont="1" applyAlignment="1"/>
    <xf numFmtId="0" fontId="5" fillId="0" borderId="0" xfId="0" applyNumberFormat="1" applyFo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3" fontId="6" fillId="0" borderId="0" xfId="0" applyNumberFormat="1" applyFont="1" applyAlignment="1"/>
    <xf numFmtId="0" fontId="7" fillId="0" borderId="0" xfId="0" applyNumberFormat="1" applyFont="1" applyAlignment="1">
      <alignment horizontal="center"/>
    </xf>
    <xf numFmtId="176" fontId="5" fillId="0" borderId="0" xfId="0" applyFont="1" applyAlignment="1"/>
    <xf numFmtId="0" fontId="7" fillId="0" borderId="0" xfId="0" applyNumberFormat="1" applyFont="1" applyAlignment="1"/>
    <xf numFmtId="165" fontId="5" fillId="0" borderId="0" xfId="0" applyNumberFormat="1" applyFont="1" applyAlignment="1"/>
    <xf numFmtId="166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/>
    <xf numFmtId="49" fontId="5" fillId="0" borderId="0" xfId="0" applyNumberFormat="1" applyFont="1"/>
    <xf numFmtId="4" fontId="5" fillId="0" borderId="0" xfId="0" applyNumberFormat="1" applyFont="1" applyAlignment="1"/>
    <xf numFmtId="169" fontId="5" fillId="0" borderId="0" xfId="0" applyNumberFormat="1" applyFont="1" applyAlignment="1"/>
    <xf numFmtId="3" fontId="5" fillId="0" borderId="0" xfId="0" quotePrefix="1" applyNumberFormat="1" applyFont="1" applyAlignment="1"/>
    <xf numFmtId="3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NumberFormat="1" applyFont="1" applyAlignment="1" applyProtection="1">
      <protection locked="0"/>
    </xf>
    <xf numFmtId="0" fontId="5" fillId="0" borderId="0" xfId="0" applyNumberFormat="1" applyFont="1" applyProtection="1"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Fill="1" applyAlignment="1"/>
    <xf numFmtId="0" fontId="5" fillId="0" borderId="9" xfId="0" applyNumberFormat="1" applyFont="1" applyBorder="1" applyAlignment="1" applyProtection="1">
      <alignment horizontal="center"/>
      <protection locked="0"/>
    </xf>
    <xf numFmtId="3" fontId="5" fillId="0" borderId="9" xfId="0" applyNumberFormat="1" applyFont="1" applyBorder="1" applyAlignment="1"/>
    <xf numFmtId="3" fontId="5" fillId="0" borderId="9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76" fontId="7" fillId="0" borderId="0" xfId="0" applyFont="1" applyAlignment="1">
      <alignment horizontal="center"/>
    </xf>
    <xf numFmtId="3" fontId="7" fillId="0" borderId="0" xfId="0" applyNumberFormat="1" applyFont="1" applyAlignment="1"/>
    <xf numFmtId="3" fontId="5" fillId="0" borderId="11" xfId="0" applyNumberFormat="1" applyFont="1" applyBorder="1" applyAlignment="1"/>
    <xf numFmtId="0" fontId="5" fillId="0" borderId="0" xfId="0" applyNumberFormat="1" applyFont="1" applyFill="1" applyProtection="1">
      <protection locked="0"/>
    </xf>
    <xf numFmtId="3" fontId="5" fillId="0" borderId="0" xfId="0" applyNumberFormat="1" applyFont="1" applyFill="1" applyAlignment="1">
      <alignment horizontal="right"/>
    </xf>
    <xf numFmtId="10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/>
    <xf numFmtId="0" fontId="5" fillId="0" borderId="0" xfId="0" applyNumberFormat="1" applyFont="1" applyFill="1" applyAlignment="1"/>
    <xf numFmtId="166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/>
    <xf numFmtId="176" fontId="5" fillId="0" borderId="0" xfId="0" applyFont="1" applyFill="1" applyAlignment="1"/>
    <xf numFmtId="0" fontId="5" fillId="0" borderId="9" xfId="0" applyNumberFormat="1" applyFont="1" applyFill="1" applyBorder="1"/>
    <xf numFmtId="3" fontId="5" fillId="0" borderId="9" xfId="0" applyNumberFormat="1" applyFont="1" applyFill="1" applyBorder="1" applyAlignment="1"/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49" fontId="5" fillId="0" borderId="0" xfId="0" applyNumberFormat="1" applyFont="1" applyFill="1" applyAlignment="1"/>
    <xf numFmtId="49" fontId="5" fillId="0" borderId="0" xfId="0" applyNumberFormat="1" applyFont="1" applyFill="1" applyAlignment="1">
      <alignment horizontal="center"/>
    </xf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16" fillId="0" borderId="0" xfId="90" applyFont="1"/>
    <xf numFmtId="0" fontId="12" fillId="0" borderId="0" xfId="90" applyFont="1"/>
    <xf numFmtId="0" fontId="7" fillId="0" borderId="0" xfId="90" applyFont="1"/>
    <xf numFmtId="0" fontId="17" fillId="0" borderId="0" xfId="90" applyFont="1" applyAlignment="1">
      <alignment horizontal="center"/>
    </xf>
    <xf numFmtId="0" fontId="15" fillId="0" borderId="0" xfId="90" applyFont="1"/>
    <xf numFmtId="0" fontId="16" fillId="0" borderId="0" xfId="90" applyFont="1" applyAlignment="1">
      <alignment horizontal="center"/>
    </xf>
    <xf numFmtId="0" fontId="16" fillId="0" borderId="12" xfId="90" applyFont="1" applyBorder="1" applyAlignment="1">
      <alignment horizontal="center"/>
    </xf>
    <xf numFmtId="0" fontId="18" fillId="0" borderId="0" xfId="90" applyFont="1"/>
    <xf numFmtId="0" fontId="14" fillId="0" borderId="0" xfId="90" applyFont="1"/>
    <xf numFmtId="0" fontId="16" fillId="0" borderId="0" xfId="90" applyFont="1" applyAlignment="1">
      <alignment horizontal="right"/>
    </xf>
    <xf numFmtId="0" fontId="14" fillId="0" borderId="0" xfId="90" applyFont="1" applyAlignment="1">
      <alignment horizontal="left"/>
    </xf>
    <xf numFmtId="0" fontId="17" fillId="0" borderId="0" xfId="90" applyFont="1"/>
    <xf numFmtId="164" fontId="16" fillId="0" borderId="0" xfId="90" applyNumberFormat="1" applyFont="1"/>
    <xf numFmtId="0" fontId="16" fillId="0" borderId="0" xfId="89" applyFont="1"/>
    <xf numFmtId="0" fontId="12" fillId="0" borderId="0" xfId="90"/>
    <xf numFmtId="170" fontId="12" fillId="0" borderId="0" xfId="90" applyNumberFormat="1"/>
    <xf numFmtId="0" fontId="20" fillId="0" borderId="0" xfId="90" applyFont="1" applyAlignment="1">
      <alignment horizontal="left"/>
    </xf>
    <xf numFmtId="0" fontId="12" fillId="0" borderId="0" xfId="90" applyAlignment="1">
      <alignment horizontal="center"/>
    </xf>
    <xf numFmtId="170" fontId="12" fillId="0" borderId="0" xfId="90" applyNumberFormat="1" applyFill="1"/>
    <xf numFmtId="0" fontId="23" fillId="0" borderId="0" xfId="90" applyFont="1"/>
    <xf numFmtId="0" fontId="24" fillId="0" borderId="0" xfId="90" applyFont="1"/>
    <xf numFmtId="169" fontId="12" fillId="0" borderId="0" xfId="90" applyNumberFormat="1"/>
    <xf numFmtId="170" fontId="12" fillId="25" borderId="0" xfId="90" applyNumberFormat="1" applyFill="1"/>
    <xf numFmtId="176" fontId="12" fillId="0" borderId="0" xfId="90" applyNumberFormat="1"/>
    <xf numFmtId="3" fontId="12" fillId="0" borderId="0" xfId="90" applyNumberFormat="1"/>
    <xf numFmtId="180" fontId="12" fillId="0" borderId="0" xfId="90" applyNumberFormat="1"/>
    <xf numFmtId="0" fontId="22" fillId="0" borderId="0" xfId="90" applyFont="1"/>
    <xf numFmtId="0" fontId="12" fillId="0" borderId="0" xfId="88"/>
    <xf numFmtId="0" fontId="20" fillId="0" borderId="9" xfId="88" applyFont="1" applyBorder="1"/>
    <xf numFmtId="10" fontId="5" fillId="0" borderId="0" xfId="95" applyNumberFormat="1" applyFont="1" applyAlignment="1"/>
    <xf numFmtId="10" fontId="5" fillId="0" borderId="0" xfId="95" applyNumberFormat="1" applyFont="1" applyFill="1" applyAlignment="1"/>
    <xf numFmtId="10" fontId="5" fillId="0" borderId="9" xfId="95" applyNumberFormat="1" applyFont="1" applyBorder="1" applyAlignment="1"/>
    <xf numFmtId="0" fontId="20" fillId="0" borderId="0" xfId="88" applyFont="1"/>
    <xf numFmtId="0" fontId="12" fillId="0" borderId="0" xfId="88" applyAlignment="1">
      <alignment horizontal="center"/>
    </xf>
    <xf numFmtId="0" fontId="20" fillId="0" borderId="0" xfId="88" applyFont="1" applyAlignment="1">
      <alignment horizontal="center"/>
    </xf>
    <xf numFmtId="170" fontId="12" fillId="0" borderId="0" xfId="88" applyNumberFormat="1"/>
    <xf numFmtId="0" fontId="12" fillId="0" borderId="0" xfId="88" quotePrefix="1" applyAlignment="1">
      <alignment horizontal="left"/>
    </xf>
    <xf numFmtId="49" fontId="12" fillId="0" borderId="0" xfId="88" applyNumberFormat="1" applyAlignment="1">
      <alignment horizontal="center"/>
    </xf>
    <xf numFmtId="169" fontId="12" fillId="0" borderId="0" xfId="88" applyNumberFormat="1" applyAlignment="1">
      <alignment horizontal="center"/>
    </xf>
    <xf numFmtId="174" fontId="12" fillId="0" borderId="0" xfId="88" applyNumberFormat="1"/>
    <xf numFmtId="0" fontId="20" fillId="0" borderId="0" xfId="88" applyFont="1" applyAlignment="1"/>
    <xf numFmtId="0" fontId="20" fillId="0" borderId="0" xfId="88" quotePrefix="1" applyFont="1" applyAlignment="1">
      <alignment horizontal="center"/>
    </xf>
    <xf numFmtId="0" fontId="12" fillId="0" borderId="0" xfId="88" quotePrefix="1" applyAlignment="1"/>
    <xf numFmtId="0" fontId="12" fillId="0" borderId="0" xfId="88" applyAlignment="1"/>
    <xf numFmtId="0" fontId="12" fillId="0" borderId="12" xfId="88" applyBorder="1"/>
    <xf numFmtId="0" fontId="12" fillId="0" borderId="0" xfId="88" applyAlignment="1">
      <alignment horizontal="right"/>
    </xf>
    <xf numFmtId="178" fontId="12" fillId="0" borderId="0" xfId="55" applyNumberFormat="1" applyFill="1"/>
    <xf numFmtId="0" fontId="12" fillId="0" borderId="0" xfId="88" applyFont="1"/>
    <xf numFmtId="0" fontId="20" fillId="0" borderId="0" xfId="88" applyFont="1" applyAlignment="1">
      <alignment horizontal="right"/>
    </xf>
    <xf numFmtId="0" fontId="12" fillId="0" borderId="0" xfId="88" applyFont="1" applyAlignment="1">
      <alignment horizontal="center"/>
    </xf>
    <xf numFmtId="0" fontId="20" fillId="0" borderId="9" xfId="88" applyFont="1" applyBorder="1" applyAlignment="1">
      <alignment horizontal="center"/>
    </xf>
    <xf numFmtId="0" fontId="20" fillId="0" borderId="9" xfId="88" quotePrefix="1" applyFont="1" applyBorder="1" applyAlignment="1">
      <alignment horizontal="center"/>
    </xf>
    <xf numFmtId="0" fontId="19" fillId="0" borderId="0" xfId="88" applyFont="1" applyAlignment="1">
      <alignment horizontal="center"/>
    </xf>
    <xf numFmtId="0" fontId="19" fillId="0" borderId="9" xfId="88" quotePrefix="1" applyFont="1" applyBorder="1" applyAlignment="1">
      <alignment horizontal="center"/>
    </xf>
    <xf numFmtId="0" fontId="12" fillId="0" borderId="0" xfId="90" quotePrefix="1" applyFont="1" applyAlignment="1">
      <alignment horizontal="left"/>
    </xf>
    <xf numFmtId="0" fontId="12" fillId="0" borderId="0" xfId="84" applyAlignment="1">
      <alignment horizontal="center"/>
    </xf>
    <xf numFmtId="0" fontId="12" fillId="0" borderId="0" xfId="84"/>
    <xf numFmtId="0" fontId="20" fillId="0" borderId="0" xfId="84" applyFont="1"/>
    <xf numFmtId="0" fontId="25" fillId="0" borderId="0" xfId="84" applyFont="1"/>
    <xf numFmtId="3" fontId="20" fillId="0" borderId="0" xfId="86" applyNumberFormat="1" applyFont="1" applyAlignment="1">
      <alignment horizontal="center"/>
    </xf>
    <xf numFmtId="0" fontId="20" fillId="0" borderId="0" xfId="86" applyNumberFormat="1" applyFont="1" applyAlignment="1">
      <alignment horizontal="center"/>
    </xf>
    <xf numFmtId="0" fontId="12" fillId="0" borderId="9" xfId="84" applyBorder="1" applyAlignment="1">
      <alignment horizontal="center"/>
    </xf>
    <xf numFmtId="0" fontId="12" fillId="0" borderId="9" xfId="84" applyBorder="1"/>
    <xf numFmtId="0" fontId="12" fillId="0" borderId="9" xfId="84" applyBorder="1" applyAlignment="1">
      <alignment horizontal="center" wrapText="1"/>
    </xf>
    <xf numFmtId="0" fontId="12" fillId="0" borderId="0" xfId="84" applyAlignment="1">
      <alignment horizontal="center" wrapText="1"/>
    </xf>
    <xf numFmtId="179" fontId="12" fillId="0" borderId="0" xfId="58" applyNumberFormat="1"/>
    <xf numFmtId="172" fontId="12" fillId="0" borderId="0" xfId="95" applyNumberFormat="1" applyAlignment="1">
      <alignment horizontal="right"/>
    </xf>
    <xf numFmtId="3" fontId="12" fillId="0" borderId="0" xfId="84" applyNumberFormat="1"/>
    <xf numFmtId="9" fontId="12" fillId="0" borderId="0" xfId="95"/>
    <xf numFmtId="41" fontId="12" fillId="0" borderId="0" xfId="84" applyNumberFormat="1"/>
    <xf numFmtId="0" fontId="25" fillId="0" borderId="9" xfId="84" applyFont="1" applyBorder="1"/>
    <xf numFmtId="172" fontId="25" fillId="0" borderId="9" xfId="95" applyNumberFormat="1" applyFont="1" applyBorder="1" applyAlignment="1">
      <alignment horizontal="right"/>
    </xf>
    <xf numFmtId="179" fontId="25" fillId="0" borderId="9" xfId="58" applyNumberFormat="1" applyFont="1" applyBorder="1"/>
    <xf numFmtId="179" fontId="12" fillId="0" borderId="0" xfId="84" applyNumberFormat="1"/>
    <xf numFmtId="9" fontId="12" fillId="0" borderId="0" xfId="95" applyAlignment="1">
      <alignment horizontal="right"/>
    </xf>
    <xf numFmtId="178" fontId="12" fillId="0" borderId="0" xfId="55" applyNumberFormat="1"/>
    <xf numFmtId="43" fontId="12" fillId="0" borderId="0" xfId="84" applyNumberFormat="1"/>
    <xf numFmtId="178" fontId="12" fillId="0" borderId="0" xfId="84" applyNumberFormat="1"/>
    <xf numFmtId="179" fontId="12" fillId="0" borderId="9" xfId="84" applyNumberFormat="1" applyBorder="1"/>
    <xf numFmtId="0" fontId="12" fillId="0" borderId="0" xfId="84" quotePrefix="1"/>
    <xf numFmtId="0" fontId="12" fillId="0" borderId="0" xfId="87" applyAlignment="1">
      <alignment horizontal="center"/>
    </xf>
    <xf numFmtId="0" fontId="20" fillId="0" borderId="0" xfId="87" applyFont="1"/>
    <xf numFmtId="0" fontId="12" fillId="0" borderId="0" xfId="87"/>
    <xf numFmtId="0" fontId="20" fillId="0" borderId="0" xfId="87" applyFont="1" applyAlignment="1">
      <alignment horizontal="right"/>
    </xf>
    <xf numFmtId="0" fontId="12" fillId="0" borderId="0" xfId="87" applyAlignment="1">
      <alignment horizontal="right"/>
    </xf>
    <xf numFmtId="0" fontId="20" fillId="0" borderId="0" xfId="87" applyFont="1" applyBorder="1" applyAlignment="1">
      <alignment horizontal="center"/>
    </xf>
    <xf numFmtId="9" fontId="20" fillId="0" borderId="0" xfId="87" applyNumberFormat="1" applyFont="1" applyBorder="1" applyAlignment="1">
      <alignment horizontal="center"/>
    </xf>
    <xf numFmtId="0" fontId="20" fillId="0" borderId="0" xfId="87" applyFont="1" applyAlignment="1">
      <alignment horizontal="center"/>
    </xf>
    <xf numFmtId="41" fontId="12" fillId="0" borderId="0" xfId="87" applyNumberFormat="1"/>
    <xf numFmtId="178" fontId="12" fillId="0" borderId="0" xfId="87" applyNumberFormat="1" applyAlignment="1">
      <alignment horizontal="center"/>
    </xf>
    <xf numFmtId="10" fontId="12" fillId="0" borderId="0" xfId="95" applyNumberFormat="1"/>
    <xf numFmtId="179" fontId="20" fillId="0" borderId="0" xfId="58" applyNumberFormat="1" applyFont="1"/>
    <xf numFmtId="172" fontId="12" fillId="0" borderId="0" xfId="95" applyNumberFormat="1" applyFill="1"/>
    <xf numFmtId="0" fontId="12" fillId="0" borderId="0" xfId="87" applyFill="1"/>
    <xf numFmtId="41" fontId="12" fillId="0" borderId="0" xfId="87" applyNumberFormat="1" applyFill="1"/>
    <xf numFmtId="10" fontId="12" fillId="0" borderId="0" xfId="95" applyNumberFormat="1" applyFill="1"/>
    <xf numFmtId="184" fontId="20" fillId="0" borderId="0" xfId="87" applyNumberFormat="1" applyFont="1"/>
    <xf numFmtId="0" fontId="12" fillId="0" borderId="0" xfId="87" quotePrefix="1"/>
    <xf numFmtId="0" fontId="12" fillId="0" borderId="0" xfId="87" applyAlignment="1">
      <alignment horizontal="left"/>
    </xf>
    <xf numFmtId="44" fontId="12" fillId="0" borderId="0" xfId="58"/>
    <xf numFmtId="44" fontId="20" fillId="0" borderId="0" xfId="58" applyFont="1"/>
    <xf numFmtId="0" fontId="12" fillId="0" borderId="0" xfId="81"/>
    <xf numFmtId="0" fontId="20" fillId="0" borderId="0" xfId="81" applyNumberFormat="1" applyFont="1"/>
    <xf numFmtId="0" fontId="25" fillId="0" borderId="0" xfId="81" applyNumberFormat="1" applyFont="1" applyAlignment="1"/>
    <xf numFmtId="0" fontId="20" fillId="0" borderId="0" xfId="81" applyNumberFormat="1" applyFont="1" applyAlignment="1">
      <alignment horizontal="center"/>
    </xf>
    <xf numFmtId="0" fontId="20" fillId="0" borderId="0" xfId="81" applyNumberFormat="1" applyFont="1" applyAlignment="1"/>
    <xf numFmtId="0" fontId="25" fillId="0" borderId="0" xfId="81" applyNumberFormat="1" applyFont="1"/>
    <xf numFmtId="0" fontId="3" fillId="0" borderId="0" xfId="81" applyNumberFormat="1" applyFont="1"/>
    <xf numFmtId="0" fontId="28" fillId="0" borderId="0" xfId="81" applyNumberFormat="1" applyFont="1" applyAlignment="1">
      <alignment horizontal="right"/>
    </xf>
    <xf numFmtId="0" fontId="22" fillId="0" borderId="0" xfId="81" applyFont="1"/>
    <xf numFmtId="3" fontId="25" fillId="0" borderId="0" xfId="81" applyNumberFormat="1" applyFont="1" applyAlignment="1"/>
    <xf numFmtId="3" fontId="20" fillId="0" borderId="0" xfId="81" applyNumberFormat="1" applyFont="1" applyAlignment="1">
      <alignment horizontal="center"/>
    </xf>
    <xf numFmtId="3" fontId="20" fillId="0" borderId="0" xfId="81" applyNumberFormat="1" applyFont="1" applyAlignment="1"/>
    <xf numFmtId="49" fontId="20" fillId="0" borderId="0" xfId="81" applyNumberFormat="1" applyFont="1" applyAlignment="1">
      <alignment horizontal="center"/>
    </xf>
    <xf numFmtId="0" fontId="28" fillId="0" borderId="0" xfId="81" applyNumberFormat="1" applyFont="1" applyAlignment="1">
      <alignment horizontal="center"/>
    </xf>
    <xf numFmtId="0" fontId="28" fillId="0" borderId="0" xfId="81" applyNumberFormat="1" applyFont="1" applyBorder="1" applyAlignment="1">
      <alignment horizontal="center"/>
    </xf>
    <xf numFmtId="0" fontId="12" fillId="0" borderId="0" xfId="81" applyNumberFormat="1" applyFont="1" applyAlignment="1">
      <alignment horizontal="center"/>
    </xf>
    <xf numFmtId="0" fontId="12" fillId="0" borderId="0" xfId="81" applyFont="1" applyAlignment="1"/>
    <xf numFmtId="49" fontId="25" fillId="0" borderId="0" xfId="81" applyNumberFormat="1" applyFont="1"/>
    <xf numFmtId="0" fontId="20" fillId="0" borderId="12" xfId="81" applyNumberFormat="1" applyFont="1" applyBorder="1" applyAlignment="1">
      <alignment horizontal="center"/>
    </xf>
    <xf numFmtId="0" fontId="28" fillId="0" borderId="12" xfId="81" applyNumberFormat="1" applyFont="1" applyBorder="1" applyAlignment="1">
      <alignment horizontal="center"/>
    </xf>
    <xf numFmtId="0" fontId="12" fillId="0" borderId="9" xfId="81" applyNumberFormat="1" applyFont="1" applyBorder="1" applyAlignment="1">
      <alignment horizontal="center"/>
    </xf>
    <xf numFmtId="42" fontId="25" fillId="0" borderId="0" xfId="81" applyNumberFormat="1" applyFont="1"/>
    <xf numFmtId="0" fontId="12" fillId="0" borderId="0" xfId="81" applyBorder="1"/>
    <xf numFmtId="3" fontId="25" fillId="0" borderId="0" xfId="81" applyNumberFormat="1" applyFont="1"/>
    <xf numFmtId="42" fontId="25" fillId="0" borderId="0" xfId="81" applyNumberFormat="1" applyFont="1" applyBorder="1"/>
    <xf numFmtId="42" fontId="20" fillId="0" borderId="0" xfId="81" applyNumberFormat="1" applyFont="1"/>
    <xf numFmtId="0" fontId="3" fillId="0" borderId="0" xfId="81" applyNumberFormat="1" applyFont="1" applyBorder="1"/>
    <xf numFmtId="0" fontId="12" fillId="0" borderId="0" xfId="81" applyAlignment="1">
      <alignment horizontal="left"/>
    </xf>
    <xf numFmtId="0" fontId="12" fillId="0" borderId="0" xfId="81" applyAlignment="1">
      <alignment horizontal="center"/>
    </xf>
    <xf numFmtId="41" fontId="12" fillId="0" borderId="0" xfId="81" applyNumberFormat="1"/>
    <xf numFmtId="183" fontId="12" fillId="0" borderId="0" xfId="81" applyNumberFormat="1"/>
    <xf numFmtId="42" fontId="25" fillId="0" borderId="12" xfId="81" applyNumberFormat="1" applyFont="1" applyBorder="1"/>
    <xf numFmtId="42" fontId="25" fillId="0" borderId="11" xfId="81" applyNumberFormat="1" applyFont="1" applyBorder="1"/>
    <xf numFmtId="3" fontId="28" fillId="0" borderId="0" xfId="81" applyNumberFormat="1" applyFont="1" applyBorder="1"/>
    <xf numFmtId="3" fontId="3" fillId="0" borderId="0" xfId="81" applyNumberFormat="1" applyFont="1"/>
    <xf numFmtId="0" fontId="12" fillId="0" borderId="0" xfId="81" applyFill="1"/>
    <xf numFmtId="0" fontId="29" fillId="0" borderId="0" xfId="81" applyFont="1" applyFill="1" applyAlignment="1"/>
    <xf numFmtId="0" fontId="20" fillId="0" borderId="0" xfId="81" applyNumberFormat="1" applyFont="1" applyFill="1" applyAlignment="1"/>
    <xf numFmtId="0" fontId="22" fillId="0" borderId="0" xfId="81" applyNumberFormat="1" applyFont="1" applyFill="1" applyAlignment="1"/>
    <xf numFmtId="0" fontId="20" fillId="0" borderId="0" xfId="81" applyNumberFormat="1" applyFont="1" applyFill="1" applyAlignment="1">
      <alignment horizontal="center"/>
    </xf>
    <xf numFmtId="0" fontId="30" fillId="0" borderId="0" xfId="81" applyNumberFormat="1" applyFont="1" applyFill="1" applyAlignment="1"/>
    <xf numFmtId="0" fontId="29" fillId="0" borderId="0" xfId="81" applyNumberFormat="1" applyFont="1" applyFill="1" applyAlignment="1"/>
    <xf numFmtId="0" fontId="28" fillId="0" borderId="0" xfId="81" applyNumberFormat="1" applyFont="1" applyFill="1" applyAlignment="1">
      <alignment horizontal="right"/>
    </xf>
    <xf numFmtId="3" fontId="22" fillId="0" borderId="0" xfId="81" applyNumberFormat="1" applyFont="1" applyFill="1" applyAlignment="1"/>
    <xf numFmtId="3" fontId="20" fillId="0" borderId="0" xfId="81" applyNumberFormat="1" applyFont="1" applyFill="1" applyAlignment="1">
      <alignment horizontal="center"/>
    </xf>
    <xf numFmtId="3" fontId="20" fillId="0" borderId="0" xfId="81" applyNumberFormat="1" applyFont="1" applyFill="1" applyAlignment="1"/>
    <xf numFmtId="3" fontId="29" fillId="0" borderId="0" xfId="81" applyNumberFormat="1" applyFont="1" applyFill="1" applyAlignment="1"/>
    <xf numFmtId="0" fontId="29" fillId="0" borderId="0" xfId="81" applyNumberFormat="1" applyFont="1" applyFill="1"/>
    <xf numFmtId="49" fontId="20" fillId="0" borderId="0" xfId="81" applyNumberFormat="1" applyFont="1" applyFill="1" applyAlignment="1">
      <alignment horizontal="center"/>
    </xf>
    <xf numFmtId="0" fontId="20" fillId="0" borderId="0" xfId="81" applyNumberFormat="1" applyFont="1" applyFill="1"/>
    <xf numFmtId="0" fontId="22" fillId="0" borderId="0" xfId="81" applyNumberFormat="1" applyFont="1" applyFill="1"/>
    <xf numFmtId="0" fontId="22" fillId="0" borderId="0" xfId="81" applyNumberFormat="1" applyFont="1" applyFill="1" applyAlignment="1">
      <alignment horizontal="center"/>
    </xf>
    <xf numFmtId="49" fontId="22" fillId="0" borderId="0" xfId="81" applyNumberFormat="1" applyFont="1" applyFill="1" applyAlignment="1">
      <alignment horizontal="center"/>
    </xf>
    <xf numFmtId="49" fontId="22" fillId="0" borderId="0" xfId="81" quotePrefix="1" applyNumberFormat="1" applyFont="1" applyFill="1" applyAlignment="1">
      <alignment horizontal="center"/>
    </xf>
    <xf numFmtId="49" fontId="22" fillId="0" borderId="0" xfId="81" applyNumberFormat="1" applyFont="1" applyFill="1" applyBorder="1" applyAlignment="1">
      <alignment horizontal="center"/>
    </xf>
    <xf numFmtId="3" fontId="19" fillId="0" borderId="0" xfId="81" applyNumberFormat="1" applyFont="1" applyFill="1" applyAlignment="1">
      <alignment horizontal="center"/>
    </xf>
    <xf numFmtId="0" fontId="19" fillId="0" borderId="0" xfId="81" applyNumberFormat="1" applyFont="1" applyFill="1" applyAlignment="1">
      <alignment horizontal="center"/>
    </xf>
    <xf numFmtId="0" fontId="30" fillId="0" borderId="0" xfId="81" applyNumberFormat="1" applyFont="1" applyFill="1" applyAlignment="1">
      <alignment horizontal="center"/>
    </xf>
    <xf numFmtId="0" fontId="30" fillId="0" borderId="0" xfId="81" applyNumberFormat="1" applyFont="1" applyFill="1" applyBorder="1" applyAlignment="1">
      <alignment horizontal="center"/>
    </xf>
    <xf numFmtId="3" fontId="19" fillId="0" borderId="0" xfId="81" applyNumberFormat="1" applyFont="1" applyFill="1" applyAlignment="1"/>
    <xf numFmtId="0" fontId="19" fillId="0" borderId="0" xfId="81" applyNumberFormat="1" applyFont="1" applyFill="1" applyAlignment="1"/>
    <xf numFmtId="0" fontId="22" fillId="0" borderId="0" xfId="81" applyFont="1" applyFill="1" applyAlignment="1"/>
    <xf numFmtId="0" fontId="30" fillId="0" borderId="12" xfId="81" applyNumberFormat="1" applyFont="1" applyFill="1" applyBorder="1" applyAlignment="1">
      <alignment horizontal="center"/>
    </xf>
    <xf numFmtId="0" fontId="29" fillId="0" borderId="0" xfId="81" applyNumberFormat="1" applyFont="1" applyFill="1" applyBorder="1" applyAlignment="1"/>
    <xf numFmtId="0" fontId="12" fillId="0" borderId="0" xfId="81" applyFill="1" applyBorder="1"/>
    <xf numFmtId="0" fontId="29" fillId="0" borderId="0" xfId="81" applyNumberFormat="1" applyFont="1" applyFill="1" applyAlignment="1">
      <alignment horizontal="center"/>
    </xf>
    <xf numFmtId="3" fontId="12" fillId="0" borderId="0" xfId="81" applyNumberFormat="1" applyFill="1" applyBorder="1"/>
    <xf numFmtId="41" fontId="19" fillId="0" borderId="0" xfId="81" applyNumberFormat="1" applyFont="1" applyFill="1" applyBorder="1" applyAlignment="1"/>
    <xf numFmtId="3" fontId="22" fillId="0" borderId="0" xfId="81" applyNumberFormat="1" applyFont="1" applyFill="1" applyAlignment="1">
      <alignment horizontal="center"/>
    </xf>
    <xf numFmtId="165" fontId="22" fillId="0" borderId="0" xfId="81" applyNumberFormat="1" applyFont="1" applyFill="1" applyAlignment="1"/>
    <xf numFmtId="41" fontId="22" fillId="0" borderId="0" xfId="81" applyNumberFormat="1" applyFont="1" applyFill="1" applyBorder="1" applyAlignment="1"/>
    <xf numFmtId="3" fontId="29" fillId="0" borderId="0" xfId="81" applyNumberFormat="1" applyFont="1" applyFill="1" applyBorder="1" applyAlignment="1">
      <alignment horizontal="right"/>
    </xf>
    <xf numFmtId="3" fontId="12" fillId="0" borderId="0" xfId="81" applyNumberFormat="1" applyFill="1"/>
    <xf numFmtId="41" fontId="29" fillId="0" borderId="0" xfId="81" applyNumberFormat="1" applyFont="1" applyFill="1" applyAlignment="1"/>
    <xf numFmtId="3" fontId="29" fillId="0" borderId="0" xfId="81" applyNumberFormat="1" applyFont="1" applyFill="1" applyBorder="1" applyAlignment="1"/>
    <xf numFmtId="0" fontId="31" fillId="0" borderId="0" xfId="81" applyFont="1" applyFill="1" applyAlignment="1"/>
    <xf numFmtId="164" fontId="22" fillId="0" borderId="0" xfId="81" applyNumberFormat="1" applyFont="1" applyFill="1" applyAlignment="1">
      <alignment horizontal="center"/>
    </xf>
    <xf numFmtId="3" fontId="31" fillId="0" borderId="0" xfId="81" applyNumberFormat="1" applyFont="1" applyFill="1" applyAlignment="1"/>
    <xf numFmtId="164" fontId="31" fillId="0" borderId="0" xfId="81" applyNumberFormat="1" applyFont="1" applyFill="1" applyAlignment="1">
      <alignment horizontal="center"/>
    </xf>
    <xf numFmtId="41" fontId="19" fillId="0" borderId="12" xfId="81" applyNumberFormat="1" applyFont="1" applyFill="1" applyBorder="1" applyAlignment="1"/>
    <xf numFmtId="165" fontId="31" fillId="0" borderId="0" xfId="81" applyNumberFormat="1" applyFont="1" applyFill="1" applyAlignment="1"/>
    <xf numFmtId="41" fontId="22" fillId="0" borderId="12" xfId="81" applyNumberFormat="1" applyFont="1" applyFill="1" applyBorder="1" applyAlignment="1"/>
    <xf numFmtId="179" fontId="19" fillId="0" borderId="0" xfId="58" applyNumberFormat="1" applyFont="1" applyFill="1" applyBorder="1" applyAlignment="1"/>
    <xf numFmtId="164" fontId="29" fillId="0" borderId="0" xfId="81" applyNumberFormat="1" applyFont="1" applyFill="1"/>
    <xf numFmtId="3" fontId="29" fillId="0" borderId="0" xfId="81" applyNumberFormat="1" applyFont="1" applyFill="1" applyAlignment="1">
      <alignment horizontal="right"/>
    </xf>
    <xf numFmtId="0" fontId="32" fillId="0" borderId="0" xfId="81" applyNumberFormat="1" applyFont="1" applyFill="1"/>
    <xf numFmtId="164" fontId="22" fillId="0" borderId="0" xfId="81" applyNumberFormat="1" applyFont="1" applyFill="1" applyBorder="1" applyAlignment="1">
      <alignment horizontal="center"/>
    </xf>
    <xf numFmtId="164" fontId="12" fillId="0" borderId="0" xfId="81" applyNumberFormat="1" applyFill="1"/>
    <xf numFmtId="3" fontId="29" fillId="0" borderId="0" xfId="81" applyNumberFormat="1" applyFont="1" applyFill="1" applyAlignment="1">
      <alignment horizontal="center"/>
    </xf>
    <xf numFmtId="179" fontId="12" fillId="0" borderId="0" xfId="81" applyNumberFormat="1" applyFill="1" applyBorder="1"/>
    <xf numFmtId="3" fontId="22" fillId="0" borderId="0" xfId="81" applyNumberFormat="1" applyFont="1" applyFill="1" applyBorder="1" applyAlignment="1"/>
    <xf numFmtId="3" fontId="20" fillId="0" borderId="0" xfId="81" applyNumberFormat="1" applyFont="1" applyFill="1"/>
    <xf numFmtId="179" fontId="19" fillId="0" borderId="0" xfId="58" applyNumberFormat="1" applyFont="1" applyFill="1" applyAlignment="1"/>
    <xf numFmtId="0" fontId="29" fillId="0" borderId="0" xfId="81" applyNumberFormat="1" applyFont="1" applyFill="1" applyBorder="1" applyAlignment="1">
      <alignment horizontal="center"/>
    </xf>
    <xf numFmtId="0" fontId="29" fillId="0" borderId="0" xfId="81" applyFont="1" applyFill="1" applyBorder="1" applyAlignment="1"/>
    <xf numFmtId="0" fontId="22" fillId="0" borderId="0" xfId="81" applyNumberFormat="1" applyFont="1" applyFill="1" applyBorder="1" applyAlignment="1"/>
    <xf numFmtId="0" fontId="29" fillId="0" borderId="0" xfId="81" applyFont="1" applyFill="1" applyAlignment="1">
      <alignment horizontal="center"/>
    </xf>
    <xf numFmtId="0" fontId="19" fillId="0" borderId="0" xfId="81" applyNumberFormat="1" applyFont="1" applyFill="1" applyBorder="1" applyAlignment="1"/>
    <xf numFmtId="178" fontId="22" fillId="0" borderId="0" xfId="55" applyNumberFormat="1" applyFont="1" applyFill="1" applyAlignment="1">
      <alignment horizontal="center"/>
    </xf>
    <xf numFmtId="3" fontId="29" fillId="0" borderId="12" xfId="81" applyNumberFormat="1" applyFont="1" applyFill="1" applyBorder="1" applyAlignment="1"/>
    <xf numFmtId="3" fontId="30" fillId="0" borderId="0" xfId="81" applyNumberFormat="1" applyFont="1" applyFill="1" applyAlignment="1"/>
    <xf numFmtId="0" fontId="33" fillId="0" borderId="0" xfId="81" applyFont="1" applyFill="1"/>
    <xf numFmtId="0" fontId="12" fillId="0" borderId="0" xfId="81" applyFill="1" applyAlignment="1">
      <alignment horizontal="center"/>
    </xf>
    <xf numFmtId="179" fontId="12" fillId="0" borderId="0" xfId="81" applyNumberFormat="1" applyFill="1"/>
    <xf numFmtId="3" fontId="33" fillId="0" borderId="0" xfId="81" applyNumberFormat="1" applyFont="1" applyFill="1"/>
    <xf numFmtId="0" fontId="19" fillId="0" borderId="0" xfId="81" applyFont="1" applyFill="1" applyAlignment="1">
      <alignment horizontal="center"/>
    </xf>
    <xf numFmtId="0" fontId="29" fillId="0" borderId="9" xfId="81" applyNumberFormat="1" applyFont="1" applyFill="1" applyBorder="1" applyAlignment="1">
      <alignment horizontal="center"/>
    </xf>
    <xf numFmtId="4" fontId="22" fillId="0" borderId="0" xfId="81" applyNumberFormat="1" applyFont="1" applyFill="1" applyAlignment="1"/>
    <xf numFmtId="0" fontId="34" fillId="0" borderId="0" xfId="81" applyFont="1" applyFill="1" applyAlignment="1"/>
    <xf numFmtId="41" fontId="19" fillId="0" borderId="0" xfId="81" applyNumberFormat="1" applyFont="1" applyFill="1" applyAlignment="1"/>
    <xf numFmtId="41" fontId="22" fillId="0" borderId="0" xfId="81" applyNumberFormat="1" applyFont="1" applyFill="1" applyAlignment="1"/>
    <xf numFmtId="41" fontId="29" fillId="0" borderId="0" xfId="81" applyNumberFormat="1" applyFont="1" applyFill="1" applyAlignment="1">
      <alignment horizontal="center"/>
    </xf>
    <xf numFmtId="164" fontId="29" fillId="0" borderId="0" xfId="81" applyNumberFormat="1" applyFont="1" applyFill="1" applyAlignment="1"/>
    <xf numFmtId="164" fontId="30" fillId="0" borderId="0" xfId="81" applyNumberFormat="1" applyFont="1" applyFill="1" applyAlignment="1"/>
    <xf numFmtId="3" fontId="34" fillId="0" borderId="0" xfId="81" applyNumberFormat="1" applyFont="1" applyFill="1" applyAlignment="1"/>
    <xf numFmtId="41" fontId="12" fillId="0" borderId="0" xfId="81" applyNumberFormat="1" applyFill="1"/>
    <xf numFmtId="164" fontId="30" fillId="0" borderId="0" xfId="81" applyNumberFormat="1" applyFont="1" applyFill="1" applyBorder="1" applyAlignment="1"/>
    <xf numFmtId="3" fontId="22" fillId="0" borderId="0" xfId="81" applyNumberFormat="1" applyFont="1" applyFill="1" applyBorder="1" applyAlignment="1">
      <alignment horizontal="center"/>
    </xf>
    <xf numFmtId="0" fontId="16" fillId="0" borderId="0" xfId="81" applyFont="1" applyFill="1" applyBorder="1"/>
    <xf numFmtId="0" fontId="16" fillId="0" borderId="0" xfId="81" applyFont="1" applyFill="1"/>
    <xf numFmtId="0" fontId="22" fillId="0" borderId="0" xfId="81" applyFont="1" applyFill="1" applyAlignment="1">
      <alignment horizontal="center"/>
    </xf>
    <xf numFmtId="0" fontId="16" fillId="0" borderId="0" xfId="81" applyFont="1"/>
    <xf numFmtId="9" fontId="12" fillId="0" borderId="0" xfId="81" applyNumberFormat="1"/>
    <xf numFmtId="3" fontId="23" fillId="0" borderId="0" xfId="81" applyNumberFormat="1" applyFont="1" applyFill="1"/>
    <xf numFmtId="164" fontId="29" fillId="0" borderId="0" xfId="81" applyNumberFormat="1" applyFont="1" applyFill="1" applyBorder="1" applyAlignment="1"/>
    <xf numFmtId="3" fontId="31" fillId="0" borderId="0" xfId="81" applyNumberFormat="1" applyFont="1" applyFill="1" applyBorder="1" applyAlignment="1"/>
    <xf numFmtId="164" fontId="32" fillId="0" borderId="0" xfId="81" applyNumberFormat="1" applyFont="1" applyFill="1" applyBorder="1" applyAlignment="1"/>
    <xf numFmtId="3" fontId="12" fillId="0" borderId="0" xfId="81" applyNumberFormat="1"/>
    <xf numFmtId="0" fontId="12" fillId="0" borderId="0" xfId="81" applyFont="1" applyFill="1"/>
    <xf numFmtId="179" fontId="22" fillId="0" borderId="0" xfId="58" applyNumberFormat="1" applyFont="1" applyFill="1" applyAlignment="1"/>
    <xf numFmtId="167" fontId="22" fillId="0" borderId="0" xfId="81" applyNumberFormat="1" applyFont="1" applyFill="1" applyAlignment="1"/>
    <xf numFmtId="3" fontId="19" fillId="0" borderId="0" xfId="81" applyNumberFormat="1" applyFont="1" applyFill="1" applyBorder="1" applyAlignment="1"/>
    <xf numFmtId="164" fontId="22" fillId="0" borderId="0" xfId="81" applyNumberFormat="1" applyFont="1" applyFill="1" applyAlignment="1">
      <alignment horizontal="left"/>
    </xf>
    <xf numFmtId="3" fontId="22" fillId="0" borderId="9" xfId="81" applyNumberFormat="1" applyFont="1" applyFill="1" applyBorder="1" applyAlignment="1"/>
    <xf numFmtId="0" fontId="29" fillId="0" borderId="12" xfId="81" applyNumberFormat="1" applyFont="1" applyFill="1" applyBorder="1" applyAlignment="1">
      <alignment horizontal="center"/>
    </xf>
    <xf numFmtId="3" fontId="19" fillId="0" borderId="11" xfId="81" applyNumberFormat="1" applyFont="1" applyFill="1" applyBorder="1" applyAlignment="1"/>
    <xf numFmtId="176" fontId="20" fillId="0" borderId="0" xfId="81" applyNumberFormat="1" applyFont="1" applyFill="1" applyAlignment="1"/>
    <xf numFmtId="0" fontId="20" fillId="0" borderId="0" xfId="81" applyFont="1" applyFill="1"/>
    <xf numFmtId="0" fontId="25" fillId="0" borderId="0" xfId="81" applyNumberFormat="1" applyFont="1" applyFill="1" applyAlignment="1"/>
    <xf numFmtId="0" fontId="25" fillId="0" borderId="0" xfId="81" applyNumberFormat="1" applyFont="1" applyFill="1"/>
    <xf numFmtId="0" fontId="22" fillId="0" borderId="0" xfId="81" applyFont="1" applyFill="1"/>
    <xf numFmtId="3" fontId="25" fillId="0" borderId="0" xfId="81" applyNumberFormat="1" applyFont="1" applyFill="1" applyAlignment="1"/>
    <xf numFmtId="0" fontId="3" fillId="0" borderId="0" xfId="81" applyNumberFormat="1" applyFont="1" applyFill="1"/>
    <xf numFmtId="0" fontId="7" fillId="0" borderId="0" xfId="81" applyFont="1" applyFill="1"/>
    <xf numFmtId="0" fontId="35" fillId="0" borderId="0" xfId="81" applyFont="1" applyFill="1"/>
    <xf numFmtId="0" fontId="36" fillId="0" borderId="0" xfId="81" applyFont="1" applyFill="1"/>
    <xf numFmtId="0" fontId="5" fillId="0" borderId="0" xfId="81" applyFont="1" applyFill="1"/>
    <xf numFmtId="0" fontId="28" fillId="0" borderId="11" xfId="81" applyFont="1" applyFill="1" applyBorder="1" applyAlignment="1"/>
    <xf numFmtId="0" fontId="8" fillId="0" borderId="0" xfId="81" applyFont="1" applyFill="1" applyBorder="1" applyAlignment="1"/>
    <xf numFmtId="0" fontId="12" fillId="0" borderId="0" xfId="81" applyFill="1" applyBorder="1" applyAlignment="1"/>
    <xf numFmtId="0" fontId="20" fillId="0" borderId="0" xfId="81" applyFont="1" applyFill="1" applyAlignment="1">
      <alignment horizontal="center"/>
    </xf>
    <xf numFmtId="0" fontId="20" fillId="0" borderId="0" xfId="81" quotePrefix="1" applyFont="1" applyFill="1" applyAlignment="1">
      <alignment horizontal="center"/>
    </xf>
    <xf numFmtId="0" fontId="20" fillId="0" borderId="0" xfId="81" quotePrefix="1" applyFont="1" applyFill="1" applyBorder="1" applyAlignment="1">
      <alignment horizontal="center"/>
    </xf>
    <xf numFmtId="0" fontId="3" fillId="0" borderId="0" xfId="81" applyFont="1" applyFill="1" applyAlignment="1"/>
    <xf numFmtId="0" fontId="30" fillId="0" borderId="0" xfId="81" applyFont="1" applyFill="1" applyAlignment="1"/>
    <xf numFmtId="0" fontId="30" fillId="0" borderId="0" xfId="81" applyFont="1" applyFill="1" applyAlignment="1">
      <alignment horizontal="center"/>
    </xf>
    <xf numFmtId="0" fontId="28" fillId="0" borderId="0" xfId="81" applyFont="1" applyFill="1" applyBorder="1" applyAlignment="1">
      <alignment horizontal="center"/>
    </xf>
    <xf numFmtId="0" fontId="28" fillId="0" borderId="0" xfId="81" applyFont="1" applyFill="1" applyAlignment="1">
      <alignment horizontal="center"/>
    </xf>
    <xf numFmtId="0" fontId="37" fillId="0" borderId="12" xfId="81" applyFont="1" applyFill="1" applyBorder="1" applyAlignment="1">
      <alignment horizontal="center"/>
    </xf>
    <xf numFmtId="0" fontId="28" fillId="0" borderId="12" xfId="81" applyFont="1" applyFill="1" applyBorder="1" applyAlignment="1">
      <alignment horizontal="center"/>
    </xf>
    <xf numFmtId="0" fontId="30" fillId="0" borderId="12" xfId="81" applyFont="1" applyFill="1" applyBorder="1" applyAlignment="1">
      <alignment horizontal="center"/>
    </xf>
    <xf numFmtId="0" fontId="3" fillId="0" borderId="0" xfId="81" quotePrefix="1" applyFont="1" applyFill="1" applyAlignment="1">
      <alignment horizontal="center"/>
    </xf>
    <xf numFmtId="41" fontId="3" fillId="0" borderId="0" xfId="81" applyNumberFormat="1" applyFont="1" applyFill="1" applyAlignment="1"/>
    <xf numFmtId="0" fontId="3" fillId="0" borderId="0" xfId="81" applyFont="1" applyFill="1" applyBorder="1" applyAlignment="1"/>
    <xf numFmtId="170" fontId="3" fillId="0" borderId="0" xfId="81" applyNumberFormat="1" applyFont="1" applyFill="1" applyAlignment="1"/>
    <xf numFmtId="170" fontId="3" fillId="0" borderId="0" xfId="81" applyNumberFormat="1" applyFont="1" applyFill="1" applyBorder="1" applyAlignment="1"/>
    <xf numFmtId="170" fontId="12" fillId="0" borderId="0" xfId="81" applyNumberFormat="1" applyFill="1" applyBorder="1"/>
    <xf numFmtId="41" fontId="3" fillId="0" borderId="0" xfId="81" applyNumberFormat="1" applyFont="1" applyFill="1" applyBorder="1" applyAlignment="1"/>
    <xf numFmtId="41" fontId="3" fillId="0" borderId="12" xfId="81" applyNumberFormat="1" applyFont="1" applyFill="1" applyBorder="1" applyAlignment="1"/>
    <xf numFmtId="164" fontId="3" fillId="0" borderId="0" xfId="95" applyNumberFormat="1" applyFont="1" applyFill="1" applyBorder="1" applyAlignment="1"/>
    <xf numFmtId="170" fontId="28" fillId="0" borderId="0" xfId="81" applyNumberFormat="1" applyFont="1" applyFill="1" applyAlignment="1"/>
    <xf numFmtId="164" fontId="3" fillId="0" borderId="0" xfId="95" applyNumberFormat="1" applyFont="1" applyFill="1" applyAlignment="1"/>
    <xf numFmtId="164" fontId="12" fillId="0" borderId="0" xfId="81" applyNumberFormat="1" applyFill="1" applyBorder="1"/>
    <xf numFmtId="0" fontId="29" fillId="0" borderId="0" xfId="81" applyFont="1" applyFill="1" applyBorder="1" applyAlignment="1">
      <alignment horizontal="center"/>
    </xf>
    <xf numFmtId="0" fontId="22" fillId="0" borderId="0" xfId="81" applyFont="1" applyFill="1" applyBorder="1"/>
    <xf numFmtId="0" fontId="3" fillId="0" borderId="11" xfId="81" applyFont="1" applyFill="1" applyBorder="1" applyAlignment="1"/>
    <xf numFmtId="0" fontId="3" fillId="0" borderId="0" xfId="81" applyFont="1" applyFill="1" applyAlignment="1">
      <alignment horizontal="center"/>
    </xf>
    <xf numFmtId="0" fontId="38" fillId="0" borderId="0" xfId="81" applyFont="1" applyFill="1" applyAlignment="1"/>
    <xf numFmtId="41" fontId="3" fillId="0" borderId="0" xfId="81" applyNumberFormat="1" applyFont="1" applyFill="1" applyAlignment="1">
      <alignment horizontal="center"/>
    </xf>
    <xf numFmtId="170" fontId="3" fillId="0" borderId="0" xfId="81" applyNumberFormat="1" applyFont="1" applyFill="1" applyAlignment="1">
      <alignment horizontal="center"/>
    </xf>
    <xf numFmtId="170" fontId="3" fillId="0" borderId="12" xfId="81" applyNumberFormat="1" applyFont="1" applyFill="1" applyBorder="1" applyAlignment="1"/>
    <xf numFmtId="170" fontId="25" fillId="0" borderId="0" xfId="81" applyNumberFormat="1" applyFont="1" applyFill="1"/>
    <xf numFmtId="10" fontId="12" fillId="0" borderId="0" xfId="81" applyNumberFormat="1"/>
    <xf numFmtId="43" fontId="19" fillId="0" borderId="0" xfId="81" applyNumberFormat="1" applyFont="1" applyAlignment="1">
      <alignment horizontal="center"/>
    </xf>
    <xf numFmtId="43" fontId="19" fillId="0" borderId="0" xfId="81" quotePrefix="1" applyNumberFormat="1" applyFont="1" applyAlignment="1">
      <alignment horizontal="center"/>
    </xf>
    <xf numFmtId="0" fontId="19" fillId="0" borderId="0" xfId="81" applyFont="1" applyAlignment="1">
      <alignment horizontal="center"/>
    </xf>
    <xf numFmtId="43" fontId="19" fillId="0" borderId="0" xfId="81" applyNumberFormat="1" applyFont="1" applyBorder="1" applyAlignment="1">
      <alignment horizontal="center"/>
    </xf>
    <xf numFmtId="41" fontId="22" fillId="0" borderId="0" xfId="81" applyNumberFormat="1" applyFont="1" applyFill="1" applyBorder="1"/>
    <xf numFmtId="0" fontId="34" fillId="0" borderId="0" xfId="81" applyFont="1"/>
    <xf numFmtId="41" fontId="22" fillId="0" borderId="0" xfId="81" applyNumberFormat="1" applyFont="1" applyBorder="1"/>
    <xf numFmtId="41" fontId="22" fillId="0" borderId="0" xfId="81" applyNumberFormat="1" applyFont="1"/>
    <xf numFmtId="178" fontId="22" fillId="0" borderId="0" xfId="55" applyNumberFormat="1" applyFont="1"/>
    <xf numFmtId="43" fontId="22" fillId="0" borderId="0" xfId="81" applyNumberFormat="1" applyFont="1"/>
    <xf numFmtId="0" fontId="12" fillId="0" borderId="0" xfId="86" applyAlignment="1"/>
    <xf numFmtId="49" fontId="20" fillId="0" borderId="0" xfId="86" applyNumberFormat="1" applyFont="1" applyAlignment="1">
      <alignment horizontal="right"/>
    </xf>
    <xf numFmtId="0" fontId="12" fillId="0" borderId="0" xfId="86" applyFont="1" applyAlignment="1"/>
    <xf numFmtId="0" fontId="25" fillId="0" borderId="0" xfId="86" applyNumberFormat="1" applyFont="1"/>
    <xf numFmtId="0" fontId="25" fillId="0" borderId="0" xfId="86" applyNumberFormat="1" applyFont="1" applyAlignment="1">
      <alignment horizontal="center"/>
    </xf>
    <xf numFmtId="0" fontId="25" fillId="0" borderId="0" xfId="86" applyNumberFormat="1" applyFont="1" applyAlignment="1"/>
    <xf numFmtId="0" fontId="20" fillId="0" borderId="0" xfId="86" applyNumberFormat="1" applyFont="1" applyAlignment="1">
      <alignment horizontal="right"/>
    </xf>
    <xf numFmtId="0" fontId="3" fillId="0" borderId="0" xfId="86" applyNumberFormat="1" applyFont="1"/>
    <xf numFmtId="0" fontId="1" fillId="0" borderId="0" xfId="86" applyNumberFormat="1" applyFont="1"/>
    <xf numFmtId="0" fontId="1" fillId="0" borderId="0" xfId="86" applyFont="1" applyAlignment="1"/>
    <xf numFmtId="3" fontId="25" fillId="0" borderId="0" xfId="86" applyNumberFormat="1" applyFont="1" applyAlignment="1">
      <alignment horizontal="center"/>
    </xf>
    <xf numFmtId="3" fontId="25" fillId="0" borderId="0" xfId="86" applyNumberFormat="1" applyFont="1" applyAlignment="1"/>
    <xf numFmtId="0" fontId="12" fillId="0" borderId="0" xfId="86" applyNumberFormat="1" applyFont="1" applyAlignment="1">
      <alignment horizontal="center"/>
    </xf>
    <xf numFmtId="49" fontId="25" fillId="0" borderId="0" xfId="86" applyNumberFormat="1" applyFont="1"/>
    <xf numFmtId="0" fontId="12" fillId="0" borderId="9" xfId="86" applyNumberFormat="1" applyFont="1" applyBorder="1" applyAlignment="1">
      <alignment horizontal="center"/>
    </xf>
    <xf numFmtId="3" fontId="25" fillId="0" borderId="0" xfId="86" applyNumberFormat="1" applyFont="1"/>
    <xf numFmtId="42" fontId="25" fillId="0" borderId="0" xfId="86" applyNumberFormat="1" applyFont="1"/>
    <xf numFmtId="0" fontId="12" fillId="0" borderId="0" xfId="86"/>
    <xf numFmtId="0" fontId="12" fillId="0" borderId="0" xfId="86" applyNumberFormat="1" applyFont="1" applyFill="1" applyAlignment="1">
      <alignment horizontal="center"/>
    </xf>
    <xf numFmtId="0" fontId="12" fillId="0" borderId="0" xfId="86" applyFont="1" applyFill="1" applyAlignment="1"/>
    <xf numFmtId="0" fontId="25" fillId="0" borderId="0" xfId="86" applyNumberFormat="1" applyFont="1" applyFill="1" applyAlignment="1"/>
    <xf numFmtId="0" fontId="25" fillId="0" borderId="0" xfId="86" applyNumberFormat="1" applyFont="1" applyFill="1"/>
    <xf numFmtId="168" fontId="25" fillId="0" borderId="0" xfId="86" applyNumberFormat="1" applyFont="1" applyFill="1"/>
    <xf numFmtId="0" fontId="25" fillId="0" borderId="0" xfId="86" applyFont="1" applyFill="1" applyAlignment="1"/>
    <xf numFmtId="168" fontId="25" fillId="0" borderId="0" xfId="86" applyNumberFormat="1" applyFont="1" applyFill="1" applyAlignment="1">
      <alignment horizontal="center"/>
    </xf>
    <xf numFmtId="0" fontId="25" fillId="0" borderId="0" xfId="86" applyFont="1" applyFill="1" applyAlignment="1">
      <alignment horizontal="center"/>
    </xf>
    <xf numFmtId="175" fontId="25" fillId="0" borderId="0" xfId="86" applyNumberFormat="1" applyFont="1" applyFill="1" applyAlignment="1"/>
    <xf numFmtId="175" fontId="25" fillId="0" borderId="0" xfId="86" applyNumberFormat="1" applyFont="1" applyFill="1" applyProtection="1">
      <protection locked="0"/>
    </xf>
    <xf numFmtId="0" fontId="25" fillId="0" borderId="0" xfId="86" applyNumberFormat="1" applyFont="1" applyFill="1" applyProtection="1">
      <protection locked="0"/>
    </xf>
    <xf numFmtId="169" fontId="25" fillId="0" borderId="0" xfId="86" applyNumberFormat="1" applyFont="1" applyFill="1"/>
    <xf numFmtId="169" fontId="25" fillId="0" borderId="0" xfId="86" applyNumberFormat="1" applyFont="1"/>
    <xf numFmtId="0" fontId="3" fillId="0" borderId="0" xfId="86" applyNumberFormat="1" applyFont="1" applyAlignment="1"/>
    <xf numFmtId="0" fontId="1" fillId="0" borderId="0" xfId="86" applyNumberFormat="1" applyFont="1" applyAlignment="1"/>
    <xf numFmtId="3" fontId="3" fillId="0" borderId="0" xfId="86" applyNumberFormat="1" applyFont="1" applyAlignment="1"/>
    <xf numFmtId="3" fontId="1" fillId="0" borderId="0" xfId="86" applyNumberFormat="1" applyFont="1" applyAlignment="1"/>
    <xf numFmtId="49" fontId="25" fillId="0" borderId="0" xfId="86" applyNumberFormat="1" applyFont="1" applyAlignment="1">
      <alignment horizontal="center"/>
    </xf>
    <xf numFmtId="0" fontId="25" fillId="0" borderId="0" xfId="86" quotePrefix="1" applyNumberFormat="1" applyFont="1" applyAlignment="1">
      <alignment horizontal="center"/>
    </xf>
    <xf numFmtId="0" fontId="1" fillId="0" borderId="0" xfId="86" applyNumberFormat="1" applyFont="1" applyAlignment="1">
      <alignment horizontal="center"/>
    </xf>
    <xf numFmtId="0" fontId="20" fillId="0" borderId="0" xfId="86" applyFont="1" applyAlignment="1">
      <alignment horizontal="center"/>
    </xf>
    <xf numFmtId="0" fontId="28" fillId="0" borderId="0" xfId="86" applyFont="1" applyAlignment="1">
      <alignment horizontal="center"/>
    </xf>
    <xf numFmtId="0" fontId="20" fillId="0" borderId="12" xfId="86" applyNumberFormat="1" applyFont="1" applyBorder="1" applyAlignment="1">
      <alignment horizontal="center"/>
    </xf>
    <xf numFmtId="0" fontId="12" fillId="0" borderId="12" xfId="86" applyFont="1" applyBorder="1" applyAlignment="1"/>
    <xf numFmtId="0" fontId="25" fillId="0" borderId="12" xfId="86" applyNumberFormat="1" applyFont="1" applyBorder="1" applyAlignment="1"/>
    <xf numFmtId="0" fontId="20" fillId="0" borderId="12" xfId="86" applyFont="1" applyBorder="1" applyAlignment="1">
      <alignment horizontal="center"/>
    </xf>
    <xf numFmtId="0" fontId="28" fillId="0" borderId="12" xfId="86" applyFont="1" applyBorder="1" applyAlignment="1">
      <alignment horizontal="center"/>
    </xf>
    <xf numFmtId="9" fontId="20" fillId="0" borderId="12" xfId="86" applyNumberFormat="1" applyFont="1" applyBorder="1" applyAlignment="1">
      <alignment horizontal="center"/>
    </xf>
    <xf numFmtId="3" fontId="25" fillId="0" borderId="12" xfId="86" applyNumberFormat="1" applyFont="1" applyBorder="1" applyAlignment="1"/>
    <xf numFmtId="0" fontId="12" fillId="0" borderId="0" xfId="86" applyNumberFormat="1" applyFont="1" applyBorder="1" applyAlignment="1">
      <alignment horizontal="center"/>
    </xf>
    <xf numFmtId="0" fontId="20" fillId="0" borderId="0" xfId="86" applyNumberFormat="1" applyFont="1" applyAlignment="1"/>
    <xf numFmtId="0" fontId="22" fillId="0" borderId="0" xfId="86" applyFont="1" applyFill="1" applyAlignment="1"/>
    <xf numFmtId="41" fontId="20" fillId="0" borderId="0" xfId="86" applyNumberFormat="1" applyFont="1" applyFill="1" applyAlignment="1"/>
    <xf numFmtId="165" fontId="25" fillId="0" borderId="0" xfId="86" applyNumberFormat="1" applyFont="1" applyAlignment="1"/>
    <xf numFmtId="41" fontId="25" fillId="0" borderId="0" xfId="86" applyNumberFormat="1" applyFont="1" applyAlignment="1"/>
    <xf numFmtId="3" fontId="25" fillId="0" borderId="0" xfId="86" applyNumberFormat="1" applyFont="1" applyFill="1" applyAlignment="1"/>
    <xf numFmtId="41" fontId="25" fillId="0" borderId="0" xfId="86" applyNumberFormat="1" applyFont="1" applyFill="1" applyAlignment="1"/>
    <xf numFmtId="164" fontId="25" fillId="0" borderId="0" xfId="86" applyNumberFormat="1" applyFont="1" applyAlignment="1">
      <alignment horizontal="center"/>
    </xf>
    <xf numFmtId="41" fontId="20" fillId="0" borderId="9" xfId="86" applyNumberFormat="1" applyFont="1" applyFill="1" applyBorder="1" applyAlignment="1"/>
    <xf numFmtId="41" fontId="25" fillId="0" borderId="9" xfId="86" applyNumberFormat="1" applyFont="1" applyFill="1" applyBorder="1" applyAlignment="1"/>
    <xf numFmtId="41" fontId="25" fillId="0" borderId="9" xfId="86" applyNumberFormat="1" applyFont="1" applyBorder="1" applyAlignment="1"/>
    <xf numFmtId="179" fontId="20" fillId="0" borderId="0" xfId="58" applyNumberFormat="1" applyFont="1" applyFill="1" applyAlignment="1"/>
    <xf numFmtId="0" fontId="1" fillId="0" borderId="0" xfId="86" applyNumberFormat="1" applyFont="1" applyAlignment="1">
      <alignment horizontal="fill"/>
    </xf>
    <xf numFmtId="0" fontId="3" fillId="0" borderId="0" xfId="86" applyFont="1" applyAlignment="1"/>
    <xf numFmtId="41" fontId="3" fillId="0" borderId="0" xfId="86" applyNumberFormat="1" applyFont="1" applyAlignment="1"/>
    <xf numFmtId="3" fontId="1" fillId="0" borderId="0" xfId="86" applyNumberFormat="1" applyFont="1" applyAlignment="1">
      <alignment horizontal="fill"/>
    </xf>
    <xf numFmtId="41" fontId="20" fillId="0" borderId="0" xfId="86" applyNumberFormat="1" applyFont="1" applyAlignment="1"/>
    <xf numFmtId="41" fontId="12" fillId="0" borderId="0" xfId="86" applyNumberFormat="1" applyFont="1" applyAlignment="1"/>
    <xf numFmtId="41" fontId="25" fillId="0" borderId="0" xfId="86" applyNumberFormat="1" applyFont="1" applyAlignment="1">
      <alignment horizontal="center"/>
    </xf>
    <xf numFmtId="41" fontId="3" fillId="0" borderId="0" xfId="86" applyNumberFormat="1" applyFont="1"/>
    <xf numFmtId="164" fontId="1" fillId="0" borderId="0" xfId="86" applyNumberFormat="1" applyFont="1" applyAlignment="1">
      <alignment horizontal="center"/>
    </xf>
    <xf numFmtId="41" fontId="25" fillId="0" borderId="0" xfId="86" applyNumberFormat="1" applyFont="1" applyBorder="1" applyAlignment="1"/>
    <xf numFmtId="41" fontId="20" fillId="0" borderId="9" xfId="86" applyNumberFormat="1" applyFont="1" applyBorder="1" applyAlignment="1"/>
    <xf numFmtId="179" fontId="20" fillId="0" borderId="0" xfId="58" applyNumberFormat="1" applyFont="1" applyAlignment="1"/>
    <xf numFmtId="5" fontId="25" fillId="0" borderId="0" xfId="86" applyNumberFormat="1" applyFont="1" applyAlignment="1"/>
    <xf numFmtId="3" fontId="1" fillId="0" borderId="0" xfId="86" applyNumberFormat="1" applyFont="1" applyAlignment="1">
      <alignment horizontal="center"/>
    </xf>
    <xf numFmtId="0" fontId="25" fillId="0" borderId="0" xfId="86" applyFont="1" applyAlignment="1"/>
    <xf numFmtId="5" fontId="25" fillId="0" borderId="0" xfId="86" applyNumberFormat="1" applyFont="1" applyFill="1" applyAlignment="1"/>
    <xf numFmtId="5" fontId="25" fillId="0" borderId="9" xfId="86" applyNumberFormat="1" applyFont="1" applyFill="1" applyBorder="1" applyAlignment="1"/>
    <xf numFmtId="0" fontId="12" fillId="0" borderId="9" xfId="86" applyFont="1" applyBorder="1" applyAlignment="1"/>
    <xf numFmtId="3" fontId="25" fillId="0" borderId="9" xfId="86" applyNumberFormat="1" applyFont="1" applyBorder="1" applyAlignment="1"/>
    <xf numFmtId="179" fontId="20" fillId="0" borderId="11" xfId="58" applyNumberFormat="1" applyFont="1" applyBorder="1" applyAlignment="1"/>
    <xf numFmtId="0" fontId="33" fillId="0" borderId="0" xfId="86" applyFont="1" applyFill="1"/>
    <xf numFmtId="0" fontId="5" fillId="0" borderId="0" xfId="86" applyNumberFormat="1" applyFont="1" applyAlignment="1">
      <alignment horizontal="center"/>
    </xf>
    <xf numFmtId="0" fontId="20" fillId="0" borderId="0" xfId="86" applyNumberFormat="1" applyFont="1"/>
    <xf numFmtId="0" fontId="7" fillId="0" borderId="0" xfId="86" applyNumberFormat="1" applyFont="1" applyAlignment="1">
      <alignment horizontal="center"/>
    </xf>
    <xf numFmtId="0" fontId="40" fillId="0" borderId="0" xfId="86" applyNumberFormat="1" applyFont="1" applyAlignment="1">
      <alignment horizontal="center"/>
    </xf>
    <xf numFmtId="3" fontId="40" fillId="0" borderId="0" xfId="86" applyNumberFormat="1" applyFont="1" applyAlignment="1"/>
    <xf numFmtId="41" fontId="25" fillId="0" borderId="0" xfId="86" applyNumberFormat="1" applyFont="1"/>
    <xf numFmtId="41" fontId="25" fillId="0" borderId="9" xfId="86" applyNumberFormat="1" applyFont="1" applyBorder="1" applyAlignment="1">
      <alignment horizontal="center"/>
    </xf>
    <xf numFmtId="166" fontId="25" fillId="0" borderId="0" xfId="86" applyNumberFormat="1" applyFont="1" applyAlignment="1"/>
    <xf numFmtId="0" fontId="22" fillId="0" borderId="0" xfId="86" applyNumberFormat="1" applyFont="1" applyFill="1" applyAlignment="1"/>
    <xf numFmtId="37" fontId="20" fillId="0" borderId="0" xfId="86" applyNumberFormat="1" applyFont="1" applyAlignment="1"/>
    <xf numFmtId="166" fontId="25" fillId="0" borderId="0" xfId="86" applyNumberFormat="1" applyFont="1" applyAlignment="1">
      <alignment horizontal="center"/>
    </xf>
    <xf numFmtId="164" fontId="25" fillId="0" borderId="9" xfId="86" applyNumberFormat="1" applyFont="1" applyBorder="1" applyAlignment="1">
      <alignment horizontal="center"/>
    </xf>
    <xf numFmtId="179" fontId="20" fillId="0" borderId="13" xfId="58" applyNumberFormat="1" applyFont="1" applyBorder="1" applyAlignment="1"/>
    <xf numFmtId="0" fontId="25" fillId="0" borderId="0" xfId="86" applyFont="1" applyAlignment="1">
      <alignment horizontal="center"/>
    </xf>
    <xf numFmtId="0" fontId="25" fillId="0" borderId="9" xfId="86" applyNumberFormat="1" applyFont="1" applyFill="1" applyBorder="1"/>
    <xf numFmtId="3" fontId="25" fillId="0" borderId="9" xfId="86" applyNumberFormat="1" applyFont="1" applyFill="1" applyBorder="1" applyAlignment="1"/>
    <xf numFmtId="49" fontId="25" fillId="0" borderId="0" xfId="86" applyNumberFormat="1" applyFont="1" applyFill="1"/>
    <xf numFmtId="49" fontId="25" fillId="0" borderId="0" xfId="86" applyNumberFormat="1" applyFont="1" applyFill="1" applyAlignment="1"/>
    <xf numFmtId="49" fontId="25" fillId="0" borderId="0" xfId="86" applyNumberFormat="1" applyFont="1" applyAlignment="1"/>
    <xf numFmtId="165" fontId="25" fillId="0" borderId="0" xfId="86" applyNumberFormat="1" applyFont="1" applyFill="1" applyAlignment="1">
      <alignment horizontal="right"/>
    </xf>
    <xf numFmtId="165" fontId="25" fillId="0" borderId="0" xfId="86" applyNumberFormat="1" applyFont="1"/>
    <xf numFmtId="166" fontId="25" fillId="0" borderId="0" xfId="86" applyNumberFormat="1" applyFont="1"/>
    <xf numFmtId="3" fontId="25" fillId="0" borderId="9" xfId="86" applyNumberFormat="1" applyFont="1" applyBorder="1" applyAlignment="1">
      <alignment horizontal="center"/>
    </xf>
    <xf numFmtId="4" fontId="25" fillId="0" borderId="0" xfId="86" applyNumberFormat="1" applyFont="1" applyAlignment="1"/>
    <xf numFmtId="3" fontId="25" fillId="0" borderId="0" xfId="86" applyNumberFormat="1" applyFont="1" applyBorder="1" applyAlignment="1">
      <alignment horizontal="center"/>
    </xf>
    <xf numFmtId="3" fontId="20" fillId="0" borderId="0" xfId="86" applyNumberFormat="1" applyFont="1" applyFill="1" applyAlignment="1">
      <alignment horizontal="center"/>
    </xf>
    <xf numFmtId="0" fontId="25" fillId="0" borderId="9" xfId="86" applyNumberFormat="1" applyFont="1" applyBorder="1" applyAlignment="1"/>
    <xf numFmtId="0" fontId="12" fillId="0" borderId="0" xfId="86" applyNumberFormat="1" applyFont="1"/>
    <xf numFmtId="49" fontId="25" fillId="0" borderId="9" xfId="86" applyNumberFormat="1" applyFont="1" applyFill="1" applyBorder="1" applyAlignment="1">
      <alignment horizontal="center"/>
    </xf>
    <xf numFmtId="0" fontId="25" fillId="0" borderId="9" xfId="86" applyNumberFormat="1" applyFont="1" applyBorder="1" applyAlignment="1">
      <alignment horizontal="center"/>
    </xf>
    <xf numFmtId="10" fontId="25" fillId="0" borderId="0" xfId="95" applyNumberFormat="1" applyFont="1" applyAlignment="1"/>
    <xf numFmtId="169" fontId="25" fillId="0" borderId="0" xfId="86" applyNumberFormat="1" applyFont="1" applyAlignment="1"/>
    <xf numFmtId="3" fontId="25" fillId="0" borderId="0" xfId="86" quotePrefix="1" applyNumberFormat="1" applyFont="1" applyAlignment="1"/>
    <xf numFmtId="10" fontId="25" fillId="0" borderId="9" xfId="95" applyNumberFormat="1" applyFont="1" applyBorder="1" applyAlignment="1"/>
    <xf numFmtId="10" fontId="25" fillId="0" borderId="0" xfId="86" applyNumberFormat="1" applyFont="1" applyFill="1" applyAlignment="1"/>
    <xf numFmtId="167" fontId="25" fillId="0" borderId="0" xfId="86" applyNumberFormat="1" applyFont="1" applyAlignment="1"/>
    <xf numFmtId="0" fontId="3" fillId="0" borderId="0" xfId="86" applyNumberFormat="1" applyFont="1" applyAlignment="1">
      <alignment horizontal="center"/>
    </xf>
    <xf numFmtId="0" fontId="2" fillId="0" borderId="0" xfId="86" applyNumberFormat="1" applyFont="1" applyAlignment="1">
      <alignment horizontal="center"/>
    </xf>
    <xf numFmtId="170" fontId="12" fillId="0" borderId="0" xfId="86" applyNumberFormat="1" applyFont="1"/>
    <xf numFmtId="0" fontId="12" fillId="0" borderId="0" xfId="86" applyFont="1" applyFill="1" applyAlignment="1" applyProtection="1"/>
    <xf numFmtId="176" fontId="25" fillId="0" borderId="0" xfId="86" applyNumberFormat="1" applyFont="1" applyAlignment="1"/>
    <xf numFmtId="3" fontId="3" fillId="0" borderId="0" xfId="86" applyNumberFormat="1" applyFont="1" applyFill="1" applyAlignment="1" applyProtection="1"/>
    <xf numFmtId="0" fontId="10" fillId="0" borderId="0" xfId="86" applyNumberFormat="1" applyFont="1" applyAlignment="1">
      <alignment horizontal="center"/>
    </xf>
    <xf numFmtId="0" fontId="3" fillId="0" borderId="9" xfId="86" applyNumberFormat="1" applyFont="1" applyBorder="1" applyAlignment="1">
      <alignment horizontal="center"/>
    </xf>
    <xf numFmtId="0" fontId="3" fillId="0" borderId="0" xfId="86" applyNumberFormat="1" applyFont="1" applyFill="1"/>
    <xf numFmtId="0" fontId="41" fillId="0" borderId="0" xfId="86" applyFont="1" applyAlignment="1"/>
    <xf numFmtId="0" fontId="41" fillId="0" borderId="0" xfId="86" applyNumberFormat="1" applyFont="1"/>
    <xf numFmtId="3" fontId="41" fillId="0" borderId="0" xfId="86" applyNumberFormat="1" applyFont="1" applyAlignment="1"/>
    <xf numFmtId="0" fontId="42" fillId="0" borderId="0" xfId="86" applyNumberFormat="1" applyFont="1" applyAlignment="1">
      <alignment horizontal="center"/>
    </xf>
    <xf numFmtId="0" fontId="43" fillId="0" borderId="0" xfId="86" applyNumberFormat="1" applyFont="1"/>
    <xf numFmtId="0" fontId="43" fillId="0" borderId="0" xfId="86" applyFont="1" applyAlignment="1"/>
    <xf numFmtId="0" fontId="23" fillId="0" borderId="0" xfId="86" applyFont="1" applyAlignment="1"/>
    <xf numFmtId="0" fontId="9" fillId="0" borderId="0" xfId="86" applyNumberFormat="1" applyFont="1" applyAlignment="1">
      <alignment horizontal="center"/>
    </xf>
    <xf numFmtId="0" fontId="9" fillId="0" borderId="0" xfId="86" applyNumberFormat="1" applyFont="1"/>
    <xf numFmtId="0" fontId="9" fillId="0" borderId="0" xfId="86" applyNumberFormat="1" applyFont="1" applyAlignment="1"/>
    <xf numFmtId="3" fontId="9" fillId="0" borderId="0" xfId="86" applyNumberFormat="1" applyFont="1" applyAlignment="1"/>
    <xf numFmtId="0" fontId="11" fillId="0" borderId="0" xfId="86" applyNumberFormat="1" applyFont="1"/>
    <xf numFmtId="3" fontId="11" fillId="0" borderId="0" xfId="86" applyNumberFormat="1" applyFont="1" applyAlignment="1"/>
    <xf numFmtId="3" fontId="10" fillId="0" borderId="0" xfId="86" applyNumberFormat="1" applyFont="1" applyAlignment="1">
      <alignment horizontal="center"/>
    </xf>
    <xf numFmtId="0" fontId="12" fillId="0" borderId="0" xfId="86" applyNumberFormat="1" applyAlignment="1">
      <alignment horizontal="center"/>
    </xf>
    <xf numFmtId="0" fontId="12" fillId="0" borderId="0" xfId="86" applyNumberFormat="1"/>
    <xf numFmtId="43" fontId="19" fillId="0" borderId="0" xfId="86" applyNumberFormat="1" applyFont="1" applyAlignment="1">
      <alignment horizontal="center"/>
    </xf>
    <xf numFmtId="43" fontId="19" fillId="0" borderId="0" xfId="86" quotePrefix="1" applyNumberFormat="1" applyFont="1" applyAlignment="1">
      <alignment horizontal="center"/>
    </xf>
    <xf numFmtId="0" fontId="19" fillId="0" borderId="0" xfId="86" applyFont="1" applyAlignment="1">
      <alignment horizontal="center"/>
    </xf>
    <xf numFmtId="43" fontId="19" fillId="0" borderId="0" xfId="86" applyNumberFormat="1" applyFont="1" applyBorder="1" applyAlignment="1">
      <alignment horizontal="center"/>
    </xf>
    <xf numFmtId="0" fontId="22" fillId="0" borderId="0" xfId="86" applyFont="1" applyAlignment="1">
      <alignment horizontal="center"/>
    </xf>
    <xf numFmtId="0" fontId="22" fillId="0" borderId="0" xfId="86" applyFont="1"/>
    <xf numFmtId="184" fontId="22" fillId="0" borderId="0" xfId="86" applyNumberFormat="1" applyFont="1" applyFill="1" applyBorder="1"/>
    <xf numFmtId="184" fontId="22" fillId="0" borderId="0" xfId="86" applyNumberFormat="1" applyFont="1" applyBorder="1"/>
    <xf numFmtId="0" fontId="22" fillId="0" borderId="0" xfId="86" quotePrefix="1" applyFont="1" applyAlignment="1">
      <alignment horizontal="center"/>
    </xf>
    <xf numFmtId="0" fontId="34" fillId="0" borderId="0" xfId="86" applyFont="1"/>
    <xf numFmtId="184" fontId="22" fillId="0" borderId="0" xfId="86" applyNumberFormat="1" applyFont="1"/>
    <xf numFmtId="41" fontId="12" fillId="0" borderId="0" xfId="86" applyNumberFormat="1"/>
    <xf numFmtId="0" fontId="12" fillId="0" borderId="0" xfId="86" applyAlignment="1">
      <alignment horizontal="center"/>
    </xf>
    <xf numFmtId="0" fontId="20" fillId="0" borderId="0" xfId="86" applyFont="1"/>
    <xf numFmtId="43" fontId="12" fillId="0" borderId="0" xfId="86" applyNumberFormat="1"/>
    <xf numFmtId="44" fontId="12" fillId="0" borderId="0" xfId="86" applyNumberFormat="1"/>
    <xf numFmtId="43" fontId="12" fillId="0" borderId="12" xfId="86" applyNumberFormat="1" applyBorder="1"/>
    <xf numFmtId="44" fontId="12" fillId="0" borderId="0" xfId="86" applyNumberFormat="1" applyBorder="1"/>
    <xf numFmtId="0" fontId="12" fillId="0" borderId="0" xfId="86" applyAlignment="1">
      <alignment horizontal="right"/>
    </xf>
    <xf numFmtId="0" fontId="12" fillId="0" borderId="14" xfId="86" applyBorder="1"/>
    <xf numFmtId="44" fontId="12" fillId="0" borderId="15" xfId="86" applyNumberFormat="1" applyBorder="1"/>
    <xf numFmtId="43" fontId="12" fillId="0" borderId="16" xfId="86" applyNumberFormat="1" applyBorder="1"/>
    <xf numFmtId="0" fontId="12" fillId="0" borderId="17" xfId="86" applyBorder="1"/>
    <xf numFmtId="44" fontId="12" fillId="0" borderId="16" xfId="86" applyNumberFormat="1" applyBorder="1"/>
    <xf numFmtId="0" fontId="25" fillId="0" borderId="0" xfId="86" applyFont="1"/>
    <xf numFmtId="0" fontId="12" fillId="0" borderId="0" xfId="86" applyFont="1"/>
    <xf numFmtId="0" fontId="25" fillId="0" borderId="0" xfId="85" applyFont="1" applyAlignment="1">
      <alignment horizontal="center"/>
    </xf>
    <xf numFmtId="0" fontId="3" fillId="0" borderId="0" xfId="85" applyFont="1"/>
    <xf numFmtId="0" fontId="25" fillId="0" borderId="0" xfId="85" applyFont="1" applyAlignment="1" applyProtection="1">
      <alignment horizontal="center"/>
      <protection locked="0"/>
    </xf>
    <xf numFmtId="0" fontId="25" fillId="0" borderId="0" xfId="85" applyFont="1"/>
    <xf numFmtId="0" fontId="3" fillId="0" borderId="12" xfId="85" applyFont="1" applyBorder="1"/>
    <xf numFmtId="0" fontId="25" fillId="0" borderId="12" xfId="85" applyFont="1" applyBorder="1" applyAlignment="1" applyProtection="1">
      <alignment horizontal="center"/>
      <protection locked="0"/>
    </xf>
    <xf numFmtId="0" fontId="25" fillId="0" borderId="12" xfId="85" quotePrefix="1" applyFont="1" applyBorder="1" applyAlignment="1" applyProtection="1">
      <alignment horizontal="center"/>
      <protection locked="0"/>
    </xf>
    <xf numFmtId="0" fontId="25" fillId="0" borderId="0" xfId="85" applyFont="1" applyProtection="1">
      <protection locked="0"/>
    </xf>
    <xf numFmtId="17" fontId="12" fillId="0" borderId="0" xfId="86" applyNumberFormat="1" applyFont="1" applyAlignment="1">
      <alignment horizontal="center"/>
    </xf>
    <xf numFmtId="43" fontId="12" fillId="0" borderId="0" xfId="86" applyNumberFormat="1" applyFont="1"/>
    <xf numFmtId="17" fontId="12" fillId="0" borderId="12" xfId="86" applyNumberFormat="1" applyFont="1" applyBorder="1" applyAlignment="1">
      <alignment horizontal="center"/>
    </xf>
    <xf numFmtId="0" fontId="40" fillId="0" borderId="0" xfId="86" applyFont="1"/>
    <xf numFmtId="43" fontId="25" fillId="0" borderId="0" xfId="86" applyNumberFormat="1" applyFont="1" applyAlignment="1">
      <alignment horizontal="center"/>
    </xf>
    <xf numFmtId="39" fontId="25" fillId="0" borderId="0" xfId="86" applyNumberFormat="1" applyFont="1" applyAlignment="1">
      <alignment horizontal="center"/>
    </xf>
    <xf numFmtId="184" fontId="25" fillId="0" borderId="0" xfId="86" applyNumberFormat="1" applyFont="1" applyFill="1" applyBorder="1"/>
    <xf numFmtId="10" fontId="25" fillId="0" borderId="0" xfId="95" applyNumberFormat="1" applyFont="1" applyFill="1" applyBorder="1" applyAlignment="1">
      <alignment horizontal="right"/>
    </xf>
    <xf numFmtId="39" fontId="25" fillId="0" borderId="0" xfId="86" quotePrefix="1" applyNumberFormat="1" applyFont="1" applyAlignment="1">
      <alignment horizontal="center"/>
    </xf>
    <xf numFmtId="0" fontId="12" fillId="0" borderId="12" xfId="86" applyBorder="1" applyAlignment="1">
      <alignment horizontal="center"/>
    </xf>
    <xf numFmtId="16" fontId="12" fillId="0" borderId="12" xfId="86" applyNumberFormat="1" applyBorder="1" applyAlignment="1">
      <alignment horizontal="center"/>
    </xf>
    <xf numFmtId="43" fontId="12" fillId="0" borderId="0" xfId="58" applyNumberFormat="1"/>
    <xf numFmtId="43" fontId="12" fillId="0" borderId="0" xfId="86" applyNumberFormat="1" applyFill="1" applyBorder="1"/>
    <xf numFmtId="43" fontId="20" fillId="0" borderId="0" xfId="58" applyNumberFormat="1" applyFont="1"/>
    <xf numFmtId="176" fontId="20" fillId="0" borderId="0" xfId="0" applyFont="1"/>
    <xf numFmtId="176" fontId="20" fillId="0" borderId="9" xfId="0" applyFont="1" applyBorder="1"/>
    <xf numFmtId="176" fontId="3" fillId="0" borderId="0" xfId="0" applyFont="1"/>
    <xf numFmtId="176" fontId="3" fillId="0" borderId="0" xfId="0" quotePrefix="1" applyFont="1" applyAlignment="1">
      <alignment horizontal="right"/>
    </xf>
    <xf numFmtId="49" fontId="3" fillId="0" borderId="0" xfId="0" applyNumberFormat="1" applyFont="1" applyAlignment="1">
      <alignment horizontal="center"/>
    </xf>
    <xf numFmtId="178" fontId="3" fillId="0" borderId="0" xfId="55" applyNumberFormat="1" applyFont="1"/>
    <xf numFmtId="176" fontId="3" fillId="0" borderId="0" xfId="0" quotePrefix="1" applyFont="1" applyAlignment="1">
      <alignment horizontal="left"/>
    </xf>
    <xf numFmtId="49" fontId="12" fillId="0" borderId="0" xfId="88" applyNumberFormat="1" applyFont="1" applyAlignment="1">
      <alignment horizontal="center"/>
    </xf>
    <xf numFmtId="0" fontId="12" fillId="0" borderId="12" xfId="88" applyBorder="1" applyAlignment="1">
      <alignment horizontal="center"/>
    </xf>
    <xf numFmtId="0" fontId="12" fillId="0" borderId="0" xfId="88" applyFont="1" applyAlignment="1">
      <alignment horizontal="left"/>
    </xf>
    <xf numFmtId="0" fontId="22" fillId="0" borderId="12" xfId="88" quotePrefix="1" applyFont="1" applyBorder="1" applyAlignment="1">
      <alignment horizontal="left"/>
    </xf>
    <xf numFmtId="0" fontId="22" fillId="0" borderId="0" xfId="88" quotePrefix="1" applyFont="1" applyAlignment="1">
      <alignment horizontal="left"/>
    </xf>
    <xf numFmtId="0" fontId="12" fillId="0" borderId="0" xfId="84" applyFont="1"/>
    <xf numFmtId="0" fontId="19" fillId="0" borderId="0" xfId="90" applyFont="1" applyAlignment="1">
      <alignment horizontal="right"/>
    </xf>
    <xf numFmtId="49" fontId="20" fillId="0" borderId="0" xfId="55" applyNumberFormat="1" applyFont="1" applyAlignment="1">
      <alignment horizontal="right"/>
    </xf>
    <xf numFmtId="0" fontId="20" fillId="0" borderId="0" xfId="86" applyFont="1" applyAlignment="1">
      <alignment horizontal="right"/>
    </xf>
    <xf numFmtId="9" fontId="20" fillId="0" borderId="0" xfId="95" applyFont="1" applyAlignment="1">
      <alignment horizontal="center"/>
    </xf>
    <xf numFmtId="179" fontId="20" fillId="0" borderId="0" xfId="58" applyNumberFormat="1" applyFont="1" applyAlignment="1">
      <alignment horizontal="center" wrapText="1"/>
    </xf>
    <xf numFmtId="0" fontId="20" fillId="0" borderId="12" xfId="87" applyFont="1" applyBorder="1" applyAlignment="1">
      <alignment horizontal="center"/>
    </xf>
    <xf numFmtId="9" fontId="20" fillId="0" borderId="12" xfId="87" applyNumberFormat="1" applyFont="1" applyBorder="1" applyAlignment="1">
      <alignment horizontal="center"/>
    </xf>
    <xf numFmtId="41" fontId="12" fillId="0" borderId="12" xfId="87" applyNumberFormat="1" applyBorder="1"/>
    <xf numFmtId="41" fontId="12" fillId="0" borderId="0" xfId="87" applyNumberFormat="1" applyBorder="1"/>
    <xf numFmtId="41" fontId="20" fillId="0" borderId="0" xfId="87" applyNumberFormat="1" applyFont="1"/>
    <xf numFmtId="41" fontId="12" fillId="0" borderId="9" xfId="87" applyNumberFormat="1" applyBorder="1"/>
    <xf numFmtId="42" fontId="25" fillId="0" borderId="0" xfId="58" applyNumberFormat="1" applyFont="1" applyAlignment="1">
      <alignment horizontal="left"/>
    </xf>
    <xf numFmtId="179" fontId="25" fillId="0" borderId="0" xfId="87" applyNumberFormat="1" applyFont="1"/>
    <xf numFmtId="0" fontId="20" fillId="0" borderId="0" xfId="84" applyFont="1" applyAlignment="1">
      <alignment horizontal="right"/>
    </xf>
    <xf numFmtId="0" fontId="20" fillId="0" borderId="0" xfId="84" applyFont="1" applyAlignment="1">
      <alignment horizontal="center"/>
    </xf>
    <xf numFmtId="0" fontId="5" fillId="0" borderId="9" xfId="0" applyNumberFormat="1" applyFont="1" applyFill="1" applyBorder="1" applyProtection="1"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170" fontId="20" fillId="0" borderId="0" xfId="90" applyNumberFormat="1" applyFont="1" applyAlignment="1">
      <alignment horizontal="right"/>
    </xf>
    <xf numFmtId="0" fontId="12" fillId="0" borderId="0" xfId="81" applyFont="1"/>
    <xf numFmtId="0" fontId="20" fillId="0" borderId="0" xfId="81" applyFont="1"/>
    <xf numFmtId="0" fontId="20" fillId="0" borderId="0" xfId="81" applyFont="1" applyAlignment="1">
      <alignment horizontal="center"/>
    </xf>
    <xf numFmtId="0" fontId="20" fillId="0" borderId="11" xfId="81" applyFont="1" applyFill="1" applyBorder="1"/>
    <xf numFmtId="0" fontId="3" fillId="0" borderId="0" xfId="0" applyNumberFormat="1" applyFont="1" applyFill="1" applyProtection="1">
      <protection locked="0"/>
    </xf>
    <xf numFmtId="176" fontId="3" fillId="0" borderId="0" xfId="0" applyFont="1" applyFill="1" applyAlignment="1"/>
    <xf numFmtId="178" fontId="29" fillId="0" borderId="12" xfId="55" applyNumberFormat="1" applyFont="1" applyFill="1" applyBorder="1" applyAlignment="1"/>
    <xf numFmtId="178" fontId="22" fillId="0" borderId="12" xfId="55" applyNumberFormat="1" applyFont="1" applyFill="1" applyBorder="1" applyAlignment="1">
      <alignment horizontal="center"/>
    </xf>
    <xf numFmtId="0" fontId="16" fillId="0" borderId="0" xfId="81" applyFont="1" applyFill="1" applyBorder="1" applyAlignment="1">
      <alignment horizontal="center"/>
    </xf>
    <xf numFmtId="164" fontId="29" fillId="0" borderId="0" xfId="81" applyNumberFormat="1" applyFont="1" applyFill="1" applyAlignment="1">
      <alignment horizontal="center"/>
    </xf>
    <xf numFmtId="165" fontId="22" fillId="0" borderId="0" xfId="81" applyNumberFormat="1" applyFont="1" applyFill="1" applyAlignment="1">
      <alignment horizontal="center"/>
    </xf>
    <xf numFmtId="164" fontId="29" fillId="0" borderId="0" xfId="81" applyNumberFormat="1" applyFont="1" applyFill="1" applyBorder="1" applyAlignment="1">
      <alignment horizontal="center"/>
    </xf>
    <xf numFmtId="0" fontId="16" fillId="0" borderId="0" xfId="81" applyFont="1" applyAlignment="1">
      <alignment horizontal="center"/>
    </xf>
    <xf numFmtId="166" fontId="22" fillId="0" borderId="0" xfId="81" applyNumberFormat="1" applyFont="1" applyFill="1" applyAlignment="1">
      <alignment horizontal="center"/>
    </xf>
    <xf numFmtId="179" fontId="19" fillId="0" borderId="13" xfId="58" applyNumberFormat="1" applyFont="1" applyFill="1" applyBorder="1" applyAlignment="1"/>
    <xf numFmtId="0" fontId="20" fillId="0" borderId="0" xfId="81" applyFont="1" applyAlignment="1">
      <alignment horizontal="right"/>
    </xf>
    <xf numFmtId="0" fontId="12" fillId="0" borderId="0" xfId="86" applyFill="1"/>
    <xf numFmtId="43" fontId="12" fillId="0" borderId="0" xfId="86" applyNumberFormat="1" applyFill="1"/>
    <xf numFmtId="44" fontId="12" fillId="0" borderId="0" xfId="86" applyNumberFormat="1" applyFill="1"/>
    <xf numFmtId="43" fontId="12" fillId="0" borderId="12" xfId="86" applyNumberFormat="1" applyFill="1" applyBorder="1"/>
    <xf numFmtId="178" fontId="12" fillId="0" borderId="0" xfId="55" applyNumberFormat="1" applyFont="1"/>
    <xf numFmtId="178" fontId="12" fillId="0" borderId="0" xfId="55" applyNumberFormat="1" applyFont="1" applyFill="1"/>
    <xf numFmtId="178" fontId="25" fillId="0" borderId="0" xfId="55" applyNumberFormat="1" applyFont="1" applyFill="1" applyProtection="1">
      <protection locked="0"/>
    </xf>
    <xf numFmtId="178" fontId="25" fillId="0" borderId="0" xfId="55" applyNumberFormat="1" applyFont="1" applyProtection="1">
      <protection locked="0"/>
    </xf>
    <xf numFmtId="178" fontId="25" fillId="0" borderId="12" xfId="55" applyNumberFormat="1" applyFont="1" applyBorder="1" applyProtection="1">
      <protection locked="0"/>
    </xf>
    <xf numFmtId="178" fontId="12" fillId="0" borderId="12" xfId="55" applyNumberFormat="1" applyFont="1" applyBorder="1"/>
    <xf numFmtId="0" fontId="25" fillId="0" borderId="0" xfId="86" applyFont="1" applyFill="1"/>
    <xf numFmtId="41" fontId="25" fillId="0" borderId="0" xfId="86" applyNumberFormat="1" applyFont="1" applyFill="1"/>
    <xf numFmtId="178" fontId="25" fillId="0" borderId="0" xfId="55" applyNumberFormat="1" applyFont="1" applyFill="1" applyBorder="1"/>
    <xf numFmtId="178" fontId="25" fillId="0" borderId="0" xfId="55" applyNumberFormat="1" applyFont="1" applyBorder="1"/>
    <xf numFmtId="178" fontId="12" fillId="0" borderId="12" xfId="55" applyNumberFormat="1" applyBorder="1"/>
    <xf numFmtId="178" fontId="20" fillId="0" borderId="0" xfId="55" applyNumberFormat="1" applyFont="1"/>
    <xf numFmtId="42" fontId="25" fillId="0" borderId="0" xfId="58" applyNumberFormat="1" applyFont="1" applyFill="1" applyAlignment="1">
      <alignment horizontal="left"/>
    </xf>
    <xf numFmtId="0" fontId="12" fillId="0" borderId="0" xfId="86" applyFont="1" applyBorder="1" applyAlignment="1"/>
    <xf numFmtId="179" fontId="20" fillId="0" borderId="0" xfId="58" applyNumberFormat="1" applyFont="1" applyBorder="1" applyAlignment="1"/>
    <xf numFmtId="3" fontId="25" fillId="0" borderId="0" xfId="86" applyNumberFormat="1" applyFont="1" applyBorder="1" applyAlignment="1"/>
    <xf numFmtId="41" fontId="25" fillId="0" borderId="0" xfId="86" applyNumberFormat="1" applyFont="1" applyFill="1" applyBorder="1" applyAlignment="1"/>
    <xf numFmtId="0" fontId="25" fillId="0" borderId="0" xfId="86" applyNumberFormat="1" applyFont="1" applyBorder="1" applyAlignment="1">
      <alignment horizontal="center"/>
    </xf>
    <xf numFmtId="10" fontId="25" fillId="0" borderId="0" xfId="95" applyNumberFormat="1" applyFont="1" applyBorder="1" applyAlignment="1"/>
    <xf numFmtId="176" fontId="0" fillId="0" borderId="12" xfId="0" applyBorder="1" applyAlignment="1"/>
    <xf numFmtId="0" fontId="20" fillId="0" borderId="12" xfId="86" applyFont="1" applyBorder="1" applyAlignment="1">
      <alignment horizontal="left"/>
    </xf>
    <xf numFmtId="196" fontId="25" fillId="0" borderId="0" xfId="86" applyNumberFormat="1" applyFont="1" applyFill="1" applyAlignment="1"/>
    <xf numFmtId="165" fontId="25" fillId="0" borderId="0" xfId="86" applyNumberFormat="1" applyFont="1" applyFill="1" applyAlignment="1"/>
    <xf numFmtId="164" fontId="25" fillId="0" borderId="0" xfId="86" applyNumberFormat="1" applyFont="1" applyFill="1" applyAlignment="1">
      <alignment horizontal="center"/>
    </xf>
    <xf numFmtId="194" fontId="25" fillId="0" borderId="0" xfId="55" applyNumberFormat="1" applyFont="1" applyFill="1" applyAlignment="1"/>
    <xf numFmtId="183" fontId="25" fillId="0" borderId="0" xfId="55" applyNumberFormat="1" applyFont="1" applyFill="1" applyAlignment="1">
      <alignment horizontal="center"/>
    </xf>
    <xf numFmtId="183" fontId="25" fillId="0" borderId="0" xfId="55" applyNumberFormat="1" applyFont="1" applyFill="1" applyAlignment="1"/>
    <xf numFmtId="179" fontId="25" fillId="0" borderId="0" xfId="58" applyNumberFormat="1" applyFont="1" applyFill="1" applyAlignment="1"/>
    <xf numFmtId="196" fontId="25" fillId="0" borderId="0" xfId="86" applyNumberFormat="1" applyFont="1" applyBorder="1" applyAlignment="1"/>
    <xf numFmtId="196" fontId="25" fillId="0" borderId="0" xfId="86" applyNumberFormat="1" applyFont="1" applyAlignment="1"/>
    <xf numFmtId="198" fontId="25" fillId="0" borderId="0" xfId="86" applyNumberFormat="1" applyFont="1" applyAlignment="1"/>
    <xf numFmtId="165" fontId="25" fillId="0" borderId="0" xfId="55" applyNumberFormat="1" applyFont="1" applyFill="1" applyAlignment="1"/>
    <xf numFmtId="198" fontId="25" fillId="0" borderId="0" xfId="86" applyNumberFormat="1" applyFont="1" applyFill="1" applyBorder="1" applyAlignment="1"/>
    <xf numFmtId="166" fontId="25" fillId="0" borderId="0" xfId="86" applyNumberFormat="1" applyFont="1" applyFill="1" applyAlignment="1"/>
    <xf numFmtId="166" fontId="25" fillId="0" borderId="0" xfId="86" applyNumberFormat="1" applyFont="1" applyFill="1" applyAlignment="1">
      <alignment horizontal="right"/>
    </xf>
    <xf numFmtId="166" fontId="25" fillId="0" borderId="0" xfId="86" applyNumberFormat="1" applyFont="1" applyFill="1" applyAlignment="1">
      <alignment horizontal="center"/>
    </xf>
    <xf numFmtId="43" fontId="3" fillId="0" borderId="0" xfId="55" applyFont="1" applyAlignment="1">
      <alignment horizontal="center"/>
    </xf>
    <xf numFmtId="41" fontId="25" fillId="0" borderId="0" xfId="86" applyNumberFormat="1" applyFont="1" applyAlignment="1">
      <alignment horizontal="right"/>
    </xf>
    <xf numFmtId="0" fontId="12" fillId="0" borderId="0" xfId="88" quotePrefix="1" applyAlignment="1">
      <alignment horizontal="center"/>
    </xf>
    <xf numFmtId="0" fontId="12" fillId="0" borderId="18" xfId="80" applyBorder="1" applyAlignment="1">
      <alignment horizontal="center"/>
    </xf>
    <xf numFmtId="0" fontId="12" fillId="0" borderId="19" xfId="80" applyBorder="1" applyAlignment="1">
      <alignment horizontal="center"/>
    </xf>
    <xf numFmtId="0" fontId="12" fillId="0" borderId="0" xfId="80"/>
    <xf numFmtId="0" fontId="12" fillId="0" borderId="20" xfId="80" applyBorder="1" applyAlignment="1">
      <alignment horizontal="center"/>
    </xf>
    <xf numFmtId="0" fontId="12" fillId="0" borderId="0" xfId="80" applyBorder="1" applyAlignment="1">
      <alignment horizontal="center"/>
    </xf>
    <xf numFmtId="0" fontId="12" fillId="0" borderId="21" xfId="80" applyBorder="1" applyAlignment="1">
      <alignment horizontal="center"/>
    </xf>
    <xf numFmtId="0" fontId="12" fillId="0" borderId="9" xfId="80" applyBorder="1" applyAlignment="1">
      <alignment horizontal="center"/>
    </xf>
    <xf numFmtId="0" fontId="12" fillId="0" borderId="0" xfId="80" applyBorder="1"/>
    <xf numFmtId="0" fontId="12" fillId="0" borderId="20" xfId="80" applyBorder="1"/>
    <xf numFmtId="0" fontId="12" fillId="0" borderId="22" xfId="80" applyBorder="1"/>
    <xf numFmtId="10" fontId="12" fillId="0" borderId="0" xfId="80" applyNumberFormat="1"/>
    <xf numFmtId="10" fontId="12" fillId="0" borderId="0" xfId="80" applyNumberFormat="1" applyBorder="1" applyAlignment="1">
      <alignment horizontal="center"/>
    </xf>
    <xf numFmtId="0" fontId="12" fillId="0" borderId="23" xfId="80" applyFont="1" applyBorder="1"/>
    <xf numFmtId="3" fontId="25" fillId="0" borderId="0" xfId="86" applyNumberFormat="1" applyFont="1" applyFill="1" applyAlignment="1">
      <alignment horizontal="fill"/>
    </xf>
    <xf numFmtId="0" fontId="12" fillId="0" borderId="9" xfId="86" applyBorder="1" applyAlignment="1"/>
    <xf numFmtId="168" fontId="25" fillId="0" borderId="0" xfId="86" applyNumberFormat="1" applyFont="1" applyBorder="1" applyAlignment="1">
      <alignment horizontal="center"/>
    </xf>
    <xf numFmtId="172" fontId="25" fillId="0" borderId="0" xfId="95" applyNumberFormat="1" applyFont="1" applyAlignment="1"/>
    <xf numFmtId="178" fontId="12" fillId="0" borderId="0" xfId="55" applyNumberFormat="1" applyAlignment="1"/>
    <xf numFmtId="178" fontId="12" fillId="0" borderId="0" xfId="86" applyNumberFormat="1" applyAlignment="1"/>
    <xf numFmtId="0" fontId="25" fillId="0" borderId="0" xfId="86" applyNumberFormat="1" applyFont="1" applyAlignment="1">
      <alignment horizontal="right"/>
    </xf>
    <xf numFmtId="0" fontId="12" fillId="0" borderId="0" xfId="90" applyFill="1"/>
    <xf numFmtId="176" fontId="3" fillId="0" borderId="0" xfId="0" applyFont="1" applyAlignment="1">
      <alignment horizontal="center"/>
    </xf>
    <xf numFmtId="176" fontId="20" fillId="0" borderId="0" xfId="0" applyFont="1" applyAlignment="1">
      <alignment horizontal="center"/>
    </xf>
    <xf numFmtId="176" fontId="20" fillId="0" borderId="9" xfId="0" applyFont="1" applyBorder="1" applyAlignment="1">
      <alignment horizontal="center"/>
    </xf>
    <xf numFmtId="0" fontId="3" fillId="0" borderId="0" xfId="55" applyNumberFormat="1" applyFont="1" applyAlignment="1">
      <alignment horizontal="center"/>
    </xf>
    <xf numFmtId="0" fontId="3" fillId="0" borderId="12" xfId="55" applyNumberFormat="1" applyFont="1" applyBorder="1" applyAlignment="1">
      <alignment horizontal="center"/>
    </xf>
    <xf numFmtId="0" fontId="12" fillId="0" borderId="12" xfId="88" applyBorder="1" applyAlignment="1"/>
    <xf numFmtId="0" fontId="12" fillId="0" borderId="12" xfId="88" applyNumberFormat="1" applyBorder="1" applyAlignment="1">
      <alignment horizontal="center"/>
    </xf>
    <xf numFmtId="176" fontId="20" fillId="0" borderId="9" xfId="0" quotePrefix="1" applyFont="1" applyBorder="1" applyAlignment="1">
      <alignment horizontal="center"/>
    </xf>
    <xf numFmtId="166" fontId="3" fillId="0" borderId="0" xfId="55" applyNumberFormat="1" applyFont="1" applyAlignment="1">
      <alignment horizontal="center"/>
    </xf>
    <xf numFmtId="166" fontId="3" fillId="0" borderId="0" xfId="55" quotePrefix="1" applyNumberFormat="1" applyFont="1" applyAlignment="1">
      <alignment horizontal="center"/>
    </xf>
    <xf numFmtId="166" fontId="3" fillId="0" borderId="12" xfId="55" applyNumberFormat="1" applyFont="1" applyBorder="1" applyAlignment="1">
      <alignment horizontal="center"/>
    </xf>
    <xf numFmtId="0" fontId="20" fillId="0" borderId="0" xfId="86" applyFont="1" applyFill="1"/>
    <xf numFmtId="178" fontId="20" fillId="0" borderId="0" xfId="55" applyNumberFormat="1" applyFont="1" applyFill="1"/>
    <xf numFmtId="183" fontId="25" fillId="0" borderId="0" xfId="55" applyNumberFormat="1" applyFont="1" applyAlignment="1"/>
    <xf numFmtId="194" fontId="25" fillId="0" borderId="0" xfId="55" applyNumberFormat="1" applyFont="1" applyAlignment="1"/>
    <xf numFmtId="41" fontId="25" fillId="0" borderId="0" xfId="86" applyNumberFormat="1" applyFont="1" applyFill="1" applyAlignment="1">
      <alignment horizontal="center"/>
    </xf>
    <xf numFmtId="0" fontId="25" fillId="0" borderId="9" xfId="86" applyFont="1" applyBorder="1"/>
    <xf numFmtId="10" fontId="25" fillId="0" borderId="9" xfId="95" applyNumberFormat="1" applyFont="1" applyFill="1" applyBorder="1" applyAlignment="1">
      <alignment horizontal="right"/>
    </xf>
    <xf numFmtId="178" fontId="25" fillId="0" borderId="9" xfId="55" applyNumberFormat="1" applyFont="1" applyBorder="1"/>
    <xf numFmtId="0" fontId="25" fillId="0" borderId="9" xfId="86" applyFont="1" applyBorder="1" applyAlignment="1">
      <alignment horizontal="center"/>
    </xf>
    <xf numFmtId="43" fontId="25" fillId="0" borderId="9" xfId="86" applyNumberFormat="1" applyFont="1" applyBorder="1" applyAlignment="1">
      <alignment horizontal="center"/>
    </xf>
    <xf numFmtId="43" fontId="25" fillId="0" borderId="9" xfId="86" applyNumberFormat="1" applyFont="1" applyFill="1" applyBorder="1" applyAlignment="1">
      <alignment horizontal="center"/>
    </xf>
    <xf numFmtId="169" fontId="25" fillId="0" borderId="0" xfId="86" applyNumberFormat="1" applyFont="1" applyFill="1" applyAlignment="1">
      <alignment horizontal="right"/>
    </xf>
    <xf numFmtId="167" fontId="22" fillId="0" borderId="0" xfId="81" applyNumberFormat="1" applyFont="1" applyFill="1" applyAlignment="1">
      <alignment horizontal="center"/>
    </xf>
    <xf numFmtId="167" fontId="29" fillId="0" borderId="0" xfId="81" applyNumberFormat="1" applyFont="1" applyFill="1" applyAlignment="1"/>
    <xf numFmtId="0" fontId="12" fillId="0" borderId="0" xfId="80" applyAlignment="1">
      <alignment horizontal="left"/>
    </xf>
    <xf numFmtId="0" fontId="12" fillId="0" borderId="0" xfId="80" applyFont="1"/>
    <xf numFmtId="0" fontId="12" fillId="0" borderId="0" xfId="80" applyAlignment="1"/>
    <xf numFmtId="0" fontId="12" fillId="0" borderId="0" xfId="80" applyFont="1" applyAlignment="1">
      <alignment horizontal="left"/>
    </xf>
    <xf numFmtId="0" fontId="22" fillId="0" borderId="9" xfId="86" quotePrefix="1" applyFont="1" applyBorder="1" applyAlignment="1">
      <alignment horizontal="center"/>
    </xf>
    <xf numFmtId="0" fontId="22" fillId="0" borderId="9" xfId="86" applyFont="1" applyBorder="1"/>
    <xf numFmtId="0" fontId="34" fillId="0" borderId="9" xfId="86" applyFont="1" applyBorder="1"/>
    <xf numFmtId="184" fontId="22" fillId="0" borderId="9" xfId="86" applyNumberFormat="1" applyFont="1" applyFill="1" applyBorder="1"/>
    <xf numFmtId="184" fontId="22" fillId="0" borderId="9" xfId="86" applyNumberFormat="1" applyFont="1" applyBorder="1"/>
    <xf numFmtId="0" fontId="20" fillId="0" borderId="9" xfId="86" applyFont="1" applyBorder="1" applyAlignment="1">
      <alignment horizontal="center"/>
    </xf>
    <xf numFmtId="0" fontId="12" fillId="0" borderId="9" xfId="86" applyBorder="1"/>
    <xf numFmtId="43" fontId="19" fillId="0" borderId="9" xfId="86" applyNumberFormat="1" applyFont="1" applyBorder="1" applyAlignment="1">
      <alignment horizontal="center"/>
    </xf>
    <xf numFmtId="43" fontId="19" fillId="0" borderId="9" xfId="86" applyNumberFormat="1" applyFont="1" applyFill="1" applyBorder="1" applyAlignment="1">
      <alignment horizontal="center"/>
    </xf>
    <xf numFmtId="39" fontId="25" fillId="0" borderId="9" xfId="86" quotePrefix="1" applyNumberFormat="1" applyFont="1" applyBorder="1" applyAlignment="1">
      <alignment horizontal="center"/>
    </xf>
    <xf numFmtId="178" fontId="25" fillId="0" borderId="9" xfId="55" applyNumberFormat="1" applyFont="1" applyFill="1" applyBorder="1"/>
    <xf numFmtId="0" fontId="12" fillId="0" borderId="9" xfId="84" applyFont="1" applyBorder="1" applyAlignment="1">
      <alignment horizontal="center" wrapText="1"/>
    </xf>
    <xf numFmtId="44" fontId="12" fillId="0" borderId="0" xfId="58" applyNumberFormat="1"/>
    <xf numFmtId="44" fontId="12" fillId="0" borderId="0" xfId="84" applyNumberFormat="1"/>
    <xf numFmtId="44" fontId="25" fillId="0" borderId="9" xfId="84" applyNumberFormat="1" applyFont="1" applyBorder="1"/>
    <xf numFmtId="189" fontId="12" fillId="0" borderId="0" xfId="58" applyNumberFormat="1"/>
    <xf numFmtId="173" fontId="5" fillId="0" borderId="0" xfId="0" applyNumberFormat="1" applyFont="1" applyFill="1" applyAlignment="1">
      <alignment horizontal="left"/>
    </xf>
    <xf numFmtId="202" fontId="12" fillId="0" borderId="0" xfId="58" applyNumberFormat="1"/>
    <xf numFmtId="203" fontId="12" fillId="0" borderId="0" xfId="58" applyNumberFormat="1"/>
    <xf numFmtId="179" fontId="12" fillId="0" borderId="0" xfId="58" applyNumberFormat="1" applyBorder="1"/>
    <xf numFmtId="0" fontId="12" fillId="0" borderId="9" xfId="87" applyBorder="1"/>
    <xf numFmtId="0" fontId="20" fillId="0" borderId="9" xfId="87" applyFont="1" applyBorder="1" applyAlignment="1">
      <alignment horizontal="center"/>
    </xf>
    <xf numFmtId="10" fontId="12" fillId="0" borderId="9" xfId="95" applyNumberFormat="1" applyBorder="1"/>
    <xf numFmtId="0" fontId="12" fillId="0" borderId="9" xfId="90" applyBorder="1"/>
    <xf numFmtId="170" fontId="12" fillId="0" borderId="9" xfId="90" applyNumberFormat="1" applyBorder="1"/>
    <xf numFmtId="0" fontId="12" fillId="0" borderId="12" xfId="90" applyBorder="1"/>
    <xf numFmtId="170" fontId="12" fillId="0" borderId="12" xfId="90" applyNumberFormat="1" applyBorder="1"/>
    <xf numFmtId="0" fontId="12" fillId="0" borderId="12" xfId="90" applyFont="1" applyBorder="1"/>
    <xf numFmtId="170" fontId="12" fillId="0" borderId="12" xfId="90" applyNumberFormat="1" applyFill="1" applyBorder="1"/>
    <xf numFmtId="0" fontId="20" fillId="0" borderId="9" xfId="81" applyFont="1" applyBorder="1" applyAlignment="1">
      <alignment horizontal="center"/>
    </xf>
    <xf numFmtId="0" fontId="12" fillId="0" borderId="9" xfId="81" applyBorder="1"/>
    <xf numFmtId="43" fontId="19" fillId="0" borderId="9" xfId="81" applyNumberFormat="1" applyFont="1" applyBorder="1" applyAlignment="1">
      <alignment horizontal="center"/>
    </xf>
    <xf numFmtId="43" fontId="19" fillId="0" borderId="9" xfId="81" applyNumberFormat="1" applyFont="1" applyFill="1" applyBorder="1" applyAlignment="1">
      <alignment horizontal="center"/>
    </xf>
    <xf numFmtId="0" fontId="22" fillId="0" borderId="9" xfId="81" applyFont="1" applyFill="1" applyBorder="1"/>
    <xf numFmtId="178" fontId="22" fillId="0" borderId="9" xfId="55" applyNumberFormat="1" applyFont="1" applyFill="1" applyBorder="1"/>
    <xf numFmtId="0" fontId="22" fillId="0" borderId="9" xfId="81" applyFont="1" applyBorder="1"/>
    <xf numFmtId="43" fontId="22" fillId="0" borderId="9" xfId="81" applyNumberFormat="1" applyFont="1" applyBorder="1"/>
    <xf numFmtId="178" fontId="22" fillId="0" borderId="9" xfId="55" applyNumberFormat="1" applyFont="1" applyBorder="1"/>
    <xf numFmtId="49" fontId="28" fillId="0" borderId="0" xfId="81" applyNumberFormat="1" applyFont="1" applyAlignment="1">
      <alignment horizontal="right"/>
    </xf>
    <xf numFmtId="167" fontId="22" fillId="0" borderId="0" xfId="81" applyNumberFormat="1" applyFont="1" applyFill="1" applyBorder="1" applyAlignment="1">
      <alignment horizontal="center"/>
    </xf>
    <xf numFmtId="0" fontId="22" fillId="0" borderId="0" xfId="81" applyFont="1" applyFill="1" applyBorder="1" applyAlignment="1">
      <alignment horizontal="center"/>
    </xf>
    <xf numFmtId="167" fontId="29" fillId="0" borderId="0" xfId="81" applyNumberFormat="1" applyFont="1" applyFill="1" applyBorder="1" applyAlignment="1"/>
    <xf numFmtId="0" fontId="12" fillId="0" borderId="0" xfId="87" applyFont="1" applyFill="1"/>
    <xf numFmtId="0" fontId="7" fillId="0" borderId="0" xfId="0" applyNumberFormat="1" applyFont="1" applyFill="1" applyAlignment="1" applyProtection="1">
      <alignment horizontal="left"/>
      <protection locked="0"/>
    </xf>
    <xf numFmtId="176" fontId="5" fillId="0" borderId="0" xfId="0" applyFont="1" applyFill="1" applyAlignment="1">
      <alignment horizontal="left"/>
    </xf>
    <xf numFmtId="0" fontId="12" fillId="0" borderId="0" xfId="90" applyFont="1" applyFill="1" applyAlignment="1">
      <alignment horizontal="left"/>
    </xf>
    <xf numFmtId="0" fontId="12" fillId="0" borderId="0" xfId="90" quotePrefix="1" applyFill="1" applyAlignment="1">
      <alignment horizontal="left"/>
    </xf>
    <xf numFmtId="0" fontId="12" fillId="0" borderId="0" xfId="90" applyFont="1" applyFill="1"/>
    <xf numFmtId="0" fontId="12" fillId="0" borderId="0" xfId="90" quotePrefix="1" applyFont="1" applyFill="1" applyAlignment="1">
      <alignment horizontal="left"/>
    </xf>
    <xf numFmtId="0" fontId="12" fillId="0" borderId="0" xfId="84" applyFont="1" applyFill="1"/>
    <xf numFmtId="0" fontId="12" fillId="0" borderId="0" xfId="84" applyFill="1"/>
    <xf numFmtId="0" fontId="12" fillId="0" borderId="0" xfId="87" applyFont="1" applyFill="1" applyAlignment="1">
      <alignment horizontal="center"/>
    </xf>
    <xf numFmtId="181" fontId="12" fillId="0" borderId="0" xfId="90" applyNumberFormat="1" applyFill="1"/>
    <xf numFmtId="0" fontId="22" fillId="0" borderId="0" xfId="88" quotePrefix="1" applyFont="1" applyFill="1" applyAlignment="1">
      <alignment horizontal="left"/>
    </xf>
    <xf numFmtId="0" fontId="12" fillId="0" borderId="0" xfId="88" applyFill="1"/>
    <xf numFmtId="176" fontId="7" fillId="0" borderId="0" xfId="0" applyFont="1" applyAlignment="1">
      <alignment horizontal="right"/>
    </xf>
    <xf numFmtId="164" fontId="25" fillId="0" borderId="0" xfId="86" applyNumberFormat="1" applyFont="1" applyFill="1" applyAlignment="1">
      <alignment horizontal="left"/>
    </xf>
    <xf numFmtId="10" fontId="25" fillId="0" borderId="0" xfId="95" applyNumberFormat="1" applyFont="1" applyFill="1" applyAlignment="1"/>
    <xf numFmtId="10" fontId="5" fillId="0" borderId="0" xfId="0" applyNumberFormat="1" applyFont="1" applyAlignment="1"/>
    <xf numFmtId="178" fontId="5" fillId="0" borderId="0" xfId="55" applyNumberFormat="1" applyFont="1" applyAlignment="1"/>
    <xf numFmtId="0" fontId="5" fillId="0" borderId="0" xfId="0" applyNumberFormat="1" applyFont="1" applyAlignment="1">
      <alignment horizontal="fill"/>
    </xf>
    <xf numFmtId="3" fontId="5" fillId="0" borderId="0" xfId="0" applyNumberFormat="1" applyFont="1" applyAlignment="1">
      <alignment horizontal="fill"/>
    </xf>
    <xf numFmtId="176" fontId="5" fillId="0" borderId="9" xfId="0" applyFont="1" applyBorder="1" applyAlignment="1"/>
    <xf numFmtId="6" fontId="5" fillId="0" borderId="0" xfId="90" applyNumberFormat="1" applyFont="1" applyBorder="1"/>
    <xf numFmtId="0" fontId="5" fillId="0" borderId="0" xfId="0" applyNumberFormat="1" applyFont="1" applyFill="1" applyAlignment="1" applyProtection="1">
      <alignment horizontal="center"/>
      <protection locked="0"/>
    </xf>
    <xf numFmtId="0" fontId="12" fillId="0" borderId="24" xfId="80" applyFill="1" applyBorder="1" applyAlignment="1">
      <alignment horizontal="center"/>
    </xf>
    <xf numFmtId="0" fontId="12" fillId="0" borderId="19" xfId="80" applyFill="1" applyBorder="1" applyAlignment="1">
      <alignment horizontal="center"/>
    </xf>
    <xf numFmtId="0" fontId="12" fillId="0" borderId="25" xfId="80" applyFill="1" applyBorder="1" applyAlignment="1">
      <alignment horizontal="center"/>
    </xf>
    <xf numFmtId="0" fontId="12" fillId="0" borderId="0" xfId="80" applyFill="1" applyBorder="1" applyAlignment="1">
      <alignment horizontal="center"/>
    </xf>
    <xf numFmtId="0" fontId="12" fillId="0" borderId="25" xfId="80" applyFont="1" applyFill="1" applyBorder="1" applyAlignment="1">
      <alignment horizontal="center"/>
    </xf>
    <xf numFmtId="0" fontId="12" fillId="0" borderId="26" xfId="80" applyFill="1" applyBorder="1" applyAlignment="1">
      <alignment horizontal="center"/>
    </xf>
    <xf numFmtId="0" fontId="12" fillId="0" borderId="9" xfId="80" applyFill="1" applyBorder="1" applyAlignment="1">
      <alignment horizontal="center"/>
    </xf>
    <xf numFmtId="0" fontId="12" fillId="0" borderId="25" xfId="80" applyFill="1" applyBorder="1"/>
    <xf numFmtId="1" fontId="12" fillId="0" borderId="27" xfId="80" applyNumberFormat="1" applyFill="1" applyBorder="1" applyAlignment="1">
      <alignment horizontal="center"/>
    </xf>
    <xf numFmtId="3" fontId="25" fillId="0" borderId="0" xfId="86" applyNumberFormat="1" applyFont="1" applyAlignment="1">
      <alignment horizontal="right"/>
    </xf>
    <xf numFmtId="183" fontId="24" fillId="0" borderId="0" xfId="84" applyNumberFormat="1" applyFont="1"/>
    <xf numFmtId="0" fontId="25" fillId="0" borderId="0" xfId="86" applyFont="1" applyFill="1" applyAlignment="1">
      <alignment horizontal="left"/>
    </xf>
    <xf numFmtId="49" fontId="25" fillId="0" borderId="12" xfId="81" applyNumberFormat="1" applyFont="1" applyFill="1" applyBorder="1" applyAlignment="1">
      <alignment horizontal="center"/>
    </xf>
    <xf numFmtId="0" fontId="12" fillId="0" borderId="12" xfId="81" applyBorder="1" applyAlignment="1">
      <alignment horizontal="center"/>
    </xf>
    <xf numFmtId="0" fontId="22" fillId="0" borderId="0" xfId="86" applyFont="1" applyFill="1" applyAlignment="1">
      <alignment horizontal="left"/>
    </xf>
    <xf numFmtId="43" fontId="12" fillId="0" borderId="0" xfId="86" applyNumberFormat="1" applyFont="1" applyFill="1" applyBorder="1"/>
    <xf numFmtId="41" fontId="25" fillId="0" borderId="0" xfId="86" applyNumberFormat="1" applyFont="1" applyFill="1" applyAlignment="1">
      <alignment horizontal="left"/>
    </xf>
    <xf numFmtId="41" fontId="25" fillId="0" borderId="0" xfId="86" applyNumberFormat="1" applyFont="1" applyFill="1" applyBorder="1" applyAlignment="1">
      <alignment horizontal="left"/>
    </xf>
    <xf numFmtId="179" fontId="20" fillId="0" borderId="0" xfId="58" applyNumberFormat="1" applyFont="1" applyFill="1" applyAlignment="1">
      <alignment horizontal="left"/>
    </xf>
    <xf numFmtId="3" fontId="25" fillId="0" borderId="0" xfId="86" applyNumberFormat="1" applyFont="1" applyFill="1" applyAlignment="1">
      <alignment horizontal="left"/>
    </xf>
    <xf numFmtId="41" fontId="25" fillId="0" borderId="0" xfId="86" applyNumberFormat="1" applyFont="1" applyAlignment="1">
      <alignment horizontal="left"/>
    </xf>
    <xf numFmtId="186" fontId="12" fillId="0" borderId="0" xfId="84" applyNumberFormat="1"/>
    <xf numFmtId="178" fontId="5" fillId="0" borderId="0" xfId="55" applyNumberFormat="1" applyFont="1" applyFill="1" applyAlignment="1"/>
    <xf numFmtId="178" fontId="5" fillId="0" borderId="0" xfId="55" applyNumberFormat="1" applyFont="1" applyBorder="1" applyAlignment="1"/>
    <xf numFmtId="178" fontId="5" fillId="0" borderId="9" xfId="55" applyNumberFormat="1" applyFont="1" applyBorder="1" applyAlignment="1"/>
    <xf numFmtId="49" fontId="7" fillId="0" borderId="0" xfId="0" applyNumberFormat="1" applyFont="1" applyAlignment="1">
      <alignment horizontal="center"/>
    </xf>
    <xf numFmtId="0" fontId="12" fillId="0" borderId="0" xfId="86" applyFont="1" applyAlignment="1">
      <alignment horizontal="center"/>
    </xf>
    <xf numFmtId="178" fontId="25" fillId="0" borderId="0" xfId="55" applyNumberFormat="1" applyFont="1"/>
    <xf numFmtId="178" fontId="25" fillId="0" borderId="0" xfId="55" applyNumberFormat="1" applyFont="1" applyFill="1"/>
    <xf numFmtId="44" fontId="12" fillId="0" borderId="0" xfId="86" applyNumberFormat="1" applyFont="1"/>
    <xf numFmtId="179" fontId="25" fillId="0" borderId="28" xfId="58" applyNumberFormat="1" applyFont="1" applyFill="1" applyBorder="1"/>
    <xf numFmtId="10" fontId="25" fillId="0" borderId="0" xfId="95" applyNumberFormat="1" applyFont="1"/>
    <xf numFmtId="0" fontId="12" fillId="0" borderId="12" xfId="86" applyFont="1" applyBorder="1" applyAlignment="1">
      <alignment horizontal="center"/>
    </xf>
    <xf numFmtId="0" fontId="5" fillId="0" borderId="0" xfId="86" applyFont="1" applyFill="1" applyAlignment="1">
      <alignment horizontal="left"/>
    </xf>
    <xf numFmtId="9" fontId="5" fillId="0" borderId="29" xfId="95" applyFont="1" applyBorder="1" applyAlignment="1"/>
    <xf numFmtId="178" fontId="12" fillId="0" borderId="29" xfId="55" applyNumberFormat="1" applyFill="1" applyBorder="1"/>
    <xf numFmtId="178" fontId="20" fillId="0" borderId="0" xfId="55" applyNumberFormat="1" applyFont="1" applyAlignment="1">
      <alignment horizontal="center"/>
    </xf>
    <xf numFmtId="0" fontId="28" fillId="0" borderId="0" xfId="55" applyNumberFormat="1" applyFont="1" applyAlignment="1">
      <alignment horizontal="center"/>
    </xf>
    <xf numFmtId="0" fontId="12" fillId="0" borderId="24" xfId="80" applyFont="1" applyFill="1" applyBorder="1" applyAlignment="1">
      <alignment horizontal="center"/>
    </xf>
    <xf numFmtId="0" fontId="12" fillId="0" borderId="26" xfId="80" applyFont="1" applyFill="1" applyBorder="1" applyAlignment="1">
      <alignment horizontal="center"/>
    </xf>
    <xf numFmtId="0" fontId="12" fillId="0" borderId="25" xfId="80" quotePrefix="1" applyFont="1" applyFill="1" applyBorder="1" applyAlignment="1">
      <alignment horizontal="left"/>
    </xf>
    <xf numFmtId="0" fontId="12" fillId="0" borderId="19" xfId="80" applyFill="1" applyBorder="1"/>
    <xf numFmtId="0" fontId="12" fillId="0" borderId="0" xfId="80" applyFill="1" applyBorder="1"/>
    <xf numFmtId="0" fontId="12" fillId="0" borderId="26" xfId="80" quotePrefix="1" applyFont="1" applyFill="1" applyBorder="1" applyAlignment="1">
      <alignment horizontal="left"/>
    </xf>
    <xf numFmtId="0" fontId="12" fillId="0" borderId="9" xfId="80" applyFill="1" applyBorder="1"/>
    <xf numFmtId="176" fontId="5" fillId="0" borderId="0" xfId="0" quotePrefix="1" applyFont="1" applyFill="1" applyAlignment="1"/>
    <xf numFmtId="167" fontId="5" fillId="0" borderId="0" xfId="0" applyNumberFormat="1" applyFont="1" applyFill="1" applyAlignment="1"/>
    <xf numFmtId="166" fontId="5" fillId="0" borderId="0" xfId="0" applyNumberFormat="1" applyFont="1" applyFill="1" applyAlignment="1"/>
    <xf numFmtId="0" fontId="7" fillId="0" borderId="0" xfId="86" applyFont="1" applyAlignment="1">
      <alignment horizontal="center"/>
    </xf>
    <xf numFmtId="210" fontId="12" fillId="0" borderId="0" xfId="86" applyNumberFormat="1" applyAlignment="1">
      <alignment horizontal="left"/>
    </xf>
    <xf numFmtId="0" fontId="12" fillId="0" borderId="29" xfId="86" applyBorder="1"/>
    <xf numFmtId="178" fontId="12" fillId="0" borderId="0" xfId="86" applyNumberFormat="1"/>
    <xf numFmtId="193" fontId="25" fillId="0" borderId="0" xfId="55" applyNumberFormat="1" applyFont="1" applyFill="1" applyAlignment="1">
      <alignment horizontal="center"/>
    </xf>
    <xf numFmtId="0" fontId="12" fillId="0" borderId="0" xfId="86" applyFont="1" applyAlignment="1">
      <alignment horizontal="center" wrapText="1"/>
    </xf>
    <xf numFmtId="0" fontId="25" fillId="0" borderId="0" xfId="82" applyFont="1" applyAlignment="1">
      <alignment horizontal="center"/>
    </xf>
    <xf numFmtId="176" fontId="25" fillId="0" borderId="0" xfId="0" applyFont="1" applyAlignment="1"/>
    <xf numFmtId="0" fontId="25" fillId="0" borderId="0" xfId="83" applyFont="1" applyFill="1" applyAlignment="1">
      <alignment horizontal="center"/>
    </xf>
    <xf numFmtId="176" fontId="22" fillId="0" borderId="0" xfId="0" applyFont="1" applyAlignment="1"/>
    <xf numFmtId="176" fontId="22" fillId="0" borderId="0" xfId="0" applyFont="1" applyAlignment="1">
      <alignment horizontal="center"/>
    </xf>
    <xf numFmtId="176" fontId="22" fillId="0" borderId="12" xfId="0" applyFont="1" applyBorder="1" applyAlignment="1">
      <alignment horizontal="center"/>
    </xf>
    <xf numFmtId="212" fontId="25" fillId="0" borderId="29" xfId="95" applyNumberFormat="1" applyFont="1" applyBorder="1" applyAlignment="1"/>
    <xf numFmtId="178" fontId="25" fillId="0" borderId="29" xfId="55" applyNumberFormat="1" applyFont="1" applyFill="1" applyBorder="1"/>
    <xf numFmtId="0" fontId="12" fillId="0" borderId="0" xfId="80" applyFont="1" applyAlignment="1">
      <alignment horizontal="right"/>
    </xf>
    <xf numFmtId="213" fontId="5" fillId="0" borderId="0" xfId="0" applyNumberFormat="1" applyFont="1" applyFill="1" applyAlignment="1">
      <alignment horizontal="right"/>
    </xf>
    <xf numFmtId="213" fontId="5" fillId="0" borderId="0" xfId="0" applyNumberFormat="1" applyFont="1" applyAlignment="1"/>
    <xf numFmtId="17" fontId="12" fillId="0" borderId="0" xfId="86" applyNumberFormat="1" applyFont="1"/>
    <xf numFmtId="44" fontId="12" fillId="0" borderId="0" xfId="86" applyNumberFormat="1" applyFont="1" applyAlignment="1">
      <alignment horizontal="center"/>
    </xf>
    <xf numFmtId="178" fontId="25" fillId="0" borderId="0" xfId="55" applyNumberFormat="1" applyFont="1" applyAlignment="1">
      <alignment horizontal="center"/>
    </xf>
    <xf numFmtId="178" fontId="12" fillId="0" borderId="29" xfId="86" applyNumberFormat="1" applyBorder="1"/>
    <xf numFmtId="0" fontId="12" fillId="0" borderId="0" xfId="80" applyFont="1" applyFill="1" applyAlignment="1">
      <alignment horizontal="left"/>
    </xf>
    <xf numFmtId="0" fontId="12" fillId="0" borderId="0" xfId="80" applyFill="1"/>
    <xf numFmtId="0" fontId="12" fillId="0" borderId="0" xfId="80" applyFill="1" applyAlignment="1">
      <alignment horizontal="left"/>
    </xf>
    <xf numFmtId="3" fontId="5" fillId="0" borderId="29" xfId="0" applyNumberFormat="1" applyFont="1" applyFill="1" applyBorder="1" applyAlignment="1"/>
    <xf numFmtId="176" fontId="5" fillId="0" borderId="29" xfId="0" applyFont="1" applyBorder="1" applyAlignment="1"/>
    <xf numFmtId="0" fontId="5" fillId="0" borderId="29" xfId="0" applyNumberFormat="1" applyFont="1" applyBorder="1"/>
    <xf numFmtId="0" fontId="5" fillId="0" borderId="0" xfId="0" applyNumberFormat="1" applyFont="1" applyBorder="1"/>
    <xf numFmtId="17" fontId="12" fillId="0" borderId="0" xfId="86" applyNumberFormat="1" applyFont="1" applyAlignment="1">
      <alignment horizontal="right"/>
    </xf>
    <xf numFmtId="9" fontId="5" fillId="0" borderId="0" xfId="95" applyFont="1" applyAlignment="1"/>
    <xf numFmtId="10" fontId="5" fillId="0" borderId="0" xfId="95" applyNumberFormat="1" applyFont="1" applyAlignment="1" applyProtection="1">
      <alignment horizontal="left"/>
      <protection locked="0"/>
    </xf>
    <xf numFmtId="10" fontId="5" fillId="0" borderId="0" xfId="95" applyNumberFormat="1" applyFont="1" applyFill="1"/>
    <xf numFmtId="3" fontId="5" fillId="0" borderId="12" xfId="0" applyNumberFormat="1" applyFont="1" applyBorder="1" applyAlignment="1"/>
    <xf numFmtId="3" fontId="5" fillId="0" borderId="12" xfId="0" applyNumberFormat="1" applyFont="1" applyBorder="1" applyAlignment="1">
      <alignment horizontal="center"/>
    </xf>
    <xf numFmtId="3" fontId="66" fillId="0" borderId="0" xfId="0" applyNumberFormat="1" applyFont="1" applyAlignment="1"/>
    <xf numFmtId="176" fontId="66" fillId="0" borderId="0" xfId="0" applyFont="1" applyAlignment="1"/>
    <xf numFmtId="164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Border="1"/>
    <xf numFmtId="0" fontId="5" fillId="0" borderId="29" xfId="0" applyNumberFormat="1" applyFont="1" applyFill="1" applyBorder="1" applyProtection="1">
      <protection locked="0"/>
    </xf>
    <xf numFmtId="0" fontId="5" fillId="0" borderId="29" xfId="0" applyNumberFormat="1" applyFont="1" applyFill="1" applyBorder="1"/>
    <xf numFmtId="0" fontId="66" fillId="0" borderId="0" xfId="0" applyNumberFormat="1" applyFont="1" applyFill="1"/>
    <xf numFmtId="3" fontId="5" fillId="0" borderId="9" xfId="0" applyNumberFormat="1" applyFont="1" applyFill="1" applyBorder="1" applyAlignment="1">
      <alignment horizontal="center"/>
    </xf>
    <xf numFmtId="176" fontId="66" fillId="0" borderId="0" xfId="0" applyFont="1" applyFill="1" applyAlignment="1"/>
    <xf numFmtId="49" fontId="5" fillId="0" borderId="9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/>
    <xf numFmtId="0" fontId="5" fillId="0" borderId="0" xfId="0" quotePrefix="1" applyNumberFormat="1" applyFont="1" applyFill="1"/>
    <xf numFmtId="4" fontId="5" fillId="0" borderId="0" xfId="0" applyNumberFormat="1" applyFont="1" applyFill="1" applyAlignment="1"/>
    <xf numFmtId="44" fontId="12" fillId="0" borderId="0" xfId="86" applyNumberFormat="1" applyFont="1" applyAlignment="1">
      <alignment horizontal="right"/>
    </xf>
    <xf numFmtId="178" fontId="12" fillId="0" borderId="11" xfId="86" applyNumberFormat="1" applyBorder="1"/>
    <xf numFmtId="176" fontId="25" fillId="0" borderId="0" xfId="0" applyFont="1" applyFill="1" applyAlignment="1"/>
    <xf numFmtId="0" fontId="16" fillId="0" borderId="0" xfId="90" applyFont="1" applyFill="1"/>
    <xf numFmtId="0" fontId="12" fillId="0" borderId="12" xfId="86" applyFont="1" applyBorder="1"/>
    <xf numFmtId="44" fontId="12" fillId="0" borderId="12" xfId="86" applyNumberFormat="1" applyFont="1" applyBorder="1" applyAlignment="1">
      <alignment horizontal="center"/>
    </xf>
    <xf numFmtId="0" fontId="12" fillId="0" borderId="0" xfId="86" applyFont="1" applyAlignment="1">
      <alignment horizontal="right"/>
    </xf>
    <xf numFmtId="176" fontId="25" fillId="0" borderId="0" xfId="0" applyFont="1" applyFill="1"/>
    <xf numFmtId="178" fontId="5" fillId="0" borderId="0" xfId="55" applyNumberFormat="1" applyFont="1" applyAlignment="1">
      <alignment horizontal="center"/>
    </xf>
    <xf numFmtId="176" fontId="12" fillId="0" borderId="0" xfId="0" applyFont="1" applyAlignment="1"/>
    <xf numFmtId="176" fontId="22" fillId="0" borderId="0" xfId="0" applyFont="1" applyFill="1" applyAlignment="1">
      <alignment horizontal="center"/>
    </xf>
    <xf numFmtId="178" fontId="25" fillId="0" borderId="0" xfId="55" applyNumberFormat="1" applyFont="1" applyAlignment="1"/>
    <xf numFmtId="176" fontId="5" fillId="0" borderId="0" xfId="0" applyFont="1" applyAlignment="1">
      <alignment horizontal="center"/>
    </xf>
    <xf numFmtId="176" fontId="5" fillId="0" borderId="0" xfId="0" applyNumberFormat="1" applyFont="1" applyAlignment="1"/>
    <xf numFmtId="212" fontId="12" fillId="0" borderId="0" xfId="95" applyNumberFormat="1"/>
    <xf numFmtId="174" fontId="12" fillId="0" borderId="0" xfId="88" applyNumberFormat="1" applyFill="1"/>
    <xf numFmtId="169" fontId="12" fillId="0" borderId="0" xfId="88" applyNumberFormat="1" applyFill="1" applyAlignment="1">
      <alignment horizontal="center"/>
    </xf>
    <xf numFmtId="1" fontId="12" fillId="0" borderId="0" xfId="88" applyNumberFormat="1" applyFill="1"/>
    <xf numFmtId="0" fontId="12" fillId="0" borderId="0" xfId="88" applyFill="1" applyAlignment="1">
      <alignment horizontal="center"/>
    </xf>
    <xf numFmtId="174" fontId="12" fillId="0" borderId="12" xfId="88" applyNumberFormat="1" applyFill="1" applyBorder="1"/>
    <xf numFmtId="169" fontId="12" fillId="0" borderId="12" xfId="88" applyNumberFormat="1" applyFill="1" applyBorder="1" applyAlignment="1">
      <alignment horizontal="center"/>
    </xf>
    <xf numFmtId="183" fontId="12" fillId="0" borderId="0" xfId="55" applyNumberFormat="1"/>
    <xf numFmtId="176" fontId="0" fillId="0" borderId="0" xfId="0" quotePrefix="1"/>
    <xf numFmtId="43" fontId="12" fillId="0" borderId="9" xfId="84" applyNumberFormat="1" applyBorder="1"/>
    <xf numFmtId="176" fontId="0" fillId="0" borderId="0" xfId="0" applyAlignment="1">
      <alignment horizontal="center"/>
    </xf>
    <xf numFmtId="3" fontId="67" fillId="0" borderId="0" xfId="0" applyNumberFormat="1" applyFont="1" applyAlignment="1"/>
    <xf numFmtId="164" fontId="5" fillId="0" borderId="0" xfId="0" applyNumberFormat="1" applyFont="1" applyFill="1" applyAlignment="1">
      <alignment horizontal="center"/>
    </xf>
    <xf numFmtId="0" fontId="16" fillId="0" borderId="0" xfId="90" applyFont="1" applyFill="1" applyAlignment="1">
      <alignment horizontal="center"/>
    </xf>
    <xf numFmtId="164" fontId="16" fillId="0" borderId="0" xfId="90" applyNumberFormat="1" applyFont="1" applyFill="1"/>
    <xf numFmtId="6" fontId="16" fillId="0" borderId="30" xfId="90" applyNumberFormat="1" applyFont="1" applyFill="1" applyBorder="1"/>
    <xf numFmtId="6" fontId="19" fillId="0" borderId="30" xfId="90" applyNumberFormat="1" applyFont="1" applyFill="1" applyBorder="1"/>
    <xf numFmtId="0" fontId="21" fillId="0" borderId="0" xfId="90" applyFont="1" applyFill="1"/>
    <xf numFmtId="3" fontId="5" fillId="0" borderId="31" xfId="0" applyNumberFormat="1" applyFont="1" applyBorder="1" applyAlignment="1"/>
    <xf numFmtId="0" fontId="25" fillId="0" borderId="0" xfId="0" applyNumberFormat="1" applyFont="1" applyAlignment="1">
      <alignment horizontal="center"/>
    </xf>
    <xf numFmtId="166" fontId="5" fillId="0" borderId="0" xfId="0" applyNumberFormat="1" applyFont="1" applyFill="1" applyAlignment="1">
      <alignment horizontal="center"/>
    </xf>
    <xf numFmtId="179" fontId="12" fillId="0" borderId="0" xfId="58" applyNumberFormat="1" applyFont="1" applyFill="1" applyBorder="1"/>
    <xf numFmtId="194" fontId="12" fillId="0" borderId="0" xfId="55" applyNumberFormat="1" applyFont="1" applyFill="1" applyBorder="1"/>
    <xf numFmtId="10" fontId="12" fillId="0" borderId="0" xfId="86" applyNumberFormat="1" applyFill="1"/>
    <xf numFmtId="178" fontId="12" fillId="0" borderId="0" xfId="55" quotePrefix="1" applyNumberFormat="1" applyFont="1" applyAlignment="1">
      <alignment horizontal="center"/>
    </xf>
    <xf numFmtId="0" fontId="12" fillId="0" borderId="0" xfId="86" applyFont="1" applyFill="1"/>
    <xf numFmtId="178" fontId="12" fillId="0" borderId="0" xfId="55" applyNumberFormat="1" applyFill="1" applyBorder="1"/>
    <xf numFmtId="179" fontId="12" fillId="0" borderId="28" xfId="58" applyNumberFormat="1" applyFont="1" applyFill="1" applyBorder="1"/>
    <xf numFmtId="176" fontId="25" fillId="0" borderId="0" xfId="0" applyFont="1" applyAlignment="1">
      <alignment horizontal="center"/>
    </xf>
    <xf numFmtId="176" fontId="25" fillId="0" borderId="12" xfId="0" applyFont="1" applyBorder="1" applyAlignment="1">
      <alignment horizontal="center"/>
    </xf>
    <xf numFmtId="0" fontId="16" fillId="0" borderId="0" xfId="90" applyFont="1" applyBorder="1" applyAlignment="1">
      <alignment horizontal="center"/>
    </xf>
    <xf numFmtId="176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76" fontId="20" fillId="0" borderId="0" xfId="0" applyFont="1" applyAlignment="1"/>
    <xf numFmtId="176" fontId="22" fillId="0" borderId="0" xfId="0" applyFont="1" applyBorder="1" applyAlignment="1"/>
    <xf numFmtId="176" fontId="7" fillId="0" borderId="0" xfId="0" applyFont="1" applyAlignment="1"/>
    <xf numFmtId="0" fontId="18" fillId="0" borderId="0" xfId="90" applyFont="1" applyFill="1"/>
    <xf numFmtId="178" fontId="22" fillId="0" borderId="0" xfId="55" applyNumberFormat="1" applyFont="1" applyFill="1"/>
    <xf numFmtId="6" fontId="16" fillId="0" borderId="0" xfId="90" applyNumberFormat="1" applyFont="1" applyFill="1" applyBorder="1"/>
    <xf numFmtId="178" fontId="5" fillId="0" borderId="0" xfId="55" applyNumberFormat="1" applyFont="1" applyFill="1" applyBorder="1" applyAlignment="1"/>
    <xf numFmtId="176" fontId="0" fillId="0" borderId="0" xfId="0" applyFill="1" applyAlignment="1"/>
    <xf numFmtId="0" fontId="7" fillId="0" borderId="0" xfId="0" applyNumberFormat="1" applyFont="1" applyFill="1" applyAlignment="1" applyProtection="1">
      <alignment horizontal="center"/>
      <protection locked="0"/>
    </xf>
    <xf numFmtId="176" fontId="5" fillId="0" borderId="0" xfId="0" applyFont="1" applyFill="1" applyBorder="1" applyAlignment="1"/>
    <xf numFmtId="0" fontId="6" fillId="0" borderId="0" xfId="0" applyNumberFormat="1" applyFont="1" applyFill="1" applyAlignment="1">
      <alignment horizontal="center"/>
    </xf>
    <xf numFmtId="3" fontId="5" fillId="0" borderId="31" xfId="0" applyNumberFormat="1" applyFont="1" applyFill="1" applyBorder="1" applyAlignment="1"/>
    <xf numFmtId="10" fontId="5" fillId="0" borderId="0" xfId="0" applyNumberFormat="1" applyFont="1" applyFill="1" applyProtection="1">
      <protection locked="0"/>
    </xf>
    <xf numFmtId="176" fontId="7" fillId="0" borderId="0" xfId="0" applyFont="1" applyFill="1" applyAlignment="1"/>
    <xf numFmtId="176" fontId="1" fillId="0" borderId="0" xfId="0" applyFont="1" applyAlignment="1"/>
    <xf numFmtId="0" fontId="5" fillId="0" borderId="0" xfId="0" applyNumberFormat="1" applyFont="1" applyFill="1" applyAlignment="1">
      <alignment horizontal="center"/>
    </xf>
    <xf numFmtId="216" fontId="5" fillId="0" borderId="0" xfId="0" applyNumberFormat="1" applyFont="1" applyAlignment="1">
      <alignment horizontal="center"/>
    </xf>
    <xf numFmtId="3" fontId="71" fillId="0" borderId="0" xfId="0" applyNumberFormat="1" applyFont="1" applyAlignment="1"/>
    <xf numFmtId="178" fontId="5" fillId="0" borderId="12" xfId="55" applyNumberFormat="1" applyFont="1" applyFill="1" applyBorder="1" applyAlignment="1"/>
    <xf numFmtId="178" fontId="5" fillId="0" borderId="29" xfId="55" applyNumberFormat="1" applyFont="1" applyFill="1" applyBorder="1" applyAlignment="1"/>
    <xf numFmtId="178" fontId="5" fillId="0" borderId="29" xfId="55" applyNumberFormat="1" applyFont="1" applyBorder="1" applyAlignment="1"/>
    <xf numFmtId="210" fontId="12" fillId="0" borderId="0" xfId="86" applyNumberFormat="1" applyFont="1" applyAlignment="1">
      <alignment horizontal="left"/>
    </xf>
    <xf numFmtId="178" fontId="20" fillId="0" borderId="12" xfId="55" applyNumberFormat="1" applyFont="1" applyBorder="1" applyAlignment="1">
      <alignment horizontal="center"/>
    </xf>
    <xf numFmtId="3" fontId="5" fillId="26" borderId="0" xfId="0" applyNumberFormat="1" applyFont="1" applyFill="1" applyAlignment="1"/>
    <xf numFmtId="178" fontId="5" fillId="26" borderId="0" xfId="55" applyNumberFormat="1" applyFont="1" applyFill="1" applyAlignment="1"/>
    <xf numFmtId="178" fontId="5" fillId="26" borderId="0" xfId="55" applyNumberFormat="1" applyFont="1" applyFill="1" applyBorder="1" applyAlignment="1"/>
    <xf numFmtId="178" fontId="5" fillId="26" borderId="9" xfId="55" applyNumberFormat="1" applyFont="1" applyFill="1" applyBorder="1" applyAlignment="1"/>
    <xf numFmtId="3" fontId="5" fillId="26" borderId="0" xfId="0" applyNumberFormat="1" applyFont="1" applyFill="1" applyBorder="1" applyAlignment="1"/>
    <xf numFmtId="3" fontId="5" fillId="26" borderId="9" xfId="0" applyNumberFormat="1" applyFont="1" applyFill="1" applyBorder="1" applyAlignment="1"/>
    <xf numFmtId="0" fontId="12" fillId="0" borderId="9" xfId="84" applyFont="1" applyBorder="1"/>
    <xf numFmtId="44" fontId="12" fillId="0" borderId="9" xfId="84" applyNumberFormat="1" applyFont="1" applyBorder="1"/>
    <xf numFmtId="172" fontId="12" fillId="0" borderId="9" xfId="95" applyNumberFormat="1" applyFont="1" applyBorder="1" applyAlignment="1">
      <alignment horizontal="right"/>
    </xf>
    <xf numFmtId="179" fontId="12" fillId="0" borderId="9" xfId="58" applyNumberFormat="1" applyFont="1" applyBorder="1"/>
    <xf numFmtId="183" fontId="23" fillId="0" borderId="0" xfId="84" applyNumberFormat="1" applyFont="1"/>
    <xf numFmtId="42" fontId="12" fillId="0" borderId="0" xfId="84" applyNumberFormat="1" applyFill="1"/>
    <xf numFmtId="42" fontId="12" fillId="0" borderId="9" xfId="84" applyNumberFormat="1" applyFill="1" applyBorder="1"/>
    <xf numFmtId="179" fontId="20" fillId="0" borderId="0" xfId="58" applyNumberFormat="1" applyFont="1" applyFill="1"/>
    <xf numFmtId="0" fontId="16" fillId="0" borderId="0" xfId="90" quotePrefix="1" applyFont="1" applyFill="1" applyAlignment="1">
      <alignment horizontal="left"/>
    </xf>
    <xf numFmtId="3" fontId="20" fillId="0" borderId="0" xfId="90" applyNumberFormat="1" applyFont="1" applyFill="1"/>
    <xf numFmtId="0" fontId="16" fillId="0" borderId="0" xfId="90" applyFont="1" applyFill="1" applyAlignment="1">
      <alignment horizontal="right"/>
    </xf>
    <xf numFmtId="189" fontId="20" fillId="0" borderId="0" xfId="58" applyNumberFormat="1" applyFont="1" applyFill="1" applyAlignment="1">
      <alignment horizontal="right"/>
    </xf>
    <xf numFmtId="178" fontId="12" fillId="0" borderId="0" xfId="84" applyNumberFormat="1" applyFill="1"/>
    <xf numFmtId="178" fontId="12" fillId="0" borderId="9" xfId="84" applyNumberFormat="1" applyFill="1" applyBorder="1"/>
    <xf numFmtId="3" fontId="67" fillId="0" borderId="0" xfId="0" applyNumberFormat="1" applyFont="1" applyFill="1" applyAlignment="1"/>
    <xf numFmtId="3" fontId="72" fillId="0" borderId="0" xfId="0" applyNumberFormat="1" applyFont="1" applyFill="1" applyAlignment="1"/>
    <xf numFmtId="0" fontId="73" fillId="0" borderId="0" xfId="84" applyFont="1"/>
    <xf numFmtId="179" fontId="12" fillId="0" borderId="0" xfId="58" applyNumberFormat="1" applyFill="1"/>
    <xf numFmtId="179" fontId="12" fillId="0" borderId="0" xfId="84" applyNumberFormat="1" applyFill="1"/>
    <xf numFmtId="179" fontId="74" fillId="0" borderId="0" xfId="84" applyNumberFormat="1" applyFont="1" applyFill="1"/>
    <xf numFmtId="0" fontId="25" fillId="0" borderId="0" xfId="0" applyNumberFormat="1" applyFont="1" applyFill="1" applyAlignment="1">
      <alignment horizontal="center"/>
    </xf>
    <xf numFmtId="176" fontId="25" fillId="0" borderId="0" xfId="0" applyFont="1" applyFill="1" applyAlignment="1">
      <alignment horizontal="right"/>
    </xf>
    <xf numFmtId="176" fontId="65" fillId="0" borderId="0" xfId="0" applyFont="1" applyFill="1" applyAlignment="1"/>
    <xf numFmtId="0" fontId="25" fillId="0" borderId="0" xfId="83" applyFont="1" applyFill="1" applyAlignment="1">
      <alignment horizontal="left"/>
    </xf>
    <xf numFmtId="176" fontId="20" fillId="0" borderId="0" xfId="0" applyFont="1" applyFill="1" applyAlignment="1"/>
    <xf numFmtId="0" fontId="25" fillId="0" borderId="0" xfId="83" applyFont="1" applyFill="1"/>
    <xf numFmtId="16" fontId="25" fillId="0" borderId="0" xfId="83" applyNumberFormat="1" applyFont="1" applyFill="1" applyAlignment="1">
      <alignment horizontal="center"/>
    </xf>
    <xf numFmtId="212" fontId="25" fillId="27" borderId="0" xfId="95" applyNumberFormat="1" applyFont="1" applyFill="1" applyAlignment="1"/>
    <xf numFmtId="176" fontId="43" fillId="0" borderId="0" xfId="0" applyFont="1" applyAlignment="1"/>
    <xf numFmtId="43" fontId="12" fillId="0" borderId="0" xfId="55"/>
    <xf numFmtId="176" fontId="8" fillId="0" borderId="0" xfId="0" applyFont="1" applyAlignment="1">
      <alignment horizontal="center"/>
    </xf>
    <xf numFmtId="165" fontId="5" fillId="28" borderId="0" xfId="0" applyNumberFormat="1" applyFont="1" applyFill="1" applyAlignment="1"/>
    <xf numFmtId="3" fontId="5" fillId="28" borderId="0" xfId="0" applyNumberFormat="1" applyFont="1" applyFill="1" applyAlignment="1"/>
    <xf numFmtId="213" fontId="5" fillId="28" borderId="0" xfId="0" applyNumberFormat="1" applyFont="1" applyFill="1" applyAlignment="1"/>
    <xf numFmtId="3" fontId="5" fillId="28" borderId="9" xfId="0" applyNumberFormat="1" applyFont="1" applyFill="1" applyBorder="1" applyAlignment="1"/>
    <xf numFmtId="164" fontId="5" fillId="28" borderId="0" xfId="0" applyNumberFormat="1" applyFont="1" applyFill="1" applyAlignment="1">
      <alignment horizontal="center"/>
    </xf>
    <xf numFmtId="178" fontId="5" fillId="28" borderId="0" xfId="55" applyNumberFormat="1" applyFont="1" applyFill="1" applyAlignment="1"/>
    <xf numFmtId="176" fontId="5" fillId="28" borderId="0" xfId="0" applyFont="1" applyFill="1" applyAlignment="1"/>
    <xf numFmtId="165" fontId="5" fillId="28" borderId="0" xfId="0" applyNumberFormat="1" applyFont="1" applyFill="1" applyAlignment="1">
      <alignment horizontal="right"/>
    </xf>
    <xf numFmtId="178" fontId="5" fillId="28" borderId="0" xfId="55" applyNumberFormat="1" applyFont="1" applyFill="1" applyBorder="1" applyAlignment="1"/>
    <xf numFmtId="178" fontId="5" fillId="28" borderId="9" xfId="55" applyNumberFormat="1" applyFont="1" applyFill="1" applyBorder="1" applyAlignment="1"/>
    <xf numFmtId="0" fontId="5" fillId="28" borderId="0" xfId="0" applyNumberFormat="1" applyFont="1" applyFill="1"/>
    <xf numFmtId="3" fontId="5" fillId="28" borderId="0" xfId="0" applyNumberFormat="1" applyFont="1" applyFill="1" applyAlignment="1">
      <alignment horizontal="center"/>
    </xf>
    <xf numFmtId="173" fontId="5" fillId="28" borderId="0" xfId="0" applyNumberFormat="1" applyFont="1" applyFill="1" applyAlignment="1">
      <alignment horizontal="left"/>
    </xf>
    <xf numFmtId="3" fontId="5" fillId="28" borderId="0" xfId="0" applyNumberFormat="1" applyFont="1" applyFill="1" applyBorder="1" applyAlignment="1"/>
    <xf numFmtId="0" fontId="5" fillId="28" borderId="0" xfId="55" applyNumberFormat="1" applyFont="1" applyFill="1" applyAlignment="1"/>
    <xf numFmtId="166" fontId="5" fillId="28" borderId="0" xfId="0" applyNumberFormat="1" applyFont="1" applyFill="1" applyAlignment="1"/>
    <xf numFmtId="0" fontId="5" fillId="28" borderId="0" xfId="0" applyNumberFormat="1" applyFont="1" applyFill="1" applyAlignment="1" applyProtection="1">
      <alignment horizontal="center"/>
      <protection locked="0"/>
    </xf>
    <xf numFmtId="164" fontId="5" fillId="28" borderId="0" xfId="0" applyNumberFormat="1" applyFont="1" applyFill="1" applyAlignment="1" applyProtection="1">
      <alignment horizontal="left"/>
      <protection locked="0"/>
    </xf>
    <xf numFmtId="166" fontId="5" fillId="28" borderId="0" xfId="0" applyNumberFormat="1" applyFont="1" applyFill="1" applyAlignment="1">
      <alignment horizontal="center"/>
    </xf>
    <xf numFmtId="176" fontId="0" fillId="28" borderId="0" xfId="0" applyFill="1" applyAlignment="1"/>
    <xf numFmtId="0" fontId="5" fillId="28" borderId="0" xfId="0" applyNumberFormat="1" applyFont="1" applyFill="1" applyAlignment="1"/>
    <xf numFmtId="3" fontId="5" fillId="28" borderId="28" xfId="0" applyNumberFormat="1" applyFont="1" applyFill="1" applyBorder="1" applyAlignment="1"/>
    <xf numFmtId="3" fontId="5" fillId="28" borderId="31" xfId="0" applyNumberFormat="1" applyFont="1" applyFill="1" applyBorder="1" applyAlignment="1"/>
    <xf numFmtId="3" fontId="5" fillId="28" borderId="12" xfId="0" applyNumberFormat="1" applyFont="1" applyFill="1" applyBorder="1" applyAlignment="1"/>
    <xf numFmtId="176" fontId="5" fillId="28" borderId="0" xfId="0" applyFont="1" applyFill="1" applyAlignment="1">
      <alignment horizontal="right"/>
    </xf>
    <xf numFmtId="176" fontId="7" fillId="28" borderId="0" xfId="0" applyFont="1" applyFill="1" applyAlignment="1">
      <alignment horizontal="right"/>
    </xf>
    <xf numFmtId="0" fontId="7" fillId="28" borderId="0" xfId="0" applyNumberFormat="1" applyFont="1" applyFill="1" applyAlignment="1"/>
    <xf numFmtId="0" fontId="5" fillId="28" borderId="9" xfId="0" applyNumberFormat="1" applyFont="1" applyFill="1" applyBorder="1" applyAlignment="1" applyProtection="1">
      <alignment horizontal="center"/>
      <protection locked="0"/>
    </xf>
    <xf numFmtId="0" fontId="5" fillId="28" borderId="0" xfId="0" applyNumberFormat="1" applyFont="1" applyFill="1" applyAlignment="1" applyProtection="1">
      <protection locked="0"/>
    </xf>
    <xf numFmtId="0" fontId="5" fillId="28" borderId="0" xfId="0" applyNumberFormat="1" applyFont="1" applyFill="1" applyProtection="1">
      <protection locked="0"/>
    </xf>
    <xf numFmtId="0" fontId="5" fillId="28" borderId="9" xfId="0" applyNumberFormat="1" applyFont="1" applyFill="1" applyBorder="1" applyProtection="1">
      <protection locked="0"/>
    </xf>
    <xf numFmtId="0" fontId="5" fillId="28" borderId="9" xfId="0" applyNumberFormat="1" applyFont="1" applyFill="1" applyBorder="1"/>
    <xf numFmtId="3" fontId="5" fillId="28" borderId="29" xfId="0" applyNumberFormat="1" applyFont="1" applyFill="1" applyBorder="1" applyAlignment="1"/>
    <xf numFmtId="49" fontId="5" fillId="28" borderId="0" xfId="0" applyNumberFormat="1" applyFont="1" applyFill="1"/>
    <xf numFmtId="49" fontId="5" fillId="28" borderId="0" xfId="0" applyNumberFormat="1" applyFont="1" applyFill="1" applyAlignment="1"/>
    <xf numFmtId="49" fontId="5" fillId="28" borderId="0" xfId="0" applyNumberFormat="1" applyFont="1" applyFill="1" applyAlignment="1">
      <alignment horizontal="center"/>
    </xf>
    <xf numFmtId="213" fontId="5" fillId="28" borderId="0" xfId="0" applyNumberFormat="1" applyFont="1" applyFill="1" applyAlignment="1">
      <alignment horizontal="right"/>
    </xf>
    <xf numFmtId="176" fontId="5" fillId="28" borderId="29" xfId="0" applyFont="1" applyFill="1" applyBorder="1" applyAlignment="1"/>
    <xf numFmtId="0" fontId="5" fillId="28" borderId="29" xfId="0" applyNumberFormat="1" applyFont="1" applyFill="1" applyBorder="1"/>
    <xf numFmtId="0" fontId="5" fillId="28" borderId="0" xfId="0" applyNumberFormat="1" applyFont="1" applyFill="1" applyBorder="1"/>
    <xf numFmtId="0" fontId="5" fillId="28" borderId="29" xfId="0" applyNumberFormat="1" applyFont="1" applyFill="1" applyBorder="1" applyProtection="1">
      <protection locked="0"/>
    </xf>
    <xf numFmtId="3" fontId="5" fillId="28" borderId="9" xfId="0" applyNumberFormat="1" applyFont="1" applyFill="1" applyBorder="1" applyAlignment="1">
      <alignment horizontal="center"/>
    </xf>
    <xf numFmtId="3" fontId="5" fillId="28" borderId="0" xfId="0" applyNumberFormat="1" applyFont="1" applyFill="1" applyBorder="1" applyAlignment="1">
      <alignment horizontal="center"/>
    </xf>
    <xf numFmtId="4" fontId="5" fillId="28" borderId="0" xfId="0" applyNumberFormat="1" applyFont="1" applyFill="1" applyAlignment="1"/>
    <xf numFmtId="6" fontId="5" fillId="28" borderId="0" xfId="90" applyNumberFormat="1" applyFont="1" applyFill="1" applyBorder="1"/>
    <xf numFmtId="3" fontId="66" fillId="28" borderId="0" xfId="0" applyNumberFormat="1" applyFont="1" applyFill="1" applyAlignment="1"/>
    <xf numFmtId="3" fontId="5" fillId="28" borderId="12" xfId="0" applyNumberFormat="1" applyFont="1" applyFill="1" applyBorder="1" applyAlignment="1">
      <alignment horizontal="center"/>
    </xf>
    <xf numFmtId="3" fontId="5" fillId="28" borderId="0" xfId="0" applyNumberFormat="1" applyFont="1" applyFill="1" applyAlignment="1">
      <alignment horizontal="left"/>
    </xf>
    <xf numFmtId="10" fontId="5" fillId="28" borderId="0" xfId="95" applyNumberFormat="1" applyFont="1" applyFill="1" applyAlignment="1"/>
    <xf numFmtId="9" fontId="5" fillId="28" borderId="0" xfId="95" applyFont="1" applyFill="1" applyAlignment="1"/>
    <xf numFmtId="10" fontId="5" fillId="28" borderId="0" xfId="95" applyNumberFormat="1" applyFont="1" applyFill="1" applyAlignment="1" applyProtection="1">
      <alignment horizontal="left"/>
      <protection locked="0"/>
    </xf>
    <xf numFmtId="166" fontId="5" fillId="28" borderId="0" xfId="0" applyNumberFormat="1" applyFont="1" applyFill="1" applyAlignment="1" applyProtection="1">
      <alignment horizontal="center"/>
      <protection locked="0"/>
    </xf>
    <xf numFmtId="9" fontId="5" fillId="28" borderId="29" xfId="95" applyFont="1" applyFill="1" applyBorder="1" applyAlignment="1"/>
    <xf numFmtId="10" fontId="5" fillId="28" borderId="0" xfId="95" applyNumberFormat="1" applyFont="1" applyFill="1"/>
    <xf numFmtId="0" fontId="66" fillId="28" borderId="0" xfId="0" applyNumberFormat="1" applyFont="1" applyFill="1"/>
    <xf numFmtId="0" fontId="5" fillId="28" borderId="12" xfId="0" applyNumberFormat="1" applyFont="1" applyFill="1" applyBorder="1" applyAlignment="1"/>
    <xf numFmtId="176" fontId="66" fillId="28" borderId="0" xfId="0" applyFont="1" applyFill="1" applyAlignment="1"/>
    <xf numFmtId="0" fontId="5" fillId="28" borderId="0" xfId="0" quotePrefix="1" applyNumberFormat="1" applyFont="1" applyFill="1"/>
    <xf numFmtId="10" fontId="5" fillId="28" borderId="0" xfId="0" applyNumberFormat="1" applyFont="1" applyFill="1" applyAlignment="1"/>
    <xf numFmtId="169" fontId="5" fillId="28" borderId="0" xfId="0" applyNumberFormat="1" applyFont="1" applyFill="1" applyAlignment="1"/>
    <xf numFmtId="3" fontId="5" fillId="28" borderId="0" xfId="0" quotePrefix="1" applyNumberFormat="1" applyFont="1" applyFill="1" applyAlignment="1"/>
    <xf numFmtId="176" fontId="5" fillId="28" borderId="0" xfId="0" applyFont="1" applyFill="1" applyAlignment="1">
      <alignment horizontal="left"/>
    </xf>
    <xf numFmtId="10" fontId="5" fillId="28" borderId="9" xfId="95" applyNumberFormat="1" applyFont="1" applyFill="1" applyBorder="1" applyAlignment="1"/>
    <xf numFmtId="176" fontId="5" fillId="28" borderId="0" xfId="0" applyNumberFormat="1" applyFont="1" applyFill="1" applyAlignment="1" applyProtection="1">
      <protection locked="0"/>
    </xf>
    <xf numFmtId="170" fontId="5" fillId="28" borderId="0" xfId="0" applyNumberFormat="1" applyFont="1" applyFill="1" applyProtection="1">
      <protection locked="0"/>
    </xf>
    <xf numFmtId="176" fontId="5" fillId="28" borderId="0" xfId="0" applyFont="1" applyFill="1" applyAlignment="1" applyProtection="1"/>
    <xf numFmtId="10" fontId="5" fillId="28" borderId="0" xfId="0" applyNumberFormat="1" applyFont="1" applyFill="1" applyProtection="1">
      <protection locked="0"/>
    </xf>
    <xf numFmtId="176" fontId="5" fillId="28" borderId="0" xfId="0" applyFont="1" applyFill="1" applyAlignment="1">
      <alignment horizontal="center"/>
    </xf>
    <xf numFmtId="176" fontId="0" fillId="28" borderId="0" xfId="0" applyFill="1" applyAlignment="1">
      <alignment horizontal="center"/>
    </xf>
    <xf numFmtId="3" fontId="5" fillId="29" borderId="9" xfId="0" applyNumberFormat="1" applyFont="1" applyFill="1" applyBorder="1" applyAlignment="1"/>
    <xf numFmtId="3" fontId="5" fillId="29" borderId="0" xfId="0" applyNumberFormat="1" applyFont="1" applyFill="1" applyAlignment="1"/>
    <xf numFmtId="0" fontId="12" fillId="28" borderId="18" xfId="80" applyFill="1" applyBorder="1" applyAlignment="1">
      <alignment horizontal="center"/>
    </xf>
    <xf numFmtId="0" fontId="12" fillId="28" borderId="24" xfId="80" applyFill="1" applyBorder="1" applyAlignment="1">
      <alignment horizontal="center"/>
    </xf>
    <xf numFmtId="0" fontId="12" fillId="28" borderId="32" xfId="80" applyFill="1" applyBorder="1" applyAlignment="1">
      <alignment horizontal="center"/>
    </xf>
    <xf numFmtId="0" fontId="12" fillId="28" borderId="20" xfId="80" applyFill="1" applyBorder="1" applyAlignment="1">
      <alignment horizontal="center"/>
    </xf>
    <xf numFmtId="0" fontId="12" fillId="28" borderId="25" xfId="80" applyFill="1" applyBorder="1" applyAlignment="1">
      <alignment horizontal="center"/>
    </xf>
    <xf numFmtId="0" fontId="12" fillId="28" borderId="33" xfId="80" applyFill="1" applyBorder="1" applyAlignment="1">
      <alignment horizontal="center"/>
    </xf>
    <xf numFmtId="0" fontId="12" fillId="28" borderId="21" xfId="80" applyFill="1" applyBorder="1" applyAlignment="1">
      <alignment horizontal="center"/>
    </xf>
    <xf numFmtId="0" fontId="12" fillId="28" borderId="26" xfId="80" applyFill="1" applyBorder="1" applyAlignment="1">
      <alignment horizontal="center"/>
    </xf>
    <xf numFmtId="0" fontId="12" fillId="28" borderId="34" xfId="80" applyFill="1" applyBorder="1" applyAlignment="1">
      <alignment horizontal="center"/>
    </xf>
    <xf numFmtId="176" fontId="12" fillId="0" borderId="0" xfId="0" applyFont="1" applyFill="1" applyAlignment="1"/>
    <xf numFmtId="0" fontId="12" fillId="0" borderId="0" xfId="83" applyFont="1" applyFill="1" applyAlignment="1">
      <alignment horizontal="left"/>
    </xf>
    <xf numFmtId="178" fontId="5" fillId="0" borderId="0" xfId="0" applyNumberFormat="1" applyFont="1" applyAlignment="1">
      <alignment horizontal="fill"/>
    </xf>
    <xf numFmtId="178" fontId="5" fillId="29" borderId="0" xfId="55" applyNumberFormat="1" applyFont="1" applyFill="1" applyBorder="1" applyAlignment="1"/>
    <xf numFmtId="178" fontId="5" fillId="29" borderId="0" xfId="55" applyNumberFormat="1" applyFont="1" applyFill="1" applyAlignment="1"/>
    <xf numFmtId="183" fontId="5" fillId="29" borderId="0" xfId="55" applyNumberFormat="1" applyFont="1" applyFill="1" applyAlignment="1"/>
    <xf numFmtId="170" fontId="0" fillId="29" borderId="0" xfId="0" applyNumberFormat="1" applyFill="1" applyAlignment="1"/>
    <xf numFmtId="170" fontId="0" fillId="29" borderId="12" xfId="0" applyNumberFormat="1" applyFill="1" applyBorder="1" applyAlignment="1"/>
    <xf numFmtId="183" fontId="5" fillId="29" borderId="0" xfId="55" applyNumberFormat="1" applyFont="1" applyFill="1" applyAlignment="1">
      <alignment horizontal="fill"/>
    </xf>
    <xf numFmtId="176" fontId="5" fillId="29" borderId="0" xfId="0" applyFont="1" applyFill="1" applyAlignment="1"/>
    <xf numFmtId="183" fontId="5" fillId="29" borderId="0" xfId="55" applyNumberFormat="1" applyFont="1" applyFill="1" applyAlignment="1">
      <alignment horizontal="center"/>
    </xf>
    <xf numFmtId="178" fontId="5" fillId="29" borderId="9" xfId="55" applyNumberFormat="1" applyFont="1" applyFill="1" applyBorder="1" applyAlignment="1"/>
    <xf numFmtId="170" fontId="0" fillId="29" borderId="0" xfId="0" applyNumberFormat="1" applyFill="1" applyBorder="1" applyAlignment="1"/>
    <xf numFmtId="183" fontId="67" fillId="29" borderId="0" xfId="55" applyNumberFormat="1" applyFont="1" applyFill="1" applyAlignment="1"/>
    <xf numFmtId="0" fontId="5" fillId="29" borderId="0" xfId="0" applyNumberFormat="1" applyFont="1" applyFill="1" applyAlignment="1">
      <alignment horizontal="fill"/>
    </xf>
    <xf numFmtId="176" fontId="5" fillId="29" borderId="9" xfId="0" applyFont="1" applyFill="1" applyBorder="1" applyAlignment="1"/>
    <xf numFmtId="3" fontId="5" fillId="29" borderId="11" xfId="0" applyNumberFormat="1" applyFont="1" applyFill="1" applyBorder="1" applyAlignment="1"/>
    <xf numFmtId="3" fontId="5" fillId="29" borderId="0" xfId="0" applyNumberFormat="1" applyFont="1" applyFill="1" applyBorder="1" applyAlignment="1"/>
    <xf numFmtId="0" fontId="5" fillId="29" borderId="0" xfId="0" applyNumberFormat="1" applyFont="1" applyFill="1"/>
    <xf numFmtId="176" fontId="0" fillId="29" borderId="0" xfId="0" applyFill="1" applyAlignment="1"/>
    <xf numFmtId="0" fontId="5" fillId="29" borderId="0" xfId="0" applyNumberFormat="1" applyFont="1" applyFill="1" applyProtection="1">
      <protection locked="0"/>
    </xf>
    <xf numFmtId="0" fontId="5" fillId="29" borderId="0" xfId="0" applyNumberFormat="1" applyFont="1" applyFill="1" applyAlignment="1" applyProtection="1">
      <alignment horizontal="center"/>
      <protection locked="0"/>
    </xf>
    <xf numFmtId="0" fontId="7" fillId="29" borderId="0" xfId="0" applyNumberFormat="1" applyFont="1" applyFill="1" applyAlignment="1" applyProtection="1">
      <alignment horizontal="center"/>
      <protection locked="0"/>
    </xf>
    <xf numFmtId="0" fontId="6" fillId="29" borderId="0" xfId="0" applyNumberFormat="1" applyFont="1" applyFill="1" applyAlignment="1">
      <alignment horizontal="center"/>
    </xf>
    <xf numFmtId="170" fontId="0" fillId="29" borderId="0" xfId="0" applyNumberFormat="1" applyFill="1" applyAlignment="1">
      <alignment horizontal="right"/>
    </xf>
    <xf numFmtId="170" fontId="5" fillId="29" borderId="0" xfId="0" applyNumberFormat="1" applyFont="1" applyFill="1" applyAlignment="1"/>
    <xf numFmtId="3" fontId="5" fillId="29" borderId="0" xfId="0" applyNumberFormat="1" applyFont="1" applyFill="1"/>
    <xf numFmtId="3" fontId="5" fillId="29" borderId="31" xfId="0" applyNumberFormat="1" applyFont="1" applyFill="1" applyBorder="1" applyAlignment="1"/>
    <xf numFmtId="167" fontId="5" fillId="29" borderId="0" xfId="0" applyNumberFormat="1" applyFont="1" applyFill="1" applyAlignment="1"/>
    <xf numFmtId="167" fontId="5" fillId="29" borderId="0" xfId="0" applyNumberFormat="1" applyFont="1" applyFill="1" applyAlignment="1">
      <alignment horizontal="fill"/>
    </xf>
    <xf numFmtId="167" fontId="5" fillId="29" borderId="0" xfId="0" applyNumberFormat="1" applyFont="1" applyFill="1" applyAlignment="1">
      <alignment horizontal="center"/>
    </xf>
    <xf numFmtId="0" fontId="12" fillId="0" borderId="33" xfId="80" applyFill="1" applyBorder="1" applyAlignment="1">
      <alignment horizontal="center"/>
    </xf>
    <xf numFmtId="0" fontId="12" fillId="0" borderId="34" xfId="80" applyFill="1" applyBorder="1" applyAlignment="1">
      <alignment horizontal="center"/>
    </xf>
    <xf numFmtId="186" fontId="12" fillId="30" borderId="0" xfId="84" applyNumberFormat="1" applyFill="1"/>
    <xf numFmtId="0" fontId="12" fillId="30" borderId="0" xfId="86" applyFill="1" applyAlignment="1">
      <alignment horizontal="center"/>
    </xf>
    <xf numFmtId="0" fontId="12" fillId="30" borderId="0" xfId="86" applyFill="1"/>
    <xf numFmtId="0" fontId="12" fillId="30" borderId="0" xfId="86" applyFont="1" applyFill="1"/>
    <xf numFmtId="10" fontId="12" fillId="30" borderId="0" xfId="95" applyNumberFormat="1" applyFill="1"/>
    <xf numFmtId="176" fontId="8" fillId="0" borderId="0" xfId="0" applyFont="1" applyAlignment="1"/>
    <xf numFmtId="197" fontId="1" fillId="29" borderId="0" xfId="55" applyNumberFormat="1" applyFont="1" applyFill="1" applyAlignment="1"/>
    <xf numFmtId="0" fontId="12" fillId="0" borderId="9" xfId="84" applyFont="1" applyFill="1" applyBorder="1" applyAlignment="1">
      <alignment horizontal="center" wrapText="1"/>
    </xf>
    <xf numFmtId="197" fontId="1" fillId="29" borderId="0" xfId="55" applyNumberFormat="1" applyFont="1" applyFill="1" applyAlignment="1">
      <alignment horizontal="left" indent="2"/>
    </xf>
    <xf numFmtId="178" fontId="1" fillId="29" borderId="12" xfId="55" applyNumberFormat="1" applyFont="1" applyFill="1" applyBorder="1" applyAlignment="1">
      <alignment horizontal="left" indent="2"/>
    </xf>
    <xf numFmtId="178" fontId="1" fillId="29" borderId="9" xfId="55" applyNumberFormat="1" applyFont="1" applyFill="1" applyBorder="1" applyAlignment="1">
      <alignment horizontal="left" indent="2"/>
    </xf>
    <xf numFmtId="178" fontId="1" fillId="29" borderId="0" xfId="55" applyNumberFormat="1" applyFont="1" applyFill="1" applyAlignment="1">
      <alignment horizontal="left" indent="2"/>
    </xf>
    <xf numFmtId="0" fontId="12" fillId="0" borderId="35" xfId="84" applyBorder="1"/>
    <xf numFmtId="0" fontId="12" fillId="0" borderId="29" xfId="84" applyBorder="1"/>
    <xf numFmtId="0" fontId="12" fillId="0" borderId="36" xfId="84" applyBorder="1"/>
    <xf numFmtId="0" fontId="12" fillId="0" borderId="14" xfId="84" applyBorder="1"/>
    <xf numFmtId="0" fontId="12" fillId="0" borderId="0" xfId="84" applyBorder="1"/>
    <xf numFmtId="0" fontId="12" fillId="0" borderId="15" xfId="84" applyBorder="1"/>
    <xf numFmtId="0" fontId="12" fillId="0" borderId="17" xfId="84" applyBorder="1"/>
    <xf numFmtId="0" fontId="12" fillId="0" borderId="12" xfId="84" applyBorder="1"/>
    <xf numFmtId="0" fontId="12" fillId="0" borderId="16" xfId="84" applyBorder="1"/>
    <xf numFmtId="176" fontId="0" fillId="31" borderId="0" xfId="0" applyFill="1" applyAlignment="1"/>
    <xf numFmtId="0" fontId="7" fillId="28" borderId="0" xfId="0" applyNumberFormat="1" applyFont="1" applyFill="1" applyAlignment="1">
      <alignment horizontal="center"/>
    </xf>
    <xf numFmtId="0" fontId="7" fillId="28" borderId="0" xfId="0" applyNumberFormat="1" applyFont="1" applyFill="1" applyAlignment="1" applyProtection="1">
      <alignment horizontal="center"/>
      <protection locked="0"/>
    </xf>
    <xf numFmtId="3" fontId="7" fillId="28" borderId="0" xfId="0" applyNumberFormat="1" applyFont="1" applyFill="1" applyAlignment="1">
      <alignment horizontal="center"/>
    </xf>
    <xf numFmtId="9" fontId="5" fillId="29" borderId="0" xfId="95" applyFont="1" applyFill="1" applyAlignment="1">
      <alignment horizontal="left"/>
    </xf>
    <xf numFmtId="0" fontId="12" fillId="0" borderId="9" xfId="84" applyFont="1" applyBorder="1" applyAlignment="1">
      <alignment horizontal="center"/>
    </xf>
    <xf numFmtId="0" fontId="12" fillId="0" borderId="0" xfId="84" applyFont="1" applyAlignment="1">
      <alignment horizontal="center"/>
    </xf>
    <xf numFmtId="0" fontId="12" fillId="0" borderId="0" xfId="84" applyFont="1" applyAlignment="1">
      <alignment horizontal="center" wrapText="1"/>
    </xf>
    <xf numFmtId="172" fontId="12" fillId="0" borderId="0" xfId="95" applyNumberFormat="1" applyFont="1" applyAlignment="1">
      <alignment horizontal="right"/>
    </xf>
    <xf numFmtId="179" fontId="12" fillId="0" borderId="0" xfId="58" applyNumberFormat="1" applyFont="1"/>
    <xf numFmtId="9" fontId="12" fillId="0" borderId="0" xfId="95" applyFont="1" applyAlignment="1">
      <alignment horizontal="right"/>
    </xf>
    <xf numFmtId="179" fontId="12" fillId="0" borderId="0" xfId="84" applyNumberFormat="1" applyFont="1"/>
    <xf numFmtId="43" fontId="12" fillId="0" borderId="0" xfId="84" applyNumberFormat="1" applyFont="1" applyFill="1"/>
    <xf numFmtId="178" fontId="12" fillId="0" borderId="0" xfId="84" applyNumberFormat="1" applyFont="1" applyFill="1"/>
    <xf numFmtId="178" fontId="12" fillId="0" borderId="9" xfId="84" applyNumberFormat="1" applyFont="1" applyFill="1" applyBorder="1"/>
    <xf numFmtId="43" fontId="12" fillId="0" borderId="9" xfId="84" applyNumberFormat="1" applyFont="1" applyFill="1" applyBorder="1"/>
    <xf numFmtId="49" fontId="5" fillId="28" borderId="9" xfId="0" applyNumberFormat="1" applyFont="1" applyFill="1" applyBorder="1" applyAlignment="1">
      <alignment horizontal="center"/>
    </xf>
    <xf numFmtId="176" fontId="7" fillId="28" borderId="0" xfId="0" applyFont="1" applyFill="1" applyAlignment="1"/>
    <xf numFmtId="0" fontId="5" fillId="28" borderId="0" xfId="0" applyNumberFormat="1" applyFont="1" applyFill="1" applyAlignment="1">
      <alignment horizontal="center"/>
    </xf>
    <xf numFmtId="49" fontId="5" fillId="28" borderId="0" xfId="0" applyNumberFormat="1" applyFont="1" applyFill="1" applyAlignment="1">
      <alignment horizontal="left"/>
    </xf>
    <xf numFmtId="3" fontId="7" fillId="28" borderId="0" xfId="0" applyNumberFormat="1" applyFont="1" applyFill="1" applyAlignment="1">
      <alignment horizontal="left"/>
    </xf>
    <xf numFmtId="176" fontId="7" fillId="28" borderId="0" xfId="0" applyFont="1" applyFill="1" applyAlignment="1">
      <alignment horizontal="center"/>
    </xf>
    <xf numFmtId="3" fontId="7" fillId="28" borderId="0" xfId="0" applyNumberFormat="1" applyFont="1" applyFill="1" applyAlignment="1"/>
    <xf numFmtId="0" fontId="7" fillId="28" borderId="0" xfId="0" applyNumberFormat="1" applyFont="1" applyFill="1" applyAlignment="1" applyProtection="1">
      <alignment horizontal="left"/>
      <protection locked="0"/>
    </xf>
    <xf numFmtId="176" fontId="5" fillId="28" borderId="0" xfId="0" applyFont="1" applyFill="1" applyBorder="1" applyAlignment="1"/>
    <xf numFmtId="176" fontId="5" fillId="28" borderId="9" xfId="0" applyFont="1" applyFill="1" applyBorder="1" applyAlignment="1"/>
    <xf numFmtId="3" fontId="5" fillId="28" borderId="11" xfId="0" applyNumberFormat="1" applyFont="1" applyFill="1" applyBorder="1" applyAlignment="1"/>
    <xf numFmtId="0" fontId="6" fillId="28" borderId="0" xfId="0" applyNumberFormat="1" applyFont="1" applyFill="1" applyAlignment="1">
      <alignment horizontal="center"/>
    </xf>
    <xf numFmtId="3" fontId="6" fillId="28" borderId="0" xfId="0" applyNumberFormat="1" applyFont="1" applyFill="1" applyAlignment="1"/>
    <xf numFmtId="166" fontId="5" fillId="28" borderId="0" xfId="0" applyNumberFormat="1" applyFont="1" applyFill="1" applyAlignment="1">
      <alignment horizontal="right"/>
    </xf>
    <xf numFmtId="164" fontId="5" fillId="28" borderId="0" xfId="0" applyNumberFormat="1" applyFont="1" applyFill="1" applyAlignment="1">
      <alignment horizontal="left"/>
    </xf>
    <xf numFmtId="10" fontId="5" fillId="28" borderId="0" xfId="0" applyNumberFormat="1" applyFont="1" applyFill="1" applyAlignment="1">
      <alignment horizontal="right"/>
    </xf>
    <xf numFmtId="169" fontId="5" fillId="28" borderId="0" xfId="0" applyNumberFormat="1" applyFont="1" applyFill="1" applyAlignment="1">
      <alignment horizontal="right"/>
    </xf>
    <xf numFmtId="3" fontId="5" fillId="28" borderId="0" xfId="0" applyNumberFormat="1" applyFont="1" applyFill="1" applyAlignment="1">
      <alignment horizontal="right"/>
    </xf>
    <xf numFmtId="176" fontId="5" fillId="28" borderId="0" xfId="0" quotePrefix="1" applyFont="1" applyFill="1" applyAlignment="1"/>
    <xf numFmtId="167" fontId="5" fillId="28" borderId="0" xfId="0" applyNumberFormat="1" applyFont="1" applyFill="1" applyAlignment="1"/>
    <xf numFmtId="0" fontId="12" fillId="0" borderId="18" xfId="80" applyFill="1" applyBorder="1" applyAlignment="1">
      <alignment horizontal="center"/>
    </xf>
    <xf numFmtId="0" fontId="12" fillId="0" borderId="32" xfId="80" applyFill="1" applyBorder="1" applyAlignment="1">
      <alignment horizontal="center"/>
    </xf>
    <xf numFmtId="0" fontId="12" fillId="0" borderId="20" xfId="80" applyFill="1" applyBorder="1" applyAlignment="1">
      <alignment horizontal="center"/>
    </xf>
    <xf numFmtId="0" fontId="12" fillId="0" borderId="21" xfId="80" applyFill="1" applyBorder="1" applyAlignment="1">
      <alignment horizontal="center"/>
    </xf>
    <xf numFmtId="170" fontId="1" fillId="0" borderId="0" xfId="0" applyNumberFormat="1" applyFont="1" applyAlignment="1"/>
    <xf numFmtId="216" fontId="5" fillId="0" borderId="0" xfId="0" applyNumberFormat="1" applyFont="1" applyFill="1" applyAlignment="1">
      <alignment horizontal="center"/>
    </xf>
    <xf numFmtId="3" fontId="5" fillId="0" borderId="12" xfId="0" applyNumberFormat="1" applyFont="1" applyFill="1" applyBorder="1" applyAlignment="1"/>
    <xf numFmtId="179" fontId="12" fillId="0" borderId="0" xfId="58" applyNumberFormat="1" applyFont="1" applyFill="1"/>
    <xf numFmtId="3" fontId="5" fillId="29" borderId="29" xfId="0" applyNumberFormat="1" applyFont="1" applyFill="1" applyBorder="1" applyAlignment="1"/>
    <xf numFmtId="178" fontId="5" fillId="32" borderId="9" xfId="55" applyNumberFormat="1" applyFont="1" applyFill="1" applyBorder="1" applyAlignment="1"/>
    <xf numFmtId="178" fontId="5" fillId="32" borderId="0" xfId="55" applyNumberFormat="1" applyFont="1" applyFill="1" applyAlignment="1"/>
    <xf numFmtId="3" fontId="5" fillId="32" borderId="0" xfId="0" applyNumberFormat="1" applyFont="1" applyFill="1" applyAlignment="1"/>
    <xf numFmtId="0" fontId="19" fillId="0" borderId="0" xfId="90" applyFont="1" applyFill="1"/>
    <xf numFmtId="0" fontId="22" fillId="0" borderId="0" xfId="90" applyFont="1" applyFill="1"/>
    <xf numFmtId="3" fontId="5" fillId="32" borderId="9" xfId="0" applyNumberFormat="1" applyFont="1" applyFill="1" applyBorder="1" applyAlignment="1"/>
    <xf numFmtId="3" fontId="5" fillId="30" borderId="0" xfId="0" applyNumberFormat="1" applyFont="1" applyFill="1" applyAlignment="1"/>
    <xf numFmtId="176" fontId="0" fillId="31" borderId="12" xfId="0" applyFill="1" applyBorder="1" applyAlignment="1"/>
    <xf numFmtId="176" fontId="0" fillId="31" borderId="0" xfId="0" applyFill="1" applyAlignment="1">
      <alignment horizontal="right"/>
    </xf>
    <xf numFmtId="43" fontId="1" fillId="31" borderId="0" xfId="55" applyFont="1" applyFill="1" applyAlignment="1"/>
    <xf numFmtId="176" fontId="0" fillId="31" borderId="0" xfId="0" applyFill="1" applyBorder="1" applyAlignment="1"/>
    <xf numFmtId="170" fontId="0" fillId="31" borderId="0" xfId="0" applyNumberFormat="1" applyFill="1" applyAlignment="1">
      <alignment horizontal="right"/>
    </xf>
    <xf numFmtId="176" fontId="0" fillId="30" borderId="0" xfId="0" applyFill="1" applyAlignment="1"/>
    <xf numFmtId="165" fontId="5" fillId="30" borderId="0" xfId="0" applyNumberFormat="1" applyFont="1" applyFill="1" applyAlignment="1"/>
    <xf numFmtId="3" fontId="5" fillId="28" borderId="0" xfId="0" applyNumberFormat="1" applyFont="1" applyFill="1" applyAlignment="1"/>
    <xf numFmtId="212" fontId="78" fillId="0" borderId="0" xfId="95" applyNumberFormat="1" applyFont="1" applyBorder="1" applyAlignment="1"/>
    <xf numFmtId="176" fontId="78" fillId="0" borderId="0" xfId="0" applyFont="1" applyBorder="1" applyAlignment="1"/>
    <xf numFmtId="43" fontId="20" fillId="0" borderId="0" xfId="55" applyFont="1" applyFill="1" applyAlignment="1"/>
    <xf numFmtId="176" fontId="18" fillId="0" borderId="0" xfId="0" applyFont="1" applyAlignment="1"/>
    <xf numFmtId="43" fontId="20" fillId="0" borderId="0" xfId="55" applyNumberFormat="1" applyFont="1" applyAlignment="1"/>
    <xf numFmtId="7" fontId="20" fillId="0" borderId="29" xfId="0" applyNumberFormat="1" applyFont="1" applyBorder="1" applyAlignment="1"/>
    <xf numFmtId="43" fontId="20" fillId="0" borderId="29" xfId="55" applyFont="1" applyBorder="1" applyAlignment="1"/>
    <xf numFmtId="0" fontId="20" fillId="30" borderId="0" xfId="84" applyFont="1" applyFill="1"/>
    <xf numFmtId="0" fontId="12" fillId="30" borderId="0" xfId="84" applyFill="1"/>
    <xf numFmtId="0" fontId="12" fillId="30" borderId="0" xfId="84" applyFont="1" applyFill="1"/>
    <xf numFmtId="178" fontId="0" fillId="0" borderId="0" xfId="55" applyNumberFormat="1" applyFont="1" applyAlignment="1"/>
    <xf numFmtId="178" fontId="4" fillId="0" borderId="0" xfId="55" applyNumberFormat="1" applyFont="1" applyAlignment="1"/>
    <xf numFmtId="178" fontId="4" fillId="0" borderId="0" xfId="55" applyNumberFormat="1" applyFont="1" applyBorder="1" applyAlignment="1"/>
    <xf numFmtId="178" fontId="66" fillId="0" borderId="0" xfId="55" applyNumberFormat="1" applyFont="1" applyAlignment="1"/>
    <xf numFmtId="176" fontId="8" fillId="0" borderId="0" xfId="0" applyFont="1"/>
    <xf numFmtId="176" fontId="0" fillId="0" borderId="0" xfId="0"/>
    <xf numFmtId="178" fontId="5" fillId="0" borderId="0" xfId="55" applyNumberFormat="1" applyFont="1"/>
    <xf numFmtId="178" fontId="0" fillId="0" borderId="0" xfId="55" applyNumberFormat="1" applyFont="1"/>
    <xf numFmtId="3" fontId="5" fillId="0" borderId="0" xfId="0" applyNumberFormat="1" applyFont="1"/>
    <xf numFmtId="178" fontId="5" fillId="0" borderId="29" xfId="55" applyNumberFormat="1" applyFont="1" applyBorder="1"/>
    <xf numFmtId="0" fontId="20" fillId="0" borderId="0" xfId="84" applyFont="1" applyAlignment="1">
      <alignment horizont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NumberFormat="1" applyFont="1" applyAlignment="1" applyProtection="1">
      <alignment horizontal="center"/>
      <protection locked="0"/>
    </xf>
    <xf numFmtId="49" fontId="7" fillId="28" borderId="0" xfId="0" applyNumberFormat="1" applyFont="1" applyFill="1" applyAlignment="1">
      <alignment horizontal="center"/>
    </xf>
    <xf numFmtId="0" fontId="7" fillId="28" borderId="0" xfId="0" applyNumberFormat="1" applyFont="1" applyFill="1" applyAlignment="1">
      <alignment horizontal="center"/>
    </xf>
    <xf numFmtId="0" fontId="7" fillId="28" borderId="0" xfId="0" applyNumberFormat="1" applyFont="1" applyFill="1" applyAlignment="1" applyProtection="1">
      <alignment horizontal="center"/>
      <protection locked="0"/>
    </xf>
    <xf numFmtId="3" fontId="7" fillId="28" borderId="0" xfId="0" applyNumberFormat="1" applyFont="1" applyFill="1" applyAlignment="1">
      <alignment horizontal="center"/>
    </xf>
    <xf numFmtId="49" fontId="7" fillId="0" borderId="0" xfId="86" applyNumberFormat="1" applyFont="1" applyAlignment="1">
      <alignment horizontal="center"/>
    </xf>
    <xf numFmtId="0" fontId="7" fillId="0" borderId="0" xfId="86" applyFont="1" applyAlignment="1">
      <alignment horizontal="center"/>
    </xf>
    <xf numFmtId="0" fontId="12" fillId="0" borderId="0" xfId="86" applyFont="1" applyAlignment="1">
      <alignment horizontal="center"/>
    </xf>
    <xf numFmtId="0" fontId="12" fillId="0" borderId="0" xfId="86" applyAlignment="1">
      <alignment horizontal="center"/>
    </xf>
    <xf numFmtId="0" fontId="7" fillId="0" borderId="37" xfId="84" applyFont="1" applyBorder="1" applyAlignment="1">
      <alignment horizontal="center"/>
    </xf>
    <xf numFmtId="0" fontId="7" fillId="0" borderId="31" xfId="84" applyFont="1" applyBorder="1" applyAlignment="1">
      <alignment horizontal="center"/>
    </xf>
    <xf numFmtId="0" fontId="7" fillId="0" borderId="38" xfId="84" applyFont="1" applyBorder="1" applyAlignment="1">
      <alignment horizontal="center"/>
    </xf>
    <xf numFmtId="0" fontId="20" fillId="0" borderId="0" xfId="90" applyFont="1" applyAlignment="1">
      <alignment horizontal="center"/>
    </xf>
    <xf numFmtId="0" fontId="20" fillId="0" borderId="0" xfId="88" quotePrefix="1" applyFont="1" applyAlignment="1">
      <alignment horizontal="center"/>
    </xf>
    <xf numFmtId="0" fontId="12" fillId="0" borderId="0" xfId="88" applyAlignment="1">
      <alignment horizontal="center"/>
    </xf>
    <xf numFmtId="0" fontId="20" fillId="0" borderId="0" xfId="88" applyFont="1" applyAlignment="1">
      <alignment horizontal="center"/>
    </xf>
    <xf numFmtId="0" fontId="12" fillId="0" borderId="0" xfId="88" quotePrefix="1" applyAlignment="1">
      <alignment horizontal="center"/>
    </xf>
    <xf numFmtId="3" fontId="22" fillId="0" borderId="0" xfId="81" quotePrefix="1" applyNumberFormat="1" applyFont="1" applyFill="1" applyAlignment="1">
      <alignment horizontal="center"/>
    </xf>
    <xf numFmtId="0" fontId="39" fillId="0" borderId="0" xfId="81" applyFont="1" applyAlignment="1">
      <alignment horizontal="center"/>
    </xf>
    <xf numFmtId="15" fontId="5" fillId="0" borderId="0" xfId="81" applyNumberFormat="1" applyFont="1" applyAlignment="1">
      <alignment horizontal="center"/>
    </xf>
    <xf numFmtId="15" fontId="5" fillId="0" borderId="0" xfId="81" quotePrefix="1" applyNumberFormat="1" applyFont="1" applyAlignment="1">
      <alignment horizontal="center"/>
    </xf>
    <xf numFmtId="0" fontId="25" fillId="0" borderId="0" xfId="86" applyFont="1" applyAlignment="1">
      <alignment horizontal="center"/>
    </xf>
    <xf numFmtId="3" fontId="25" fillId="0" borderId="0" xfId="86" applyNumberFormat="1" applyFont="1" applyAlignment="1">
      <alignment horizontal="center"/>
    </xf>
    <xf numFmtId="0" fontId="20" fillId="0" borderId="0" xfId="86" applyFont="1" applyAlignment="1">
      <alignment horizontal="center"/>
    </xf>
    <xf numFmtId="0" fontId="25" fillId="0" borderId="0" xfId="86" applyNumberFormat="1" applyFont="1" applyAlignment="1">
      <alignment horizontal="center"/>
    </xf>
    <xf numFmtId="49" fontId="20" fillId="0" borderId="0" xfId="86" applyNumberFormat="1" applyFont="1" applyAlignment="1">
      <alignment horizontal="center"/>
    </xf>
    <xf numFmtId="3" fontId="20" fillId="0" borderId="0" xfId="86" applyNumberFormat="1" applyFont="1" applyAlignment="1">
      <alignment horizontal="center"/>
    </xf>
    <xf numFmtId="0" fontId="20" fillId="0" borderId="0" xfId="86" applyNumberFormat="1" applyFont="1" applyAlignment="1">
      <alignment horizontal="center"/>
    </xf>
    <xf numFmtId="0" fontId="39" fillId="0" borderId="0" xfId="86" applyFont="1" applyAlignment="1">
      <alignment horizontal="center"/>
    </xf>
    <xf numFmtId="15" fontId="39" fillId="0" borderId="0" xfId="86" quotePrefix="1" applyNumberFormat="1" applyFont="1" applyAlignment="1">
      <alignment horizontal="center"/>
    </xf>
    <xf numFmtId="0" fontId="40" fillId="0" borderId="35" xfId="86" applyFont="1" applyBorder="1" applyAlignment="1">
      <alignment horizontal="center"/>
    </xf>
    <xf numFmtId="0" fontId="40" fillId="0" borderId="36" xfId="86" applyFont="1" applyBorder="1" applyAlignment="1">
      <alignment horizontal="center"/>
    </xf>
    <xf numFmtId="49" fontId="12" fillId="0" borderId="0" xfId="86" applyNumberFormat="1" applyAlignment="1">
      <alignment horizontal="center"/>
    </xf>
    <xf numFmtId="15" fontId="25" fillId="0" borderId="0" xfId="86" applyNumberFormat="1" applyFont="1" applyAlignment="1">
      <alignment horizontal="center"/>
    </xf>
    <xf numFmtId="15" fontId="25" fillId="0" borderId="0" xfId="86" quotePrefix="1" applyNumberFormat="1" applyFont="1" applyAlignment="1">
      <alignment horizontal="center"/>
    </xf>
    <xf numFmtId="0" fontId="5" fillId="0" borderId="0" xfId="86" applyFont="1" applyAlignment="1">
      <alignment horizontal="center"/>
    </xf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urrency" xfId="58" builtinId="4"/>
    <cellStyle name="Currency 2" xfId="59"/>
    <cellStyle name="Explanatory Text" xfId="60" builtinId="53" customBuiltin="1"/>
    <cellStyle name="Explanatory Text 2" xfId="61"/>
    <cellStyle name="Good" xfId="62" builtinId="26" customBuiltin="1"/>
    <cellStyle name="Good 2" xfId="63"/>
    <cellStyle name="Heading 1" xfId="64" builtinId="16" customBuiltin="1"/>
    <cellStyle name="Heading 1 2" xfId="65"/>
    <cellStyle name="Heading 2" xfId="66" builtinId="17" customBuiltin="1"/>
    <cellStyle name="Heading 2 2" xfId="67"/>
    <cellStyle name="Heading 3" xfId="68" builtinId="18" customBuiltin="1"/>
    <cellStyle name="Heading 3 2" xfId="69"/>
    <cellStyle name="Heading 4" xfId="70" builtinId="19" customBuiltin="1"/>
    <cellStyle name="Heading 4 2" xfId="71"/>
    <cellStyle name="Input" xfId="72" builtinId="20" customBuiltin="1"/>
    <cellStyle name="Input 2" xfId="73"/>
    <cellStyle name="Linked Cell" xfId="74" builtinId="24" customBuiltin="1"/>
    <cellStyle name="Linked Cell 2" xfId="75"/>
    <cellStyle name="Neutral" xfId="76" builtinId="28" customBuiltin="1"/>
    <cellStyle name="Neutral 2" xfId="77"/>
    <cellStyle name="Normal" xfId="0" builtinId="0"/>
    <cellStyle name="Normal 2" xfId="78"/>
    <cellStyle name="Normal 3" xfId="79"/>
    <cellStyle name="Normal_2002 AREA LOADS FOR JNT TARIFF" xfId="80"/>
    <cellStyle name="Normal_Basin CUS 8-29-03 ach" xfId="81"/>
    <cellStyle name="Normal_BHP WP2" xfId="82"/>
    <cellStyle name="Normal_Capital True-up" xfId="83"/>
    <cellStyle name="Normal_CU AC Rate Design" xfId="84"/>
    <cellStyle name="Normal_PLANT 03" xfId="85"/>
    <cellStyle name="Normal_PRECorp2002HeintzResponse 8-21-03" xfId="86"/>
    <cellStyle name="Normal_RCDCtariff" xfId="87"/>
    <cellStyle name="Normal_REACTIVE SUPPORT" xfId="88"/>
    <cellStyle name="Normal_Sheet1" xfId="89"/>
    <cellStyle name="Normal_TopSheet Type Ancillaries Worksheet-Updated 81903" xfId="90"/>
    <cellStyle name="Note" xfId="91" builtinId="10" customBuiltin="1"/>
    <cellStyle name="Note 2" xfId="92"/>
    <cellStyle name="Output" xfId="93" builtinId="21" customBuiltin="1"/>
    <cellStyle name="Output 2" xfId="94"/>
    <cellStyle name="Percent" xfId="95" builtinId="5"/>
    <cellStyle name="Percent 2" xfId="96"/>
    <cellStyle name="PSChar" xfId="97"/>
    <cellStyle name="PSDate" xfId="98"/>
    <cellStyle name="PSDec" xfId="99"/>
    <cellStyle name="PSHeading" xfId="100"/>
    <cellStyle name="PSInt" xfId="101"/>
    <cellStyle name="PSSpacer" xfId="102"/>
    <cellStyle name="Title" xfId="103" builtinId="15" customBuiltin="1"/>
    <cellStyle name="Title 2" xfId="104"/>
    <cellStyle name="Total" xfId="105" builtinId="25" customBuiltin="1"/>
    <cellStyle name="Total 2" xfId="106"/>
    <cellStyle name="Warning Text" xfId="107" builtinId="11" customBuiltin="1"/>
    <cellStyle name="Warning Text 2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FERC/2009%20CUS%20Filing/BHP_CUS_Tariff_Detail_final-April%20in-service%20(only%202009%20forecas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DC Rev Req"/>
      <sheetName val="RCDC Detail"/>
      <sheetName val="CU AC Rate Design"/>
      <sheetName val="Estimate"/>
      <sheetName val="True-Up"/>
      <sheetName val="Capital True-up"/>
      <sheetName val="BHP WP1"/>
      <sheetName val="BHP WP2"/>
      <sheetName val="BHP WP3"/>
      <sheetName val="BHP WP4"/>
      <sheetName val="BHP WP5"/>
      <sheetName val="BHP WP6"/>
      <sheetName val="CU AC LOADS"/>
      <sheetName val="BHP Sch. 1"/>
      <sheetName val="BHP Sch. 2"/>
      <sheetName val="BPH Sch. 2 a"/>
      <sheetName val="BHP Sch. 2 b"/>
      <sheetName val="BEPC ATRR"/>
      <sheetName val="BEPC Facilities"/>
      <sheetName val="BEPC WP2"/>
      <sheetName val="PREC ATRR"/>
      <sheetName val="PREC Facilities"/>
      <sheetName val="PREC Gross Plant"/>
      <sheetName val="PREC Reg Exp"/>
      <sheetName val="PREC Deprec System"/>
      <sheetName val="PREC Deprec CU "/>
      <sheetName val="PREC Mater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6">
          <cell r="H36">
            <v>4.3900000000000002E-2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H35"/>
  <sheetViews>
    <sheetView workbookViewId="0">
      <selection activeCell="C27" sqref="C27"/>
    </sheetView>
  </sheetViews>
  <sheetFormatPr defaultColWidth="7.109375" defaultRowHeight="12.75"/>
  <cols>
    <col min="1" max="1" width="2.88671875" style="137" customWidth="1"/>
    <col min="2" max="2" width="28.44140625" style="139" customWidth="1"/>
    <col min="3" max="3" width="10" style="139" customWidth="1"/>
    <col min="4" max="4" width="11" style="139" customWidth="1"/>
    <col min="5" max="5" width="10.88671875" style="139" customWidth="1"/>
    <col min="6" max="6" width="9.88671875" style="139" customWidth="1"/>
    <col min="7" max="7" width="8.88671875" style="139" customWidth="1"/>
    <col min="8" max="16384" width="7.109375" style="139"/>
  </cols>
  <sheetData>
    <row r="2" spans="1:7">
      <c r="G2" s="140" t="s">
        <v>989</v>
      </c>
    </row>
    <row r="3" spans="1:7">
      <c r="G3" s="140"/>
    </row>
    <row r="4" spans="1:7">
      <c r="G4" s="141"/>
    </row>
    <row r="5" spans="1:7">
      <c r="C5" s="138" t="s">
        <v>989</v>
      </c>
      <c r="G5" s="141"/>
    </row>
    <row r="6" spans="1:7">
      <c r="G6" s="141"/>
    </row>
    <row r="8" spans="1:7">
      <c r="C8" s="142"/>
      <c r="D8" s="144" t="s">
        <v>669</v>
      </c>
      <c r="E8" s="142" t="s">
        <v>965</v>
      </c>
      <c r="F8" s="142" t="s">
        <v>964</v>
      </c>
    </row>
    <row r="9" spans="1:7">
      <c r="D9" s="143">
        <v>1</v>
      </c>
      <c r="E9" s="557">
        <v>0.65</v>
      </c>
      <c r="F9" s="557">
        <v>0.35</v>
      </c>
    </row>
    <row r="11" spans="1:7">
      <c r="A11" s="137">
        <v>1</v>
      </c>
      <c r="B11" s="138" t="s">
        <v>990</v>
      </c>
      <c r="C11" s="733" t="s">
        <v>43</v>
      </c>
      <c r="D11" s="605">
        <f>+'RCDC Detail'!B30</f>
        <v>58652792.415013835</v>
      </c>
      <c r="E11" s="565">
        <f>D11*E9</f>
        <v>38124315.069758996</v>
      </c>
      <c r="F11" s="566">
        <f>D11*F9</f>
        <v>20528477.345254842</v>
      </c>
    </row>
    <row r="12" spans="1:7">
      <c r="B12" s="138"/>
      <c r="D12" s="145"/>
    </row>
    <row r="13" spans="1:7">
      <c r="A13" s="137">
        <v>2</v>
      </c>
      <c r="B13" s="138" t="s">
        <v>992</v>
      </c>
      <c r="C13" s="146" t="s">
        <v>993</v>
      </c>
      <c r="D13" s="145"/>
      <c r="E13" s="132">
        <f>+E11/70</f>
        <v>544633.07242512854</v>
      </c>
      <c r="F13" s="132">
        <f>+F11/70</f>
        <v>293263.9620750692</v>
      </c>
    </row>
    <row r="14" spans="1:7">
      <c r="B14" s="138"/>
      <c r="D14" s="145"/>
      <c r="E14" s="132"/>
      <c r="F14" s="132"/>
    </row>
    <row r="15" spans="1:7">
      <c r="A15" s="137">
        <v>3</v>
      </c>
      <c r="B15" s="138" t="s">
        <v>994</v>
      </c>
      <c r="C15" s="139" t="s">
        <v>995</v>
      </c>
      <c r="D15" s="145"/>
      <c r="E15" s="132">
        <f>+E11-E13</f>
        <v>37579681.997333869</v>
      </c>
      <c r="F15" s="132">
        <f>+F11-F13</f>
        <v>20235213.383179773</v>
      </c>
    </row>
    <row r="16" spans="1:7">
      <c r="B16" s="138"/>
      <c r="D16" s="145"/>
    </row>
    <row r="17" spans="1:8" ht="13.5" thickBot="1">
      <c r="A17" s="137">
        <v>4</v>
      </c>
      <c r="B17" s="138" t="s">
        <v>996</v>
      </c>
      <c r="C17" s="137" t="s">
        <v>751</v>
      </c>
      <c r="D17" s="564"/>
      <c r="E17" s="704">
        <f>+'BEPC ATRR'!L16</f>
        <v>0.21335554327736775</v>
      </c>
      <c r="F17" s="704" t="e">
        <f>+Estimate!#REF!</f>
        <v>#REF!</v>
      </c>
    </row>
    <row r="18" spans="1:8">
      <c r="B18" s="138"/>
      <c r="D18" s="145"/>
      <c r="E18" s="145"/>
      <c r="F18" s="145"/>
    </row>
    <row r="19" spans="1:8">
      <c r="A19" s="137">
        <v>5</v>
      </c>
      <c r="B19" s="138" t="s">
        <v>997</v>
      </c>
      <c r="C19" s="139" t="s">
        <v>998</v>
      </c>
      <c r="D19" s="148" t="e">
        <f>SUM(E19:F19)</f>
        <v>#REF!</v>
      </c>
      <c r="E19" s="148">
        <f>+E17*E15</f>
        <v>8017833.4687318839</v>
      </c>
      <c r="F19" s="148" t="e">
        <f>+F17*F15</f>
        <v>#REF!</v>
      </c>
    </row>
    <row r="20" spans="1:8">
      <c r="D20" s="145"/>
    </row>
    <row r="21" spans="1:8">
      <c r="D21" s="145"/>
      <c r="E21" s="149"/>
      <c r="F21" s="103"/>
      <c r="G21" s="150"/>
      <c r="H21" s="150"/>
    </row>
    <row r="22" spans="1:8">
      <c r="E22" s="149"/>
      <c r="F22" s="149"/>
      <c r="G22" s="151"/>
      <c r="H22" s="150"/>
    </row>
    <row r="23" spans="1:8">
      <c r="B23" s="138" t="s">
        <v>970</v>
      </c>
      <c r="C23" s="139">
        <v>400</v>
      </c>
      <c r="D23" s="139" t="s">
        <v>867</v>
      </c>
      <c r="E23" s="149"/>
      <c r="F23" s="152"/>
      <c r="G23" s="150"/>
      <c r="H23" s="150"/>
    </row>
    <row r="24" spans="1:8">
      <c r="D24" s="145"/>
    </row>
    <row r="25" spans="1:8">
      <c r="B25" s="138" t="s">
        <v>999</v>
      </c>
      <c r="D25" s="153" t="s">
        <v>665</v>
      </c>
      <c r="E25" s="139" t="s">
        <v>665</v>
      </c>
    </row>
    <row r="26" spans="1:8">
      <c r="A26" s="137">
        <v>6</v>
      </c>
      <c r="B26" s="139" t="s">
        <v>972</v>
      </c>
      <c r="C26" s="156" t="e">
        <f>ROUND(D19/(C23*1000),2)</f>
        <v>#REF!</v>
      </c>
      <c r="D26" s="154" t="s">
        <v>973</v>
      </c>
    </row>
    <row r="27" spans="1:8">
      <c r="A27" s="137">
        <v>7</v>
      </c>
      <c r="B27" s="139" t="s">
        <v>974</v>
      </c>
      <c r="C27" s="156" t="e">
        <f>ROUND(C26/12,2)</f>
        <v>#REF!</v>
      </c>
      <c r="D27" s="154" t="s">
        <v>975</v>
      </c>
    </row>
    <row r="28" spans="1:8">
      <c r="A28" s="137">
        <v>8</v>
      </c>
      <c r="B28" s="139" t="s">
        <v>976</v>
      </c>
      <c r="C28" s="156" t="e">
        <f>ROUND(C26/52,2)</f>
        <v>#REF!</v>
      </c>
      <c r="D28" s="154" t="s">
        <v>977</v>
      </c>
    </row>
    <row r="29" spans="1:8">
      <c r="A29" s="137">
        <v>9</v>
      </c>
      <c r="B29" s="139" t="s">
        <v>978</v>
      </c>
      <c r="C29" s="697" t="e">
        <f>+C28/6</f>
        <v>#REF!</v>
      </c>
      <c r="D29" s="154" t="s">
        <v>980</v>
      </c>
      <c r="E29" s="139" t="s">
        <v>979</v>
      </c>
    </row>
    <row r="30" spans="1:8">
      <c r="A30" s="137">
        <v>10</v>
      </c>
      <c r="B30" s="139" t="s">
        <v>981</v>
      </c>
      <c r="C30" s="697" t="e">
        <f>+C28/7</f>
        <v>#REF!</v>
      </c>
      <c r="D30" s="154" t="s">
        <v>980</v>
      </c>
      <c r="E30" s="139" t="s">
        <v>982</v>
      </c>
    </row>
    <row r="31" spans="1:8">
      <c r="A31" s="137">
        <v>11</v>
      </c>
      <c r="B31" s="139" t="s">
        <v>983</v>
      </c>
      <c r="C31" s="699" t="e">
        <f>+C29/16</f>
        <v>#REF!</v>
      </c>
      <c r="D31" s="154" t="s">
        <v>985</v>
      </c>
      <c r="E31" s="139" t="s">
        <v>984</v>
      </c>
    </row>
    <row r="32" spans="1:8">
      <c r="A32" s="137">
        <v>12</v>
      </c>
      <c r="B32" s="139" t="s">
        <v>986</v>
      </c>
      <c r="C32" s="699" t="e">
        <f>+C30/24</f>
        <v>#REF!</v>
      </c>
      <c r="D32" s="154" t="s">
        <v>985</v>
      </c>
      <c r="E32" s="139" t="s">
        <v>987</v>
      </c>
    </row>
    <row r="34" spans="1:3">
      <c r="A34" s="155" t="s">
        <v>1000</v>
      </c>
    </row>
    <row r="35" spans="1:3">
      <c r="B35" s="724" t="s">
        <v>504</v>
      </c>
      <c r="C35" s="150"/>
    </row>
  </sheetData>
  <phoneticPr fontId="29" type="noConversion"/>
  <pageMargins left="0.75" right="0.75" top="1.5" bottom="1" header="0.5" footer="0.5"/>
  <pageSetup scale="10" orientation="portrait" r:id="rId1"/>
  <headerFooter alignWithMargins="0">
    <oddHeader>&amp;RExhibit No. BBP-8
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tabColor indexed="17"/>
    <pageSetUpPr fitToPage="1"/>
  </sheetPr>
  <dimension ref="B1:H109"/>
  <sheetViews>
    <sheetView view="pageLayout" topLeftCell="A7" zoomScaleNormal="100" workbookViewId="0">
      <selection activeCell="H12" sqref="H12"/>
    </sheetView>
  </sheetViews>
  <sheetFormatPr defaultColWidth="7.109375" defaultRowHeight="12.75"/>
  <cols>
    <col min="1" max="1" width="3.44140625" style="368" customWidth="1"/>
    <col min="2" max="2" width="3.5546875" style="368" customWidth="1"/>
    <col min="3" max="3" width="1.77734375" style="368" customWidth="1"/>
    <col min="4" max="4" width="43.5546875" style="508" customWidth="1"/>
    <col min="5" max="5" width="10.88671875" style="368" customWidth="1"/>
    <col min="6" max="6" width="9.44140625" style="368" customWidth="1"/>
    <col min="7" max="7" width="11.33203125" style="368" customWidth="1"/>
    <col min="8" max="16384" width="7.109375" style="368"/>
  </cols>
  <sheetData>
    <row r="1" spans="2:7">
      <c r="B1" s="1175"/>
      <c r="C1" s="1176"/>
      <c r="D1" s="1176"/>
    </row>
    <row r="2" spans="2:7">
      <c r="B2" s="773" t="s">
        <v>667</v>
      </c>
      <c r="C2" s="505"/>
      <c r="D2" s="505"/>
    </row>
    <row r="3" spans="2:7">
      <c r="B3" s="779" t="s">
        <v>668</v>
      </c>
      <c r="C3" s="505"/>
      <c r="D3" s="505"/>
    </row>
    <row r="4" spans="2:7" ht="15.75">
      <c r="B4" s="505">
        <v>1</v>
      </c>
      <c r="C4" s="1174" t="s">
        <v>196</v>
      </c>
      <c r="D4" s="1174"/>
      <c r="E4" s="1174"/>
      <c r="F4" s="1174"/>
      <c r="G4" s="1174"/>
    </row>
    <row r="5" spans="2:7" ht="15.75">
      <c r="B5" s="505">
        <v>2</v>
      </c>
      <c r="C5" s="795"/>
      <c r="D5" s="795"/>
      <c r="E5" s="795"/>
      <c r="F5" s="795"/>
    </row>
    <row r="6" spans="2:7">
      <c r="B6" s="505">
        <v>3</v>
      </c>
      <c r="D6" s="801" t="s">
        <v>634</v>
      </c>
      <c r="E6" s="801" t="s">
        <v>635</v>
      </c>
      <c r="F6" s="801" t="s">
        <v>636</v>
      </c>
      <c r="G6" s="801" t="s">
        <v>583</v>
      </c>
    </row>
    <row r="7" spans="2:7" ht="38.25">
      <c r="B7" s="505">
        <v>4</v>
      </c>
      <c r="C7" s="506" t="s">
        <v>581</v>
      </c>
      <c r="F7" s="776" t="s">
        <v>633</v>
      </c>
      <c r="G7" s="800" t="s">
        <v>582</v>
      </c>
    </row>
    <row r="8" spans="2:7">
      <c r="B8" s="505">
        <v>5</v>
      </c>
      <c r="D8" s="796">
        <v>40513</v>
      </c>
      <c r="E8" s="775">
        <v>0</v>
      </c>
      <c r="F8" s="799">
        <v>12</v>
      </c>
      <c r="G8" s="132">
        <f t="shared" ref="G8:G20" si="0">(+E8*F8)/12</f>
        <v>0</v>
      </c>
    </row>
    <row r="9" spans="2:7">
      <c r="B9" s="505">
        <v>6</v>
      </c>
      <c r="D9" s="796">
        <v>40544</v>
      </c>
      <c r="E9" s="775">
        <v>0</v>
      </c>
      <c r="F9" s="799">
        <v>11.5</v>
      </c>
      <c r="G9" s="132">
        <f t="shared" si="0"/>
        <v>0</v>
      </c>
    </row>
    <row r="10" spans="2:7">
      <c r="B10" s="505">
        <v>7</v>
      </c>
      <c r="D10" s="796">
        <v>40575</v>
      </c>
      <c r="E10" s="775">
        <v>0</v>
      </c>
      <c r="F10" s="799">
        <v>10.5</v>
      </c>
      <c r="G10" s="132">
        <f t="shared" si="0"/>
        <v>0</v>
      </c>
    </row>
    <row r="11" spans="2:7">
      <c r="B11" s="505">
        <v>8</v>
      </c>
      <c r="D11" s="796">
        <v>40603</v>
      </c>
      <c r="E11" s="775">
        <v>0</v>
      </c>
      <c r="F11" s="799">
        <v>9.5</v>
      </c>
      <c r="G11" s="132">
        <f t="shared" si="0"/>
        <v>0</v>
      </c>
    </row>
    <row r="12" spans="2:7">
      <c r="B12" s="505">
        <v>9</v>
      </c>
      <c r="D12" s="796">
        <v>40634</v>
      </c>
      <c r="E12" s="775"/>
      <c r="F12" s="799">
        <v>8.5</v>
      </c>
      <c r="G12" s="132">
        <f t="shared" si="0"/>
        <v>0</v>
      </c>
    </row>
    <row r="13" spans="2:7">
      <c r="B13" s="505">
        <v>10</v>
      </c>
      <c r="D13" s="796">
        <v>40664</v>
      </c>
      <c r="E13" s="775">
        <v>0</v>
      </c>
      <c r="F13" s="799">
        <v>7.5</v>
      </c>
      <c r="G13" s="132">
        <f t="shared" si="0"/>
        <v>0</v>
      </c>
    </row>
    <row r="14" spans="2:7">
      <c r="B14" s="505">
        <v>11</v>
      </c>
      <c r="D14" s="796">
        <v>40695</v>
      </c>
      <c r="E14" s="775">
        <v>0</v>
      </c>
      <c r="F14" s="799">
        <v>6.5</v>
      </c>
      <c r="G14" s="132">
        <f t="shared" si="0"/>
        <v>0</v>
      </c>
    </row>
    <row r="15" spans="2:7">
      <c r="B15" s="505">
        <v>12</v>
      </c>
      <c r="D15" s="796">
        <v>40725</v>
      </c>
      <c r="E15" s="775">
        <v>0</v>
      </c>
      <c r="F15" s="799">
        <v>5.5</v>
      </c>
      <c r="G15" s="132">
        <f t="shared" si="0"/>
        <v>0</v>
      </c>
    </row>
    <row r="16" spans="2:7">
      <c r="B16" s="505">
        <v>13</v>
      </c>
      <c r="D16" s="796">
        <v>40756</v>
      </c>
      <c r="E16" s="775">
        <v>0</v>
      </c>
      <c r="F16" s="799">
        <v>4.5</v>
      </c>
      <c r="G16" s="132">
        <f t="shared" si="0"/>
        <v>0</v>
      </c>
    </row>
    <row r="17" spans="2:7">
      <c r="B17" s="505">
        <v>14</v>
      </c>
      <c r="D17" s="796">
        <v>40787</v>
      </c>
      <c r="E17" s="775">
        <f>3000000+1300000</f>
        <v>4300000</v>
      </c>
      <c r="F17" s="799">
        <v>3.5</v>
      </c>
      <c r="G17" s="132">
        <f t="shared" si="0"/>
        <v>1254166.6666666667</v>
      </c>
    </row>
    <row r="18" spans="2:7">
      <c r="B18" s="505">
        <v>15</v>
      </c>
      <c r="D18" s="796">
        <v>40817</v>
      </c>
      <c r="E18" s="775">
        <v>0</v>
      </c>
      <c r="F18" s="799">
        <v>2.5</v>
      </c>
      <c r="G18" s="132">
        <f t="shared" si="0"/>
        <v>0</v>
      </c>
    </row>
    <row r="19" spans="2:7">
      <c r="B19" s="505">
        <v>16</v>
      </c>
      <c r="D19" s="796">
        <v>40848</v>
      </c>
      <c r="E19" s="775">
        <v>0</v>
      </c>
      <c r="F19" s="799">
        <v>1.5</v>
      </c>
      <c r="G19" s="132">
        <f t="shared" si="0"/>
        <v>0</v>
      </c>
    </row>
    <row r="20" spans="2:7">
      <c r="B20" s="505">
        <v>17</v>
      </c>
      <c r="D20" s="796">
        <v>40878</v>
      </c>
      <c r="E20" s="775">
        <v>0</v>
      </c>
      <c r="F20" s="799">
        <v>0.5</v>
      </c>
      <c r="G20" s="132">
        <f t="shared" si="0"/>
        <v>0</v>
      </c>
    </row>
    <row r="21" spans="2:7">
      <c r="B21" s="505">
        <v>18</v>
      </c>
      <c r="E21" s="797"/>
      <c r="G21" s="797"/>
    </row>
    <row r="22" spans="2:7">
      <c r="B22" s="505">
        <v>19</v>
      </c>
      <c r="C22" s="506"/>
      <c r="E22" s="798">
        <f>SUM(E8:E21)</f>
        <v>4300000</v>
      </c>
      <c r="G22" s="798">
        <f>SUM(G8:G21)</f>
        <v>1254166.6666666667</v>
      </c>
    </row>
    <row r="23" spans="2:7">
      <c r="B23" s="505">
        <v>20</v>
      </c>
    </row>
    <row r="24" spans="2:7">
      <c r="B24" s="505">
        <v>21</v>
      </c>
      <c r="D24" s="517" t="s">
        <v>303</v>
      </c>
      <c r="E24" s="517"/>
      <c r="F24" s="517"/>
      <c r="G24" s="778">
        <f>'BHP WP2'!F20</f>
        <v>2.3199999999999998E-2</v>
      </c>
    </row>
    <row r="25" spans="2:7">
      <c r="B25" s="505">
        <v>22</v>
      </c>
      <c r="D25" s="517"/>
      <c r="E25" s="517"/>
      <c r="F25" s="517"/>
      <c r="G25" s="774"/>
    </row>
    <row r="26" spans="2:7" ht="13.5" thickBot="1">
      <c r="B26" s="505">
        <v>23</v>
      </c>
      <c r="D26" s="517" t="s">
        <v>476</v>
      </c>
      <c r="E26" s="517"/>
      <c r="F26" s="517"/>
      <c r="G26" s="777">
        <f>+G22*G24</f>
        <v>29096.666666666668</v>
      </c>
    </row>
    <row r="27" spans="2:7" ht="13.5" thickTop="1">
      <c r="B27" s="505">
        <v>24</v>
      </c>
    </row>
    <row r="28" spans="2:7">
      <c r="B28" s="505">
        <v>25</v>
      </c>
      <c r="D28" s="776" t="s">
        <v>67</v>
      </c>
    </row>
    <row r="29" spans="2:7">
      <c r="B29" s="505"/>
    </row>
    <row r="30" spans="2:7">
      <c r="B30" s="505"/>
    </row>
    <row r="31" spans="2:7">
      <c r="B31" s="505"/>
    </row>
    <row r="32" spans="2:7">
      <c r="B32" s="505"/>
    </row>
    <row r="33" spans="2:2">
      <c r="B33" s="505"/>
    </row>
    <row r="34" spans="2:2">
      <c r="B34" s="505"/>
    </row>
    <row r="35" spans="2:2">
      <c r="B35" s="505"/>
    </row>
    <row r="36" spans="2:2">
      <c r="B36" s="505"/>
    </row>
    <row r="37" spans="2:2">
      <c r="B37" s="505"/>
    </row>
    <row r="108" spans="7:8">
      <c r="G108" s="368" t="s">
        <v>671</v>
      </c>
      <c r="H108" s="368">
        <f>+J177</f>
        <v>0</v>
      </c>
    </row>
    <row r="109" spans="7:8">
      <c r="H109" s="368">
        <f>+H108</f>
        <v>0</v>
      </c>
    </row>
  </sheetData>
  <mergeCells count="2">
    <mergeCell ref="B1:D1"/>
    <mergeCell ref="C4:G4"/>
  </mergeCells>
  <phoneticPr fontId="29" type="noConversion"/>
  <printOptions horizontalCentered="1"/>
  <pageMargins left="0.75" right="0.75" top="1" bottom="1" header="0.5" footer="0.5"/>
  <pageSetup scale="48" orientation="portrait" r:id="rId1"/>
  <headerFooter alignWithMargins="0">
    <oddHeader>&amp;C&amp;"Arial MT,Bold"WORKPAPER 3
CAPITAL ADDITIONS
BLACK HILLS POWER, INC.&amp;RPage &amp;P of &amp;N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G115"/>
  <sheetViews>
    <sheetView zoomScaleNormal="100" workbookViewId="0">
      <selection activeCell="H12" sqref="H12"/>
    </sheetView>
  </sheetViews>
  <sheetFormatPr defaultColWidth="7.109375" defaultRowHeight="12.75"/>
  <cols>
    <col min="1" max="1" width="4.33203125" style="368" customWidth="1"/>
    <col min="2" max="2" width="4.109375" style="368" customWidth="1"/>
    <col min="3" max="3" width="45.6640625" style="368" customWidth="1"/>
    <col min="4" max="4" width="14" style="368" customWidth="1"/>
    <col min="5" max="5" width="11.33203125" style="508" customWidth="1"/>
    <col min="6" max="6" width="10.5546875" style="368" customWidth="1"/>
    <col min="7" max="16384" width="7.109375" style="368"/>
  </cols>
  <sheetData>
    <row r="2" spans="1:7" ht="15.75">
      <c r="B2" s="1173"/>
      <c r="C2" s="1174"/>
      <c r="D2" s="1174"/>
      <c r="E2" s="1174"/>
    </row>
    <row r="3" spans="1:7">
      <c r="B3" s="1175"/>
      <c r="C3" s="1176"/>
      <c r="D3" s="1176"/>
      <c r="E3" s="1176"/>
    </row>
    <row r="4" spans="1:7">
      <c r="A4" s="773" t="s">
        <v>667</v>
      </c>
      <c r="E4" s="881" t="s">
        <v>672</v>
      </c>
      <c r="F4" s="881" t="s">
        <v>673</v>
      </c>
    </row>
    <row r="5" spans="1:7">
      <c r="A5" s="773" t="s">
        <v>668</v>
      </c>
      <c r="D5" s="783" t="s">
        <v>677</v>
      </c>
      <c r="E5" s="784">
        <v>2009</v>
      </c>
      <c r="F5" s="784">
        <v>2008</v>
      </c>
    </row>
    <row r="6" spans="1:7">
      <c r="A6" s="797"/>
      <c r="B6" s="506" t="s">
        <v>573</v>
      </c>
      <c r="D6" s="783" t="s">
        <v>679</v>
      </c>
      <c r="E6" s="783" t="s">
        <v>549</v>
      </c>
      <c r="F6" s="783" t="s">
        <v>549</v>
      </c>
    </row>
    <row r="7" spans="1:7">
      <c r="E7" s="132"/>
    </row>
    <row r="8" spans="1:7">
      <c r="A8" s="505">
        <v>1</v>
      </c>
      <c r="C8" s="882" t="s">
        <v>215</v>
      </c>
      <c r="D8" s="882" t="s">
        <v>555</v>
      </c>
      <c r="E8" s="103">
        <v>48455362</v>
      </c>
      <c r="F8" s="103">
        <v>40949063</v>
      </c>
    </row>
    <row r="9" spans="1:7" ht="12.75" customHeight="1">
      <c r="A9" s="505">
        <v>2</v>
      </c>
      <c r="C9" s="882"/>
      <c r="D9" s="882"/>
      <c r="E9" s="103"/>
      <c r="F9" s="103"/>
    </row>
    <row r="10" spans="1:7">
      <c r="A10" s="505">
        <v>3</v>
      </c>
      <c r="C10" s="882" t="s">
        <v>463</v>
      </c>
      <c r="D10" s="882" t="s">
        <v>464</v>
      </c>
      <c r="E10" s="883">
        <v>-8089539</v>
      </c>
      <c r="F10" s="883">
        <v>-7643240</v>
      </c>
    </row>
    <row r="11" spans="1:7">
      <c r="A11" s="505">
        <v>4</v>
      </c>
      <c r="C11" s="589"/>
      <c r="D11" s="589"/>
      <c r="E11" s="883"/>
      <c r="F11" s="883"/>
    </row>
    <row r="12" spans="1:7" ht="16.5" customHeight="1" thickBot="1">
      <c r="A12" s="505">
        <v>5</v>
      </c>
      <c r="B12" s="664" t="s">
        <v>574</v>
      </c>
      <c r="C12" s="664"/>
      <c r="D12" s="664"/>
      <c r="E12" s="884">
        <f>SUM(E8:E11)</f>
        <v>40365823</v>
      </c>
      <c r="F12" s="884">
        <f>SUM(F8:F11)</f>
        <v>33305823</v>
      </c>
    </row>
    <row r="13" spans="1:7" ht="16.5" customHeight="1" thickTop="1">
      <c r="A13" s="505">
        <v>6</v>
      </c>
      <c r="B13" s="664"/>
      <c r="C13" s="664"/>
      <c r="D13" s="664"/>
      <c r="E13" s="878"/>
      <c r="F13" s="878"/>
    </row>
    <row r="14" spans="1:7" ht="16.5" customHeight="1">
      <c r="A14" s="505">
        <v>7</v>
      </c>
      <c r="B14" s="664"/>
      <c r="C14" s="882" t="s">
        <v>362</v>
      </c>
      <c r="D14" s="664"/>
      <c r="E14" s="879"/>
      <c r="F14" s="879">
        <f>ROUND(-F10/F8,5)</f>
        <v>0.18665000000000001</v>
      </c>
    </row>
    <row r="15" spans="1:7">
      <c r="A15" s="505">
        <v>9</v>
      </c>
      <c r="B15" s="589"/>
      <c r="C15" s="589"/>
      <c r="D15" s="589"/>
      <c r="E15" s="103"/>
      <c r="F15" s="589"/>
      <c r="G15" s="589"/>
    </row>
    <row r="16" spans="1:7">
      <c r="A16" s="505">
        <v>10</v>
      </c>
      <c r="B16" s="506" t="s">
        <v>470</v>
      </c>
      <c r="E16" s="103"/>
    </row>
    <row r="17" spans="1:6">
      <c r="A17" s="505">
        <v>11</v>
      </c>
      <c r="E17" s="103"/>
    </row>
    <row r="18" spans="1:6">
      <c r="A18" s="505">
        <v>12</v>
      </c>
      <c r="C18" s="518" t="s">
        <v>471</v>
      </c>
      <c r="D18" s="518" t="s">
        <v>472</v>
      </c>
      <c r="E18" s="103">
        <v>20794302</v>
      </c>
      <c r="F18" s="103">
        <v>18951697</v>
      </c>
    </row>
    <row r="19" spans="1:6">
      <c r="A19" s="505">
        <v>13</v>
      </c>
      <c r="E19" s="103"/>
      <c r="F19" s="103"/>
    </row>
    <row r="20" spans="1:6">
      <c r="A20" s="505">
        <v>14</v>
      </c>
      <c r="C20" s="518" t="s">
        <v>359</v>
      </c>
      <c r="E20" s="103"/>
      <c r="F20" s="103">
        <f>+F18*F14</f>
        <v>3537334.24505</v>
      </c>
    </row>
    <row r="21" spans="1:6">
      <c r="A21" s="505">
        <v>15</v>
      </c>
      <c r="E21" s="103"/>
    </row>
    <row r="22" spans="1:6">
      <c r="A22" s="505">
        <v>16</v>
      </c>
      <c r="C22" s="518" t="s">
        <v>254</v>
      </c>
      <c r="E22" s="103"/>
      <c r="F22" s="798">
        <f>(-F10-E10)/2</f>
        <v>7866389.5</v>
      </c>
    </row>
    <row r="23" spans="1:6">
      <c r="A23" s="505">
        <v>17</v>
      </c>
      <c r="E23" s="103"/>
    </row>
    <row r="24" spans="1:6">
      <c r="A24" s="505">
        <v>18</v>
      </c>
      <c r="C24" s="518" t="s">
        <v>247</v>
      </c>
      <c r="E24" s="103"/>
      <c r="F24" s="880">
        <f>+'BHP WP5'!H36</f>
        <v>4.3900000000000002E-2</v>
      </c>
    </row>
    <row r="25" spans="1:6">
      <c r="A25" s="505">
        <v>19</v>
      </c>
      <c r="E25" s="103"/>
      <c r="F25" s="103"/>
    </row>
    <row r="26" spans="1:6">
      <c r="A26" s="505">
        <v>20</v>
      </c>
      <c r="C26" s="518" t="s">
        <v>216</v>
      </c>
      <c r="E26" s="368"/>
      <c r="F26" s="132">
        <f>+F22*F24</f>
        <v>345334.49904999998</v>
      </c>
    </row>
    <row r="27" spans="1:6">
      <c r="A27" s="505">
        <v>21</v>
      </c>
      <c r="E27" s="368"/>
    </row>
    <row r="28" spans="1:6" ht="13.5" thickBot="1">
      <c r="A28" s="505">
        <v>22</v>
      </c>
      <c r="B28" s="506" t="s">
        <v>360</v>
      </c>
      <c r="E28" s="103"/>
      <c r="F28" s="884">
        <f>+F20+F26</f>
        <v>3882668.7440999998</v>
      </c>
    </row>
    <row r="29" spans="1:6" ht="13.5" thickTop="1">
      <c r="A29" s="505">
        <v>23</v>
      </c>
      <c r="B29" s="506"/>
      <c r="E29" s="103"/>
    </row>
    <row r="30" spans="1:6" ht="13.5" thickBot="1">
      <c r="A30" s="505">
        <v>24</v>
      </c>
      <c r="B30" s="506" t="s">
        <v>361</v>
      </c>
      <c r="E30" s="884">
        <f>+E18-F28</f>
        <v>16911633.255899999</v>
      </c>
    </row>
    <row r="31" spans="1:6" ht="13.5" thickTop="1">
      <c r="A31" s="505"/>
      <c r="E31" s="368"/>
    </row>
    <row r="32" spans="1:6">
      <c r="A32" s="505"/>
      <c r="E32" s="368"/>
    </row>
    <row r="33" spans="1:5">
      <c r="A33" s="505"/>
      <c r="E33" s="368"/>
    </row>
    <row r="34" spans="1:5">
      <c r="A34" s="505"/>
    </row>
    <row r="35" spans="1:5">
      <c r="A35" s="505"/>
    </row>
    <row r="114" spans="7:7">
      <c r="G114" s="368">
        <f>+I183</f>
        <v>0</v>
      </c>
    </row>
    <row r="115" spans="7:7">
      <c r="G115" s="368">
        <f>+G114</f>
        <v>0</v>
      </c>
    </row>
  </sheetData>
  <mergeCells count="2">
    <mergeCell ref="B2:E2"/>
    <mergeCell ref="B3:E3"/>
  </mergeCells>
  <phoneticPr fontId="29" type="noConversion"/>
  <printOptions horizontalCentered="1"/>
  <pageMargins left="0.5" right="0.25" top="1" bottom="1" header="0.5" footer="0.5"/>
  <pageSetup scale="10" orientation="portrait" r:id="rId1"/>
  <headerFooter alignWithMargins="0">
    <oddHeader>&amp;C&amp;"Arial MT,Bold"WORKPAPER 4
GENERAL AND INTANGIBLE PLANT
BLACK HILLS POWER, INC.&amp;RExhibit No. BHP-11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2:H117"/>
  <sheetViews>
    <sheetView zoomScaleNormal="100" workbookViewId="0">
      <selection activeCell="H12" sqref="H12"/>
    </sheetView>
  </sheetViews>
  <sheetFormatPr defaultColWidth="7.109375" defaultRowHeight="12.75"/>
  <cols>
    <col min="1" max="1" width="4.33203125" style="368" customWidth="1"/>
    <col min="2" max="2" width="4.109375" style="368" customWidth="1"/>
    <col min="3" max="3" width="45.6640625" style="368" customWidth="1"/>
    <col min="4" max="4" width="14" style="368" customWidth="1"/>
    <col min="5" max="5" width="11.6640625" style="368" customWidth="1"/>
    <col min="6" max="6" width="11.33203125" style="508" customWidth="1"/>
    <col min="7" max="7" width="10.5546875" style="368" customWidth="1"/>
    <col min="8" max="16384" width="7.109375" style="368"/>
  </cols>
  <sheetData>
    <row r="2" spans="1:8" ht="15.75">
      <c r="B2" s="1173"/>
      <c r="C2" s="1174"/>
      <c r="D2" s="1174"/>
      <c r="E2" s="1174"/>
      <c r="F2" s="1174"/>
    </row>
    <row r="3" spans="1:8">
      <c r="B3" s="1175"/>
      <c r="C3" s="1176"/>
      <c r="D3" s="1176"/>
      <c r="E3" s="1176"/>
      <c r="F3" s="1176"/>
    </row>
    <row r="4" spans="1:8">
      <c r="A4" s="773" t="s">
        <v>667</v>
      </c>
      <c r="E4" s="881" t="s">
        <v>672</v>
      </c>
      <c r="F4" s="881" t="s">
        <v>673</v>
      </c>
      <c r="G4" s="881"/>
    </row>
    <row r="5" spans="1:8">
      <c r="A5" s="773" t="s">
        <v>668</v>
      </c>
      <c r="D5" s="783" t="s">
        <v>677</v>
      </c>
      <c r="E5" s="784">
        <v>2008</v>
      </c>
      <c r="F5" s="784">
        <v>2007</v>
      </c>
      <c r="G5" s="784">
        <v>2006</v>
      </c>
    </row>
    <row r="6" spans="1:8">
      <c r="A6" s="797"/>
      <c r="B6" s="506" t="s">
        <v>573</v>
      </c>
      <c r="D6" s="783" t="s">
        <v>679</v>
      </c>
      <c r="E6" s="783" t="s">
        <v>549</v>
      </c>
      <c r="F6" s="783" t="s">
        <v>549</v>
      </c>
      <c r="G6" s="783" t="s">
        <v>549</v>
      </c>
    </row>
    <row r="7" spans="1:8">
      <c r="E7" s="132"/>
      <c r="F7" s="132"/>
    </row>
    <row r="8" spans="1:8">
      <c r="A8" s="505">
        <v>1</v>
      </c>
      <c r="C8" s="882" t="s">
        <v>246</v>
      </c>
      <c r="D8" s="882" t="s">
        <v>555</v>
      </c>
      <c r="E8" s="103">
        <v>40949063</v>
      </c>
      <c r="F8" s="103">
        <v>38325234</v>
      </c>
      <c r="G8" s="103">
        <v>34737997</v>
      </c>
    </row>
    <row r="9" spans="1:8" ht="12.75" customHeight="1">
      <c r="A9" s="505">
        <f>+A8+1</f>
        <v>2</v>
      </c>
      <c r="C9" s="882"/>
      <c r="D9" s="882"/>
      <c r="E9" s="103"/>
      <c r="F9" s="103"/>
      <c r="G9" s="103"/>
    </row>
    <row r="10" spans="1:8">
      <c r="A10" s="505">
        <f t="shared" ref="A10:A32" si="0">+A9+1</f>
        <v>3</v>
      </c>
      <c r="C10" s="882" t="s">
        <v>463</v>
      </c>
      <c r="D10" s="882" t="s">
        <v>464</v>
      </c>
      <c r="E10" s="883">
        <v>-7643240</v>
      </c>
      <c r="F10" s="883">
        <v>-6874999</v>
      </c>
      <c r="G10" s="883">
        <v>-4187893</v>
      </c>
    </row>
    <row r="11" spans="1:8">
      <c r="A11" s="505">
        <f t="shared" si="0"/>
        <v>4</v>
      </c>
      <c r="C11" s="589"/>
      <c r="D11" s="589"/>
      <c r="E11" s="883"/>
      <c r="F11" s="883"/>
      <c r="G11" s="883"/>
    </row>
    <row r="12" spans="1:8" ht="16.5" customHeight="1" thickBot="1">
      <c r="A12" s="505">
        <f t="shared" si="0"/>
        <v>5</v>
      </c>
      <c r="B12" s="664" t="s">
        <v>574</v>
      </c>
      <c r="C12" s="664"/>
      <c r="D12" s="664"/>
      <c r="E12" s="884">
        <f>SUM(E8:E11)</f>
        <v>33305823</v>
      </c>
      <c r="F12" s="884">
        <f>SUM(F8:F11)</f>
        <v>31450235</v>
      </c>
      <c r="G12" s="884">
        <f>SUM(G8:G11)</f>
        <v>30550104</v>
      </c>
    </row>
    <row r="13" spans="1:8" ht="16.5" customHeight="1" thickTop="1">
      <c r="A13" s="505">
        <f t="shared" si="0"/>
        <v>6</v>
      </c>
      <c r="B13" s="664"/>
      <c r="C13" s="664"/>
      <c r="D13" s="664"/>
      <c r="E13" s="878"/>
      <c r="F13" s="878"/>
      <c r="G13" s="878"/>
    </row>
    <row r="14" spans="1:8" ht="16.5" customHeight="1">
      <c r="A14" s="505">
        <f t="shared" si="0"/>
        <v>7</v>
      </c>
      <c r="B14" s="664"/>
      <c r="C14" s="882" t="s">
        <v>362</v>
      </c>
      <c r="D14" s="664"/>
      <c r="E14" s="879"/>
      <c r="F14" s="879">
        <f>ROUND(-F10/F8,5)</f>
        <v>0.17938999999999999</v>
      </c>
      <c r="G14" s="879">
        <f>ROUND(-G10/G8,5)</f>
        <v>0.12056</v>
      </c>
    </row>
    <row r="15" spans="1:8">
      <c r="A15" s="505">
        <f t="shared" si="0"/>
        <v>8</v>
      </c>
      <c r="B15" s="589"/>
      <c r="C15" s="589"/>
      <c r="D15" s="589"/>
      <c r="E15" s="103"/>
      <c r="F15" s="103"/>
      <c r="G15" s="589"/>
      <c r="H15" s="589"/>
    </row>
    <row r="16" spans="1:8">
      <c r="A16" s="505">
        <f t="shared" si="0"/>
        <v>9</v>
      </c>
      <c r="B16" s="506" t="s">
        <v>470</v>
      </c>
      <c r="E16" s="103"/>
      <c r="F16" s="103"/>
    </row>
    <row r="17" spans="1:7">
      <c r="A17" s="505">
        <f t="shared" si="0"/>
        <v>10</v>
      </c>
      <c r="E17" s="103"/>
      <c r="F17" s="103"/>
    </row>
    <row r="18" spans="1:7">
      <c r="A18" s="505">
        <f t="shared" si="0"/>
        <v>11</v>
      </c>
      <c r="C18" s="518" t="s">
        <v>471</v>
      </c>
      <c r="D18" s="518" t="s">
        <v>472</v>
      </c>
      <c r="E18" s="103">
        <v>18951697</v>
      </c>
      <c r="F18" s="103">
        <v>17186830</v>
      </c>
      <c r="G18" s="103">
        <v>15705229</v>
      </c>
    </row>
    <row r="19" spans="1:7">
      <c r="A19" s="505">
        <f t="shared" si="0"/>
        <v>12</v>
      </c>
      <c r="E19" s="103"/>
      <c r="F19" s="103"/>
      <c r="G19" s="103"/>
    </row>
    <row r="20" spans="1:7">
      <c r="A20" s="505">
        <f t="shared" si="0"/>
        <v>13</v>
      </c>
      <c r="C20" s="518" t="s">
        <v>252</v>
      </c>
      <c r="E20" s="103"/>
      <c r="F20" s="103"/>
      <c r="G20" s="103">
        <f>+G18*G14</f>
        <v>1893422.40824</v>
      </c>
    </row>
    <row r="21" spans="1:7">
      <c r="A21" s="505">
        <f t="shared" si="0"/>
        <v>14</v>
      </c>
      <c r="C21" s="518"/>
      <c r="E21" s="103"/>
      <c r="F21" s="103"/>
      <c r="G21" s="103"/>
    </row>
    <row r="22" spans="1:7">
      <c r="A22" s="505">
        <f t="shared" si="0"/>
        <v>15</v>
      </c>
      <c r="C22" s="518" t="s">
        <v>248</v>
      </c>
      <c r="E22" s="103"/>
      <c r="F22" s="103">
        <f>+G30</f>
        <v>2136252.8876399999</v>
      </c>
      <c r="G22" s="103"/>
    </row>
    <row r="23" spans="1:7">
      <c r="A23" s="505">
        <f t="shared" si="0"/>
        <v>16</v>
      </c>
      <c r="E23" s="103"/>
      <c r="F23" s="368"/>
    </row>
    <row r="24" spans="1:7">
      <c r="A24" s="505">
        <f t="shared" si="0"/>
        <v>17</v>
      </c>
      <c r="C24" s="518" t="s">
        <v>304</v>
      </c>
      <c r="E24" s="103"/>
      <c r="F24" s="798">
        <f>(-F10-E10)/2</f>
        <v>7259119.5</v>
      </c>
      <c r="G24" s="798">
        <f>(-G10-F10)/2</f>
        <v>5531446</v>
      </c>
    </row>
    <row r="25" spans="1:7">
      <c r="A25" s="505">
        <f t="shared" si="0"/>
        <v>18</v>
      </c>
      <c r="E25" s="103"/>
      <c r="F25" s="368"/>
    </row>
    <row r="26" spans="1:7">
      <c r="A26" s="505">
        <f t="shared" si="0"/>
        <v>19</v>
      </c>
      <c r="C26" s="518" t="s">
        <v>247</v>
      </c>
      <c r="E26" s="103"/>
      <c r="F26" s="880">
        <f>+'[1]BHP WP6'!$H$36</f>
        <v>4.3900000000000002E-2</v>
      </c>
      <c r="G26" s="880">
        <f>+'[1]BHP WP6'!$H$36</f>
        <v>4.3900000000000002E-2</v>
      </c>
    </row>
    <row r="27" spans="1:7">
      <c r="A27" s="505">
        <f t="shared" si="0"/>
        <v>20</v>
      </c>
      <c r="E27" s="103"/>
      <c r="F27" s="103"/>
      <c r="G27" s="103"/>
    </row>
    <row r="28" spans="1:7">
      <c r="A28" s="505">
        <f t="shared" si="0"/>
        <v>21</v>
      </c>
      <c r="C28" s="518" t="s">
        <v>251</v>
      </c>
      <c r="F28" s="132">
        <f>+F24*F26</f>
        <v>318675.34604999999</v>
      </c>
      <c r="G28" s="132">
        <f>+G24*G26</f>
        <v>242830.47940000001</v>
      </c>
    </row>
    <row r="29" spans="1:7">
      <c r="A29" s="505">
        <f t="shared" si="0"/>
        <v>22</v>
      </c>
      <c r="F29" s="368"/>
    </row>
    <row r="30" spans="1:7" ht="13.5" thickBot="1">
      <c r="A30" s="505">
        <f t="shared" si="0"/>
        <v>23</v>
      </c>
      <c r="B30" s="506" t="s">
        <v>249</v>
      </c>
      <c r="E30" s="103"/>
      <c r="F30" s="884">
        <f>+F20+F22+F28</f>
        <v>2454928.2336899997</v>
      </c>
      <c r="G30" s="884">
        <f>+G20+G22+G28</f>
        <v>2136252.8876399999</v>
      </c>
    </row>
    <row r="31" spans="1:7" ht="13.5" thickTop="1">
      <c r="A31" s="505">
        <f t="shared" si="0"/>
        <v>24</v>
      </c>
      <c r="B31" s="506"/>
      <c r="E31" s="103"/>
      <c r="F31" s="103"/>
    </row>
    <row r="32" spans="1:7" ht="13.5" thickBot="1">
      <c r="A32" s="505">
        <f t="shared" si="0"/>
        <v>25</v>
      </c>
      <c r="B32" s="506" t="s">
        <v>250</v>
      </c>
      <c r="E32" s="884">
        <f>+E18-F30</f>
        <v>16496768.766310001</v>
      </c>
      <c r="F32" s="368"/>
    </row>
    <row r="33" spans="1:6" ht="13.5" thickTop="1">
      <c r="A33" s="505"/>
      <c r="F33" s="368"/>
    </row>
    <row r="34" spans="1:6">
      <c r="A34" s="505"/>
      <c r="F34" s="368"/>
    </row>
    <row r="35" spans="1:6">
      <c r="A35" s="505"/>
      <c r="F35" s="368"/>
    </row>
    <row r="36" spans="1:6">
      <c r="A36" s="505"/>
    </row>
    <row r="37" spans="1:6">
      <c r="A37" s="505"/>
    </row>
    <row r="116" spans="8:8">
      <c r="H116" s="368">
        <f>+J185</f>
        <v>0</v>
      </c>
    </row>
    <row r="117" spans="8:8">
      <c r="H117" s="368">
        <f>+H116</f>
        <v>0</v>
      </c>
    </row>
  </sheetData>
  <mergeCells count="2">
    <mergeCell ref="B2:F2"/>
    <mergeCell ref="B3:F3"/>
  </mergeCells>
  <phoneticPr fontId="29" type="noConversion"/>
  <printOptions horizontalCentered="1"/>
  <pageMargins left="0.5" right="0.25" top="1" bottom="1" header="0.5" footer="0.5"/>
  <pageSetup scale="10" orientation="portrait" r:id="rId1"/>
  <headerFooter alignWithMargins="0">
    <oddHeader>&amp;C&amp;"Arial MT,Bold"WORKPAPER 4
GENERAL AND INTANGIBLE PLANT
BLACK HILLS POWER, INC.&amp;RPage &amp;P of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10:H118"/>
  <sheetViews>
    <sheetView topLeftCell="A13" zoomScaleNormal="100" workbookViewId="0">
      <selection activeCell="H24" sqref="H24"/>
    </sheetView>
  </sheetViews>
  <sheetFormatPr defaultColWidth="7.109375" defaultRowHeight="12.75"/>
  <cols>
    <col min="1" max="1" width="8.109375" style="368" customWidth="1"/>
    <col min="2" max="2" width="3.5546875" style="368" customWidth="1"/>
    <col min="3" max="4" width="1.77734375" style="368" customWidth="1"/>
    <col min="5" max="5" width="4" style="368" customWidth="1"/>
    <col min="6" max="6" width="24.21875" style="368" customWidth="1"/>
    <col min="7" max="7" width="1.88671875" style="368" customWidth="1"/>
    <col min="8" max="8" width="8.21875" style="508" customWidth="1"/>
    <col min="9" max="9" width="8.21875" style="368" customWidth="1"/>
    <col min="10" max="16384" width="7.109375" style="368"/>
  </cols>
  <sheetData>
    <row r="10" spans="2:8">
      <c r="F10" s="850" t="s">
        <v>402</v>
      </c>
    </row>
    <row r="12" spans="2:8">
      <c r="B12" s="773" t="s">
        <v>667</v>
      </c>
    </row>
    <row r="13" spans="2:8">
      <c r="B13" s="779" t="s">
        <v>668</v>
      </c>
      <c r="D13" s="847" t="s">
        <v>905</v>
      </c>
      <c r="E13" s="847"/>
      <c r="F13" s="847"/>
      <c r="H13" s="848" t="s">
        <v>319</v>
      </c>
    </row>
    <row r="14" spans="2:8">
      <c r="B14" s="505">
        <v>1</v>
      </c>
    </row>
    <row r="15" spans="2:8">
      <c r="B15" s="505">
        <v>2</v>
      </c>
      <c r="D15" s="506" t="s">
        <v>496</v>
      </c>
      <c r="E15" s="506"/>
    </row>
    <row r="16" spans="2:8">
      <c r="B16" s="505">
        <v>3</v>
      </c>
    </row>
    <row r="17" spans="2:8">
      <c r="B17" s="505">
        <v>4</v>
      </c>
      <c r="E17" s="368">
        <v>350</v>
      </c>
      <c r="F17" s="518" t="s">
        <v>906</v>
      </c>
      <c r="H17" s="147">
        <v>0</v>
      </c>
    </row>
    <row r="18" spans="2:8">
      <c r="B18" s="505">
        <v>5</v>
      </c>
      <c r="E18" s="368">
        <v>352</v>
      </c>
      <c r="F18" s="518" t="s">
        <v>907</v>
      </c>
      <c r="H18" s="147">
        <v>2.3900000000000001E-2</v>
      </c>
    </row>
    <row r="19" spans="2:8">
      <c r="B19" s="505">
        <v>6</v>
      </c>
      <c r="E19" s="368">
        <v>353</v>
      </c>
      <c r="F19" s="518" t="s">
        <v>908</v>
      </c>
      <c r="H19" s="147">
        <v>2.6599999999999999E-2</v>
      </c>
    </row>
    <row r="20" spans="2:8">
      <c r="B20" s="505">
        <v>7</v>
      </c>
      <c r="E20" s="368">
        <v>354</v>
      </c>
      <c r="F20" s="518" t="s">
        <v>909</v>
      </c>
      <c r="H20" s="147">
        <v>2.0400000000000001E-2</v>
      </c>
    </row>
    <row r="21" spans="2:8">
      <c r="B21" s="505">
        <v>8</v>
      </c>
      <c r="E21" s="368">
        <v>355</v>
      </c>
      <c r="F21" s="518" t="s">
        <v>910</v>
      </c>
      <c r="H21" s="147">
        <v>2.2200000000000001E-2</v>
      </c>
    </row>
    <row r="22" spans="2:8">
      <c r="B22" s="505">
        <v>9</v>
      </c>
      <c r="E22" s="368">
        <v>356</v>
      </c>
      <c r="F22" s="518" t="s">
        <v>911</v>
      </c>
      <c r="H22" s="147">
        <v>2.0400000000000001E-2</v>
      </c>
    </row>
    <row r="23" spans="2:8">
      <c r="B23" s="505">
        <v>10</v>
      </c>
      <c r="E23" s="368">
        <v>359</v>
      </c>
      <c r="F23" s="518" t="s">
        <v>912</v>
      </c>
      <c r="H23" s="147">
        <v>1.95E-2</v>
      </c>
    </row>
    <row r="24" spans="2:8">
      <c r="B24" s="505">
        <v>11</v>
      </c>
      <c r="F24" s="518" t="s">
        <v>169</v>
      </c>
      <c r="H24" s="147">
        <v>2.3199999999999998E-2</v>
      </c>
    </row>
    <row r="25" spans="2:8">
      <c r="B25" s="505">
        <v>12</v>
      </c>
      <c r="H25" s="147"/>
    </row>
    <row r="26" spans="2:8">
      <c r="B26" s="505">
        <v>13</v>
      </c>
      <c r="D26" s="506" t="s">
        <v>462</v>
      </c>
      <c r="H26" s="147"/>
    </row>
    <row r="27" spans="2:8">
      <c r="B27" s="505">
        <v>14</v>
      </c>
      <c r="H27" s="147"/>
    </row>
    <row r="28" spans="2:8">
      <c r="B28" s="505">
        <v>15</v>
      </c>
      <c r="E28" s="368">
        <v>389</v>
      </c>
      <c r="F28" s="518" t="s">
        <v>906</v>
      </c>
      <c r="H28" s="147">
        <v>0</v>
      </c>
    </row>
    <row r="29" spans="2:8">
      <c r="B29" s="505">
        <v>16</v>
      </c>
      <c r="E29" s="368">
        <v>390</v>
      </c>
      <c r="F29" s="518" t="s">
        <v>907</v>
      </c>
      <c r="H29" s="147">
        <v>4.7300000000000002E-2</v>
      </c>
    </row>
    <row r="30" spans="2:8">
      <c r="B30" s="505">
        <v>17</v>
      </c>
      <c r="E30" s="368">
        <v>391</v>
      </c>
      <c r="F30" s="518" t="s">
        <v>913</v>
      </c>
      <c r="H30" s="147">
        <v>0.1056</v>
      </c>
    </row>
    <row r="31" spans="2:8">
      <c r="B31" s="505">
        <v>18</v>
      </c>
      <c r="E31" s="368">
        <v>392</v>
      </c>
      <c r="F31" s="518" t="s">
        <v>914</v>
      </c>
      <c r="H31" s="147">
        <v>9.06E-2</v>
      </c>
    </row>
    <row r="32" spans="2:8">
      <c r="B32" s="505">
        <v>19</v>
      </c>
      <c r="E32" s="368">
        <v>393</v>
      </c>
      <c r="F32" s="518" t="s">
        <v>915</v>
      </c>
      <c r="H32" s="147">
        <v>4.2299999999999997E-2</v>
      </c>
    </row>
    <row r="33" spans="2:8">
      <c r="B33" s="505">
        <v>20</v>
      </c>
      <c r="E33" s="368">
        <v>394</v>
      </c>
      <c r="F33" s="518" t="s">
        <v>213</v>
      </c>
      <c r="H33" s="147">
        <v>4.2299999999999997E-2</v>
      </c>
    </row>
    <row r="34" spans="2:8">
      <c r="B34" s="505">
        <v>21</v>
      </c>
      <c r="E34" s="368">
        <v>395</v>
      </c>
      <c r="F34" s="518" t="s">
        <v>916</v>
      </c>
      <c r="H34" s="147">
        <v>3.0599999999999999E-2</v>
      </c>
    </row>
    <row r="35" spans="2:8">
      <c r="B35" s="505">
        <v>22</v>
      </c>
      <c r="E35" s="368">
        <v>396</v>
      </c>
      <c r="F35" s="518" t="s">
        <v>917</v>
      </c>
      <c r="H35" s="147">
        <v>4.2299999999999997E-2</v>
      </c>
    </row>
    <row r="36" spans="2:8">
      <c r="B36" s="505">
        <v>23</v>
      </c>
      <c r="E36" s="368">
        <v>397</v>
      </c>
      <c r="F36" s="518" t="s">
        <v>918</v>
      </c>
      <c r="H36" s="147">
        <v>4.3900000000000002E-2</v>
      </c>
    </row>
    <row r="37" spans="2:8">
      <c r="B37" s="505">
        <v>24</v>
      </c>
      <c r="E37" s="368">
        <v>398</v>
      </c>
      <c r="F37" s="518" t="s">
        <v>919</v>
      </c>
      <c r="H37" s="147">
        <v>5.8099999999999999E-2</v>
      </c>
    </row>
    <row r="38" spans="2:8">
      <c r="B38" s="1064">
        <v>25</v>
      </c>
      <c r="C38" s="1065"/>
      <c r="D38" s="1065"/>
      <c r="E38" s="1065"/>
      <c r="F38" s="1066" t="s">
        <v>184</v>
      </c>
      <c r="G38" s="1065"/>
      <c r="H38" s="1067">
        <v>6.5299999999999997E-2</v>
      </c>
    </row>
    <row r="39" spans="2:8">
      <c r="B39" s="505"/>
    </row>
    <row r="40" spans="2:8">
      <c r="B40" s="505"/>
      <c r="E40" s="849" t="s">
        <v>1000</v>
      </c>
      <c r="F40" s="518" t="s">
        <v>83</v>
      </c>
    </row>
    <row r="41" spans="2:8">
      <c r="F41" s="518"/>
    </row>
    <row r="42" spans="2:8">
      <c r="F42" s="518"/>
    </row>
    <row r="117" spans="7:8">
      <c r="G117" s="368" t="s">
        <v>671</v>
      </c>
      <c r="H117" s="508">
        <f>+J186</f>
        <v>0</v>
      </c>
    </row>
    <row r="118" spans="7:8">
      <c r="H118" s="508">
        <f>+H117</f>
        <v>0</v>
      </c>
    </row>
  </sheetData>
  <phoneticPr fontId="29" type="noConversion"/>
  <pageMargins left="0.5" right="0.5" top="0.75" bottom="0.75" header="0.5" footer="0.5"/>
  <pageSetup orientation="portrait" r:id="rId1"/>
  <headerFooter alignWithMargins="0">
    <oddHeader>&amp;C&amp;"Arial MT,Bold"WORKPAPER 5
DEPRECIATION RATES
BLACK HILLS POWER, INC.&amp;RPage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BQ82"/>
  <sheetViews>
    <sheetView tabSelected="1" zoomScale="70" zoomScaleNormal="70" zoomScaleSheetLayoutView="85" workbookViewId="0">
      <pane xSplit="4" ySplit="14" topLeftCell="Q69" activePane="bottomRight" state="frozen"/>
      <selection activeCell="G22" sqref="G22"/>
      <selection pane="topRight" activeCell="G22" sqref="G22"/>
      <selection pane="bottomLeft" activeCell="G22" sqref="G22"/>
      <selection pane="bottomRight" activeCell="B71" sqref="B71:R82"/>
    </sheetView>
  </sheetViews>
  <sheetFormatPr defaultRowHeight="15"/>
  <cols>
    <col min="1" max="1" width="6" customWidth="1"/>
    <col min="2" max="2" width="1.44140625" customWidth="1"/>
    <col min="3" max="3" width="36" customWidth="1"/>
    <col min="4" max="4" width="23.33203125" customWidth="1"/>
    <col min="5" max="5" width="15.21875" customWidth="1"/>
    <col min="6" max="12" width="15.88671875" customWidth="1"/>
    <col min="13" max="13" width="14.33203125" bestFit="1" customWidth="1"/>
    <col min="14" max="18" width="15.88671875" customWidth="1"/>
    <col min="20" max="20" width="10.33203125" bestFit="1" customWidth="1"/>
    <col min="21" max="21" width="12.88671875" bestFit="1" customWidth="1"/>
  </cols>
  <sheetData>
    <row r="1" spans="1:69" hidden="1"/>
    <row r="2" spans="1:69" ht="15.75" hidden="1">
      <c r="A2" s="12"/>
      <c r="B2" s="12"/>
      <c r="C2" s="12"/>
      <c r="D2" s="903"/>
      <c r="E2" s="48"/>
      <c r="F2" s="12"/>
      <c r="G2" s="12"/>
      <c r="H2" s="12"/>
      <c r="I2" s="12"/>
      <c r="J2" s="12"/>
      <c r="K2" s="12"/>
      <c r="L2" s="12"/>
      <c r="O2" s="2"/>
      <c r="R2" s="904"/>
      <c r="S2" s="904"/>
      <c r="T2" s="904"/>
      <c r="U2" s="904"/>
      <c r="V2" s="904"/>
      <c r="W2" s="904"/>
      <c r="X2" s="904"/>
      <c r="Y2" s="904"/>
      <c r="Z2" s="904"/>
      <c r="AA2" s="904"/>
      <c r="AB2" s="904"/>
      <c r="AC2" s="904"/>
      <c r="AD2" s="904"/>
      <c r="AE2" s="904"/>
      <c r="AF2" s="904"/>
      <c r="AG2" s="904"/>
      <c r="AH2" s="904"/>
      <c r="AI2" s="904"/>
      <c r="AJ2" s="904"/>
      <c r="AK2" s="904"/>
      <c r="AL2" s="904"/>
      <c r="AM2" s="904"/>
      <c r="AN2" s="904"/>
      <c r="AO2" s="904"/>
      <c r="AP2" s="904"/>
      <c r="AQ2" s="904"/>
      <c r="AR2" s="904"/>
      <c r="AS2" s="904"/>
      <c r="AT2" s="904"/>
      <c r="AU2" s="904"/>
      <c r="AV2" s="904"/>
      <c r="AW2" s="904"/>
      <c r="AX2" s="904"/>
      <c r="AY2" s="904"/>
      <c r="AZ2" s="904"/>
      <c r="BA2" s="904"/>
      <c r="BB2" s="904"/>
      <c r="BC2" s="904"/>
      <c r="BD2" s="904"/>
      <c r="BE2" s="904"/>
      <c r="BF2" s="904"/>
      <c r="BG2" s="904"/>
      <c r="BH2" s="904"/>
      <c r="BI2" s="904"/>
      <c r="BJ2" s="904"/>
      <c r="BK2" s="904"/>
      <c r="BL2" s="904"/>
    </row>
    <row r="3" spans="1:69" hidden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2"/>
      <c r="U3" s="904"/>
      <c r="V3" s="904"/>
      <c r="W3" s="904"/>
      <c r="X3" s="904"/>
      <c r="Y3" s="904"/>
      <c r="Z3" s="904"/>
      <c r="AA3" s="904"/>
      <c r="AB3" s="904"/>
      <c r="AC3" s="904"/>
      <c r="AD3" s="904"/>
      <c r="AE3" s="904"/>
      <c r="AF3" s="904"/>
      <c r="AG3" s="904"/>
      <c r="AH3" s="904"/>
      <c r="AI3" s="904"/>
      <c r="AJ3" s="904"/>
      <c r="AK3" s="904"/>
      <c r="AL3" s="904"/>
      <c r="AM3" s="904"/>
      <c r="AN3" s="904"/>
      <c r="AO3" s="904"/>
      <c r="AP3" s="904"/>
      <c r="AQ3" s="904"/>
      <c r="AR3" s="904"/>
      <c r="AS3" s="904"/>
      <c r="AT3" s="904"/>
      <c r="AU3" s="904"/>
      <c r="AV3" s="904"/>
      <c r="AW3" s="904"/>
      <c r="AX3" s="904"/>
      <c r="AY3" s="904"/>
      <c r="AZ3" s="904"/>
      <c r="BA3" s="904"/>
      <c r="BB3" s="904"/>
      <c r="BC3" s="904"/>
      <c r="BD3" s="904"/>
      <c r="BE3" s="904"/>
      <c r="BF3" s="904"/>
      <c r="BG3" s="904"/>
      <c r="BH3" s="904"/>
      <c r="BI3" s="904"/>
      <c r="BJ3" s="904"/>
      <c r="BK3" s="904"/>
      <c r="BL3" s="904"/>
      <c r="BM3" s="904"/>
      <c r="BN3" s="904"/>
      <c r="BO3" s="904"/>
    </row>
    <row r="4" spans="1:69" ht="15" customHeight="1">
      <c r="A4" s="1168" t="s">
        <v>855</v>
      </c>
      <c r="B4" s="1168"/>
      <c r="C4" s="1168"/>
      <c r="D4" s="1168"/>
      <c r="E4" s="1168"/>
      <c r="F4" s="1168"/>
      <c r="G4" s="1168"/>
      <c r="H4" s="1168"/>
      <c r="I4" s="1168"/>
      <c r="J4" s="1168" t="s">
        <v>855</v>
      </c>
      <c r="K4" s="1168"/>
      <c r="L4" s="1168"/>
      <c r="M4" s="1168"/>
      <c r="N4" s="1168"/>
      <c r="O4" s="1168"/>
      <c r="P4" s="1168"/>
      <c r="Q4" s="1168"/>
      <c r="R4" s="1168"/>
      <c r="U4" s="904"/>
      <c r="V4" s="904"/>
      <c r="W4" s="904"/>
      <c r="X4" s="904"/>
      <c r="Y4" s="904"/>
      <c r="Z4" s="904"/>
      <c r="AA4" s="904"/>
      <c r="AB4" s="904"/>
      <c r="AC4" s="904"/>
      <c r="AD4" s="904"/>
      <c r="AE4" s="904"/>
      <c r="AF4" s="904"/>
      <c r="AG4" s="904"/>
      <c r="AH4" s="904"/>
      <c r="AI4" s="904"/>
      <c r="AJ4" s="904"/>
      <c r="AK4" s="904"/>
      <c r="AL4" s="904"/>
      <c r="AM4" s="904"/>
      <c r="AN4" s="904"/>
      <c r="AO4" s="904"/>
      <c r="AP4" s="904"/>
      <c r="AQ4" s="904"/>
      <c r="AR4" s="904"/>
      <c r="AS4" s="904"/>
      <c r="AT4" s="904"/>
      <c r="AU4" s="904"/>
      <c r="AV4" s="904"/>
      <c r="AW4" s="904"/>
      <c r="AX4" s="904"/>
      <c r="AY4" s="904"/>
      <c r="AZ4" s="904"/>
      <c r="BA4" s="904"/>
      <c r="BB4" s="904"/>
      <c r="BC4" s="904"/>
      <c r="BD4" s="904"/>
      <c r="BE4" s="904"/>
      <c r="BF4" s="904"/>
      <c r="BG4" s="904"/>
      <c r="BH4" s="904"/>
      <c r="BI4" s="904"/>
      <c r="BJ4" s="904"/>
      <c r="BK4" s="904"/>
      <c r="BL4" s="904"/>
      <c r="BM4" s="904"/>
      <c r="BN4" s="904"/>
      <c r="BO4" s="904"/>
    </row>
    <row r="5" spans="1:69" ht="15.75">
      <c r="A5" s="1167" t="s">
        <v>666</v>
      </c>
      <c r="B5" s="1167"/>
      <c r="C5" s="1167"/>
      <c r="D5" s="1167"/>
      <c r="E5" s="1167"/>
      <c r="F5" s="1167"/>
      <c r="G5" s="1167"/>
      <c r="H5" s="1167"/>
      <c r="I5" s="1167"/>
      <c r="J5" s="1167" t="s">
        <v>666</v>
      </c>
      <c r="K5" s="1167"/>
      <c r="L5" s="1167"/>
      <c r="M5" s="1167"/>
      <c r="N5" s="1167"/>
      <c r="O5" s="1167"/>
      <c r="P5" s="1167"/>
      <c r="Q5" s="1167"/>
      <c r="R5" s="1167"/>
      <c r="U5" s="904"/>
      <c r="V5" s="904"/>
      <c r="W5" s="904"/>
      <c r="X5" s="904"/>
      <c r="Y5" s="904"/>
      <c r="Z5" s="904"/>
      <c r="AA5" s="904"/>
      <c r="AB5" s="904"/>
      <c r="AC5" s="904"/>
      <c r="AD5" s="904"/>
      <c r="AE5" s="904"/>
      <c r="AF5" s="904"/>
      <c r="AG5" s="904"/>
      <c r="AH5" s="904"/>
      <c r="AI5" s="904"/>
      <c r="AJ5" s="904"/>
      <c r="AK5" s="904"/>
      <c r="AL5" s="904"/>
      <c r="AM5" s="904"/>
      <c r="AN5" s="904"/>
      <c r="AO5" s="904"/>
      <c r="AP5" s="904"/>
      <c r="AQ5" s="904"/>
      <c r="AR5" s="904"/>
      <c r="AS5" s="904"/>
      <c r="AT5" s="904"/>
      <c r="AU5" s="904"/>
      <c r="AV5" s="904"/>
      <c r="AW5" s="904"/>
      <c r="AX5" s="904"/>
      <c r="AY5" s="904"/>
      <c r="AZ5" s="904"/>
      <c r="BA5" s="904"/>
      <c r="BB5" s="904"/>
      <c r="BC5" s="904"/>
      <c r="BD5" s="904"/>
      <c r="BE5" s="904"/>
      <c r="BF5" s="904"/>
      <c r="BG5" s="904"/>
      <c r="BH5" s="904"/>
      <c r="BI5" s="904"/>
      <c r="BJ5" s="904"/>
      <c r="BK5" s="904"/>
      <c r="BL5" s="904"/>
      <c r="BM5" s="904"/>
      <c r="BN5" s="904"/>
      <c r="BO5" s="904"/>
    </row>
    <row r="6" spans="1:69">
      <c r="A6" s="12"/>
      <c r="B6" s="12"/>
      <c r="C6" s="2"/>
      <c r="D6" s="2"/>
      <c r="F6" s="2"/>
      <c r="G6" s="2"/>
      <c r="H6" s="2"/>
      <c r="I6" s="2"/>
      <c r="J6" s="12"/>
      <c r="K6" s="12"/>
      <c r="L6" s="2"/>
      <c r="M6" s="2"/>
      <c r="O6" s="2"/>
      <c r="P6" s="2"/>
      <c r="Q6" s="2"/>
      <c r="R6" s="2"/>
      <c r="U6" s="904"/>
      <c r="V6" s="904"/>
      <c r="W6" s="904"/>
      <c r="X6" s="904"/>
      <c r="Y6" s="904"/>
      <c r="Z6" s="904"/>
      <c r="AA6" s="904"/>
      <c r="AB6" s="904"/>
      <c r="AC6" s="904"/>
      <c r="AD6" s="904"/>
      <c r="AE6" s="904"/>
      <c r="AF6" s="904"/>
      <c r="AG6" s="904"/>
      <c r="AH6" s="904"/>
      <c r="AI6" s="904"/>
      <c r="AJ6" s="904"/>
      <c r="AK6" s="904"/>
      <c r="AL6" s="904"/>
      <c r="AM6" s="904"/>
      <c r="AN6" s="904"/>
      <c r="AO6" s="904"/>
      <c r="AP6" s="904"/>
      <c r="AQ6" s="904"/>
      <c r="AR6" s="904"/>
      <c r="AS6" s="904"/>
      <c r="AT6" s="904"/>
      <c r="AU6" s="904"/>
      <c r="AV6" s="904"/>
      <c r="AW6" s="904"/>
      <c r="AX6" s="904"/>
      <c r="AY6" s="904"/>
      <c r="AZ6" s="904"/>
      <c r="BA6" s="904"/>
      <c r="BB6" s="904"/>
      <c r="BC6" s="904"/>
      <c r="BD6" s="904"/>
      <c r="BE6" s="904"/>
      <c r="BF6" s="904"/>
      <c r="BG6" s="904"/>
      <c r="BH6" s="904"/>
      <c r="BI6" s="904"/>
      <c r="BJ6" s="904"/>
      <c r="BK6" s="904"/>
      <c r="BL6" s="904"/>
      <c r="BM6" s="904"/>
      <c r="BN6" s="904"/>
      <c r="BO6" s="904"/>
    </row>
    <row r="7" spans="1:69" ht="15" customHeight="1">
      <c r="A7" s="1166" t="s">
        <v>851</v>
      </c>
      <c r="B7" s="1166"/>
      <c r="C7" s="1166"/>
      <c r="D7" s="1166"/>
      <c r="E7" s="1166"/>
      <c r="F7" s="1166"/>
      <c r="G7" s="1166"/>
      <c r="H7" s="1166"/>
      <c r="I7" s="1166"/>
      <c r="J7" s="1166" t="s">
        <v>851</v>
      </c>
      <c r="K7" s="1166"/>
      <c r="L7" s="1166"/>
      <c r="M7" s="1166"/>
      <c r="N7" s="1166"/>
      <c r="O7" s="1166"/>
      <c r="P7" s="1166"/>
      <c r="Q7" s="1166"/>
      <c r="R7" s="1166"/>
      <c r="U7" s="904"/>
      <c r="V7" s="904"/>
      <c r="W7" s="904"/>
      <c r="X7" s="904"/>
      <c r="Y7" s="904"/>
      <c r="Z7" s="904"/>
      <c r="AA7" s="904"/>
      <c r="AB7" s="904"/>
      <c r="AC7" s="904"/>
      <c r="AD7" s="904"/>
      <c r="AE7" s="904"/>
      <c r="AF7" s="904"/>
      <c r="AG7" s="904"/>
      <c r="AH7" s="904"/>
      <c r="AI7" s="904"/>
      <c r="AJ7" s="904"/>
      <c r="AK7" s="904"/>
      <c r="AL7" s="904"/>
      <c r="AM7" s="904"/>
      <c r="AN7" s="904"/>
      <c r="AO7" s="904"/>
      <c r="AP7" s="904"/>
      <c r="AQ7" s="904"/>
      <c r="AR7" s="904"/>
      <c r="AS7" s="904"/>
      <c r="AT7" s="904"/>
      <c r="AU7" s="904"/>
      <c r="AV7" s="904"/>
      <c r="AW7" s="904"/>
      <c r="AX7" s="904"/>
      <c r="AY7" s="904"/>
      <c r="AZ7" s="904"/>
      <c r="BA7" s="904"/>
      <c r="BB7" s="904"/>
      <c r="BC7" s="904"/>
      <c r="BD7" s="904"/>
      <c r="BE7" s="904"/>
      <c r="BF7" s="904"/>
      <c r="BG7" s="904"/>
      <c r="BH7" s="904"/>
      <c r="BI7" s="904"/>
      <c r="BJ7" s="904"/>
      <c r="BK7" s="904"/>
      <c r="BL7" s="904"/>
      <c r="BM7" s="904"/>
      <c r="BN7" s="904"/>
      <c r="BO7" s="904"/>
    </row>
    <row r="8" spans="1:69">
      <c r="A8" s="26"/>
      <c r="B8" s="12"/>
      <c r="C8" s="2"/>
      <c r="D8" s="2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U8" s="904"/>
      <c r="V8" s="904"/>
      <c r="W8" s="904"/>
      <c r="X8" s="904"/>
      <c r="Y8" s="904"/>
      <c r="Z8" s="904"/>
      <c r="AA8" s="904"/>
      <c r="AB8" s="904"/>
      <c r="AC8" s="904"/>
      <c r="AD8" s="904"/>
      <c r="AE8" s="904"/>
      <c r="AF8" s="904"/>
      <c r="AG8" s="904"/>
      <c r="AH8" s="904"/>
      <c r="AI8" s="904"/>
      <c r="AJ8" s="904"/>
      <c r="AK8" s="904"/>
      <c r="AL8" s="904"/>
      <c r="AM8" s="904"/>
      <c r="AN8" s="904"/>
      <c r="AO8" s="904"/>
      <c r="AP8" s="904"/>
      <c r="AQ8" s="904"/>
      <c r="AR8" s="904"/>
      <c r="AS8" s="904"/>
      <c r="AT8" s="904"/>
      <c r="AU8" s="904"/>
      <c r="AV8" s="904"/>
      <c r="AW8" s="904"/>
      <c r="AX8" s="904"/>
      <c r="AY8" s="904"/>
      <c r="AZ8" s="904"/>
      <c r="BA8" s="904"/>
      <c r="BB8" s="904"/>
      <c r="BC8" s="904"/>
      <c r="BD8" s="904"/>
      <c r="BE8" s="904"/>
      <c r="BF8" s="904"/>
      <c r="BG8" s="904"/>
      <c r="BH8" s="904"/>
      <c r="BI8" s="904"/>
      <c r="BJ8" s="904"/>
      <c r="BK8" s="904"/>
      <c r="BL8" s="904"/>
      <c r="BM8" s="904"/>
      <c r="BN8" s="904"/>
      <c r="BO8" s="904"/>
    </row>
    <row r="9" spans="1:69">
      <c r="A9" s="12"/>
      <c r="B9" s="12"/>
      <c r="C9" s="4"/>
      <c r="D9" s="4"/>
      <c r="E9" s="4"/>
      <c r="F9" s="5"/>
      <c r="G9" s="5"/>
      <c r="H9" s="5"/>
      <c r="I9" s="5"/>
      <c r="J9" s="5"/>
      <c r="K9" s="5"/>
      <c r="L9" s="4"/>
      <c r="O9" s="904"/>
      <c r="P9" s="904"/>
      <c r="Q9" s="904"/>
      <c r="R9" s="904"/>
      <c r="S9" s="904"/>
      <c r="T9" s="904"/>
      <c r="U9" s="904"/>
      <c r="V9" s="904"/>
      <c r="W9" s="904"/>
      <c r="X9" s="904"/>
      <c r="Y9" s="904"/>
      <c r="Z9" s="904"/>
      <c r="AA9" s="904"/>
      <c r="AB9" s="904"/>
      <c r="AC9" s="904"/>
      <c r="AD9" s="904"/>
      <c r="AE9" s="904"/>
      <c r="AF9" s="904"/>
      <c r="AG9" s="904"/>
      <c r="AH9" s="904"/>
      <c r="AI9" s="904"/>
      <c r="AJ9" s="904"/>
      <c r="AK9" s="904"/>
      <c r="AL9" s="904"/>
      <c r="AM9" s="904"/>
      <c r="AN9" s="904"/>
      <c r="AO9" s="904"/>
      <c r="AP9" s="904"/>
      <c r="AQ9" s="904"/>
      <c r="AR9" s="904"/>
      <c r="AS9" s="904"/>
      <c r="AT9" s="904"/>
      <c r="AU9" s="904"/>
      <c r="AV9" s="904"/>
      <c r="AW9" s="904"/>
      <c r="AX9" s="904"/>
      <c r="AY9" s="904"/>
      <c r="AZ9" s="904"/>
      <c r="BA9" s="904"/>
      <c r="BB9" s="904"/>
      <c r="BC9" s="904"/>
      <c r="BD9" s="904"/>
      <c r="BE9" s="904"/>
      <c r="BF9" s="904"/>
      <c r="BG9" s="904"/>
      <c r="BH9" s="904"/>
      <c r="BI9" s="904"/>
      <c r="BJ9" s="904"/>
    </row>
    <row r="10" spans="1:69" ht="15.75">
      <c r="A10" s="12"/>
      <c r="B10" s="12"/>
      <c r="C10" s="3"/>
      <c r="D10" s="22" t="s">
        <v>677</v>
      </c>
      <c r="E10" s="5"/>
      <c r="F10" s="5"/>
      <c r="G10" s="5"/>
      <c r="H10" s="5"/>
      <c r="I10" s="5"/>
      <c r="J10" s="5"/>
      <c r="K10" s="5"/>
      <c r="L10" s="4"/>
      <c r="O10" s="904"/>
      <c r="P10" s="904"/>
      <c r="Q10" s="904"/>
      <c r="R10" s="904"/>
      <c r="S10" s="904"/>
      <c r="T10" s="904"/>
      <c r="U10" s="904"/>
      <c r="V10" s="904"/>
      <c r="W10" s="904"/>
      <c r="X10" s="904"/>
      <c r="Y10" s="904"/>
      <c r="Z10" s="904"/>
      <c r="AA10" s="904"/>
      <c r="AB10" s="904"/>
      <c r="AC10" s="904"/>
      <c r="AD10" s="904"/>
      <c r="AE10" s="904"/>
      <c r="AF10" s="904"/>
      <c r="AG10" s="904"/>
      <c r="AH10" s="904"/>
      <c r="AI10" s="904"/>
      <c r="AJ10" s="904"/>
      <c r="AK10" s="904"/>
      <c r="AL10" s="904"/>
      <c r="AM10" s="904"/>
      <c r="AN10" s="904"/>
      <c r="AO10" s="904"/>
      <c r="AP10" s="904"/>
      <c r="AQ10" s="904"/>
      <c r="AR10" s="904"/>
      <c r="AS10" s="904"/>
      <c r="AT10" s="904"/>
      <c r="AU10" s="904"/>
      <c r="AV10" s="904"/>
      <c r="AW10" s="904"/>
      <c r="AX10" s="904"/>
      <c r="AY10" s="904"/>
      <c r="AZ10" s="904"/>
      <c r="BA10" s="904"/>
      <c r="BB10" s="904"/>
      <c r="BC10" s="904"/>
      <c r="BD10" s="904"/>
      <c r="BE10" s="904"/>
      <c r="BF10" s="904"/>
      <c r="BG10" s="904"/>
      <c r="BH10" s="904"/>
      <c r="BI10" s="904"/>
      <c r="BJ10" s="904"/>
    </row>
    <row r="11" spans="1:69" ht="15.75">
      <c r="A11" s="26" t="s">
        <v>667</v>
      </c>
      <c r="B11" s="12"/>
      <c r="C11" s="3"/>
      <c r="D11" s="35" t="s">
        <v>679</v>
      </c>
      <c r="E11" s="27" t="s">
        <v>680</v>
      </c>
      <c r="F11" s="36"/>
      <c r="G11" s="36"/>
      <c r="H11" s="36"/>
      <c r="I11" s="36"/>
      <c r="J11" s="36"/>
      <c r="K11" s="36"/>
      <c r="L11" s="851"/>
      <c r="O11" s="904"/>
      <c r="P11" s="904"/>
      <c r="Q11" s="947"/>
      <c r="R11" s="904"/>
      <c r="S11" s="904"/>
      <c r="T11" s="904"/>
      <c r="U11" s="904"/>
      <c r="V11" s="904"/>
      <c r="W11" s="904"/>
      <c r="X11" s="904"/>
      <c r="Y11" s="904"/>
      <c r="Z11" s="904"/>
      <c r="AA11" s="904"/>
      <c r="AB11" s="904"/>
      <c r="AC11" s="904"/>
      <c r="AD11" s="904"/>
      <c r="AE11" s="904"/>
      <c r="AF11" s="904"/>
      <c r="AG11" s="904"/>
      <c r="AH11" s="904"/>
      <c r="AI11" s="904"/>
      <c r="AJ11" s="904"/>
      <c r="AK11" s="904"/>
      <c r="AL11" s="904"/>
      <c r="AM11" s="904"/>
      <c r="AN11" s="904"/>
      <c r="AO11" s="904"/>
      <c r="AP11" s="904"/>
      <c r="AQ11" s="904"/>
      <c r="AR11" s="904"/>
      <c r="AS11" s="904"/>
      <c r="AT11" s="904"/>
      <c r="AU11" s="904"/>
      <c r="AV11" s="904"/>
      <c r="AW11" s="904"/>
      <c r="AX11" s="904"/>
      <c r="AY11" s="904"/>
      <c r="AZ11" s="904"/>
      <c r="BA11" s="904"/>
      <c r="BB11" s="904"/>
      <c r="BC11" s="904"/>
      <c r="BD11" s="904"/>
      <c r="BE11" s="904"/>
      <c r="BF11" s="904"/>
      <c r="BG11" s="904"/>
      <c r="BH11" s="904"/>
      <c r="BI11" s="904"/>
      <c r="BJ11" s="904"/>
    </row>
    <row r="12" spans="1:69" ht="16.5" thickBot="1">
      <c r="A12" s="31" t="s">
        <v>668</v>
      </c>
      <c r="B12" s="12"/>
      <c r="C12" s="13" t="s">
        <v>682</v>
      </c>
      <c r="D12" s="5"/>
      <c r="E12" s="6" t="s">
        <v>260</v>
      </c>
      <c r="F12" s="6" t="s">
        <v>261</v>
      </c>
      <c r="G12" s="6" t="s">
        <v>262</v>
      </c>
      <c r="H12" s="6" t="s">
        <v>263</v>
      </c>
      <c r="I12" s="6" t="s">
        <v>264</v>
      </c>
      <c r="J12" s="6" t="s">
        <v>265</v>
      </c>
      <c r="K12" s="6" t="s">
        <v>266</v>
      </c>
      <c r="L12" s="6" t="s">
        <v>267</v>
      </c>
      <c r="M12" s="6" t="s">
        <v>584</v>
      </c>
      <c r="N12" s="6" t="s">
        <v>268</v>
      </c>
      <c r="O12" s="6" t="s">
        <v>269</v>
      </c>
      <c r="P12" s="6" t="s">
        <v>270</v>
      </c>
      <c r="Q12" s="6" t="s">
        <v>271</v>
      </c>
      <c r="R12" s="6" t="s">
        <v>272</v>
      </c>
      <c r="S12" s="904"/>
      <c r="T12" s="904"/>
      <c r="U12" s="904"/>
      <c r="V12" s="904"/>
      <c r="W12" s="904"/>
      <c r="X12" s="904"/>
      <c r="Y12" s="904"/>
      <c r="Z12" s="904"/>
      <c r="AA12" s="904"/>
      <c r="AB12" s="904"/>
      <c r="AC12" s="904"/>
      <c r="AD12" s="904"/>
      <c r="AE12" s="904"/>
      <c r="AF12" s="904"/>
      <c r="AG12" s="904"/>
      <c r="AH12" s="904"/>
      <c r="AI12" s="904"/>
      <c r="AJ12" s="904"/>
      <c r="AK12" s="904"/>
      <c r="AL12" s="904"/>
      <c r="AM12" s="904"/>
      <c r="AN12" s="904"/>
      <c r="AO12" s="904"/>
      <c r="AP12" s="904"/>
      <c r="AQ12" s="904"/>
      <c r="AR12" s="904"/>
      <c r="AS12" s="904"/>
      <c r="AT12" s="904"/>
      <c r="AU12" s="904"/>
      <c r="AV12" s="904"/>
      <c r="AW12" s="904"/>
      <c r="AX12" s="904"/>
      <c r="AY12" s="904"/>
      <c r="AZ12" s="904"/>
      <c r="BA12" s="904"/>
      <c r="BB12" s="904"/>
      <c r="BC12" s="904"/>
      <c r="BD12" s="904"/>
      <c r="BE12" s="904"/>
      <c r="BF12" s="904"/>
      <c r="BG12" s="904"/>
      <c r="BH12" s="904"/>
      <c r="BI12" s="904"/>
      <c r="BJ12" s="904"/>
    </row>
    <row r="13" spans="1:69">
      <c r="A13" s="26"/>
      <c r="B13" s="12"/>
      <c r="C13" s="3"/>
      <c r="D13" s="5"/>
      <c r="E13" s="906">
        <v>40878</v>
      </c>
      <c r="F13" s="906">
        <v>40909</v>
      </c>
      <c r="G13" s="906">
        <v>40940</v>
      </c>
      <c r="H13" s="906">
        <v>40969</v>
      </c>
      <c r="I13" s="906">
        <v>41000</v>
      </c>
      <c r="J13" s="906">
        <v>41030</v>
      </c>
      <c r="K13" s="906">
        <v>41061</v>
      </c>
      <c r="L13" s="1125">
        <v>41091</v>
      </c>
      <c r="M13" s="1125">
        <v>41122</v>
      </c>
      <c r="N13" s="1125">
        <v>41153</v>
      </c>
      <c r="O13" s="1125">
        <v>41183</v>
      </c>
      <c r="P13" s="1125">
        <v>41214</v>
      </c>
      <c r="Q13" s="1125">
        <v>41244</v>
      </c>
      <c r="R13" s="741" t="s">
        <v>242</v>
      </c>
      <c r="S13" s="904"/>
      <c r="T13" s="904"/>
      <c r="U13" s="904"/>
      <c r="V13" s="904"/>
      <c r="W13" s="904"/>
      <c r="X13" s="904"/>
      <c r="Y13" s="904"/>
      <c r="Z13" s="904"/>
      <c r="AA13" s="904"/>
      <c r="AB13" s="904"/>
      <c r="AC13" s="904"/>
      <c r="AD13" s="904"/>
      <c r="AE13" s="904"/>
      <c r="AF13" s="904"/>
      <c r="AG13" s="904"/>
      <c r="AH13" s="904"/>
      <c r="AI13" s="904"/>
      <c r="AJ13" s="904"/>
      <c r="AK13" s="904"/>
      <c r="AL13" s="904"/>
      <c r="AM13" s="904"/>
      <c r="AN13" s="904"/>
      <c r="AO13" s="904"/>
      <c r="AP13" s="904"/>
      <c r="AQ13" s="904"/>
      <c r="AR13" s="904"/>
      <c r="AS13" s="904"/>
      <c r="AT13" s="904"/>
      <c r="AU13" s="904"/>
      <c r="AV13" s="904"/>
      <c r="AW13" s="904"/>
      <c r="AX13" s="904"/>
      <c r="AY13" s="904"/>
      <c r="AZ13" s="904"/>
      <c r="BA13" s="904"/>
      <c r="BB13" s="904"/>
      <c r="BC13" s="904"/>
      <c r="BD13" s="904"/>
      <c r="BE13" s="904"/>
      <c r="BF13" s="904"/>
      <c r="BG13" s="904"/>
      <c r="BH13" s="904"/>
      <c r="BI13" s="904"/>
      <c r="BJ13" s="904"/>
    </row>
    <row r="14" spans="1:69">
      <c r="A14" s="26"/>
      <c r="B14" s="12"/>
      <c r="C14" s="3" t="s">
        <v>307</v>
      </c>
      <c r="D14" s="5" t="s">
        <v>806</v>
      </c>
      <c r="E14" s="741"/>
      <c r="F14" s="741"/>
      <c r="G14" s="741"/>
      <c r="H14" s="741"/>
      <c r="I14" s="741"/>
      <c r="J14" s="741"/>
      <c r="K14" s="741"/>
      <c r="L14" s="741"/>
      <c r="M14" s="741"/>
      <c r="N14" s="741"/>
      <c r="O14" s="741"/>
      <c r="P14" s="741"/>
      <c r="Q14" s="741"/>
      <c r="S14" s="5"/>
      <c r="T14" s="5"/>
      <c r="W14" s="904"/>
      <c r="X14" s="904"/>
      <c r="Y14" s="904"/>
      <c r="Z14" s="904"/>
      <c r="AA14" s="904"/>
      <c r="AB14" s="904"/>
      <c r="AC14" s="904"/>
      <c r="AD14" s="904"/>
      <c r="AE14" s="904"/>
      <c r="AF14" s="904"/>
      <c r="AG14" s="904"/>
      <c r="AH14" s="904"/>
      <c r="AI14" s="904"/>
      <c r="AJ14" s="904"/>
      <c r="AK14" s="904"/>
      <c r="AL14" s="904"/>
      <c r="AM14" s="904"/>
      <c r="AN14" s="904"/>
      <c r="AO14" s="904"/>
      <c r="AP14" s="904"/>
      <c r="AQ14" s="904"/>
      <c r="AR14" s="904"/>
      <c r="AS14" s="904"/>
      <c r="AT14" s="904"/>
      <c r="AU14" s="904"/>
      <c r="AV14" s="904"/>
      <c r="AW14" s="904"/>
      <c r="AX14" s="904"/>
      <c r="AY14" s="904"/>
      <c r="AZ14" s="904"/>
      <c r="BA14" s="904"/>
      <c r="BB14" s="904"/>
      <c r="BC14" s="904"/>
      <c r="BD14" s="904"/>
      <c r="BE14" s="904"/>
      <c r="BF14" s="904"/>
      <c r="BG14" s="904"/>
      <c r="BH14" s="904"/>
      <c r="BI14" s="904"/>
      <c r="BJ14" s="904"/>
      <c r="BK14" s="904"/>
      <c r="BL14" s="904"/>
      <c r="BM14" s="904"/>
      <c r="BN14" s="904"/>
      <c r="BO14" s="904"/>
      <c r="BP14" s="904"/>
      <c r="BQ14" s="904"/>
    </row>
    <row r="15" spans="1:69">
      <c r="A15" s="26">
        <v>1</v>
      </c>
      <c r="B15" s="12"/>
      <c r="C15" s="3" t="s">
        <v>684</v>
      </c>
      <c r="D15" s="5" t="s">
        <v>364</v>
      </c>
      <c r="E15" s="769">
        <v>511233892</v>
      </c>
      <c r="F15" s="769">
        <v>511373757.41000003</v>
      </c>
      <c r="G15" s="769">
        <v>511433272.81</v>
      </c>
      <c r="H15" s="769">
        <v>511440669.76999998</v>
      </c>
      <c r="I15" s="769">
        <v>511452888.62</v>
      </c>
      <c r="J15" s="769">
        <v>513903023.38</v>
      </c>
      <c r="K15" s="769">
        <v>518110171.81999999</v>
      </c>
      <c r="L15" s="769">
        <f>438380628.55+79849678.21</f>
        <v>518230306.75999999</v>
      </c>
      <c r="M15" s="769">
        <f>437909197+79818482</f>
        <v>517727679</v>
      </c>
      <c r="N15" s="769">
        <f>438820593+79818482</f>
        <v>518639075</v>
      </c>
      <c r="O15" s="769">
        <f>437299649+79818482</f>
        <v>517118131</v>
      </c>
      <c r="P15" s="769">
        <f>437325635+79818482</f>
        <v>517144117</v>
      </c>
      <c r="Q15" s="769">
        <f>437871353+79948987</f>
        <v>517820340</v>
      </c>
      <c r="R15" s="769">
        <f>AVERAGE(E15:Q15)</f>
        <v>515048255.7361539</v>
      </c>
      <c r="S15" s="5"/>
      <c r="T15" s="12"/>
      <c r="W15" s="904"/>
      <c r="X15" s="904"/>
      <c r="Y15" s="904"/>
      <c r="Z15" s="904"/>
      <c r="AA15" s="904"/>
      <c r="AB15" s="904"/>
      <c r="AC15" s="904"/>
      <c r="AD15" s="904"/>
      <c r="AE15" s="904"/>
      <c r="AF15" s="904"/>
      <c r="AG15" s="904"/>
      <c r="AH15" s="904"/>
      <c r="AI15" s="904"/>
      <c r="AJ15" s="904"/>
      <c r="AK15" s="904"/>
      <c r="AL15" s="904"/>
      <c r="AM15" s="904"/>
      <c r="AN15" s="904"/>
      <c r="AO15" s="904"/>
      <c r="AP15" s="904"/>
      <c r="AQ15" s="904"/>
      <c r="AR15" s="904"/>
      <c r="AS15" s="904"/>
      <c r="AT15" s="904"/>
      <c r="AU15" s="904"/>
      <c r="AV15" s="904"/>
      <c r="AW15" s="904"/>
      <c r="AX15" s="904"/>
      <c r="AY15" s="904"/>
      <c r="AZ15" s="904"/>
      <c r="BA15" s="904"/>
      <c r="BB15" s="904"/>
      <c r="BC15" s="904"/>
      <c r="BD15" s="904"/>
      <c r="BE15" s="904"/>
      <c r="BF15" s="904"/>
      <c r="BG15" s="904"/>
      <c r="BH15" s="904"/>
      <c r="BI15" s="904"/>
      <c r="BJ15" s="904"/>
      <c r="BK15" s="904"/>
      <c r="BL15" s="904"/>
      <c r="BM15" s="904"/>
      <c r="BN15" s="904"/>
      <c r="BO15" s="904"/>
      <c r="BP15" s="904"/>
      <c r="BQ15" s="904"/>
    </row>
    <row r="16" spans="1:69">
      <c r="A16" s="26">
        <f t="shared" ref="A16:A67" si="0">+A15+1</f>
        <v>2</v>
      </c>
      <c r="B16" s="12"/>
      <c r="C16" s="3" t="s">
        <v>686</v>
      </c>
      <c r="D16" s="5" t="s">
        <v>550</v>
      </c>
      <c r="E16" s="769">
        <v>115818393</v>
      </c>
      <c r="F16" s="769">
        <v>115118537.08</v>
      </c>
      <c r="G16" s="769">
        <v>115162936.94</v>
      </c>
      <c r="H16" s="769">
        <v>115159946.69</v>
      </c>
      <c r="I16" s="769">
        <v>115115695.19</v>
      </c>
      <c r="J16" s="769">
        <v>115289502.20999999</v>
      </c>
      <c r="K16" s="769">
        <v>115350200.3</v>
      </c>
      <c r="L16" s="769">
        <f>115514159.72-156440</f>
        <v>115357719.72</v>
      </c>
      <c r="M16" s="769">
        <f>115504537-156439</f>
        <v>115348098</v>
      </c>
      <c r="N16" s="769">
        <f>115045739-156440</f>
        <v>114889299</v>
      </c>
      <c r="O16" s="769">
        <v>114833217</v>
      </c>
      <c r="P16" s="769">
        <v>114919214</v>
      </c>
      <c r="Q16" s="769">
        <v>115092112</v>
      </c>
      <c r="R16" s="769">
        <f t="shared" ref="R16:R21" si="1">AVERAGE(E16:Q16)</f>
        <v>115188836.24076924</v>
      </c>
      <c r="S16" s="5"/>
      <c r="T16" s="12"/>
      <c r="W16" s="904"/>
      <c r="X16" s="904"/>
      <c r="Y16" s="904"/>
      <c r="Z16" s="904"/>
      <c r="AA16" s="904"/>
      <c r="AB16" s="904"/>
      <c r="AC16" s="904"/>
      <c r="AD16" s="904"/>
      <c r="AE16" s="904"/>
      <c r="AF16" s="904"/>
      <c r="AG16" s="904"/>
      <c r="AH16" s="904"/>
      <c r="AI16" s="904"/>
      <c r="AJ16" s="904"/>
      <c r="AK16" s="904"/>
      <c r="AL16" s="904"/>
      <c r="AM16" s="904"/>
      <c r="AN16" s="904"/>
      <c r="AO16" s="904"/>
      <c r="AP16" s="904"/>
      <c r="AQ16" s="904"/>
      <c r="AR16" s="904"/>
      <c r="AS16" s="904"/>
      <c r="AT16" s="904"/>
      <c r="AU16" s="904"/>
      <c r="AV16" s="904"/>
      <c r="AW16" s="904"/>
      <c r="AX16" s="904"/>
      <c r="AY16" s="904"/>
      <c r="AZ16" s="904"/>
      <c r="BA16" s="904"/>
      <c r="BB16" s="904"/>
      <c r="BC16" s="904"/>
      <c r="BD16" s="904"/>
      <c r="BE16" s="904"/>
      <c r="BF16" s="904"/>
      <c r="BG16" s="904"/>
      <c r="BH16" s="904"/>
      <c r="BI16" s="904"/>
      <c r="BJ16" s="904"/>
      <c r="BK16" s="904"/>
      <c r="BL16" s="904"/>
      <c r="BM16" s="904"/>
      <c r="BN16" s="904"/>
      <c r="BO16" s="904"/>
      <c r="BP16" s="904"/>
      <c r="BQ16" s="904"/>
    </row>
    <row r="17" spans="1:69">
      <c r="A17" s="26">
        <f t="shared" si="0"/>
        <v>3</v>
      </c>
      <c r="B17" s="12"/>
      <c r="C17" s="3" t="s">
        <v>687</v>
      </c>
      <c r="D17" s="5" t="s">
        <v>551</v>
      </c>
      <c r="E17" s="769">
        <v>289832825</v>
      </c>
      <c r="F17" s="769">
        <v>290647973.68000001</v>
      </c>
      <c r="G17" s="769">
        <v>291433182.5</v>
      </c>
      <c r="H17" s="769">
        <v>292606030.37</v>
      </c>
      <c r="I17" s="769">
        <v>293625179.94</v>
      </c>
      <c r="J17" s="769">
        <v>296163481.75999999</v>
      </c>
      <c r="K17" s="769">
        <v>297183490.02999997</v>
      </c>
      <c r="L17" s="769">
        <v>297763345.52999997</v>
      </c>
      <c r="M17" s="769">
        <v>299116172</v>
      </c>
      <c r="N17" s="769">
        <v>299507210</v>
      </c>
      <c r="O17" s="769">
        <v>303034965</v>
      </c>
      <c r="P17" s="769">
        <v>303699033</v>
      </c>
      <c r="Q17" s="769">
        <v>304113495</v>
      </c>
      <c r="R17" s="769">
        <f>AVERAGE(E17:Q17)</f>
        <v>296825106.44692314</v>
      </c>
      <c r="S17" s="5"/>
      <c r="T17" s="12"/>
      <c r="W17" s="904"/>
      <c r="X17" s="904"/>
      <c r="Y17" s="904"/>
      <c r="Z17" s="904"/>
      <c r="AA17" s="904"/>
      <c r="AB17" s="904"/>
      <c r="AC17" s="904"/>
      <c r="AD17" s="904"/>
      <c r="AE17" s="904"/>
      <c r="AF17" s="904"/>
      <c r="AG17" s="904"/>
      <c r="AH17" s="904"/>
      <c r="AI17" s="904"/>
      <c r="AJ17" s="904"/>
      <c r="AK17" s="904"/>
      <c r="AL17" s="904"/>
      <c r="AM17" s="904"/>
      <c r="AN17" s="904"/>
      <c r="AO17" s="904"/>
      <c r="AP17" s="904"/>
      <c r="AQ17" s="904"/>
      <c r="AR17" s="904"/>
      <c r="AS17" s="904"/>
      <c r="AT17" s="904"/>
      <c r="AU17" s="904"/>
      <c r="AV17" s="904"/>
      <c r="AW17" s="904"/>
      <c r="AX17" s="904"/>
      <c r="AY17" s="904"/>
      <c r="AZ17" s="904"/>
      <c r="BA17" s="904"/>
      <c r="BB17" s="904"/>
      <c r="BC17" s="904"/>
      <c r="BD17" s="904"/>
      <c r="BE17" s="904"/>
      <c r="BF17" s="904"/>
      <c r="BG17" s="904"/>
      <c r="BH17" s="904"/>
      <c r="BI17" s="904"/>
      <c r="BJ17" s="904"/>
      <c r="BK17" s="904"/>
      <c r="BL17" s="904"/>
      <c r="BM17" s="904"/>
      <c r="BN17" s="904"/>
      <c r="BO17" s="904"/>
      <c r="BP17" s="904"/>
      <c r="BQ17" s="904"/>
    </row>
    <row r="18" spans="1:69">
      <c r="A18" s="26">
        <f t="shared" si="0"/>
        <v>4</v>
      </c>
      <c r="B18" s="12"/>
      <c r="C18" s="3" t="s">
        <v>688</v>
      </c>
      <c r="D18" s="5" t="s">
        <v>258</v>
      </c>
      <c r="E18" s="769">
        <f>45165350-E20</f>
        <v>37131429</v>
      </c>
      <c r="F18" s="769">
        <v>37267710.910000004</v>
      </c>
      <c r="G18" s="769">
        <v>37332907.099999994</v>
      </c>
      <c r="H18" s="769">
        <v>37943062.650000006</v>
      </c>
      <c r="I18" s="769">
        <v>32393733.390000004</v>
      </c>
      <c r="J18" s="769">
        <v>32692815.349999998</v>
      </c>
      <c r="K18" s="769">
        <v>34235439.149999999</v>
      </c>
      <c r="L18" s="769">
        <f>42247278.51-L20</f>
        <v>34142590.099999994</v>
      </c>
      <c r="M18" s="769">
        <f>42390914-M20</f>
        <v>34285392.539999999</v>
      </c>
      <c r="N18" s="769">
        <f>42687060-N20</f>
        <v>34581176.869999997</v>
      </c>
      <c r="O18" s="769">
        <f>41843111-O20</f>
        <v>33669468.269999996</v>
      </c>
      <c r="P18" s="769">
        <f>41912137-P20</f>
        <v>33741206.269999996</v>
      </c>
      <c r="Q18" s="769">
        <f>44007202-Q20</f>
        <v>35797627.119999997</v>
      </c>
      <c r="R18" s="769">
        <f t="shared" si="1"/>
        <v>35016504.516923077</v>
      </c>
      <c r="S18" s="5"/>
      <c r="T18" s="12"/>
      <c r="W18" s="904"/>
      <c r="X18" s="904"/>
      <c r="Y18" s="904"/>
      <c r="Z18" s="904"/>
      <c r="AA18" s="904"/>
      <c r="AB18" s="904"/>
      <c r="AC18" s="904"/>
      <c r="AD18" s="904"/>
      <c r="AE18" s="904"/>
      <c r="AF18" s="904"/>
      <c r="AG18" s="904"/>
      <c r="AH18" s="904"/>
      <c r="AI18" s="904"/>
      <c r="AJ18" s="904"/>
      <c r="AK18" s="904"/>
      <c r="AL18" s="904"/>
      <c r="AM18" s="904"/>
      <c r="AN18" s="904"/>
      <c r="AO18" s="904"/>
      <c r="AP18" s="904"/>
      <c r="AQ18" s="904"/>
      <c r="AR18" s="904"/>
      <c r="AS18" s="904"/>
      <c r="AT18" s="904"/>
      <c r="AU18" s="904"/>
      <c r="AV18" s="904"/>
      <c r="AW18" s="904"/>
      <c r="AX18" s="904"/>
      <c r="AY18" s="904"/>
      <c r="AZ18" s="904"/>
      <c r="BA18" s="904"/>
      <c r="BB18" s="904"/>
      <c r="BC18" s="904"/>
      <c r="BD18" s="904"/>
      <c r="BE18" s="904"/>
      <c r="BF18" s="904"/>
      <c r="BG18" s="904"/>
      <c r="BH18" s="904"/>
      <c r="BI18" s="904"/>
      <c r="BJ18" s="904"/>
      <c r="BK18" s="904"/>
      <c r="BL18" s="904"/>
      <c r="BM18" s="904"/>
      <c r="BN18" s="904"/>
      <c r="BO18" s="904"/>
      <c r="BP18" s="904"/>
      <c r="BQ18" s="904"/>
    </row>
    <row r="19" spans="1:69">
      <c r="A19" s="26">
        <f t="shared" si="0"/>
        <v>5</v>
      </c>
      <c r="B19" s="12"/>
      <c r="C19" s="3" t="s">
        <v>571</v>
      </c>
      <c r="D19" s="5" t="s">
        <v>255</v>
      </c>
      <c r="E19" s="769">
        <v>26118659</v>
      </c>
      <c r="F19" s="769">
        <v>25984668</v>
      </c>
      <c r="G19" s="769">
        <v>26431151</v>
      </c>
      <c r="H19" s="769">
        <v>26478742</v>
      </c>
      <c r="I19" s="769">
        <v>26314514</v>
      </c>
      <c r="J19" s="769">
        <v>24773618</v>
      </c>
      <c r="K19" s="769">
        <v>25084011</v>
      </c>
      <c r="L19" s="769">
        <f>14484672+10630793</f>
        <v>25115465</v>
      </c>
      <c r="M19" s="769">
        <f>14353841+10627535</f>
        <v>24981376</v>
      </c>
      <c r="N19" s="769">
        <f>14407361+10705700</f>
        <v>25113061</v>
      </c>
      <c r="O19" s="769">
        <f>15338045+10716054</f>
        <v>26054099</v>
      </c>
      <c r="P19" s="769">
        <f>15371428+11201314</f>
        <v>26572742</v>
      </c>
      <c r="Q19" s="769">
        <f>15602058+12191067</f>
        <v>27793125</v>
      </c>
      <c r="R19" s="769">
        <f t="shared" si="1"/>
        <v>25908863.923076924</v>
      </c>
      <c r="S19" s="5"/>
      <c r="T19" s="12"/>
      <c r="W19" s="904"/>
      <c r="X19" s="904"/>
      <c r="Y19" s="904"/>
      <c r="Z19" s="904"/>
      <c r="AA19" s="904"/>
      <c r="AB19" s="904"/>
      <c r="AC19" s="904"/>
      <c r="AD19" s="904"/>
      <c r="AE19" s="904"/>
      <c r="AF19" s="904"/>
      <c r="AG19" s="904"/>
      <c r="AH19" s="904"/>
      <c r="AI19" s="904"/>
      <c r="AJ19" s="904"/>
      <c r="AK19" s="904"/>
      <c r="AL19" s="904"/>
      <c r="AM19" s="904"/>
      <c r="AN19" s="904"/>
      <c r="AO19" s="904"/>
      <c r="AP19" s="904"/>
      <c r="AQ19" s="904"/>
      <c r="AR19" s="904"/>
      <c r="AS19" s="904"/>
      <c r="AT19" s="904"/>
      <c r="AU19" s="904"/>
      <c r="AV19" s="904"/>
      <c r="AW19" s="904"/>
      <c r="AX19" s="904"/>
      <c r="AY19" s="904"/>
      <c r="AZ19" s="904"/>
      <c r="BA19" s="904"/>
      <c r="BB19" s="904"/>
      <c r="BC19" s="904"/>
      <c r="BD19" s="904"/>
      <c r="BE19" s="904"/>
      <c r="BF19" s="904"/>
      <c r="BG19" s="904"/>
      <c r="BH19" s="904"/>
      <c r="BI19" s="904"/>
      <c r="BJ19" s="904"/>
      <c r="BK19" s="904"/>
      <c r="BL19" s="904"/>
      <c r="BM19" s="904"/>
      <c r="BN19" s="904"/>
      <c r="BO19" s="904"/>
      <c r="BP19" s="904"/>
      <c r="BQ19" s="904"/>
    </row>
    <row r="20" spans="1:69">
      <c r="A20" s="26">
        <f t="shared" si="0"/>
        <v>6</v>
      </c>
      <c r="B20" s="12"/>
      <c r="C20" s="3" t="s">
        <v>465</v>
      </c>
      <c r="D20" s="5" t="s">
        <v>464</v>
      </c>
      <c r="E20" s="769">
        <v>8033921</v>
      </c>
      <c r="F20" s="769">
        <v>8037723.1200000001</v>
      </c>
      <c r="G20" s="769">
        <v>8043885.7000000002</v>
      </c>
      <c r="H20" s="769">
        <v>8043885.6900000004</v>
      </c>
      <c r="I20" s="769">
        <v>8061479.7000000002</v>
      </c>
      <c r="J20" s="769">
        <v>8061479.7000000002</v>
      </c>
      <c r="K20" s="769">
        <v>8089893.8899999997</v>
      </c>
      <c r="L20" s="769">
        <v>8104688.4100000001</v>
      </c>
      <c r="M20" s="769">
        <v>8105521.46</v>
      </c>
      <c r="N20" s="769">
        <v>8105883.1299999999</v>
      </c>
      <c r="O20" s="769">
        <v>8173642.7300000004</v>
      </c>
      <c r="P20" s="769">
        <v>8170930.7300000004</v>
      </c>
      <c r="Q20" s="769">
        <v>8209574.8799999999</v>
      </c>
      <c r="R20" s="769">
        <f>AVERAGE(E20:Q20)</f>
        <v>8095577.7030769233</v>
      </c>
      <c r="S20" s="5"/>
      <c r="T20" s="12"/>
      <c r="W20" s="904"/>
      <c r="X20" s="904"/>
      <c r="Y20" s="904"/>
      <c r="Z20" s="904"/>
      <c r="AA20" s="904"/>
      <c r="AB20" s="904"/>
      <c r="AC20" s="904"/>
      <c r="AD20" s="904"/>
      <c r="AE20" s="904"/>
      <c r="AF20" s="904"/>
      <c r="AG20" s="904"/>
      <c r="AH20" s="904"/>
      <c r="AI20" s="904"/>
      <c r="AJ20" s="904"/>
      <c r="AK20" s="904"/>
      <c r="AL20" s="904"/>
      <c r="AM20" s="904"/>
      <c r="AN20" s="904"/>
      <c r="AO20" s="904"/>
      <c r="AP20" s="904"/>
      <c r="AQ20" s="904"/>
      <c r="AR20" s="904"/>
      <c r="AS20" s="904"/>
      <c r="AT20" s="904"/>
      <c r="AU20" s="904"/>
      <c r="AV20" s="904"/>
      <c r="AW20" s="904"/>
      <c r="AX20" s="904"/>
      <c r="AY20" s="904"/>
      <c r="AZ20" s="904"/>
      <c r="BA20" s="904"/>
      <c r="BB20" s="904"/>
      <c r="BC20" s="904"/>
      <c r="BD20" s="904"/>
      <c r="BE20" s="904"/>
      <c r="BF20" s="904"/>
      <c r="BG20" s="904"/>
      <c r="BH20" s="904"/>
      <c r="BI20" s="904"/>
      <c r="BJ20" s="904"/>
      <c r="BK20" s="904"/>
      <c r="BL20" s="904"/>
      <c r="BM20" s="904"/>
      <c r="BN20" s="904"/>
      <c r="BO20" s="904"/>
      <c r="BP20" s="904"/>
      <c r="BQ20" s="904"/>
    </row>
    <row r="21" spans="1:69">
      <c r="A21" s="26">
        <f t="shared" si="0"/>
        <v>7</v>
      </c>
      <c r="B21" s="12"/>
      <c r="C21" s="3" t="s">
        <v>690</v>
      </c>
      <c r="D21" s="5" t="s">
        <v>691</v>
      </c>
      <c r="E21" s="769">
        <v>0</v>
      </c>
      <c r="F21" s="769"/>
      <c r="G21" s="769"/>
      <c r="H21" s="769"/>
      <c r="I21" s="769"/>
      <c r="J21" s="769"/>
      <c r="K21" s="769"/>
      <c r="L21" s="769"/>
      <c r="M21" s="769"/>
      <c r="N21" s="769"/>
      <c r="O21" s="769"/>
      <c r="P21" s="769"/>
      <c r="Q21" s="769">
        <v>0</v>
      </c>
      <c r="R21" s="769">
        <f t="shared" si="1"/>
        <v>0</v>
      </c>
      <c r="S21" s="5"/>
      <c r="T21" s="12"/>
      <c r="W21" s="904"/>
      <c r="X21" s="904"/>
      <c r="Y21" s="904"/>
      <c r="Z21" s="904"/>
      <c r="AA21" s="904"/>
      <c r="AB21" s="904"/>
      <c r="AC21" s="904"/>
      <c r="AD21" s="904"/>
      <c r="AE21" s="904"/>
      <c r="AF21" s="904"/>
      <c r="AG21" s="904"/>
      <c r="AH21" s="904"/>
      <c r="AI21" s="904"/>
      <c r="AJ21" s="904"/>
      <c r="AK21" s="904"/>
      <c r="AL21" s="904"/>
      <c r="AM21" s="904"/>
      <c r="AN21" s="904"/>
      <c r="AO21" s="904"/>
      <c r="AP21" s="904"/>
      <c r="AQ21" s="904"/>
      <c r="AR21" s="904"/>
      <c r="AS21" s="904"/>
      <c r="AT21" s="904"/>
      <c r="AU21" s="904"/>
      <c r="AV21" s="904"/>
      <c r="AW21" s="904"/>
      <c r="AX21" s="904"/>
      <c r="AY21" s="904"/>
      <c r="AZ21" s="904"/>
      <c r="BA21" s="904"/>
      <c r="BB21" s="904"/>
      <c r="BC21" s="904"/>
      <c r="BD21" s="904"/>
      <c r="BE21" s="904"/>
      <c r="BF21" s="904"/>
      <c r="BG21" s="904"/>
      <c r="BH21" s="904"/>
      <c r="BI21" s="904"/>
      <c r="BJ21" s="904"/>
      <c r="BK21" s="904"/>
      <c r="BL21" s="904"/>
      <c r="BM21" s="904"/>
      <c r="BN21" s="904"/>
      <c r="BO21" s="904"/>
      <c r="BP21" s="904"/>
      <c r="BQ21" s="904"/>
    </row>
    <row r="22" spans="1:69">
      <c r="A22" s="26">
        <f t="shared" si="0"/>
        <v>8</v>
      </c>
      <c r="B22" s="12"/>
      <c r="C22" s="24" t="s">
        <v>171</v>
      </c>
      <c r="D22" s="5" t="str">
        <f>"(sum lines "&amp;A15&amp;" - "&amp;A21&amp;")"</f>
        <v>(sum lines 1 - 7)</v>
      </c>
      <c r="E22" s="909">
        <f>SUM(E15:E21)</f>
        <v>988169119</v>
      </c>
      <c r="F22" s="909">
        <v>988430370.20000005</v>
      </c>
      <c r="G22" s="909">
        <v>989837336.05000007</v>
      </c>
      <c r="H22" s="909">
        <v>991672337.17000008</v>
      </c>
      <c r="I22" s="909">
        <v>986963490.84000003</v>
      </c>
      <c r="J22" s="909">
        <v>990883920.4000001</v>
      </c>
      <c r="K22" s="909">
        <v>998053206.18999994</v>
      </c>
      <c r="L22" s="909">
        <f t="shared" ref="L22:R22" si="2">SUM(L15:L21)</f>
        <v>998714115.51999998</v>
      </c>
      <c r="M22" s="909">
        <f t="shared" si="2"/>
        <v>999564239</v>
      </c>
      <c r="N22" s="909">
        <f t="shared" si="2"/>
        <v>1000835705</v>
      </c>
      <c r="O22" s="909">
        <f t="shared" si="2"/>
        <v>1002883523</v>
      </c>
      <c r="P22" s="909">
        <f t="shared" si="2"/>
        <v>1004247243</v>
      </c>
      <c r="Q22" s="909">
        <f t="shared" si="2"/>
        <v>1008826274</v>
      </c>
      <c r="R22" s="909">
        <f t="shared" si="2"/>
        <v>996083144.56692314</v>
      </c>
      <c r="S22" s="5"/>
      <c r="T22" s="23"/>
      <c r="W22" s="904"/>
      <c r="X22" s="904"/>
      <c r="Y22" s="904"/>
      <c r="Z22" s="904"/>
      <c r="AA22" s="904"/>
      <c r="AB22" s="904"/>
      <c r="AC22" s="904"/>
      <c r="AD22" s="904"/>
      <c r="AE22" s="904"/>
      <c r="AF22" s="904"/>
      <c r="AG22" s="904"/>
      <c r="AH22" s="904"/>
      <c r="AI22" s="904"/>
      <c r="AJ22" s="904"/>
      <c r="AK22" s="904"/>
      <c r="AL22" s="904"/>
      <c r="AM22" s="904"/>
      <c r="AN22" s="904"/>
      <c r="AO22" s="904"/>
      <c r="AP22" s="904"/>
      <c r="AQ22" s="904"/>
      <c r="AR22" s="904"/>
      <c r="AS22" s="904"/>
      <c r="AT22" s="904"/>
      <c r="AU22" s="904"/>
      <c r="AV22" s="904"/>
      <c r="AW22" s="904"/>
      <c r="AX22" s="904"/>
      <c r="AY22" s="904"/>
      <c r="AZ22" s="904"/>
      <c r="BA22" s="904"/>
      <c r="BB22" s="904"/>
      <c r="BC22" s="904"/>
      <c r="BD22" s="904"/>
      <c r="BE22" s="904"/>
      <c r="BF22" s="904"/>
      <c r="BG22" s="904"/>
      <c r="BH22" s="904"/>
      <c r="BI22" s="904"/>
      <c r="BJ22" s="904"/>
      <c r="BK22" s="904"/>
      <c r="BL22" s="904"/>
      <c r="BM22" s="904"/>
      <c r="BN22" s="904"/>
      <c r="BO22" s="904"/>
      <c r="BP22" s="904"/>
      <c r="BQ22" s="904"/>
    </row>
    <row r="23" spans="1:69">
      <c r="A23" s="26">
        <f t="shared" si="0"/>
        <v>9</v>
      </c>
      <c r="B23" s="12"/>
      <c r="C23" s="3"/>
      <c r="D23" s="5"/>
      <c r="E23" s="769"/>
      <c r="F23" s="769"/>
      <c r="G23" s="769"/>
      <c r="H23" s="769"/>
      <c r="I23" s="769"/>
      <c r="J23" s="769"/>
      <c r="K23" s="769"/>
      <c r="L23" s="769"/>
      <c r="M23" s="769"/>
      <c r="N23" s="769"/>
      <c r="O23" s="769"/>
      <c r="P23" s="769"/>
      <c r="Q23" s="769"/>
      <c r="R23" s="769"/>
      <c r="S23" s="5"/>
      <c r="T23" s="5"/>
      <c r="W23" s="904"/>
      <c r="X23" s="904"/>
      <c r="Y23" s="904"/>
      <c r="Z23" s="904"/>
      <c r="AA23" s="904"/>
      <c r="AB23" s="904"/>
      <c r="AC23" s="904"/>
      <c r="AD23" s="904"/>
      <c r="AE23" s="904"/>
      <c r="AF23" s="904"/>
      <c r="AG23" s="904"/>
      <c r="AH23" s="904"/>
      <c r="AI23" s="904"/>
      <c r="AJ23" s="904"/>
      <c r="AK23" s="904"/>
      <c r="AL23" s="904"/>
      <c r="AM23" s="904"/>
      <c r="AN23" s="904"/>
      <c r="AO23" s="904"/>
      <c r="AP23" s="904"/>
      <c r="AQ23" s="904"/>
      <c r="AR23" s="904"/>
      <c r="AS23" s="904"/>
      <c r="AT23" s="904"/>
      <c r="AU23" s="904"/>
      <c r="AV23" s="904"/>
      <c r="AW23" s="904"/>
      <c r="AX23" s="904"/>
      <c r="AY23" s="904"/>
      <c r="AZ23" s="904"/>
      <c r="BA23" s="904"/>
      <c r="BB23" s="904"/>
      <c r="BC23" s="904"/>
      <c r="BD23" s="904"/>
      <c r="BE23" s="904"/>
      <c r="BF23" s="904"/>
      <c r="BG23" s="904"/>
      <c r="BH23" s="904"/>
      <c r="BI23" s="904"/>
      <c r="BJ23" s="904"/>
      <c r="BK23" s="904"/>
      <c r="BL23" s="904"/>
      <c r="BM23" s="904"/>
      <c r="BN23" s="904"/>
      <c r="BO23" s="904"/>
      <c r="BP23" s="904"/>
      <c r="BQ23" s="904"/>
    </row>
    <row r="24" spans="1:69">
      <c r="A24" s="26">
        <f t="shared" si="0"/>
        <v>10</v>
      </c>
      <c r="B24" s="12"/>
      <c r="C24" s="3" t="s">
        <v>308</v>
      </c>
      <c r="D24" s="5" t="s">
        <v>806</v>
      </c>
      <c r="E24" s="769"/>
      <c r="F24" s="769"/>
      <c r="G24" s="769"/>
      <c r="H24" s="769"/>
      <c r="I24" s="769"/>
      <c r="J24" s="769"/>
      <c r="K24" s="769"/>
      <c r="L24" s="769"/>
      <c r="M24" s="769"/>
      <c r="N24" s="769"/>
      <c r="O24" s="769"/>
      <c r="P24" s="769"/>
      <c r="Q24" s="769"/>
      <c r="R24" s="769"/>
      <c r="S24" s="5"/>
      <c r="T24" s="5"/>
      <c r="W24" s="904"/>
      <c r="X24" s="904"/>
      <c r="Y24" s="904"/>
      <c r="Z24" s="904"/>
      <c r="AA24" s="904"/>
      <c r="AB24" s="904"/>
      <c r="AC24" s="904"/>
      <c r="AD24" s="904"/>
      <c r="AE24" s="904"/>
      <c r="AF24" s="904"/>
      <c r="AG24" s="904"/>
      <c r="AH24" s="904"/>
      <c r="AI24" s="904"/>
      <c r="AJ24" s="904"/>
      <c r="AK24" s="904"/>
      <c r="AL24" s="904"/>
      <c r="AM24" s="904"/>
      <c r="AN24" s="904"/>
      <c r="AO24" s="904"/>
      <c r="AP24" s="904"/>
      <c r="AQ24" s="904"/>
      <c r="AR24" s="904"/>
      <c r="AS24" s="904"/>
      <c r="AT24" s="904"/>
      <c r="AU24" s="904"/>
      <c r="AV24" s="904"/>
      <c r="AW24" s="904"/>
      <c r="AX24" s="904"/>
      <c r="AY24" s="904"/>
      <c r="AZ24" s="904"/>
      <c r="BA24" s="904"/>
      <c r="BB24" s="904"/>
      <c r="BC24" s="904"/>
      <c r="BD24" s="904"/>
      <c r="BE24" s="904"/>
      <c r="BF24" s="904"/>
      <c r="BG24" s="904"/>
      <c r="BH24" s="904"/>
      <c r="BI24" s="904"/>
      <c r="BJ24" s="904"/>
      <c r="BK24" s="904"/>
      <c r="BL24" s="904"/>
      <c r="BM24" s="904"/>
      <c r="BN24" s="904"/>
      <c r="BO24" s="904"/>
      <c r="BP24" s="904"/>
      <c r="BQ24" s="904"/>
    </row>
    <row r="25" spans="1:69">
      <c r="A25" s="26">
        <f t="shared" si="0"/>
        <v>11</v>
      </c>
      <c r="B25" s="12"/>
      <c r="C25" s="3" t="str">
        <f>+C15</f>
        <v xml:space="preserve">  Production</v>
      </c>
      <c r="D25" s="5" t="s">
        <v>552</v>
      </c>
      <c r="E25" s="769">
        <v>178639465.34999999</v>
      </c>
      <c r="F25" s="769">
        <v>179751950.91999999</v>
      </c>
      <c r="G25" s="769">
        <v>180984047.41999999</v>
      </c>
      <c r="H25" s="769">
        <v>180268850.11000001</v>
      </c>
      <c r="I25" s="769">
        <v>181181252.37</v>
      </c>
      <c r="J25" s="769">
        <v>182500902.31999999</v>
      </c>
      <c r="K25" s="769">
        <v>183443125.81</v>
      </c>
      <c r="L25" s="769">
        <v>184378121.47</v>
      </c>
      <c r="M25" s="769">
        <v>184753066.44999999</v>
      </c>
      <c r="N25" s="769">
        <v>185009827.91</v>
      </c>
      <c r="O25" s="769">
        <v>183625928.31999999</v>
      </c>
      <c r="P25" s="769">
        <v>184681799.93000001</v>
      </c>
      <c r="Q25" s="769">
        <v>185757906.65000001</v>
      </c>
      <c r="R25" s="769">
        <f t="shared" ref="R25:R31" si="3">AVERAGE(E25:Q25)</f>
        <v>182690480.3869231</v>
      </c>
      <c r="S25" s="5"/>
      <c r="T25" s="5"/>
      <c r="W25" s="904"/>
      <c r="X25" s="904"/>
      <c r="Y25" s="904"/>
      <c r="Z25" s="904"/>
      <c r="AA25" s="904"/>
      <c r="AB25" s="904"/>
      <c r="AC25" s="904"/>
      <c r="AD25" s="904"/>
      <c r="AE25" s="904"/>
      <c r="AF25" s="904"/>
      <c r="AG25" s="904"/>
      <c r="AH25" s="904"/>
      <c r="AI25" s="904"/>
      <c r="AJ25" s="904"/>
      <c r="AK25" s="904"/>
      <c r="AL25" s="904"/>
      <c r="AM25" s="904"/>
      <c r="AN25" s="904"/>
      <c r="AO25" s="904"/>
      <c r="AP25" s="904"/>
      <c r="AQ25" s="904"/>
      <c r="AR25" s="904"/>
      <c r="AS25" s="904"/>
      <c r="AT25" s="904"/>
      <c r="AU25" s="904"/>
      <c r="AV25" s="904"/>
      <c r="AW25" s="904"/>
      <c r="AX25" s="904"/>
      <c r="AY25" s="904"/>
      <c r="AZ25" s="904"/>
      <c r="BA25" s="904"/>
      <c r="BB25" s="904"/>
      <c r="BC25" s="904"/>
      <c r="BD25" s="904"/>
      <c r="BE25" s="904"/>
      <c r="BF25" s="904"/>
      <c r="BG25" s="904"/>
      <c r="BH25" s="904"/>
      <c r="BI25" s="904"/>
      <c r="BJ25" s="904"/>
      <c r="BK25" s="904"/>
      <c r="BL25" s="904"/>
      <c r="BM25" s="904"/>
      <c r="BN25" s="904"/>
      <c r="BO25" s="904"/>
      <c r="BP25" s="904"/>
      <c r="BQ25" s="904"/>
    </row>
    <row r="26" spans="1:69">
      <c r="A26" s="26">
        <f t="shared" si="0"/>
        <v>12</v>
      </c>
      <c r="B26" s="12"/>
      <c r="C26" s="3" t="s">
        <v>686</v>
      </c>
      <c r="D26" s="5" t="s">
        <v>553</v>
      </c>
      <c r="E26" s="769">
        <f>E74</f>
        <v>29438320.803934332</v>
      </c>
      <c r="F26" s="769">
        <f t="shared" ref="F26:Q26" si="4">F74</f>
        <v>29665198.836780999</v>
      </c>
      <c r="G26" s="769">
        <f t="shared" si="4"/>
        <v>29910426.489604332</v>
      </c>
      <c r="H26" s="769">
        <f t="shared" si="4"/>
        <v>29840992.454052664</v>
      </c>
      <c r="I26" s="769">
        <f t="shared" si="4"/>
        <v>30029090.743251</v>
      </c>
      <c r="J26" s="769">
        <f t="shared" si="4"/>
        <v>30283540.780285999</v>
      </c>
      <c r="K26" s="769">
        <f t="shared" si="4"/>
        <v>30499018.733669333</v>
      </c>
      <c r="L26" s="769">
        <f t="shared" si="4"/>
        <v>30689099.030289333</v>
      </c>
      <c r="M26" s="769">
        <f t="shared" si="4"/>
        <v>30883020.493289333</v>
      </c>
      <c r="N26" s="769">
        <f t="shared" si="4"/>
        <v>31045098.829789329</v>
      </c>
      <c r="O26" s="769">
        <f t="shared" si="4"/>
        <v>31305085.829289332</v>
      </c>
      <c r="P26" s="769">
        <f t="shared" si="4"/>
        <v>31440111.551622666</v>
      </c>
      <c r="Q26" s="769">
        <f t="shared" si="4"/>
        <v>31655321.380289331</v>
      </c>
      <c r="R26" s="769">
        <f t="shared" si="3"/>
        <v>30514178.919703688</v>
      </c>
      <c r="S26" s="5"/>
      <c r="T26" s="5"/>
      <c r="W26" s="904"/>
      <c r="X26" s="904"/>
      <c r="Y26" s="904"/>
      <c r="Z26" s="904"/>
      <c r="AA26" s="904"/>
      <c r="AB26" s="904"/>
      <c r="AC26" s="904"/>
      <c r="AD26" s="904"/>
      <c r="AE26" s="904"/>
      <c r="AF26" s="904"/>
      <c r="AG26" s="904"/>
      <c r="AH26" s="904"/>
      <c r="AI26" s="904"/>
      <c r="AJ26" s="904"/>
      <c r="AK26" s="904"/>
      <c r="AL26" s="904"/>
      <c r="AM26" s="904"/>
      <c r="AN26" s="904"/>
      <c r="AO26" s="904"/>
      <c r="AP26" s="904"/>
      <c r="AQ26" s="904"/>
      <c r="AR26" s="904"/>
      <c r="AS26" s="904"/>
      <c r="AT26" s="904"/>
      <c r="AU26" s="904"/>
      <c r="AV26" s="904"/>
      <c r="AW26" s="904"/>
      <c r="AX26" s="904"/>
      <c r="AY26" s="904"/>
      <c r="AZ26" s="904"/>
      <c r="BA26" s="904"/>
      <c r="BB26" s="904"/>
      <c r="BC26" s="904"/>
      <c r="BD26" s="904"/>
      <c r="BE26" s="904"/>
      <c r="BF26" s="904"/>
      <c r="BG26" s="904"/>
      <c r="BH26" s="904"/>
      <c r="BI26" s="904"/>
      <c r="BJ26" s="904"/>
      <c r="BK26" s="904"/>
      <c r="BL26" s="904"/>
      <c r="BM26" s="904"/>
      <c r="BN26" s="904"/>
      <c r="BO26" s="904"/>
      <c r="BP26" s="904"/>
      <c r="BQ26" s="904"/>
    </row>
    <row r="27" spans="1:69">
      <c r="A27" s="26">
        <f t="shared" si="0"/>
        <v>13</v>
      </c>
      <c r="B27" s="12"/>
      <c r="C27" s="3" t="s">
        <v>687</v>
      </c>
      <c r="D27" s="5" t="s">
        <v>554</v>
      </c>
      <c r="E27" s="769">
        <v>92635586.069999993</v>
      </c>
      <c r="F27" s="769">
        <v>93135538.620000005</v>
      </c>
      <c r="G27" s="769">
        <v>92879492.280000001</v>
      </c>
      <c r="H27" s="769">
        <v>95691849.469999999</v>
      </c>
      <c r="I27" s="769">
        <v>96269136.420000002</v>
      </c>
      <c r="J27" s="769">
        <v>96092443.549999997</v>
      </c>
      <c r="K27" s="769">
        <v>96676148.819999993</v>
      </c>
      <c r="L27" s="769">
        <v>97191582.349999994</v>
      </c>
      <c r="M27" s="769">
        <v>97714214.879999995</v>
      </c>
      <c r="N27" s="769">
        <v>97928471.859999999</v>
      </c>
      <c r="O27" s="769">
        <v>98645502.299999997</v>
      </c>
      <c r="P27" s="769">
        <v>99094155.560000002</v>
      </c>
      <c r="Q27" s="769">
        <v>99441558.989999995</v>
      </c>
      <c r="R27" s="769">
        <f t="shared" si="3"/>
        <v>96415052.397692308</v>
      </c>
      <c r="S27" s="5"/>
      <c r="T27" s="5"/>
      <c r="W27" s="904"/>
      <c r="X27" s="904"/>
      <c r="Y27" s="904"/>
      <c r="Z27" s="904"/>
      <c r="AA27" s="904"/>
      <c r="AB27" s="904"/>
      <c r="AC27" s="904"/>
      <c r="AD27" s="904"/>
      <c r="AE27" s="904"/>
      <c r="AF27" s="904"/>
      <c r="AG27" s="904"/>
      <c r="AH27" s="904"/>
      <c r="AI27" s="904"/>
      <c r="AJ27" s="904"/>
      <c r="AK27" s="904"/>
      <c r="AL27" s="904"/>
      <c r="AM27" s="904"/>
      <c r="AN27" s="904"/>
      <c r="AO27" s="904"/>
      <c r="AP27" s="904"/>
      <c r="AQ27" s="904"/>
      <c r="AR27" s="904"/>
      <c r="AS27" s="904"/>
      <c r="AT27" s="904"/>
      <c r="AU27" s="904"/>
      <c r="AV27" s="904"/>
      <c r="AW27" s="904"/>
      <c r="AX27" s="904"/>
      <c r="AY27" s="904"/>
      <c r="AZ27" s="904"/>
      <c r="BA27" s="904"/>
      <c r="BB27" s="904"/>
      <c r="BC27" s="904"/>
      <c r="BD27" s="904"/>
      <c r="BE27" s="904"/>
      <c r="BF27" s="904"/>
      <c r="BG27" s="904"/>
      <c r="BH27" s="904"/>
      <c r="BI27" s="904"/>
      <c r="BJ27" s="904"/>
      <c r="BK27" s="904"/>
      <c r="BL27" s="904"/>
      <c r="BM27" s="904"/>
      <c r="BN27" s="904"/>
      <c r="BO27" s="904"/>
      <c r="BP27" s="904"/>
      <c r="BQ27" s="904"/>
    </row>
    <row r="28" spans="1:69">
      <c r="A28" s="26">
        <f t="shared" si="0"/>
        <v>14</v>
      </c>
      <c r="B28" s="12"/>
      <c r="C28" s="3" t="str">
        <f>+C18</f>
        <v xml:space="preserve">  General &amp; Intangible</v>
      </c>
      <c r="D28" s="5" t="s">
        <v>259</v>
      </c>
      <c r="E28" s="769">
        <f>E78</f>
        <v>22537805.888542078</v>
      </c>
      <c r="F28" s="769">
        <f t="shared" ref="F28:Q28" si="5">F78</f>
        <v>22772909.105998076</v>
      </c>
      <c r="G28" s="769">
        <f t="shared" si="5"/>
        <v>23032894.22735808</v>
      </c>
      <c r="H28" s="769">
        <f t="shared" si="5"/>
        <v>22969983.367598079</v>
      </c>
      <c r="I28" s="769">
        <f t="shared" si="5"/>
        <v>18314925.341022078</v>
      </c>
      <c r="J28" s="769">
        <f t="shared" si="5"/>
        <v>18534929.57558208</v>
      </c>
      <c r="K28" s="769">
        <f t="shared" si="5"/>
        <v>18689155.428222083</v>
      </c>
      <c r="L28" s="769">
        <f t="shared" si="5"/>
        <v>18890266.212382078</v>
      </c>
      <c r="M28" s="769">
        <f t="shared" si="5"/>
        <v>19096730.080446079</v>
      </c>
      <c r="N28" s="769">
        <f t="shared" si="5"/>
        <v>19281424.26343808</v>
      </c>
      <c r="O28" s="769">
        <f t="shared" si="5"/>
        <v>19313974.482670076</v>
      </c>
      <c r="P28" s="769">
        <f t="shared" si="5"/>
        <v>19546938.272702079</v>
      </c>
      <c r="Q28" s="769">
        <f t="shared" si="5"/>
        <v>19766061.346094083</v>
      </c>
      <c r="R28" s="769">
        <f t="shared" si="3"/>
        <v>20211384.430158079</v>
      </c>
      <c r="S28" s="5"/>
      <c r="T28" s="5"/>
      <c r="W28" s="904"/>
      <c r="X28" s="904"/>
      <c r="Y28" s="904"/>
      <c r="Z28" s="904"/>
      <c r="AA28" s="904"/>
      <c r="AB28" s="904"/>
      <c r="AC28" s="904"/>
      <c r="AD28" s="904"/>
      <c r="AE28" s="904"/>
      <c r="AF28" s="904"/>
      <c r="AG28" s="904"/>
      <c r="AH28" s="904"/>
      <c r="AI28" s="904"/>
      <c r="AJ28" s="904"/>
      <c r="AK28" s="904"/>
      <c r="AL28" s="904"/>
      <c r="AM28" s="904"/>
      <c r="AN28" s="904"/>
      <c r="AO28" s="904"/>
      <c r="AP28" s="904"/>
      <c r="AQ28" s="904"/>
      <c r="AR28" s="904"/>
      <c r="AS28" s="904"/>
      <c r="AT28" s="904"/>
      <c r="AU28" s="904"/>
      <c r="AV28" s="904"/>
      <c r="AW28" s="904"/>
      <c r="AX28" s="904"/>
      <c r="AY28" s="904"/>
      <c r="AZ28" s="904"/>
      <c r="BA28" s="904"/>
      <c r="BB28" s="904"/>
      <c r="BC28" s="904"/>
      <c r="BD28" s="904"/>
      <c r="BE28" s="904"/>
      <c r="BF28" s="904"/>
      <c r="BG28" s="904"/>
      <c r="BH28" s="904"/>
      <c r="BI28" s="904"/>
      <c r="BJ28" s="904"/>
      <c r="BK28" s="904"/>
      <c r="BL28" s="904"/>
      <c r="BM28" s="904"/>
      <c r="BN28" s="904"/>
      <c r="BO28" s="904"/>
      <c r="BP28" s="904"/>
      <c r="BQ28" s="904"/>
    </row>
    <row r="29" spans="1:69">
      <c r="A29" s="26">
        <f t="shared" si="0"/>
        <v>15</v>
      </c>
      <c r="B29" s="12"/>
      <c r="C29" s="3" t="s">
        <v>571</v>
      </c>
      <c r="D29" s="5" t="s">
        <v>256</v>
      </c>
      <c r="E29" s="769">
        <f>7349683.42+4930802.66+6233835.45</f>
        <v>18514321.530000001</v>
      </c>
      <c r="F29" s="769">
        <v>18091533</v>
      </c>
      <c r="G29" s="769">
        <v>18503956</v>
      </c>
      <c r="H29" s="769">
        <v>18671605</v>
      </c>
      <c r="I29" s="769">
        <v>18125364</v>
      </c>
      <c r="J29" s="769">
        <v>16792361</v>
      </c>
      <c r="K29" s="769">
        <v>16966910</v>
      </c>
      <c r="L29" s="769">
        <v>17109127</v>
      </c>
      <c r="M29" s="769">
        <v>17247994</v>
      </c>
      <c r="N29" s="769">
        <v>17470510</v>
      </c>
      <c r="O29" s="769">
        <v>17706318</v>
      </c>
      <c r="P29" s="769">
        <v>18003938</v>
      </c>
      <c r="Q29" s="769">
        <v>18172180</v>
      </c>
      <c r="R29" s="769">
        <f t="shared" si="3"/>
        <v>17798162.886923078</v>
      </c>
      <c r="S29" s="5"/>
      <c r="T29" s="5"/>
      <c r="W29" s="904"/>
      <c r="X29" s="904"/>
      <c r="Y29" s="904"/>
      <c r="Z29" s="904"/>
      <c r="AA29" s="904"/>
      <c r="AB29" s="904"/>
      <c r="AC29" s="904"/>
      <c r="AD29" s="904"/>
      <c r="AE29" s="904"/>
      <c r="AF29" s="904"/>
      <c r="AG29" s="904"/>
      <c r="AH29" s="904"/>
      <c r="AI29" s="904"/>
      <c r="AJ29" s="904"/>
      <c r="AK29" s="904"/>
      <c r="AL29" s="904"/>
      <c r="AM29" s="904"/>
      <c r="AN29" s="904"/>
      <c r="AO29" s="904"/>
      <c r="AP29" s="904"/>
      <c r="AQ29" s="904"/>
      <c r="AR29" s="904"/>
      <c r="AS29" s="904"/>
      <c r="AT29" s="904"/>
      <c r="AU29" s="904"/>
      <c r="AV29" s="904"/>
      <c r="AW29" s="904"/>
      <c r="AX29" s="904"/>
      <c r="AY29" s="904"/>
      <c r="AZ29" s="904"/>
      <c r="BA29" s="904"/>
      <c r="BB29" s="904"/>
      <c r="BC29" s="904"/>
      <c r="BD29" s="904"/>
      <c r="BE29" s="904"/>
      <c r="BF29" s="904"/>
      <c r="BG29" s="904"/>
      <c r="BH29" s="904"/>
      <c r="BI29" s="904"/>
      <c r="BJ29" s="904"/>
      <c r="BK29" s="904"/>
      <c r="BL29" s="904"/>
      <c r="BM29" s="904"/>
      <c r="BN29" s="904"/>
      <c r="BO29" s="904"/>
      <c r="BP29" s="904"/>
      <c r="BQ29" s="904"/>
    </row>
    <row r="30" spans="1:69">
      <c r="A30" s="26">
        <f t="shared" si="0"/>
        <v>16</v>
      </c>
      <c r="B30" s="12"/>
      <c r="C30" s="3" t="str">
        <f>+C20</f>
        <v xml:space="preserve">  Communication System</v>
      </c>
      <c r="D30" s="5" t="s">
        <v>609</v>
      </c>
      <c r="E30" s="769">
        <f>E82</f>
        <v>1977418.4130079998</v>
      </c>
      <c r="F30" s="769">
        <f t="shared" ref="F30:Q30" si="6">F82</f>
        <v>2017064.64</v>
      </c>
      <c r="G30" s="769">
        <f t="shared" si="6"/>
        <v>2056737.53712</v>
      </c>
      <c r="H30" s="769">
        <f t="shared" si="6"/>
        <v>2096420.7142239998</v>
      </c>
      <c r="I30" s="769">
        <f t="shared" si="6"/>
        <v>2130624.1817439999</v>
      </c>
      <c r="J30" s="769">
        <f t="shared" si="6"/>
        <v>2170394.1392639996</v>
      </c>
      <c r="K30" s="769">
        <f t="shared" si="6"/>
        <v>2210256.9294879995</v>
      </c>
      <c r="L30" s="769">
        <f t="shared" si="6"/>
        <v>2250215.4209439997</v>
      </c>
      <c r="M30" s="769">
        <f t="shared" si="6"/>
        <v>2290201.2552799997</v>
      </c>
      <c r="N30" s="769">
        <f t="shared" si="6"/>
        <v>2327842.6882879995</v>
      </c>
      <c r="O30" s="769">
        <f t="shared" si="6"/>
        <v>2361967.1966559999</v>
      </c>
      <c r="P30" s="769">
        <f t="shared" si="6"/>
        <v>2402281.6058239997</v>
      </c>
      <c r="Q30" s="769">
        <f t="shared" si="6"/>
        <v>2442717.7656319998</v>
      </c>
      <c r="R30" s="769">
        <f t="shared" si="3"/>
        <v>2210318.6528824614</v>
      </c>
      <c r="S30" s="5"/>
      <c r="T30" s="5"/>
      <c r="W30" s="904"/>
      <c r="X30" s="904"/>
      <c r="Y30" s="904"/>
      <c r="Z30" s="904"/>
      <c r="AA30" s="904"/>
      <c r="AB30" s="904"/>
      <c r="AC30" s="904"/>
      <c r="AD30" s="904"/>
      <c r="AE30" s="904"/>
      <c r="AF30" s="904"/>
      <c r="AG30" s="904"/>
      <c r="AH30" s="904"/>
      <c r="AI30" s="904"/>
      <c r="AJ30" s="904"/>
      <c r="AK30" s="904"/>
      <c r="AL30" s="904"/>
      <c r="AM30" s="904"/>
      <c r="AN30" s="904"/>
      <c r="AO30" s="904"/>
      <c r="AP30" s="904"/>
      <c r="AQ30" s="904"/>
      <c r="AR30" s="904"/>
      <c r="AS30" s="904"/>
      <c r="AT30" s="904"/>
      <c r="AU30" s="904"/>
      <c r="AV30" s="904"/>
      <c r="AW30" s="904"/>
      <c r="AX30" s="904"/>
      <c r="AY30" s="904"/>
      <c r="AZ30" s="904"/>
      <c r="BA30" s="904"/>
      <c r="BB30" s="904"/>
      <c r="BC30" s="904"/>
      <c r="BD30" s="904"/>
      <c r="BE30" s="904"/>
      <c r="BF30" s="904"/>
      <c r="BG30" s="904"/>
      <c r="BH30" s="904"/>
      <c r="BI30" s="904"/>
      <c r="BJ30" s="904"/>
      <c r="BK30" s="904"/>
      <c r="BL30" s="904"/>
      <c r="BM30" s="904"/>
      <c r="BN30" s="904"/>
      <c r="BO30" s="904"/>
      <c r="BP30" s="904"/>
      <c r="BQ30" s="904"/>
    </row>
    <row r="31" spans="1:69">
      <c r="A31" s="26">
        <f t="shared" si="0"/>
        <v>17</v>
      </c>
      <c r="B31" s="12"/>
      <c r="C31" s="3" t="str">
        <f>+C21</f>
        <v xml:space="preserve">  Common</v>
      </c>
      <c r="D31" s="5" t="s">
        <v>691</v>
      </c>
      <c r="E31" s="769">
        <v>0</v>
      </c>
      <c r="F31" s="769"/>
      <c r="G31" s="769"/>
      <c r="H31" s="769"/>
      <c r="I31" s="769"/>
      <c r="J31" s="769"/>
      <c r="K31" s="769"/>
      <c r="L31" s="769"/>
      <c r="M31" s="769"/>
      <c r="N31" s="769"/>
      <c r="O31" s="769"/>
      <c r="P31" s="769"/>
      <c r="Q31" s="769">
        <v>0</v>
      </c>
      <c r="R31" s="769">
        <f t="shared" si="3"/>
        <v>0</v>
      </c>
      <c r="S31" s="5"/>
      <c r="T31" s="5"/>
      <c r="W31" s="904"/>
      <c r="X31" s="904"/>
      <c r="Y31" s="904"/>
      <c r="Z31" s="904"/>
      <c r="AA31" s="904"/>
      <c r="AB31" s="904"/>
      <c r="AC31" s="904"/>
      <c r="AD31" s="904"/>
      <c r="AE31" s="904"/>
      <c r="AF31" s="904"/>
      <c r="AG31" s="904"/>
      <c r="AH31" s="904"/>
      <c r="AI31" s="904"/>
      <c r="AJ31" s="904"/>
      <c r="AK31" s="904"/>
      <c r="AL31" s="904"/>
      <c r="AM31" s="904"/>
      <c r="AN31" s="904"/>
      <c r="AO31" s="904"/>
      <c r="AP31" s="904"/>
      <c r="AQ31" s="904"/>
      <c r="AR31" s="904"/>
      <c r="AS31" s="904"/>
      <c r="AT31" s="904"/>
      <c r="AU31" s="904"/>
      <c r="AV31" s="904"/>
      <c r="AW31" s="904"/>
      <c r="AX31" s="904"/>
      <c r="AY31" s="904"/>
      <c r="AZ31" s="904"/>
      <c r="BA31" s="904"/>
      <c r="BB31" s="904"/>
      <c r="BC31" s="904"/>
      <c r="BD31" s="904"/>
      <c r="BE31" s="904"/>
      <c r="BF31" s="904"/>
      <c r="BG31" s="904"/>
      <c r="BH31" s="904"/>
      <c r="BI31" s="904"/>
      <c r="BJ31" s="904"/>
      <c r="BK31" s="904"/>
      <c r="BL31" s="904"/>
      <c r="BM31" s="904"/>
      <c r="BN31" s="904"/>
      <c r="BO31" s="904"/>
      <c r="BP31" s="904"/>
      <c r="BQ31" s="904"/>
    </row>
    <row r="32" spans="1:69">
      <c r="A32" s="26">
        <f t="shared" si="0"/>
        <v>18</v>
      </c>
      <c r="B32" s="12"/>
      <c r="C32" s="3" t="s">
        <v>173</v>
      </c>
      <c r="D32" s="5" t="str">
        <f>"(sum lines "&amp;A25&amp;" - "&amp;A31&amp;")"</f>
        <v>(sum lines 11 - 17)</v>
      </c>
      <c r="E32" s="909">
        <f>SUM(E25:E31)</f>
        <v>343742918.05548429</v>
      </c>
      <c r="F32" s="909">
        <v>342634925.24000001</v>
      </c>
      <c r="G32" s="909">
        <v>344476487.38000005</v>
      </c>
      <c r="H32" s="909">
        <v>346555862.10000002</v>
      </c>
      <c r="I32" s="909">
        <v>342982639.75</v>
      </c>
      <c r="J32" s="909">
        <v>343222396.26999998</v>
      </c>
      <c r="K32" s="909">
        <v>345245495.06000006</v>
      </c>
      <c r="L32" s="909">
        <f t="shared" ref="L32:R32" si="7">SUM(L25:L31)</f>
        <v>350508411.4836154</v>
      </c>
      <c r="M32" s="909">
        <f t="shared" si="7"/>
        <v>351985227.15901536</v>
      </c>
      <c r="N32" s="909">
        <f t="shared" si="7"/>
        <v>353063175.5515154</v>
      </c>
      <c r="O32" s="909">
        <f t="shared" si="7"/>
        <v>352958776.12861538</v>
      </c>
      <c r="P32" s="909">
        <f t="shared" si="7"/>
        <v>355169224.92014873</v>
      </c>
      <c r="Q32" s="909">
        <f>SUM(Q25:Q31)</f>
        <v>357235746.13201541</v>
      </c>
      <c r="R32" s="909">
        <f t="shared" si="7"/>
        <v>349839577.67428273</v>
      </c>
      <c r="S32" s="5"/>
      <c r="T32" s="1032"/>
      <c r="W32" s="904"/>
      <c r="X32" s="904"/>
      <c r="Y32" s="904"/>
      <c r="Z32" s="904"/>
      <c r="AA32" s="904"/>
      <c r="AB32" s="904"/>
      <c r="AC32" s="904"/>
      <c r="AD32" s="904"/>
      <c r="AE32" s="904"/>
      <c r="AF32" s="904"/>
      <c r="AG32" s="904"/>
      <c r="AH32" s="904"/>
      <c r="AI32" s="904"/>
      <c r="AJ32" s="904"/>
      <c r="AK32" s="904"/>
      <c r="AL32" s="904"/>
      <c r="AM32" s="904"/>
      <c r="AN32" s="904"/>
      <c r="AO32" s="904"/>
      <c r="AP32" s="904"/>
      <c r="AQ32" s="904"/>
      <c r="AR32" s="904"/>
      <c r="AS32" s="904"/>
      <c r="AT32" s="904"/>
      <c r="AU32" s="904"/>
      <c r="AV32" s="904"/>
      <c r="AW32" s="904"/>
      <c r="AX32" s="904"/>
      <c r="AY32" s="904"/>
      <c r="AZ32" s="904"/>
      <c r="BA32" s="904"/>
      <c r="BB32" s="904"/>
      <c r="BC32" s="904"/>
      <c r="BD32" s="904"/>
      <c r="BE32" s="904"/>
      <c r="BF32" s="904"/>
      <c r="BG32" s="904"/>
      <c r="BH32" s="904"/>
      <c r="BI32" s="904"/>
      <c r="BJ32" s="904"/>
      <c r="BK32" s="904"/>
      <c r="BL32" s="904"/>
      <c r="BM32" s="904"/>
      <c r="BN32" s="904"/>
      <c r="BO32" s="904"/>
      <c r="BP32" s="904"/>
      <c r="BQ32" s="904"/>
    </row>
    <row r="33" spans="1:69">
      <c r="A33" s="26">
        <f t="shared" si="0"/>
        <v>19</v>
      </c>
      <c r="B33" s="12"/>
      <c r="C33" s="12"/>
      <c r="D33" s="5" t="s">
        <v>665</v>
      </c>
      <c r="E33" s="769"/>
      <c r="F33" s="769"/>
      <c r="G33" s="769"/>
      <c r="H33" s="769"/>
      <c r="I33" s="769"/>
      <c r="J33" s="769"/>
      <c r="K33" s="769"/>
      <c r="L33" s="769"/>
      <c r="M33" s="769"/>
      <c r="N33" s="769"/>
      <c r="O33" s="769"/>
      <c r="P33" s="769"/>
      <c r="Q33" s="769"/>
      <c r="R33" s="769"/>
      <c r="S33" s="5"/>
      <c r="T33" s="5"/>
      <c r="W33" s="904"/>
      <c r="X33" s="904"/>
      <c r="Y33" s="904"/>
      <c r="Z33" s="904"/>
      <c r="AA33" s="904"/>
      <c r="AB33" s="904"/>
      <c r="AC33" s="904"/>
      <c r="AD33" s="904"/>
      <c r="AE33" s="904"/>
      <c r="AF33" s="904"/>
      <c r="AG33" s="904"/>
      <c r="AH33" s="904"/>
      <c r="AI33" s="904"/>
      <c r="AJ33" s="904"/>
      <c r="AK33" s="904"/>
      <c r="AL33" s="904"/>
      <c r="AM33" s="904"/>
      <c r="AN33" s="904"/>
      <c r="AO33" s="904"/>
      <c r="AP33" s="904"/>
      <c r="AQ33" s="904"/>
      <c r="AR33" s="904"/>
      <c r="AS33" s="904"/>
      <c r="AT33" s="904"/>
      <c r="AU33" s="904"/>
      <c r="AV33" s="904"/>
      <c r="AW33" s="904"/>
      <c r="AX33" s="904"/>
      <c r="AY33" s="904"/>
      <c r="AZ33" s="904"/>
      <c r="BA33" s="904"/>
      <c r="BB33" s="904"/>
      <c r="BC33" s="904"/>
      <c r="BD33" s="904"/>
      <c r="BE33" s="904"/>
      <c r="BF33" s="904"/>
      <c r="BG33" s="904"/>
      <c r="BH33" s="904"/>
      <c r="BI33" s="904"/>
      <c r="BJ33" s="904"/>
      <c r="BK33" s="904"/>
      <c r="BL33" s="904"/>
      <c r="BM33" s="904"/>
      <c r="BN33" s="904"/>
      <c r="BO33" s="904"/>
      <c r="BP33" s="904"/>
      <c r="BQ33" s="904"/>
    </row>
    <row r="34" spans="1:69">
      <c r="A34" s="26">
        <f t="shared" si="0"/>
        <v>20</v>
      </c>
      <c r="B34" s="12"/>
      <c r="C34" s="3" t="s">
        <v>696</v>
      </c>
      <c r="D34" s="5" t="s">
        <v>806</v>
      </c>
      <c r="E34" s="769"/>
      <c r="F34" s="769"/>
      <c r="G34" s="769"/>
      <c r="H34" s="769"/>
      <c r="I34" s="769"/>
      <c r="J34" s="769"/>
      <c r="K34" s="769"/>
      <c r="L34" s="769"/>
      <c r="M34" s="769"/>
      <c r="N34" s="769"/>
      <c r="O34" s="769"/>
      <c r="P34" s="769"/>
      <c r="Q34" s="769"/>
      <c r="R34" s="769"/>
      <c r="S34" s="5"/>
      <c r="T34" s="5"/>
      <c r="W34" s="904"/>
      <c r="X34" s="904"/>
      <c r="Y34" s="904"/>
      <c r="Z34" s="904"/>
      <c r="AA34" s="904"/>
      <c r="AB34" s="904"/>
      <c r="AC34" s="904"/>
      <c r="AD34" s="904"/>
      <c r="AE34" s="904"/>
      <c r="AF34" s="904"/>
      <c r="AG34" s="904"/>
      <c r="AH34" s="904"/>
      <c r="AI34" s="904"/>
      <c r="AJ34" s="904"/>
      <c r="AK34" s="904"/>
      <c r="AL34" s="904"/>
      <c r="AM34" s="904"/>
      <c r="AN34" s="904"/>
      <c r="AO34" s="904"/>
      <c r="AP34" s="904"/>
      <c r="AQ34" s="904"/>
      <c r="AR34" s="904"/>
      <c r="AS34" s="904"/>
      <c r="AT34" s="904"/>
      <c r="AU34" s="904"/>
      <c r="AV34" s="904"/>
      <c r="AW34" s="904"/>
      <c r="AX34" s="904"/>
      <c r="AY34" s="904"/>
      <c r="AZ34" s="904"/>
      <c r="BA34" s="904"/>
      <c r="BB34" s="904"/>
      <c r="BC34" s="904"/>
      <c r="BD34" s="904"/>
      <c r="BE34" s="904"/>
      <c r="BF34" s="904"/>
      <c r="BG34" s="904"/>
      <c r="BH34" s="904"/>
      <c r="BI34" s="904"/>
      <c r="BJ34" s="904"/>
      <c r="BK34" s="904"/>
      <c r="BL34" s="904"/>
      <c r="BM34" s="904"/>
      <c r="BN34" s="904"/>
      <c r="BO34" s="904"/>
      <c r="BP34" s="904"/>
      <c r="BQ34" s="904"/>
    </row>
    <row r="35" spans="1:69">
      <c r="A35" s="26">
        <f t="shared" si="0"/>
        <v>21</v>
      </c>
      <c r="B35" s="12"/>
      <c r="C35" s="3" t="str">
        <f>+C25</f>
        <v xml:space="preserve">  Production</v>
      </c>
      <c r="D35" s="5" t="str">
        <f t="shared" ref="D35:D41" si="8">"(line "&amp;A15&amp;" - line "&amp;A25&amp;")"</f>
        <v>(line 1 - line 11)</v>
      </c>
      <c r="E35" s="769">
        <f t="shared" ref="E35:E41" si="9">+E15-E25</f>
        <v>332594426.64999998</v>
      </c>
      <c r="F35" s="769">
        <v>331621806.49000001</v>
      </c>
      <c r="G35" s="769">
        <v>330449225.38999999</v>
      </c>
      <c r="H35" s="769">
        <v>331171819.65999997</v>
      </c>
      <c r="I35" s="769">
        <v>330271636.25</v>
      </c>
      <c r="J35" s="769">
        <v>331402121.06</v>
      </c>
      <c r="K35" s="769">
        <v>334667046.00999999</v>
      </c>
      <c r="L35" s="769">
        <f t="shared" ref="L35:Q35" si="10">+L15-L25</f>
        <v>333852185.28999996</v>
      </c>
      <c r="M35" s="769">
        <f t="shared" si="10"/>
        <v>332974612.55000001</v>
      </c>
      <c r="N35" s="769">
        <f t="shared" si="10"/>
        <v>333629247.09000003</v>
      </c>
      <c r="O35" s="769">
        <f t="shared" si="10"/>
        <v>333492202.68000001</v>
      </c>
      <c r="P35" s="769">
        <f t="shared" si="10"/>
        <v>332462317.06999999</v>
      </c>
      <c r="Q35" s="769">
        <f t="shared" si="10"/>
        <v>332062433.35000002</v>
      </c>
      <c r="R35" s="769">
        <f t="shared" ref="R35:R41" si="11">R15-R25</f>
        <v>332357775.34923077</v>
      </c>
      <c r="S35" s="5"/>
      <c r="T35" s="5"/>
      <c r="W35" s="904"/>
      <c r="X35" s="904"/>
      <c r="Y35" s="904"/>
      <c r="Z35" s="904"/>
      <c r="AA35" s="904"/>
      <c r="AB35" s="904"/>
      <c r="AC35" s="904"/>
      <c r="AD35" s="904"/>
      <c r="AE35" s="904"/>
      <c r="AF35" s="904"/>
      <c r="AG35" s="904"/>
      <c r="AH35" s="904"/>
      <c r="AI35" s="904"/>
      <c r="AJ35" s="904"/>
      <c r="AK35" s="904"/>
      <c r="AL35" s="904"/>
      <c r="AM35" s="904"/>
      <c r="AN35" s="904"/>
      <c r="AO35" s="904"/>
      <c r="AP35" s="904"/>
      <c r="AQ35" s="904"/>
      <c r="AR35" s="904"/>
      <c r="AS35" s="904"/>
      <c r="AT35" s="904"/>
      <c r="AU35" s="904"/>
      <c r="AV35" s="904"/>
      <c r="AW35" s="904"/>
      <c r="AX35" s="904"/>
      <c r="AY35" s="904"/>
      <c r="AZ35" s="904"/>
      <c r="BA35" s="904"/>
      <c r="BB35" s="904"/>
      <c r="BC35" s="904"/>
      <c r="BD35" s="904"/>
      <c r="BE35" s="904"/>
      <c r="BF35" s="904"/>
      <c r="BG35" s="904"/>
      <c r="BH35" s="904"/>
      <c r="BI35" s="904"/>
      <c r="BJ35" s="904"/>
      <c r="BK35" s="904"/>
      <c r="BL35" s="904"/>
      <c r="BM35" s="904"/>
      <c r="BN35" s="904"/>
      <c r="BO35" s="904"/>
      <c r="BP35" s="904"/>
      <c r="BQ35" s="904"/>
    </row>
    <row r="36" spans="1:69">
      <c r="A36" s="26">
        <f t="shared" si="0"/>
        <v>22</v>
      </c>
      <c r="B36" s="12"/>
      <c r="C36" s="3" t="s">
        <v>686</v>
      </c>
      <c r="D36" s="5" t="str">
        <f t="shared" si="8"/>
        <v>(line 2 - line 12)</v>
      </c>
      <c r="E36" s="769">
        <f t="shared" si="9"/>
        <v>86380072.196065664</v>
      </c>
      <c r="F36" s="769">
        <v>85914007.75999999</v>
      </c>
      <c r="G36" s="769">
        <v>85732373.789999992</v>
      </c>
      <c r="H36" s="769">
        <v>85818010.900000006</v>
      </c>
      <c r="I36" s="769">
        <v>85604847.060000002</v>
      </c>
      <c r="J36" s="769">
        <v>85543418.959999993</v>
      </c>
      <c r="K36" s="769">
        <v>85407864.129999995</v>
      </c>
      <c r="L36" s="769">
        <f t="shared" ref="L36:Q41" si="12">+L16-L26</f>
        <v>84668620.689710662</v>
      </c>
      <c r="M36" s="769">
        <f t="shared" si="12"/>
        <v>84465077.506710663</v>
      </c>
      <c r="N36" s="769">
        <f t="shared" si="12"/>
        <v>83844200.170210674</v>
      </c>
      <c r="O36" s="769">
        <f t="shared" si="12"/>
        <v>83528131.170710668</v>
      </c>
      <c r="P36" s="769">
        <f t="shared" si="12"/>
        <v>83479102.448377341</v>
      </c>
      <c r="Q36" s="769">
        <f t="shared" si="12"/>
        <v>83436790.619710669</v>
      </c>
      <c r="R36" s="769">
        <f t="shared" si="11"/>
        <v>84674657.321065545</v>
      </c>
      <c r="S36" s="5"/>
      <c r="T36" s="5"/>
      <c r="W36" s="904"/>
      <c r="X36" s="904"/>
      <c r="Y36" s="904"/>
      <c r="Z36" s="904"/>
      <c r="AA36" s="904"/>
      <c r="AB36" s="904"/>
      <c r="AC36" s="904"/>
      <c r="AD36" s="904"/>
      <c r="AE36" s="904"/>
      <c r="AF36" s="904"/>
      <c r="AG36" s="904"/>
      <c r="AH36" s="904"/>
      <c r="AI36" s="904"/>
      <c r="AJ36" s="904"/>
      <c r="AK36" s="904"/>
      <c r="AL36" s="904"/>
      <c r="AM36" s="904"/>
      <c r="AN36" s="904"/>
      <c r="AO36" s="904"/>
      <c r="AP36" s="904"/>
      <c r="AQ36" s="904"/>
      <c r="AR36" s="904"/>
      <c r="AS36" s="904"/>
      <c r="AT36" s="904"/>
      <c r="AU36" s="904"/>
      <c r="AV36" s="904"/>
      <c r="AW36" s="904"/>
      <c r="AX36" s="904"/>
      <c r="AY36" s="904"/>
      <c r="AZ36" s="904"/>
      <c r="BA36" s="904"/>
      <c r="BB36" s="904"/>
      <c r="BC36" s="904"/>
      <c r="BD36" s="904"/>
      <c r="BE36" s="904"/>
      <c r="BF36" s="904"/>
      <c r="BG36" s="904"/>
      <c r="BH36" s="904"/>
      <c r="BI36" s="904"/>
      <c r="BJ36" s="904"/>
      <c r="BK36" s="904"/>
      <c r="BL36" s="904"/>
      <c r="BM36" s="904"/>
      <c r="BN36" s="904"/>
      <c r="BO36" s="904"/>
      <c r="BP36" s="904"/>
      <c r="BQ36" s="904"/>
    </row>
    <row r="37" spans="1:69">
      <c r="A37" s="26">
        <f t="shared" si="0"/>
        <v>23</v>
      </c>
      <c r="B37" s="12"/>
      <c r="C37" s="3" t="s">
        <v>804</v>
      </c>
      <c r="D37" s="5" t="str">
        <f t="shared" si="8"/>
        <v>(line 3 - line 13)</v>
      </c>
      <c r="E37" s="769">
        <f t="shared" si="9"/>
        <v>197197238.93000001</v>
      </c>
      <c r="F37" s="769">
        <v>197512435.06</v>
      </c>
      <c r="G37" s="769">
        <v>198553690.22</v>
      </c>
      <c r="H37" s="769">
        <v>196914180.90000001</v>
      </c>
      <c r="I37" s="769">
        <v>197356043.51999998</v>
      </c>
      <c r="J37" s="769">
        <v>200071038.20999998</v>
      </c>
      <c r="K37" s="769">
        <v>200507341.20999998</v>
      </c>
      <c r="L37" s="769">
        <f t="shared" si="12"/>
        <v>200571763.17999998</v>
      </c>
      <c r="M37" s="769">
        <f t="shared" si="12"/>
        <v>201401957.12</v>
      </c>
      <c r="N37" s="769">
        <f t="shared" si="12"/>
        <v>201578738.13999999</v>
      </c>
      <c r="O37" s="769">
        <f t="shared" si="12"/>
        <v>204389462.69999999</v>
      </c>
      <c r="P37" s="769">
        <f t="shared" si="12"/>
        <v>204604877.44</v>
      </c>
      <c r="Q37" s="769">
        <f t="shared" si="12"/>
        <v>204671936.00999999</v>
      </c>
      <c r="R37" s="769">
        <f t="shared" si="11"/>
        <v>200410054.04923081</v>
      </c>
      <c r="S37" s="5"/>
      <c r="T37" s="5"/>
      <c r="W37" s="904"/>
      <c r="X37" s="904"/>
      <c r="Y37" s="904"/>
      <c r="Z37" s="904"/>
      <c r="AA37" s="904"/>
      <c r="AB37" s="904"/>
      <c r="AC37" s="904"/>
      <c r="AD37" s="904"/>
      <c r="AE37" s="904"/>
      <c r="AF37" s="904"/>
      <c r="AG37" s="904"/>
      <c r="AH37" s="904"/>
      <c r="AI37" s="904"/>
      <c r="AJ37" s="904"/>
      <c r="AK37" s="904"/>
      <c r="AL37" s="904"/>
      <c r="AM37" s="904"/>
      <c r="AN37" s="904"/>
      <c r="AO37" s="904"/>
      <c r="AP37" s="904"/>
      <c r="AQ37" s="904"/>
      <c r="AR37" s="904"/>
      <c r="AS37" s="904"/>
      <c r="AT37" s="904"/>
      <c r="AU37" s="904"/>
      <c r="AV37" s="904"/>
      <c r="AW37" s="904"/>
      <c r="AX37" s="904"/>
      <c r="AY37" s="904"/>
      <c r="AZ37" s="904"/>
      <c r="BA37" s="904"/>
      <c r="BB37" s="904"/>
      <c r="BC37" s="904"/>
      <c r="BD37" s="904"/>
      <c r="BE37" s="904"/>
      <c r="BF37" s="904"/>
      <c r="BG37" s="904"/>
      <c r="BH37" s="904"/>
      <c r="BI37" s="904"/>
      <c r="BJ37" s="904"/>
      <c r="BK37" s="904"/>
      <c r="BL37" s="904"/>
      <c r="BM37" s="904"/>
      <c r="BN37" s="904"/>
      <c r="BO37" s="904"/>
      <c r="BP37" s="904"/>
      <c r="BQ37" s="904"/>
    </row>
    <row r="38" spans="1:69">
      <c r="A38" s="26">
        <f t="shared" si="0"/>
        <v>24</v>
      </c>
      <c r="B38" s="12"/>
      <c r="C38" s="3" t="str">
        <f>+C28</f>
        <v xml:space="preserve">  General &amp; Intangible</v>
      </c>
      <c r="D38" s="5" t="str">
        <f t="shared" si="8"/>
        <v>(line 4 - line 14)</v>
      </c>
      <c r="E38" s="769">
        <f t="shared" si="9"/>
        <v>14593623.111457922</v>
      </c>
      <c r="F38" s="769">
        <v>16444136.400000006</v>
      </c>
      <c r="G38" s="769">
        <v>16309080.119999994</v>
      </c>
      <c r="H38" s="769">
        <v>17042855.430000007</v>
      </c>
      <c r="I38" s="769">
        <v>16200414.170000006</v>
      </c>
      <c r="J38" s="769">
        <v>16331800.399999999</v>
      </c>
      <c r="K38" s="769">
        <v>17774975.049999997</v>
      </c>
      <c r="L38" s="769">
        <f>+L18-L28</f>
        <v>15252323.887617916</v>
      </c>
      <c r="M38" s="769">
        <f>+M18-M28</f>
        <v>15188662.45955392</v>
      </c>
      <c r="N38" s="769">
        <f>+N18-N28</f>
        <v>15299752.606561918</v>
      </c>
      <c r="O38" s="769">
        <f t="shared" si="12"/>
        <v>14355493.78732992</v>
      </c>
      <c r="P38" s="769">
        <f t="shared" si="12"/>
        <v>14194267.997297917</v>
      </c>
      <c r="Q38" s="769">
        <f t="shared" si="12"/>
        <v>16031565.773905914</v>
      </c>
      <c r="R38" s="769">
        <f t="shared" si="11"/>
        <v>14805120.086764999</v>
      </c>
      <c r="S38" s="5"/>
      <c r="T38" s="5"/>
      <c r="W38" s="904"/>
      <c r="X38" s="904"/>
      <c r="Y38" s="904"/>
      <c r="Z38" s="904"/>
      <c r="AA38" s="904"/>
      <c r="AB38" s="904"/>
      <c r="AC38" s="904"/>
      <c r="AD38" s="904"/>
      <c r="AE38" s="904"/>
      <c r="AF38" s="904"/>
      <c r="AG38" s="904"/>
      <c r="AH38" s="904"/>
      <c r="AI38" s="904"/>
      <c r="AJ38" s="904"/>
      <c r="AK38" s="904"/>
      <c r="AL38" s="904"/>
      <c r="AM38" s="904"/>
      <c r="AN38" s="904"/>
      <c r="AO38" s="904"/>
      <c r="AP38" s="904"/>
      <c r="AQ38" s="904"/>
      <c r="AR38" s="904"/>
      <c r="AS38" s="904"/>
      <c r="AT38" s="904"/>
      <c r="AU38" s="904"/>
      <c r="AV38" s="904"/>
      <c r="AW38" s="904"/>
      <c r="AX38" s="904"/>
      <c r="AY38" s="904"/>
      <c r="AZ38" s="904"/>
      <c r="BA38" s="904"/>
      <c r="BB38" s="904"/>
      <c r="BC38" s="904"/>
      <c r="BD38" s="904"/>
      <c r="BE38" s="904"/>
      <c r="BF38" s="904"/>
      <c r="BG38" s="904"/>
      <c r="BH38" s="904"/>
      <c r="BI38" s="904"/>
      <c r="BJ38" s="904"/>
      <c r="BK38" s="904"/>
      <c r="BL38" s="904"/>
      <c r="BM38" s="904"/>
      <c r="BN38" s="904"/>
      <c r="BO38" s="904"/>
      <c r="BP38" s="904"/>
      <c r="BQ38" s="904"/>
    </row>
    <row r="39" spans="1:69">
      <c r="A39" s="26">
        <f t="shared" si="0"/>
        <v>25</v>
      </c>
      <c r="B39" s="12"/>
      <c r="C39" s="3" t="s">
        <v>571</v>
      </c>
      <c r="D39" s="5" t="str">
        <f t="shared" si="8"/>
        <v>(line 5 - line 15)</v>
      </c>
      <c r="E39" s="769">
        <f t="shared" si="9"/>
        <v>7604337.4699999988</v>
      </c>
      <c r="F39" s="769">
        <v>7893135</v>
      </c>
      <c r="G39" s="769">
        <v>7927195</v>
      </c>
      <c r="H39" s="769">
        <v>7807137</v>
      </c>
      <c r="I39" s="769">
        <v>8189150</v>
      </c>
      <c r="J39" s="769">
        <v>7981257</v>
      </c>
      <c r="K39" s="769">
        <v>8117101</v>
      </c>
      <c r="L39" s="769">
        <f t="shared" si="12"/>
        <v>8006338</v>
      </c>
      <c r="M39" s="769">
        <f t="shared" si="12"/>
        <v>7733382</v>
      </c>
      <c r="N39" s="769">
        <f t="shared" si="12"/>
        <v>7642551</v>
      </c>
      <c r="O39" s="769">
        <f t="shared" si="12"/>
        <v>8347781</v>
      </c>
      <c r="P39" s="769">
        <f t="shared" si="12"/>
        <v>8568804</v>
      </c>
      <c r="Q39" s="769">
        <f t="shared" si="12"/>
        <v>9620945</v>
      </c>
      <c r="R39" s="769">
        <f t="shared" si="11"/>
        <v>8110701.0361538455</v>
      </c>
      <c r="S39" s="5"/>
      <c r="T39" s="5"/>
      <c r="W39" s="904"/>
      <c r="X39" s="904"/>
      <c r="Y39" s="904"/>
      <c r="Z39" s="904"/>
      <c r="AA39" s="904"/>
      <c r="AB39" s="904"/>
      <c r="AC39" s="904"/>
      <c r="AD39" s="904"/>
      <c r="AE39" s="904"/>
      <c r="AF39" s="904"/>
      <c r="AG39" s="904"/>
      <c r="AH39" s="904"/>
      <c r="AI39" s="904"/>
      <c r="AJ39" s="904"/>
      <c r="AK39" s="904"/>
      <c r="AL39" s="904"/>
      <c r="AM39" s="904"/>
      <c r="AN39" s="904"/>
      <c r="AO39" s="904"/>
      <c r="AP39" s="904"/>
      <c r="AQ39" s="904"/>
      <c r="AR39" s="904"/>
      <c r="AS39" s="904"/>
      <c r="AT39" s="904"/>
      <c r="AU39" s="904"/>
      <c r="AV39" s="904"/>
      <c r="AW39" s="904"/>
      <c r="AX39" s="904"/>
      <c r="AY39" s="904"/>
      <c r="AZ39" s="904"/>
      <c r="BA39" s="904"/>
      <c r="BB39" s="904"/>
      <c r="BC39" s="904"/>
      <c r="BD39" s="904"/>
      <c r="BE39" s="904"/>
      <c r="BF39" s="904"/>
      <c r="BG39" s="904"/>
      <c r="BH39" s="904"/>
      <c r="BI39" s="904"/>
      <c r="BJ39" s="904"/>
      <c r="BK39" s="904"/>
      <c r="BL39" s="904"/>
      <c r="BM39" s="904"/>
      <c r="BN39" s="904"/>
      <c r="BO39" s="904"/>
      <c r="BP39" s="904"/>
      <c r="BQ39" s="904"/>
    </row>
    <row r="40" spans="1:69">
      <c r="A40" s="26">
        <f t="shared" si="0"/>
        <v>26</v>
      </c>
      <c r="B40" s="12"/>
      <c r="C40" s="3" t="str">
        <f>+C30</f>
        <v xml:space="preserve">  Communication System</v>
      </c>
      <c r="D40" s="5" t="str">
        <f t="shared" si="8"/>
        <v>(line 6 - line 16)</v>
      </c>
      <c r="E40" s="769">
        <f t="shared" si="9"/>
        <v>6056502.5869920002</v>
      </c>
      <c r="F40" s="769">
        <v>6409924.25</v>
      </c>
      <c r="G40" s="769">
        <v>6389284.1500000004</v>
      </c>
      <c r="H40" s="769">
        <v>6362471.1800000006</v>
      </c>
      <c r="I40" s="769">
        <v>6358760.0899999999</v>
      </c>
      <c r="J40" s="769">
        <v>6331888.5</v>
      </c>
      <c r="K40" s="769">
        <v>6333383.7299999995</v>
      </c>
      <c r="L40" s="769">
        <f t="shared" si="12"/>
        <v>5854472.9890560005</v>
      </c>
      <c r="M40" s="769">
        <f t="shared" si="12"/>
        <v>5815320.2047199998</v>
      </c>
      <c r="N40" s="769">
        <f t="shared" si="12"/>
        <v>5778040.4417120004</v>
      </c>
      <c r="O40" s="769">
        <f t="shared" si="12"/>
        <v>5811675.5333440006</v>
      </c>
      <c r="P40" s="769">
        <f t="shared" si="12"/>
        <v>5768649.1241760012</v>
      </c>
      <c r="Q40" s="769">
        <f t="shared" si="12"/>
        <v>5766857.1143680001</v>
      </c>
      <c r="R40" s="769">
        <f t="shared" si="11"/>
        <v>5885259.0501944618</v>
      </c>
      <c r="S40" s="5"/>
      <c r="T40" s="5"/>
      <c r="W40" s="904"/>
      <c r="X40" s="904"/>
      <c r="Y40" s="904"/>
      <c r="Z40" s="904"/>
      <c r="AA40" s="904"/>
      <c r="AB40" s="904"/>
      <c r="AC40" s="904"/>
      <c r="AD40" s="904"/>
      <c r="AE40" s="904"/>
      <c r="AF40" s="904"/>
      <c r="AG40" s="904"/>
      <c r="AH40" s="904"/>
      <c r="AI40" s="904"/>
      <c r="AJ40" s="904"/>
      <c r="AK40" s="904"/>
      <c r="AL40" s="904"/>
      <c r="AM40" s="904"/>
      <c r="AN40" s="904"/>
      <c r="AO40" s="904"/>
      <c r="AP40" s="904"/>
      <c r="AQ40" s="904"/>
      <c r="AR40" s="904"/>
      <c r="AS40" s="904"/>
      <c r="AT40" s="904"/>
      <c r="AU40" s="904"/>
      <c r="AV40" s="904"/>
      <c r="AW40" s="904"/>
      <c r="AX40" s="904"/>
      <c r="AY40" s="904"/>
      <c r="AZ40" s="904"/>
      <c r="BA40" s="904"/>
      <c r="BB40" s="904"/>
      <c r="BC40" s="904"/>
      <c r="BD40" s="904"/>
      <c r="BE40" s="904"/>
      <c r="BF40" s="904"/>
      <c r="BG40" s="904"/>
      <c r="BH40" s="904"/>
      <c r="BI40" s="904"/>
      <c r="BJ40" s="904"/>
      <c r="BK40" s="904"/>
      <c r="BL40" s="904"/>
      <c r="BM40" s="904"/>
      <c r="BN40" s="904"/>
      <c r="BO40" s="904"/>
      <c r="BP40" s="904"/>
      <c r="BQ40" s="904"/>
    </row>
    <row r="41" spans="1:69">
      <c r="A41" s="26">
        <f t="shared" si="0"/>
        <v>27</v>
      </c>
      <c r="B41" s="12"/>
      <c r="C41" s="3" t="str">
        <f>+C31</f>
        <v xml:space="preserve">  Common</v>
      </c>
      <c r="D41" s="5" t="str">
        <f t="shared" si="8"/>
        <v>(line 7 - line 17)</v>
      </c>
      <c r="E41" s="769">
        <f t="shared" si="9"/>
        <v>0</v>
      </c>
      <c r="F41" s="769">
        <v>0</v>
      </c>
      <c r="G41" s="769">
        <v>0</v>
      </c>
      <c r="H41" s="769">
        <v>0</v>
      </c>
      <c r="I41" s="769">
        <v>0</v>
      </c>
      <c r="J41" s="769">
        <v>0</v>
      </c>
      <c r="K41" s="769">
        <v>0</v>
      </c>
      <c r="L41" s="769">
        <f>+L21-L31</f>
        <v>0</v>
      </c>
      <c r="M41" s="769">
        <f>+M21-M31</f>
        <v>0</v>
      </c>
      <c r="N41" s="769">
        <f>+N21-N31</f>
        <v>0</v>
      </c>
      <c r="O41" s="769">
        <f t="shared" si="12"/>
        <v>0</v>
      </c>
      <c r="P41" s="769">
        <f t="shared" si="12"/>
        <v>0</v>
      </c>
      <c r="Q41" s="769">
        <f t="shared" si="12"/>
        <v>0</v>
      </c>
      <c r="R41" s="896">
        <f t="shared" si="11"/>
        <v>0</v>
      </c>
      <c r="S41" s="5"/>
      <c r="T41" s="5"/>
      <c r="W41" s="904"/>
      <c r="X41" s="904"/>
      <c r="Y41" s="904"/>
      <c r="Z41" s="904"/>
      <c r="AA41" s="904"/>
      <c r="AB41" s="904"/>
      <c r="AC41" s="904"/>
      <c r="AD41" s="904"/>
      <c r="AE41" s="904"/>
      <c r="AF41" s="904"/>
      <c r="AG41" s="904"/>
      <c r="AH41" s="904"/>
      <c r="AI41" s="904"/>
      <c r="AJ41" s="904"/>
      <c r="AK41" s="904"/>
      <c r="AL41" s="904"/>
      <c r="AM41" s="904"/>
      <c r="AN41" s="904"/>
      <c r="AO41" s="904"/>
      <c r="AP41" s="904"/>
      <c r="AQ41" s="904"/>
      <c r="AR41" s="904"/>
      <c r="AS41" s="904"/>
      <c r="AT41" s="904"/>
      <c r="AU41" s="904"/>
      <c r="AV41" s="904"/>
      <c r="AW41" s="904"/>
      <c r="AX41" s="904"/>
      <c r="AY41" s="904"/>
      <c r="AZ41" s="904"/>
      <c r="BA41" s="904"/>
      <c r="BB41" s="904"/>
      <c r="BC41" s="904"/>
      <c r="BD41" s="904"/>
      <c r="BE41" s="904"/>
      <c r="BF41" s="904"/>
      <c r="BG41" s="904"/>
      <c r="BH41" s="904"/>
      <c r="BI41" s="904"/>
      <c r="BJ41" s="904"/>
      <c r="BK41" s="904"/>
      <c r="BL41" s="904"/>
      <c r="BM41" s="904"/>
      <c r="BN41" s="904"/>
      <c r="BO41" s="904"/>
      <c r="BP41" s="904"/>
      <c r="BQ41" s="904"/>
    </row>
    <row r="42" spans="1:69">
      <c r="A42" s="26">
        <f t="shared" si="0"/>
        <v>28</v>
      </c>
      <c r="B42" s="12"/>
      <c r="C42" s="3" t="s">
        <v>172</v>
      </c>
      <c r="D42" s="5" t="str">
        <f>"(sum lines "&amp;A35&amp;" - "&amp;A41&amp;")"</f>
        <v>(sum lines 21 - 27)</v>
      </c>
      <c r="E42" s="910">
        <f>SUM(E35:E41)</f>
        <v>644426200.94451559</v>
      </c>
      <c r="F42" s="910">
        <v>645795444.95999992</v>
      </c>
      <c r="G42" s="910">
        <v>645360848.66999996</v>
      </c>
      <c r="H42" s="910">
        <v>645116475.06999981</v>
      </c>
      <c r="I42" s="910">
        <v>643980851.08999991</v>
      </c>
      <c r="J42" s="910">
        <v>647661524.13</v>
      </c>
      <c r="K42" s="910">
        <v>652807711.12999988</v>
      </c>
      <c r="L42" s="910">
        <f t="shared" ref="L42:R42" si="13">SUM(L35:L41)</f>
        <v>648205704.03638458</v>
      </c>
      <c r="M42" s="910">
        <f t="shared" si="13"/>
        <v>647579011.84098458</v>
      </c>
      <c r="N42" s="910">
        <f t="shared" si="13"/>
        <v>647772529.44848454</v>
      </c>
      <c r="O42" s="910">
        <f t="shared" si="13"/>
        <v>649924746.87138462</v>
      </c>
      <c r="P42" s="910">
        <f t="shared" si="13"/>
        <v>649078018.07985127</v>
      </c>
      <c r="Q42" s="910">
        <f>SUM(Q35:Q41)</f>
        <v>651590527.86798453</v>
      </c>
      <c r="R42" s="910">
        <f t="shared" si="13"/>
        <v>646243566.89264047</v>
      </c>
      <c r="S42" s="5"/>
      <c r="T42" s="743"/>
      <c r="W42" s="904"/>
      <c r="X42" s="904"/>
      <c r="Y42" s="904"/>
      <c r="Z42" s="904"/>
      <c r="AA42" s="904"/>
      <c r="AB42" s="904"/>
      <c r="AC42" s="904"/>
      <c r="AD42" s="904"/>
      <c r="AE42" s="904"/>
      <c r="AF42" s="904"/>
      <c r="AG42" s="904"/>
      <c r="AH42" s="904"/>
      <c r="AI42" s="904"/>
      <c r="AJ42" s="904"/>
      <c r="AK42" s="904"/>
      <c r="AL42" s="904"/>
      <c r="AM42" s="904"/>
      <c r="AN42" s="904"/>
      <c r="AO42" s="904"/>
      <c r="AP42" s="904"/>
      <c r="AQ42" s="904"/>
      <c r="AR42" s="904"/>
      <c r="AS42" s="904"/>
      <c r="AT42" s="904"/>
      <c r="AU42" s="904"/>
      <c r="AV42" s="904"/>
      <c r="AW42" s="904"/>
      <c r="AX42" s="904"/>
      <c r="AY42" s="904"/>
      <c r="AZ42" s="904"/>
      <c r="BA42" s="904"/>
      <c r="BB42" s="904"/>
      <c r="BC42" s="904"/>
      <c r="BD42" s="904"/>
      <c r="BE42" s="904"/>
      <c r="BF42" s="904"/>
      <c r="BG42" s="904"/>
      <c r="BH42" s="904"/>
      <c r="BI42" s="904"/>
      <c r="BJ42" s="904"/>
      <c r="BK42" s="904"/>
      <c r="BL42" s="904"/>
      <c r="BM42" s="904"/>
      <c r="BN42" s="904"/>
      <c r="BO42" s="904"/>
      <c r="BP42" s="904"/>
      <c r="BQ42" s="904"/>
    </row>
    <row r="43" spans="1:69">
      <c r="A43" s="26"/>
      <c r="B43" s="12"/>
      <c r="C43" s="3"/>
      <c r="D43" s="5"/>
      <c r="E43" s="741"/>
      <c r="F43" s="741"/>
      <c r="G43" s="741"/>
      <c r="H43" s="741"/>
      <c r="I43" s="741"/>
      <c r="J43" s="741"/>
      <c r="K43" s="741"/>
      <c r="L43" s="741"/>
      <c r="M43" s="741"/>
      <c r="N43" s="741"/>
      <c r="O43" s="741"/>
      <c r="P43" s="741"/>
      <c r="Q43" s="741"/>
      <c r="R43" s="741"/>
      <c r="S43" s="5"/>
      <c r="T43" s="743"/>
      <c r="W43" s="904"/>
      <c r="X43" s="904"/>
      <c r="Y43" s="904"/>
      <c r="Z43" s="904"/>
      <c r="AA43" s="904"/>
      <c r="AB43" s="904"/>
      <c r="AC43" s="904"/>
      <c r="AD43" s="904"/>
      <c r="AE43" s="904"/>
      <c r="AF43" s="904"/>
      <c r="AG43" s="904"/>
      <c r="AH43" s="904"/>
      <c r="AI43" s="904"/>
      <c r="AJ43" s="904"/>
      <c r="AK43" s="904"/>
      <c r="AL43" s="904"/>
      <c r="AM43" s="904"/>
      <c r="AN43" s="904"/>
      <c r="AO43" s="904"/>
      <c r="AP43" s="904"/>
      <c r="AQ43" s="904"/>
      <c r="AR43" s="904"/>
      <c r="AS43" s="904"/>
      <c r="AT43" s="904"/>
      <c r="AU43" s="904"/>
      <c r="AV43" s="904"/>
      <c r="AW43" s="904"/>
      <c r="AX43" s="904"/>
      <c r="AY43" s="904"/>
      <c r="AZ43" s="904"/>
      <c r="BA43" s="904"/>
      <c r="BB43" s="904"/>
      <c r="BC43" s="904"/>
      <c r="BD43" s="904"/>
      <c r="BE43" s="904"/>
      <c r="BF43" s="904"/>
      <c r="BG43" s="904"/>
      <c r="BH43" s="904"/>
      <c r="BI43" s="904"/>
      <c r="BJ43" s="904"/>
      <c r="BK43" s="904"/>
      <c r="BL43" s="904"/>
      <c r="BM43" s="904"/>
      <c r="BN43" s="904"/>
      <c r="BO43" s="904"/>
      <c r="BP43" s="904"/>
      <c r="BQ43" s="904"/>
    </row>
    <row r="44" spans="1:69">
      <c r="A44" s="26"/>
      <c r="B44" s="12"/>
      <c r="C44" s="3"/>
      <c r="D44" s="5"/>
      <c r="E44" s="741"/>
      <c r="F44" s="741"/>
      <c r="G44" s="741"/>
      <c r="H44" s="741"/>
      <c r="I44" s="741"/>
      <c r="J44" s="741"/>
      <c r="K44" s="741"/>
      <c r="L44" s="741"/>
      <c r="M44" s="741"/>
      <c r="N44" s="741"/>
      <c r="O44" s="741"/>
      <c r="P44" s="741"/>
      <c r="Q44" s="741"/>
      <c r="R44" s="741"/>
      <c r="S44" s="5"/>
      <c r="T44" s="743"/>
      <c r="W44" s="904"/>
      <c r="X44" s="904"/>
      <c r="Y44" s="904"/>
      <c r="Z44" s="904"/>
      <c r="AA44" s="904"/>
      <c r="AB44" s="904"/>
      <c r="AC44" s="904"/>
      <c r="AD44" s="904"/>
      <c r="AE44" s="904"/>
      <c r="AF44" s="904"/>
      <c r="AG44" s="904"/>
      <c r="AH44" s="904"/>
      <c r="AI44" s="904"/>
      <c r="AJ44" s="904"/>
      <c r="AK44" s="904"/>
      <c r="AL44" s="904"/>
      <c r="AM44" s="904"/>
      <c r="AN44" s="904"/>
      <c r="AO44" s="904"/>
      <c r="AP44" s="904"/>
      <c r="AQ44" s="904"/>
      <c r="AR44" s="904"/>
      <c r="AS44" s="904"/>
      <c r="AT44" s="904"/>
      <c r="AU44" s="904"/>
      <c r="AV44" s="904"/>
      <c r="AW44" s="904"/>
      <c r="AX44" s="904"/>
      <c r="AY44" s="904"/>
      <c r="AZ44" s="904"/>
      <c r="BA44" s="904"/>
      <c r="BB44" s="904"/>
      <c r="BC44" s="904"/>
      <c r="BD44" s="904"/>
      <c r="BE44" s="904"/>
      <c r="BF44" s="904"/>
      <c r="BG44" s="904"/>
      <c r="BH44" s="904"/>
      <c r="BI44" s="904"/>
      <c r="BJ44" s="904"/>
      <c r="BK44" s="904"/>
      <c r="BL44" s="904"/>
      <c r="BM44" s="904"/>
      <c r="BN44" s="904"/>
      <c r="BO44" s="904"/>
      <c r="BP44" s="904"/>
      <c r="BQ44" s="904"/>
    </row>
    <row r="45" spans="1:69">
      <c r="A45" s="26"/>
      <c r="B45" s="12"/>
      <c r="C45" s="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743"/>
      <c r="W45" s="904"/>
      <c r="X45" s="904"/>
      <c r="Y45" s="904"/>
      <c r="Z45" s="904"/>
      <c r="AA45" s="904"/>
      <c r="AB45" s="904"/>
      <c r="AC45" s="904"/>
      <c r="AD45" s="904"/>
      <c r="AE45" s="904"/>
      <c r="AF45" s="904"/>
      <c r="AG45" s="904"/>
      <c r="AH45" s="904"/>
      <c r="AI45" s="904"/>
      <c r="AJ45" s="904"/>
      <c r="AK45" s="904"/>
      <c r="AL45" s="904"/>
      <c r="AM45" s="904"/>
      <c r="AN45" s="904"/>
      <c r="AO45" s="904"/>
      <c r="AP45" s="904"/>
      <c r="AQ45" s="904"/>
      <c r="AR45" s="904"/>
      <c r="AS45" s="904"/>
      <c r="AT45" s="904"/>
      <c r="AU45" s="904"/>
      <c r="AV45" s="904"/>
      <c r="AW45" s="904"/>
      <c r="AX45" s="904"/>
      <c r="AY45" s="904"/>
      <c r="AZ45" s="904"/>
      <c r="BA45" s="904"/>
      <c r="BB45" s="904"/>
      <c r="BC45" s="904"/>
      <c r="BD45" s="904"/>
      <c r="BE45" s="904"/>
      <c r="BF45" s="904"/>
      <c r="BG45" s="904"/>
      <c r="BH45" s="904"/>
      <c r="BI45" s="904"/>
      <c r="BJ45" s="904"/>
      <c r="BK45" s="904"/>
      <c r="BL45" s="904"/>
      <c r="BM45" s="904"/>
      <c r="BN45" s="904"/>
      <c r="BO45" s="904"/>
      <c r="BP45" s="904"/>
      <c r="BQ45" s="904"/>
    </row>
    <row r="46" spans="1:69">
      <c r="A46" s="26"/>
      <c r="B46" s="12"/>
      <c r="C46" s="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743"/>
      <c r="W46" s="904"/>
      <c r="X46" s="904"/>
      <c r="Y46" s="904"/>
      <c r="Z46" s="904"/>
      <c r="AA46" s="904"/>
      <c r="AB46" s="904"/>
      <c r="AC46" s="904"/>
      <c r="AD46" s="904"/>
      <c r="AE46" s="904"/>
      <c r="AF46" s="904"/>
      <c r="AG46" s="904"/>
      <c r="AH46" s="904"/>
      <c r="AI46" s="904"/>
      <c r="AJ46" s="904"/>
      <c r="AK46" s="904"/>
      <c r="AL46" s="904"/>
      <c r="AM46" s="904"/>
      <c r="AN46" s="904"/>
      <c r="AO46" s="904"/>
      <c r="AP46" s="904"/>
      <c r="AQ46" s="904"/>
      <c r="AR46" s="904"/>
      <c r="AS46" s="904"/>
      <c r="AT46" s="904"/>
      <c r="AU46" s="904"/>
      <c r="AV46" s="904"/>
      <c r="AW46" s="904"/>
      <c r="AX46" s="904"/>
      <c r="AY46" s="904"/>
      <c r="AZ46" s="904"/>
      <c r="BA46" s="904"/>
      <c r="BB46" s="904"/>
      <c r="BC46" s="904"/>
      <c r="BD46" s="904"/>
      <c r="BE46" s="904"/>
      <c r="BF46" s="904"/>
      <c r="BG46" s="904"/>
      <c r="BH46" s="904"/>
      <c r="BI46" s="904"/>
      <c r="BJ46" s="904"/>
      <c r="BK46" s="904"/>
      <c r="BL46" s="904"/>
      <c r="BM46" s="904"/>
      <c r="BN46" s="904"/>
      <c r="BO46" s="904"/>
      <c r="BP46" s="904"/>
      <c r="BQ46" s="904"/>
    </row>
    <row r="47" spans="1:69" ht="23.25">
      <c r="A47" s="26"/>
      <c r="B47" s="12"/>
      <c r="C47" s="3"/>
      <c r="D47" s="5"/>
      <c r="E47" s="907" t="s">
        <v>1084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743"/>
      <c r="W47" s="904"/>
      <c r="X47" s="904"/>
      <c r="Y47" s="904"/>
      <c r="Z47" s="904"/>
      <c r="AA47" s="904"/>
      <c r="AB47" s="904"/>
      <c r="AC47" s="904"/>
      <c r="AD47" s="904"/>
      <c r="AE47" s="904"/>
      <c r="AF47" s="904"/>
      <c r="AG47" s="904"/>
      <c r="AH47" s="904"/>
      <c r="AI47" s="904"/>
      <c r="AJ47" s="904"/>
      <c r="AK47" s="904"/>
      <c r="AL47" s="904"/>
      <c r="AM47" s="904"/>
      <c r="AN47" s="904"/>
      <c r="AO47" s="904"/>
      <c r="AP47" s="904"/>
      <c r="AQ47" s="904"/>
      <c r="AR47" s="904"/>
      <c r="AS47" s="904"/>
      <c r="AT47" s="904"/>
      <c r="AU47" s="904"/>
      <c r="AV47" s="904"/>
      <c r="AW47" s="904"/>
      <c r="AX47" s="904"/>
      <c r="AY47" s="904"/>
      <c r="AZ47" s="904"/>
      <c r="BA47" s="904"/>
      <c r="BB47" s="904"/>
      <c r="BC47" s="904"/>
      <c r="BD47" s="904"/>
      <c r="BE47" s="904"/>
      <c r="BF47" s="904"/>
      <c r="BG47" s="904"/>
      <c r="BH47" s="904"/>
      <c r="BI47" s="904"/>
      <c r="BJ47" s="904"/>
      <c r="BK47" s="904"/>
      <c r="BL47" s="904"/>
      <c r="BM47" s="904"/>
      <c r="BN47" s="904"/>
      <c r="BO47" s="904"/>
      <c r="BP47" s="904"/>
      <c r="BQ47" s="904"/>
    </row>
    <row r="48" spans="1:69">
      <c r="A48" s="26">
        <f>+A42+1</f>
        <v>29</v>
      </c>
      <c r="B48" s="12"/>
      <c r="C48" s="12"/>
      <c r="D48" s="5"/>
      <c r="E48" s="851" t="s">
        <v>260</v>
      </c>
      <c r="F48" s="851" t="s">
        <v>261</v>
      </c>
      <c r="G48" s="851" t="s">
        <v>262</v>
      </c>
      <c r="H48" s="5"/>
      <c r="I48" s="5"/>
      <c r="J48" s="5"/>
      <c r="K48" s="5"/>
      <c r="L48" s="5"/>
      <c r="O48" s="904"/>
      <c r="P48" s="904"/>
      <c r="Q48" s="1124"/>
      <c r="R48" s="904"/>
      <c r="S48" s="904"/>
      <c r="T48" s="904"/>
      <c r="U48" s="904"/>
      <c r="V48" s="904"/>
      <c r="W48" s="904"/>
      <c r="X48" s="904"/>
      <c r="Y48" s="904"/>
      <c r="Z48" s="904"/>
      <c r="AA48" s="904"/>
      <c r="AB48" s="904"/>
      <c r="AC48" s="904"/>
      <c r="AD48" s="904"/>
      <c r="AE48" s="904"/>
      <c r="AF48" s="904"/>
      <c r="AG48" s="904"/>
      <c r="AH48" s="904"/>
      <c r="AI48" s="904"/>
      <c r="AJ48" s="904"/>
      <c r="AK48" s="904"/>
      <c r="AL48" s="904"/>
      <c r="AM48" s="904"/>
      <c r="AN48" s="904"/>
      <c r="AO48" s="904"/>
      <c r="AP48" s="904"/>
      <c r="AQ48" s="904"/>
      <c r="AR48" s="904"/>
      <c r="AS48" s="904"/>
      <c r="AT48" s="904"/>
      <c r="AU48" s="904"/>
      <c r="AV48" s="904"/>
      <c r="AW48" s="904"/>
      <c r="AX48" s="904"/>
      <c r="AY48" s="904"/>
      <c r="AZ48" s="904"/>
      <c r="BA48" s="904"/>
      <c r="BB48" s="904"/>
      <c r="BC48" s="904"/>
      <c r="BD48" s="904"/>
      <c r="BE48" s="904"/>
      <c r="BF48" s="904"/>
      <c r="BG48" s="904"/>
      <c r="BH48" s="904"/>
      <c r="BI48" s="904"/>
      <c r="BJ48" s="904"/>
    </row>
    <row r="49" spans="1:62">
      <c r="A49" s="26">
        <f t="shared" si="0"/>
        <v>30</v>
      </c>
      <c r="B49" s="12"/>
      <c r="C49" s="24" t="s">
        <v>809</v>
      </c>
      <c r="D49" s="5"/>
      <c r="E49" s="906">
        <v>40878</v>
      </c>
      <c r="F49" s="906">
        <v>41244</v>
      </c>
      <c r="G49" s="5" t="s">
        <v>305</v>
      </c>
      <c r="H49" s="5"/>
      <c r="I49" s="5"/>
      <c r="J49" s="1159"/>
      <c r="K49" s="1162" t="s">
        <v>1102</v>
      </c>
      <c r="L49" s="1162"/>
      <c r="O49" s="904"/>
      <c r="P49" s="904"/>
      <c r="Q49" s="904"/>
      <c r="R49" s="904"/>
      <c r="S49" s="904"/>
      <c r="T49" s="904"/>
      <c r="U49" s="904"/>
      <c r="V49" s="904"/>
      <c r="W49" s="904"/>
      <c r="X49" s="904"/>
      <c r="Y49" s="904"/>
      <c r="Z49" s="904"/>
      <c r="AA49" s="904"/>
      <c r="AB49" s="904"/>
      <c r="AC49" s="904"/>
      <c r="AD49" s="904"/>
      <c r="AE49" s="904"/>
      <c r="AF49" s="904"/>
      <c r="AG49" s="904"/>
      <c r="AH49" s="904"/>
      <c r="AI49" s="904"/>
      <c r="AJ49" s="904"/>
      <c r="AK49" s="904"/>
      <c r="AL49" s="904"/>
      <c r="AM49" s="904"/>
      <c r="AN49" s="904"/>
      <c r="AO49" s="904"/>
      <c r="AP49" s="904"/>
      <c r="AQ49" s="904"/>
      <c r="AR49" s="904"/>
      <c r="AS49" s="904"/>
      <c r="AT49" s="904"/>
      <c r="AU49" s="904"/>
      <c r="AV49" s="904"/>
      <c r="AW49" s="904"/>
      <c r="AX49" s="904"/>
      <c r="AY49" s="904"/>
      <c r="AZ49" s="904"/>
      <c r="BA49" s="904"/>
      <c r="BB49" s="904"/>
      <c r="BC49" s="904"/>
      <c r="BD49" s="904"/>
      <c r="BE49" s="904"/>
      <c r="BF49" s="904"/>
      <c r="BG49" s="904"/>
      <c r="BH49" s="904"/>
      <c r="BI49" s="904"/>
      <c r="BJ49" s="904"/>
    </row>
    <row r="50" spans="1:62">
      <c r="A50" s="26">
        <f t="shared" si="0"/>
        <v>31</v>
      </c>
      <c r="B50" s="12"/>
      <c r="C50" s="3" t="s">
        <v>764</v>
      </c>
      <c r="D50" s="951" t="s">
        <v>1051</v>
      </c>
      <c r="E50" s="769">
        <v>0</v>
      </c>
      <c r="F50" s="769">
        <v>0</v>
      </c>
      <c r="G50" s="769">
        <f t="shared" ref="G50:G55" si="14">(+E50+F50)/2</f>
        <v>0</v>
      </c>
      <c r="H50" s="30"/>
      <c r="I50" s="30"/>
      <c r="J50" s="1159"/>
      <c r="K50" s="906">
        <v>40878</v>
      </c>
      <c r="L50" s="906">
        <v>41244</v>
      </c>
      <c r="O50" s="904"/>
      <c r="P50" s="904"/>
      <c r="Q50" s="5"/>
      <c r="R50" s="904"/>
      <c r="S50" s="904"/>
      <c r="T50" s="904"/>
      <c r="U50" s="904"/>
      <c r="V50" s="904"/>
      <c r="W50" s="904"/>
      <c r="X50" s="904"/>
      <c r="Y50" s="904"/>
      <c r="Z50" s="904"/>
      <c r="AA50" s="904"/>
      <c r="AB50" s="904"/>
      <c r="AC50" s="904"/>
      <c r="AD50" s="904"/>
      <c r="AE50" s="904"/>
      <c r="AF50" s="904"/>
      <c r="AG50" s="904"/>
      <c r="AH50" s="904"/>
      <c r="AI50" s="904"/>
      <c r="AJ50" s="904"/>
      <c r="AK50" s="904"/>
      <c r="AL50" s="904"/>
      <c r="AM50" s="904"/>
      <c r="AN50" s="904"/>
      <c r="AO50" s="904"/>
      <c r="AP50" s="904"/>
      <c r="AQ50" s="904"/>
      <c r="AR50" s="904"/>
      <c r="AS50" s="904"/>
      <c r="AT50" s="904"/>
      <c r="AU50" s="904"/>
      <c r="AV50" s="904"/>
      <c r="AW50" s="904"/>
      <c r="AX50" s="904"/>
      <c r="AY50" s="904"/>
      <c r="AZ50" s="904"/>
      <c r="BA50" s="904"/>
      <c r="BB50" s="904"/>
      <c r="BC50" s="904"/>
      <c r="BD50" s="904"/>
      <c r="BE50" s="904"/>
      <c r="BF50" s="904"/>
      <c r="BG50" s="904"/>
      <c r="BH50" s="904"/>
      <c r="BI50" s="904"/>
      <c r="BJ50" s="904"/>
    </row>
    <row r="51" spans="1:62">
      <c r="A51" s="26">
        <f t="shared" si="0"/>
        <v>32</v>
      </c>
      <c r="B51" s="12"/>
      <c r="C51" s="3" t="s">
        <v>765</v>
      </c>
      <c r="D51" s="951" t="s">
        <v>1055</v>
      </c>
      <c r="E51" s="769">
        <f>K54</f>
        <v>-152392417.16791955</v>
      </c>
      <c r="F51" s="769">
        <f>L54</f>
        <v>-158211017.99170539</v>
      </c>
      <c r="G51" s="769">
        <f t="shared" si="14"/>
        <v>-155301717.57981247</v>
      </c>
      <c r="H51" s="5"/>
      <c r="I51" s="5"/>
      <c r="J51" s="1159"/>
      <c r="K51" s="1162"/>
      <c r="L51" s="1162"/>
      <c r="O51" s="904"/>
      <c r="P51" s="904"/>
      <c r="Q51" s="5"/>
      <c r="R51" s="904"/>
      <c r="S51" s="904"/>
      <c r="T51" s="904"/>
      <c r="U51" s="904"/>
      <c r="V51" s="904"/>
      <c r="W51" s="904"/>
      <c r="X51" s="904"/>
      <c r="Y51" s="904"/>
      <c r="Z51" s="904"/>
      <c r="AA51" s="904"/>
      <c r="AB51" s="904"/>
      <c r="AC51" s="904"/>
      <c r="AD51" s="904"/>
      <c r="AE51" s="904"/>
      <c r="AF51" s="904"/>
      <c r="AG51" s="904"/>
      <c r="AH51" s="904"/>
      <c r="AI51" s="904"/>
      <c r="AJ51" s="904"/>
      <c r="AK51" s="904"/>
      <c r="AL51" s="904"/>
      <c r="AM51" s="904"/>
      <c r="AN51" s="904"/>
      <c r="AO51" s="904"/>
      <c r="AP51" s="904"/>
      <c r="AQ51" s="904"/>
      <c r="AR51" s="904"/>
      <c r="AS51" s="904"/>
      <c r="AT51" s="904"/>
      <c r="AU51" s="904"/>
      <c r="AV51" s="904"/>
      <c r="AW51" s="904"/>
      <c r="AX51" s="904"/>
      <c r="AY51" s="904"/>
      <c r="AZ51" s="904"/>
      <c r="BA51" s="904"/>
      <c r="BB51" s="904"/>
      <c r="BC51" s="904"/>
      <c r="BD51" s="904"/>
      <c r="BE51" s="904"/>
      <c r="BF51" s="904"/>
      <c r="BG51" s="904"/>
      <c r="BH51" s="904"/>
      <c r="BI51" s="904"/>
      <c r="BJ51" s="904"/>
    </row>
    <row r="52" spans="1:62">
      <c r="A52" s="26">
        <f t="shared" si="0"/>
        <v>33</v>
      </c>
      <c r="B52" s="12"/>
      <c r="C52" s="3" t="s">
        <v>766</v>
      </c>
      <c r="D52" s="951" t="s">
        <v>1052</v>
      </c>
      <c r="E52" s="896">
        <v>-16686183</v>
      </c>
      <c r="F52" s="896">
        <v>-18646765</v>
      </c>
      <c r="G52" s="769">
        <f t="shared" si="14"/>
        <v>-17666474</v>
      </c>
      <c r="H52" s="5"/>
      <c r="I52" s="5"/>
      <c r="J52" s="1159" t="s">
        <v>1103</v>
      </c>
      <c r="K52" s="1160">
        <v>-151444759</v>
      </c>
      <c r="L52" s="1160">
        <v>-156894201</v>
      </c>
      <c r="O52" s="904"/>
      <c r="P52" s="904"/>
      <c r="Q52" s="904"/>
      <c r="R52" s="904"/>
      <c r="S52" s="904"/>
      <c r="T52" s="904"/>
      <c r="U52" s="904"/>
      <c r="V52" s="904"/>
      <c r="W52" s="904"/>
      <c r="X52" s="904"/>
      <c r="Y52" s="904"/>
      <c r="Z52" s="904"/>
      <c r="AA52" s="904"/>
      <c r="AB52" s="904"/>
      <c r="AC52" s="904"/>
      <c r="AD52" s="904"/>
      <c r="AE52" s="904"/>
      <c r="AF52" s="904"/>
      <c r="AG52" s="904"/>
      <c r="AH52" s="904"/>
      <c r="AI52" s="904"/>
      <c r="AJ52" s="904"/>
      <c r="AK52" s="904"/>
      <c r="AL52" s="904"/>
      <c r="AM52" s="904"/>
      <c r="AN52" s="904"/>
      <c r="AO52" s="904"/>
      <c r="AP52" s="904"/>
      <c r="AQ52" s="904"/>
      <c r="AR52" s="904"/>
      <c r="AS52" s="904"/>
      <c r="AT52" s="904"/>
      <c r="AU52" s="904"/>
      <c r="AV52" s="904"/>
      <c r="AW52" s="904"/>
      <c r="AX52" s="904"/>
      <c r="AY52" s="904"/>
      <c r="AZ52" s="904"/>
      <c r="BA52" s="904"/>
      <c r="BB52" s="904"/>
      <c r="BC52" s="904"/>
      <c r="BD52" s="904"/>
      <c r="BE52" s="904"/>
      <c r="BF52" s="904"/>
      <c r="BG52" s="904"/>
      <c r="BH52" s="904"/>
      <c r="BI52" s="904"/>
      <c r="BJ52" s="904"/>
    </row>
    <row r="53" spans="1:62">
      <c r="A53" s="26">
        <f t="shared" si="0"/>
        <v>34</v>
      </c>
      <c r="B53" s="12"/>
      <c r="C53" s="3" t="s">
        <v>768</v>
      </c>
      <c r="D53" s="951" t="s">
        <v>1054</v>
      </c>
      <c r="E53" s="896">
        <v>50772793</v>
      </c>
      <c r="F53" s="896">
        <v>31047369</v>
      </c>
      <c r="G53" s="769">
        <f t="shared" si="14"/>
        <v>40910081</v>
      </c>
      <c r="H53" s="5"/>
      <c r="I53" s="5"/>
      <c r="J53" s="1162" t="s">
        <v>1104</v>
      </c>
      <c r="K53" s="851">
        <v>-947658.16791954415</v>
      </c>
      <c r="L53" s="851">
        <v>-1316816.9917053941</v>
      </c>
      <c r="O53" s="904"/>
      <c r="P53" s="904"/>
      <c r="Q53" s="904"/>
      <c r="R53" s="904"/>
      <c r="S53" s="904"/>
      <c r="T53" s="904"/>
      <c r="U53" s="904"/>
      <c r="V53" s="904"/>
      <c r="W53" s="904"/>
      <c r="X53" s="904"/>
      <c r="Y53" s="904"/>
      <c r="Z53" s="904"/>
      <c r="AA53" s="904"/>
      <c r="AB53" s="904"/>
      <c r="AC53" s="904"/>
      <c r="AD53" s="904"/>
      <c r="AE53" s="904"/>
      <c r="AF53" s="904"/>
      <c r="AG53" s="904"/>
      <c r="AH53" s="904"/>
      <c r="AI53" s="904"/>
      <c r="AJ53" s="904"/>
      <c r="AK53" s="904"/>
      <c r="AL53" s="904"/>
      <c r="AM53" s="904"/>
      <c r="AN53" s="904"/>
      <c r="AO53" s="904"/>
      <c r="AP53" s="904"/>
      <c r="AQ53" s="904"/>
      <c r="AR53" s="904"/>
      <c r="AS53" s="904"/>
      <c r="AT53" s="904"/>
      <c r="AU53" s="904"/>
      <c r="AV53" s="904"/>
      <c r="AW53" s="904"/>
      <c r="AX53" s="904"/>
      <c r="AY53" s="904"/>
      <c r="AZ53" s="904"/>
      <c r="BA53" s="904"/>
      <c r="BB53" s="904"/>
      <c r="BC53" s="904"/>
      <c r="BD53" s="904"/>
      <c r="BE53" s="904"/>
      <c r="BF53" s="904"/>
      <c r="BG53" s="904"/>
      <c r="BH53" s="904"/>
      <c r="BI53" s="904"/>
      <c r="BJ53" s="904"/>
    </row>
    <row r="54" spans="1:62">
      <c r="A54" s="26">
        <f t="shared" si="0"/>
        <v>35</v>
      </c>
      <c r="B54" s="12"/>
      <c r="C54" s="12" t="s">
        <v>767</v>
      </c>
      <c r="D54" s="951" t="s">
        <v>1053</v>
      </c>
      <c r="E54" s="896">
        <v>0</v>
      </c>
      <c r="F54" s="896">
        <v>0</v>
      </c>
      <c r="G54" s="769">
        <f t="shared" si="14"/>
        <v>0</v>
      </c>
      <c r="H54" s="5"/>
      <c r="I54" s="5"/>
      <c r="J54" s="1162" t="s">
        <v>1105</v>
      </c>
      <c r="K54" s="1163">
        <f>K52+K53</f>
        <v>-152392417.16791955</v>
      </c>
      <c r="L54" s="1163">
        <f>L52+L53</f>
        <v>-158211017.99170539</v>
      </c>
      <c r="O54" s="904"/>
      <c r="P54" s="904"/>
      <c r="Q54" s="904"/>
      <c r="R54" s="904"/>
      <c r="S54" s="904"/>
      <c r="T54" s="904"/>
      <c r="U54" s="904"/>
      <c r="V54" s="904"/>
      <c r="W54" s="904"/>
      <c r="X54" s="904"/>
      <c r="Y54" s="904"/>
      <c r="Z54" s="904"/>
      <c r="AA54" s="904"/>
      <c r="AB54" s="904"/>
      <c r="AC54" s="904"/>
      <c r="AD54" s="904"/>
      <c r="AE54" s="904"/>
      <c r="AF54" s="904"/>
      <c r="AG54" s="904"/>
      <c r="AH54" s="904"/>
      <c r="AI54" s="904"/>
      <c r="AJ54" s="904"/>
      <c r="AK54" s="904"/>
      <c r="AL54" s="904"/>
      <c r="AM54" s="904"/>
      <c r="AN54" s="904"/>
      <c r="AO54" s="904"/>
      <c r="AP54" s="904"/>
      <c r="AQ54" s="904"/>
      <c r="AR54" s="904"/>
      <c r="AS54" s="904"/>
      <c r="AT54" s="904"/>
      <c r="AU54" s="904"/>
      <c r="AV54" s="904"/>
      <c r="AW54" s="904"/>
      <c r="AX54" s="904"/>
      <c r="AY54" s="904"/>
      <c r="AZ54" s="904"/>
      <c r="BA54" s="904"/>
      <c r="BB54" s="904"/>
      <c r="BC54" s="904"/>
      <c r="BD54" s="904"/>
      <c r="BE54" s="904"/>
      <c r="BF54" s="904"/>
      <c r="BG54" s="904"/>
      <c r="BH54" s="904"/>
      <c r="BI54" s="904"/>
      <c r="BJ54" s="904"/>
    </row>
    <row r="55" spans="1:62">
      <c r="A55" s="26">
        <f t="shared" si="0"/>
        <v>36</v>
      </c>
      <c r="B55" s="12"/>
      <c r="C55" s="3" t="s">
        <v>795</v>
      </c>
      <c r="D55" s="956" t="s">
        <v>1085</v>
      </c>
      <c r="E55" s="908">
        <f>(8552058-762648)*0.35</f>
        <v>2726293.5</v>
      </c>
      <c r="F55" s="908">
        <f>(8459622-535992)*0.35</f>
        <v>2773270.5</v>
      </c>
      <c r="G55" s="908">
        <f t="shared" si="14"/>
        <v>2749782</v>
      </c>
      <c r="H55" s="5"/>
      <c r="I55" s="5"/>
      <c r="J55" s="5"/>
      <c r="K55" s="5"/>
      <c r="L55" s="16"/>
      <c r="O55" s="904"/>
      <c r="P55" s="904"/>
      <c r="Q55" s="904"/>
      <c r="R55" s="904"/>
      <c r="S55" s="904"/>
      <c r="T55" s="904"/>
      <c r="U55" s="904"/>
      <c r="V55" s="904"/>
      <c r="W55" s="904"/>
      <c r="X55" s="904"/>
      <c r="Y55" s="904"/>
      <c r="Z55" s="904"/>
      <c r="AA55" s="904"/>
      <c r="AB55" s="904"/>
      <c r="AC55" s="904"/>
      <c r="AD55" s="904"/>
      <c r="AE55" s="904"/>
      <c r="AF55" s="904"/>
      <c r="AG55" s="904"/>
      <c r="AH55" s="904"/>
      <c r="AI55" s="904"/>
      <c r="AJ55" s="904"/>
      <c r="AK55" s="904"/>
      <c r="AL55" s="904"/>
      <c r="AM55" s="904"/>
      <c r="AN55" s="904"/>
      <c r="AO55" s="904"/>
      <c r="AP55" s="904"/>
      <c r="AQ55" s="904"/>
      <c r="AR55" s="904"/>
      <c r="AS55" s="904"/>
      <c r="AT55" s="904"/>
      <c r="AU55" s="904"/>
      <c r="AV55" s="904"/>
      <c r="AW55" s="904"/>
      <c r="AX55" s="904"/>
      <c r="AY55" s="904"/>
      <c r="AZ55" s="904"/>
      <c r="BA55" s="904"/>
      <c r="BB55" s="904"/>
      <c r="BC55" s="904"/>
      <c r="BD55" s="904"/>
      <c r="BE55" s="904"/>
      <c r="BF55" s="904"/>
      <c r="BG55" s="904"/>
      <c r="BH55" s="904"/>
      <c r="BI55" s="904"/>
      <c r="BJ55" s="904"/>
    </row>
    <row r="56" spans="1:62">
      <c r="A56" s="26">
        <f t="shared" si="0"/>
        <v>37</v>
      </c>
      <c r="B56" s="12"/>
      <c r="C56" s="3" t="s">
        <v>174</v>
      </c>
      <c r="D56" s="5" t="str">
        <f>"(sum lines "&amp;A50&amp;" - "&amp;A55&amp;")"</f>
        <v>(sum lines 31 - 36)</v>
      </c>
      <c r="E56" s="769">
        <f>SUM(E50:E55)</f>
        <v>-115579513.66791955</v>
      </c>
      <c r="F56" s="769">
        <f>SUM(F50:F55)</f>
        <v>-143037143.49170539</v>
      </c>
      <c r="G56" s="769">
        <f>SUM(G50:G55)</f>
        <v>-129308328.57981247</v>
      </c>
      <c r="H56" s="5"/>
      <c r="I56" s="5"/>
      <c r="J56" s="5"/>
      <c r="K56" s="5"/>
      <c r="L56" s="742"/>
      <c r="O56" s="904"/>
      <c r="P56" s="904"/>
      <c r="Q56" s="904"/>
      <c r="R56" s="904"/>
      <c r="S56" s="904"/>
      <c r="T56" s="904"/>
      <c r="U56" s="904"/>
      <c r="V56" s="904"/>
      <c r="W56" s="904"/>
      <c r="X56" s="904"/>
      <c r="Y56" s="904"/>
      <c r="Z56" s="904"/>
      <c r="AA56" s="904"/>
      <c r="AB56" s="904"/>
      <c r="AC56" s="904"/>
      <c r="AD56" s="904"/>
      <c r="AE56" s="904"/>
      <c r="AF56" s="904"/>
      <c r="AG56" s="904"/>
      <c r="AH56" s="904"/>
      <c r="AI56" s="904"/>
      <c r="AJ56" s="904"/>
      <c r="AK56" s="904"/>
      <c r="AL56" s="904"/>
      <c r="AM56" s="904"/>
      <c r="AN56" s="904"/>
      <c r="AO56" s="904"/>
      <c r="AP56" s="904"/>
      <c r="AQ56" s="904"/>
      <c r="AR56" s="904"/>
      <c r="AS56" s="904"/>
      <c r="AT56" s="904"/>
      <c r="AU56" s="904"/>
      <c r="AV56" s="904"/>
      <c r="AW56" s="904"/>
      <c r="AX56" s="904"/>
      <c r="AY56" s="904"/>
      <c r="AZ56" s="904"/>
      <c r="BA56" s="904"/>
      <c r="BB56" s="904"/>
      <c r="BC56" s="904"/>
      <c r="BD56" s="904"/>
      <c r="BE56" s="904"/>
      <c r="BF56" s="904"/>
      <c r="BG56" s="904"/>
      <c r="BH56" s="904"/>
      <c r="BI56" s="904"/>
      <c r="BJ56" s="904"/>
    </row>
    <row r="57" spans="1:62">
      <c r="A57" s="26">
        <f t="shared" si="0"/>
        <v>38</v>
      </c>
      <c r="B57" s="12"/>
      <c r="C57" s="12"/>
      <c r="D57" s="5"/>
      <c r="E57" s="769"/>
      <c r="F57" s="741"/>
      <c r="G57" s="741"/>
      <c r="H57" s="5"/>
      <c r="I57" s="5"/>
      <c r="J57" s="5"/>
      <c r="K57" s="5"/>
      <c r="L57" s="5"/>
      <c r="O57" s="904"/>
      <c r="P57" s="904"/>
      <c r="Q57" s="904"/>
      <c r="R57" s="904"/>
      <c r="S57" s="904"/>
      <c r="T57" s="904"/>
      <c r="U57" s="904"/>
      <c r="V57" s="904"/>
      <c r="W57" s="904"/>
      <c r="X57" s="904"/>
      <c r="Y57" s="904"/>
      <c r="Z57" s="904"/>
      <c r="AA57" s="904"/>
      <c r="AB57" s="904"/>
      <c r="AC57" s="904"/>
      <c r="AD57" s="904"/>
      <c r="AE57" s="904"/>
      <c r="AF57" s="904"/>
      <c r="AG57" s="904"/>
      <c r="AH57" s="904"/>
      <c r="AI57" s="904"/>
      <c r="AJ57" s="904"/>
      <c r="AK57" s="904"/>
      <c r="AL57" s="904"/>
      <c r="AM57" s="904"/>
      <c r="AN57" s="904"/>
      <c r="AO57" s="904"/>
      <c r="AP57" s="904"/>
      <c r="AQ57" s="904"/>
      <c r="AR57" s="904"/>
      <c r="AS57" s="904"/>
      <c r="AT57" s="904"/>
      <c r="AU57" s="904"/>
      <c r="AV57" s="904"/>
      <c r="AW57" s="904"/>
      <c r="AX57" s="904"/>
      <c r="AY57" s="904"/>
      <c r="AZ57" s="904"/>
      <c r="BA57" s="904"/>
      <c r="BB57" s="904"/>
      <c r="BC57" s="904"/>
      <c r="BD57" s="904"/>
      <c r="BE57" s="904"/>
      <c r="BF57" s="904"/>
      <c r="BG57" s="904"/>
      <c r="BH57" s="904"/>
      <c r="BI57" s="904"/>
      <c r="BJ57" s="904"/>
    </row>
    <row r="58" spans="1:62">
      <c r="A58" s="26">
        <f t="shared" si="0"/>
        <v>39</v>
      </c>
      <c r="B58" s="12"/>
      <c r="C58" s="24" t="s">
        <v>709</v>
      </c>
      <c r="D58" s="5" t="s">
        <v>808</v>
      </c>
      <c r="E58" s="769"/>
      <c r="F58" s="769"/>
      <c r="G58" s="769">
        <f>(+E58+F58)/2</f>
        <v>0</v>
      </c>
      <c r="H58" s="5"/>
      <c r="I58" s="5"/>
      <c r="J58" s="5"/>
      <c r="K58" s="5"/>
      <c r="L58" s="868"/>
      <c r="O58" s="904"/>
      <c r="P58" s="904"/>
      <c r="Q58" s="904"/>
      <c r="R58" s="904"/>
      <c r="S58" s="904"/>
      <c r="T58" s="904"/>
      <c r="U58" s="904"/>
      <c r="V58" s="904"/>
      <c r="W58" s="904"/>
      <c r="X58" s="904"/>
      <c r="Y58" s="904"/>
      <c r="Z58" s="904"/>
      <c r="AA58" s="904"/>
      <c r="AB58" s="904"/>
      <c r="AC58" s="904"/>
      <c r="AD58" s="904"/>
      <c r="AE58" s="904"/>
      <c r="AF58" s="904"/>
      <c r="AG58" s="904"/>
      <c r="AH58" s="904"/>
      <c r="AI58" s="904"/>
      <c r="AJ58" s="904"/>
      <c r="AK58" s="904"/>
      <c r="AL58" s="904"/>
      <c r="AM58" s="904"/>
      <c r="AN58" s="904"/>
      <c r="AO58" s="904"/>
      <c r="AP58" s="904"/>
      <c r="AQ58" s="904"/>
      <c r="AR58" s="904"/>
      <c r="AS58" s="904"/>
      <c r="AT58" s="904"/>
      <c r="AU58" s="904"/>
      <c r="AV58" s="904"/>
      <c r="AW58" s="904"/>
      <c r="AX58" s="904"/>
      <c r="AY58" s="904"/>
      <c r="AZ58" s="904"/>
      <c r="BA58" s="904"/>
      <c r="BB58" s="904"/>
      <c r="BC58" s="904"/>
      <c r="BD58" s="904"/>
      <c r="BE58" s="904"/>
      <c r="BF58" s="904"/>
      <c r="BG58" s="904"/>
      <c r="BH58" s="904"/>
      <c r="BI58" s="904"/>
      <c r="BJ58" s="904"/>
    </row>
    <row r="59" spans="1:62">
      <c r="A59" s="26">
        <f t="shared" si="0"/>
        <v>40</v>
      </c>
      <c r="B59" s="12"/>
      <c r="C59" s="3"/>
      <c r="D59" s="5"/>
      <c r="E59" s="769"/>
      <c r="F59" s="769"/>
      <c r="G59" s="741"/>
      <c r="H59" s="5"/>
      <c r="I59" s="5"/>
      <c r="J59" s="5"/>
      <c r="K59" s="5"/>
      <c r="L59" s="5"/>
      <c r="O59" s="904"/>
      <c r="P59" s="904"/>
      <c r="Q59" s="904"/>
      <c r="R59" s="904"/>
      <c r="S59" s="904"/>
      <c r="T59" s="904"/>
      <c r="U59" s="904"/>
      <c r="V59" s="904"/>
      <c r="W59" s="904"/>
      <c r="X59" s="904"/>
      <c r="Y59" s="904"/>
      <c r="Z59" s="904"/>
      <c r="AA59" s="904"/>
      <c r="AB59" s="904"/>
      <c r="AC59" s="904"/>
      <c r="AD59" s="904"/>
      <c r="AE59" s="904"/>
      <c r="AF59" s="904"/>
      <c r="AG59" s="904"/>
      <c r="AH59" s="904"/>
      <c r="AI59" s="904"/>
      <c r="AJ59" s="904"/>
      <c r="AK59" s="904"/>
      <c r="AL59" s="904"/>
      <c r="AM59" s="904"/>
      <c r="AN59" s="904"/>
      <c r="AO59" s="904"/>
      <c r="AP59" s="904"/>
      <c r="AQ59" s="904"/>
      <c r="AR59" s="904"/>
      <c r="AS59" s="904"/>
      <c r="AT59" s="904"/>
      <c r="AU59" s="904"/>
      <c r="AV59" s="904"/>
      <c r="AW59" s="904"/>
      <c r="AX59" s="904"/>
      <c r="AY59" s="904"/>
      <c r="AZ59" s="904"/>
      <c r="BA59" s="904"/>
      <c r="BB59" s="904"/>
      <c r="BC59" s="904"/>
      <c r="BD59" s="904"/>
      <c r="BE59" s="904"/>
      <c r="BF59" s="904"/>
      <c r="BG59" s="904"/>
      <c r="BH59" s="904"/>
      <c r="BI59" s="904"/>
      <c r="BJ59" s="904"/>
    </row>
    <row r="60" spans="1:62">
      <c r="A60" s="26">
        <f t="shared" si="0"/>
        <v>41</v>
      </c>
      <c r="B60" s="12"/>
      <c r="C60" s="3" t="s">
        <v>807</v>
      </c>
      <c r="D60" s="5" t="s">
        <v>665</v>
      </c>
      <c r="E60" s="769"/>
      <c r="F60" s="769"/>
      <c r="G60" s="741"/>
      <c r="H60" s="5"/>
      <c r="I60" s="5"/>
      <c r="J60" s="5"/>
      <c r="K60" s="5"/>
      <c r="L60" s="5"/>
      <c r="O60" s="904"/>
      <c r="P60" s="904"/>
      <c r="Q60" s="904"/>
      <c r="R60" s="904"/>
      <c r="S60" s="904"/>
      <c r="T60" s="904"/>
      <c r="U60" s="904"/>
      <c r="V60" s="904"/>
      <c r="W60" s="904"/>
      <c r="X60" s="904"/>
      <c r="Y60" s="904"/>
      <c r="Z60" s="904"/>
      <c r="AA60" s="904"/>
      <c r="AB60" s="904"/>
      <c r="AC60" s="904"/>
      <c r="AD60" s="904"/>
      <c r="AE60" s="904"/>
      <c r="AF60" s="904"/>
      <c r="AG60" s="904"/>
      <c r="AH60" s="904"/>
      <c r="AI60" s="904"/>
      <c r="AJ60" s="904"/>
      <c r="AK60" s="904"/>
      <c r="AL60" s="904"/>
      <c r="AM60" s="904"/>
      <c r="AN60" s="904"/>
      <c r="AO60" s="904"/>
      <c r="AP60" s="904"/>
      <c r="AQ60" s="904"/>
      <c r="AR60" s="904"/>
      <c r="AS60" s="904"/>
      <c r="AT60" s="904"/>
      <c r="AU60" s="904"/>
      <c r="AV60" s="904"/>
      <c r="AW60" s="904"/>
      <c r="AX60" s="904"/>
      <c r="AY60" s="904"/>
      <c r="AZ60" s="904"/>
      <c r="BA60" s="904"/>
      <c r="BB60" s="904"/>
      <c r="BC60" s="904"/>
      <c r="BD60" s="904"/>
      <c r="BE60" s="904"/>
      <c r="BF60" s="904"/>
      <c r="BG60" s="904"/>
      <c r="BH60" s="904"/>
      <c r="BI60" s="904"/>
      <c r="BJ60" s="904"/>
    </row>
    <row r="61" spans="1:62">
      <c r="A61" s="26">
        <f t="shared" si="0"/>
        <v>42</v>
      </c>
      <c r="B61" s="12"/>
      <c r="C61" s="3" t="s">
        <v>786</v>
      </c>
      <c r="D61" s="48"/>
      <c r="E61" s="769"/>
      <c r="F61" s="769"/>
      <c r="G61" s="769">
        <f>(+E61+F61)/2</f>
        <v>0</v>
      </c>
      <c r="H61" s="5"/>
      <c r="I61" s="5"/>
      <c r="J61" s="5"/>
      <c r="K61" s="5"/>
      <c r="L61" s="6"/>
      <c r="O61" s="904"/>
      <c r="P61" s="904"/>
      <c r="Q61" s="904"/>
      <c r="R61" s="904"/>
      <c r="S61" s="904"/>
      <c r="T61" s="904"/>
      <c r="U61" s="904"/>
      <c r="V61" s="904"/>
      <c r="W61" s="904"/>
      <c r="X61" s="904"/>
      <c r="Y61" s="904"/>
      <c r="Z61" s="904"/>
      <c r="AA61" s="904"/>
      <c r="AB61" s="904"/>
      <c r="AC61" s="904"/>
      <c r="AD61" s="904"/>
      <c r="AE61" s="904"/>
      <c r="AF61" s="904"/>
      <c r="AG61" s="904"/>
      <c r="AH61" s="904"/>
      <c r="AI61" s="904"/>
      <c r="AJ61" s="904"/>
      <c r="AK61" s="904"/>
      <c r="AL61" s="904"/>
      <c r="AM61" s="904"/>
      <c r="AN61" s="904"/>
      <c r="AO61" s="904"/>
      <c r="AP61" s="904"/>
      <c r="AQ61" s="904"/>
      <c r="AR61" s="904"/>
      <c r="AS61" s="904"/>
      <c r="AT61" s="904"/>
      <c r="AU61" s="904"/>
      <c r="AV61" s="904"/>
      <c r="AW61" s="904"/>
      <c r="AX61" s="904"/>
      <c r="AY61" s="904"/>
      <c r="AZ61" s="904"/>
      <c r="BA61" s="904"/>
      <c r="BB61" s="904"/>
      <c r="BC61" s="904"/>
      <c r="BD61" s="904"/>
      <c r="BE61" s="904"/>
      <c r="BF61" s="904"/>
      <c r="BG61" s="904"/>
      <c r="BH61" s="904"/>
      <c r="BI61" s="904"/>
      <c r="BJ61" s="904"/>
    </row>
    <row r="62" spans="1:62">
      <c r="A62" s="26">
        <f t="shared" si="0"/>
        <v>43</v>
      </c>
      <c r="B62" s="12"/>
      <c r="C62" s="3" t="s">
        <v>921</v>
      </c>
      <c r="D62" s="5" t="s">
        <v>566</v>
      </c>
      <c r="E62" s="896">
        <v>3930249</v>
      </c>
      <c r="F62" s="896">
        <v>3947350</v>
      </c>
      <c r="G62" s="769">
        <f>(+E62+F62)/2</f>
        <v>3938799.5</v>
      </c>
      <c r="H62" s="5"/>
      <c r="I62" s="5"/>
      <c r="J62" s="5"/>
      <c r="K62" s="5"/>
      <c r="L62" s="6"/>
      <c r="O62" s="904"/>
      <c r="P62" s="904"/>
      <c r="Q62" s="904"/>
      <c r="R62" s="904"/>
      <c r="S62" s="904"/>
      <c r="T62" s="904"/>
      <c r="U62" s="904"/>
      <c r="V62" s="904"/>
      <c r="W62" s="904"/>
      <c r="X62" s="904"/>
      <c r="Y62" s="904"/>
      <c r="Z62" s="904"/>
      <c r="AA62" s="904"/>
      <c r="AB62" s="904"/>
      <c r="AC62" s="904"/>
      <c r="AD62" s="904"/>
      <c r="AE62" s="904"/>
      <c r="AF62" s="904"/>
      <c r="AG62" s="904"/>
      <c r="AH62" s="904"/>
      <c r="AI62" s="904"/>
      <c r="AJ62" s="904"/>
      <c r="AK62" s="904"/>
      <c r="AL62" s="904"/>
      <c r="AM62" s="904"/>
      <c r="AN62" s="904"/>
      <c r="AO62" s="904"/>
      <c r="AP62" s="904"/>
      <c r="AQ62" s="904"/>
      <c r="AR62" s="904"/>
      <c r="AS62" s="904"/>
      <c r="AT62" s="904"/>
      <c r="AU62" s="904"/>
      <c r="AV62" s="904"/>
      <c r="AW62" s="904"/>
      <c r="AX62" s="904"/>
      <c r="AY62" s="904"/>
      <c r="AZ62" s="904"/>
      <c r="BA62" s="904"/>
      <c r="BB62" s="904"/>
      <c r="BC62" s="904"/>
      <c r="BD62" s="904"/>
      <c r="BE62" s="904"/>
      <c r="BF62" s="904"/>
      <c r="BG62" s="904"/>
      <c r="BH62" s="904"/>
      <c r="BI62" s="904"/>
      <c r="BJ62" s="904"/>
    </row>
    <row r="63" spans="1:62">
      <c r="A63" s="26">
        <f t="shared" si="0"/>
        <v>44</v>
      </c>
      <c r="B63" s="12"/>
      <c r="C63" s="3" t="s">
        <v>921</v>
      </c>
      <c r="D63" s="5" t="s">
        <v>565</v>
      </c>
      <c r="E63" s="896">
        <v>57534</v>
      </c>
      <c r="F63" s="896">
        <v>28966</v>
      </c>
      <c r="G63" s="769">
        <f>(+E63+F63)/2</f>
        <v>43250</v>
      </c>
      <c r="H63" s="5"/>
      <c r="I63" s="5"/>
      <c r="J63" s="5"/>
      <c r="K63" s="5"/>
      <c r="L63" s="6"/>
      <c r="O63" s="904"/>
      <c r="P63" s="904"/>
      <c r="Q63" s="904"/>
      <c r="R63" s="904"/>
      <c r="S63" s="904"/>
      <c r="T63" s="904"/>
      <c r="U63" s="904"/>
      <c r="V63" s="904"/>
      <c r="W63" s="904"/>
      <c r="X63" s="904"/>
      <c r="Y63" s="904"/>
      <c r="Z63" s="904"/>
      <c r="AA63" s="904"/>
      <c r="AB63" s="904"/>
      <c r="AC63" s="904"/>
      <c r="AD63" s="904"/>
      <c r="AE63" s="904"/>
      <c r="AF63" s="904"/>
      <c r="AG63" s="904"/>
      <c r="AH63" s="904"/>
      <c r="AI63" s="904"/>
      <c r="AJ63" s="904"/>
      <c r="AK63" s="904"/>
      <c r="AL63" s="904"/>
      <c r="AM63" s="904"/>
      <c r="AN63" s="904"/>
      <c r="AO63" s="904"/>
      <c r="AP63" s="904"/>
      <c r="AQ63" s="904"/>
      <c r="AR63" s="904"/>
      <c r="AS63" s="904"/>
      <c r="AT63" s="904"/>
      <c r="AU63" s="904"/>
      <c r="AV63" s="904"/>
      <c r="AW63" s="904"/>
      <c r="AX63" s="904"/>
      <c r="AY63" s="904"/>
      <c r="AZ63" s="904"/>
      <c r="BA63" s="904"/>
      <c r="BB63" s="904"/>
      <c r="BC63" s="904"/>
      <c r="BD63" s="904"/>
      <c r="BE63" s="904"/>
      <c r="BF63" s="904"/>
      <c r="BG63" s="904"/>
      <c r="BH63" s="904"/>
      <c r="BI63" s="904"/>
      <c r="BJ63" s="904"/>
    </row>
    <row r="64" spans="1:62">
      <c r="A64" s="26">
        <f t="shared" si="0"/>
        <v>45</v>
      </c>
      <c r="B64" s="12"/>
      <c r="C64" s="3" t="s">
        <v>769</v>
      </c>
      <c r="D64" s="30" t="s">
        <v>365</v>
      </c>
      <c r="E64" s="896">
        <v>3089753</v>
      </c>
      <c r="F64" s="896">
        <v>4571479</v>
      </c>
      <c r="G64" s="769">
        <f>(+E64+F64)/2</f>
        <v>3830616</v>
      </c>
      <c r="H64" s="5"/>
      <c r="I64" s="5"/>
      <c r="J64" s="5"/>
      <c r="K64" s="5"/>
      <c r="L64" s="6"/>
      <c r="O64" s="904"/>
      <c r="P64" s="904"/>
      <c r="Q64" s="904"/>
      <c r="R64" s="904"/>
      <c r="S64" s="904"/>
      <c r="T64" s="904"/>
      <c r="U64" s="904"/>
      <c r="V64" s="904"/>
      <c r="W64" s="904"/>
      <c r="X64" s="904"/>
      <c r="Y64" s="904"/>
      <c r="Z64" s="904"/>
      <c r="AA64" s="904"/>
      <c r="AB64" s="904"/>
      <c r="AC64" s="904"/>
      <c r="AD64" s="904"/>
      <c r="AE64" s="904"/>
      <c r="AF64" s="904"/>
      <c r="AG64" s="904"/>
      <c r="AH64" s="904"/>
      <c r="AI64" s="904"/>
      <c r="AJ64" s="904"/>
      <c r="AK64" s="904"/>
      <c r="AL64" s="904"/>
      <c r="AM64" s="904"/>
      <c r="AN64" s="904"/>
      <c r="AO64" s="904"/>
      <c r="AP64" s="904"/>
      <c r="AQ64" s="904"/>
      <c r="AR64" s="904"/>
      <c r="AS64" s="904"/>
      <c r="AT64" s="904"/>
      <c r="AU64" s="904"/>
      <c r="AV64" s="904"/>
      <c r="AW64" s="904"/>
      <c r="AX64" s="904"/>
      <c r="AY64" s="904"/>
      <c r="AZ64" s="904"/>
      <c r="BA64" s="904"/>
      <c r="BB64" s="904"/>
      <c r="BC64" s="904"/>
      <c r="BD64" s="904"/>
      <c r="BE64" s="904"/>
      <c r="BF64" s="904"/>
      <c r="BG64" s="904"/>
      <c r="BH64" s="904"/>
      <c r="BI64" s="904"/>
      <c r="BJ64" s="904"/>
    </row>
    <row r="65" spans="1:62">
      <c r="A65" s="26">
        <f t="shared" si="0"/>
        <v>46</v>
      </c>
      <c r="B65" s="12"/>
      <c r="C65" s="3" t="s">
        <v>175</v>
      </c>
      <c r="D65" s="5" t="str">
        <f>"(sum lines "&amp;A61&amp;" - "&amp;A64&amp;")"</f>
        <v>(sum lines 42 - 45)</v>
      </c>
      <c r="E65" s="909">
        <f>SUM(E62:E64)</f>
        <v>7077536</v>
      </c>
      <c r="F65" s="909">
        <f>SUM(F62:F64)</f>
        <v>8547795</v>
      </c>
      <c r="G65" s="909">
        <f>SUM(G62:G64)</f>
        <v>7812665.5</v>
      </c>
      <c r="H65" s="2"/>
      <c r="I65" s="2"/>
      <c r="J65" s="2"/>
      <c r="K65" s="2"/>
      <c r="L65" s="742"/>
      <c r="O65" s="904"/>
      <c r="P65" s="904"/>
      <c r="Q65" s="904"/>
      <c r="R65" s="904"/>
      <c r="S65" s="904"/>
      <c r="T65" s="904"/>
      <c r="U65" s="904"/>
      <c r="V65" s="904"/>
      <c r="W65" s="904"/>
      <c r="X65" s="904"/>
      <c r="Y65" s="904"/>
      <c r="Z65" s="904"/>
      <c r="AA65" s="904"/>
      <c r="AB65" s="904"/>
      <c r="AC65" s="904"/>
      <c r="AD65" s="904"/>
      <c r="AE65" s="904"/>
      <c r="AF65" s="904"/>
      <c r="AG65" s="904"/>
      <c r="AH65" s="904"/>
      <c r="AI65" s="904"/>
      <c r="AJ65" s="904"/>
      <c r="AK65" s="904"/>
      <c r="AL65" s="904"/>
      <c r="AM65" s="904"/>
      <c r="AN65" s="904"/>
      <c r="AO65" s="904"/>
      <c r="AP65" s="904"/>
      <c r="AQ65" s="904"/>
      <c r="AR65" s="904"/>
      <c r="AS65" s="904"/>
      <c r="AT65" s="904"/>
      <c r="AU65" s="904"/>
      <c r="AV65" s="904"/>
      <c r="AW65" s="904"/>
      <c r="AX65" s="904"/>
      <c r="AY65" s="904"/>
      <c r="AZ65" s="904"/>
      <c r="BA65" s="904"/>
      <c r="BB65" s="904"/>
      <c r="BC65" s="904"/>
      <c r="BD65" s="904"/>
      <c r="BE65" s="904"/>
      <c r="BF65" s="904"/>
      <c r="BG65" s="904"/>
      <c r="BH65" s="904"/>
      <c r="BI65" s="904"/>
      <c r="BJ65" s="904"/>
    </row>
    <row r="66" spans="1:62">
      <c r="A66" s="26">
        <f t="shared" si="0"/>
        <v>47</v>
      </c>
      <c r="B66" s="12"/>
      <c r="C66" s="12"/>
      <c r="D66" s="5"/>
      <c r="E66" s="770"/>
      <c r="F66" s="741"/>
      <c r="G66" s="741"/>
      <c r="H66" s="5"/>
      <c r="I66" s="5"/>
      <c r="J66" s="5"/>
      <c r="K66" s="5"/>
      <c r="L66" s="5"/>
      <c r="O66" s="904"/>
      <c r="P66" s="904"/>
      <c r="Q66" s="904"/>
      <c r="R66" s="904"/>
      <c r="S66" s="904"/>
      <c r="T66" s="904"/>
      <c r="U66" s="904"/>
      <c r="V66" s="904"/>
      <c r="W66" s="904"/>
      <c r="X66" s="904"/>
      <c r="Y66" s="904"/>
      <c r="Z66" s="904"/>
      <c r="AA66" s="904"/>
      <c r="AB66" s="904"/>
      <c r="AC66" s="904"/>
      <c r="AD66" s="904"/>
      <c r="AE66" s="904"/>
      <c r="AF66" s="904"/>
      <c r="AG66" s="904"/>
      <c r="AH66" s="904"/>
      <c r="AI66" s="904"/>
      <c r="AJ66" s="904"/>
      <c r="AK66" s="904"/>
      <c r="AL66" s="904"/>
      <c r="AM66" s="904"/>
      <c r="AN66" s="904"/>
      <c r="AO66" s="904"/>
      <c r="AP66" s="904"/>
      <c r="AQ66" s="904"/>
      <c r="AR66" s="904"/>
      <c r="AS66" s="904"/>
      <c r="AT66" s="904"/>
      <c r="AU66" s="904"/>
      <c r="AV66" s="904"/>
      <c r="AW66" s="904"/>
      <c r="AX66" s="904"/>
      <c r="AY66" s="904"/>
      <c r="AZ66" s="904"/>
      <c r="BA66" s="904"/>
      <c r="BB66" s="904"/>
      <c r="BC66" s="904"/>
      <c r="BD66" s="904"/>
      <c r="BE66" s="904"/>
      <c r="BF66" s="904"/>
      <c r="BG66" s="904"/>
      <c r="BH66" s="904"/>
      <c r="BI66" s="904"/>
      <c r="BJ66" s="904"/>
    </row>
    <row r="67" spans="1:62">
      <c r="A67" s="26">
        <f t="shared" si="0"/>
        <v>48</v>
      </c>
      <c r="B67" s="12"/>
      <c r="C67" s="3" t="s">
        <v>176</v>
      </c>
      <c r="D67" s="5" t="str">
        <f>"(sum lines "&amp;A42&amp;", "&amp;A56&amp;", "&amp;A58&amp;", &amp; "&amp;A65&amp;")"</f>
        <v>(sum lines 28, 37, 39, &amp; 46)</v>
      </c>
      <c r="E67" s="770">
        <f>E42+E56+E58+E65</f>
        <v>535924223.27659607</v>
      </c>
      <c r="F67" s="770">
        <f>Q42+F56+F58+F65</f>
        <v>517101179.37627912</v>
      </c>
      <c r="G67" s="770"/>
      <c r="H67" s="5"/>
      <c r="I67" s="5"/>
      <c r="J67" s="5"/>
      <c r="K67" s="5"/>
      <c r="L67" s="5"/>
      <c r="O67" s="904"/>
      <c r="P67" s="904"/>
      <c r="Q67" s="904"/>
      <c r="R67" s="904"/>
      <c r="S67" s="904"/>
      <c r="T67" s="904"/>
      <c r="U67" s="904"/>
      <c r="V67" s="904"/>
      <c r="W67" s="904"/>
      <c r="X67" s="904"/>
      <c r="Y67" s="904"/>
      <c r="Z67" s="904"/>
      <c r="AA67" s="904"/>
      <c r="AB67" s="904"/>
      <c r="AC67" s="904"/>
      <c r="AD67" s="904"/>
      <c r="AE67" s="904"/>
      <c r="AF67" s="904"/>
      <c r="AG67" s="904"/>
      <c r="AH67" s="904"/>
      <c r="AI67" s="904"/>
      <c r="AJ67" s="904"/>
      <c r="AK67" s="904"/>
      <c r="AL67" s="904"/>
      <c r="AM67" s="904"/>
      <c r="AN67" s="904"/>
      <c r="AO67" s="904"/>
      <c r="AP67" s="904"/>
      <c r="AQ67" s="904"/>
      <c r="AR67" s="904"/>
      <c r="AS67" s="904"/>
      <c r="AT67" s="904"/>
      <c r="AU67" s="904"/>
      <c r="AV67" s="904"/>
      <c r="AW67" s="904"/>
      <c r="AX67" s="904"/>
      <c r="AY67" s="904"/>
      <c r="AZ67" s="904"/>
      <c r="BA67" s="904"/>
      <c r="BB67" s="904"/>
      <c r="BC67" s="904"/>
      <c r="BD67" s="904"/>
      <c r="BE67" s="904"/>
      <c r="BF67" s="904"/>
      <c r="BG67" s="904"/>
      <c r="BH67" s="904"/>
      <c r="BI67" s="904"/>
      <c r="BJ67" s="904"/>
    </row>
    <row r="68" spans="1:62">
      <c r="A68" s="26"/>
      <c r="B68" s="12"/>
      <c r="C68" s="3"/>
      <c r="D68" s="5"/>
      <c r="E68" s="55"/>
      <c r="F68" s="5"/>
      <c r="G68" s="5"/>
      <c r="H68" s="5"/>
      <c r="I68" s="5"/>
      <c r="J68" s="5"/>
      <c r="K68" s="5"/>
      <c r="L68" s="5"/>
      <c r="O68" s="904"/>
      <c r="P68" s="904"/>
      <c r="Q68" s="904"/>
      <c r="R68" s="904"/>
      <c r="S68" s="904"/>
      <c r="T68" s="904"/>
      <c r="U68" s="904"/>
      <c r="V68" s="904"/>
      <c r="W68" s="904"/>
      <c r="X68" s="904"/>
      <c r="Y68" s="904"/>
      <c r="Z68" s="904"/>
      <c r="AA68" s="904"/>
      <c r="AB68" s="904"/>
      <c r="AC68" s="904"/>
      <c r="AD68" s="904"/>
      <c r="AE68" s="904"/>
      <c r="AF68" s="904"/>
      <c r="AG68" s="904"/>
      <c r="AH68" s="904"/>
      <c r="AI68" s="904"/>
      <c r="AJ68" s="904"/>
      <c r="AK68" s="904"/>
      <c r="AL68" s="904"/>
      <c r="AM68" s="904"/>
      <c r="AN68" s="904"/>
      <c r="AO68" s="904"/>
      <c r="AP68" s="904"/>
      <c r="AQ68" s="904"/>
      <c r="AR68" s="904"/>
      <c r="AS68" s="904"/>
      <c r="AT68" s="904"/>
      <c r="AU68" s="904"/>
      <c r="AV68" s="904"/>
      <c r="AW68" s="904"/>
      <c r="AX68" s="904"/>
      <c r="AY68" s="904"/>
      <c r="AZ68" s="904"/>
      <c r="BA68" s="904"/>
      <c r="BB68" s="904"/>
      <c r="BC68" s="904"/>
      <c r="BD68" s="904"/>
      <c r="BE68" s="904"/>
      <c r="BF68" s="904"/>
      <c r="BG68" s="904"/>
      <c r="BH68" s="904"/>
      <c r="BI68" s="904"/>
      <c r="BJ68" s="904"/>
    </row>
    <row r="71" spans="1:62" ht="15.75">
      <c r="B71" s="1158" t="s">
        <v>1092</v>
      </c>
      <c r="C71" s="1159"/>
      <c r="D71" s="1159"/>
      <c r="E71" s="1159"/>
      <c r="F71" s="1159"/>
      <c r="G71" s="1159"/>
      <c r="H71" s="1159"/>
      <c r="I71" s="1159"/>
      <c r="J71" s="1159"/>
      <c r="K71" s="1159"/>
      <c r="L71" s="1159"/>
      <c r="M71" s="1159"/>
      <c r="N71" s="1159"/>
      <c r="O71" s="1159"/>
      <c r="P71" s="1159"/>
      <c r="Q71" s="1159"/>
      <c r="R71" s="1159"/>
    </row>
    <row r="72" spans="1:62">
      <c r="B72" s="1159"/>
      <c r="C72" s="1159" t="s">
        <v>1093</v>
      </c>
      <c r="D72" s="1159"/>
      <c r="E72" s="1160">
        <v>28996837.710000001</v>
      </c>
      <c r="F72" s="1160">
        <v>29204529.32</v>
      </c>
      <c r="G72" s="1160">
        <v>29430563.149999999</v>
      </c>
      <c r="H72" s="1160">
        <v>29341935.789999999</v>
      </c>
      <c r="I72" s="1160">
        <v>29510848.129999999</v>
      </c>
      <c r="J72" s="1160">
        <v>29746083.25</v>
      </c>
      <c r="K72" s="1160">
        <v>29942336.170000002</v>
      </c>
      <c r="L72" s="1160">
        <v>30113190.18</v>
      </c>
      <c r="M72" s="1160">
        <v>30287886.960000001</v>
      </c>
      <c r="N72" s="1160">
        <v>30430817.079999998</v>
      </c>
      <c r="O72" s="1160">
        <v>30671665.210000001</v>
      </c>
      <c r="P72" s="1160">
        <v>30787537.73</v>
      </c>
      <c r="Q72" s="1160">
        <v>30983565.539999999</v>
      </c>
      <c r="R72" s="1160">
        <f t="shared" ref="R72:R82" si="15">AVERAGE(E72:Q72)</f>
        <v>29957522.786153849</v>
      </c>
    </row>
    <row r="73" spans="1:62">
      <c r="B73" s="1159"/>
      <c r="C73" s="1159" t="s">
        <v>1094</v>
      </c>
      <c r="D73" s="1159"/>
      <c r="E73" s="1160">
        <v>441483.0939343326</v>
      </c>
      <c r="F73" s="1161">
        <v>460669.51678099926</v>
      </c>
      <c r="G73" s="1161">
        <v>479863.33960433258</v>
      </c>
      <c r="H73" s="1161">
        <v>499056.66405266593</v>
      </c>
      <c r="I73" s="1161">
        <v>518242.61325099925</v>
      </c>
      <c r="J73" s="1161">
        <v>537457.53028599918</v>
      </c>
      <c r="K73" s="1161">
        <v>556682.56366933254</v>
      </c>
      <c r="L73" s="1161">
        <v>575908.85028933256</v>
      </c>
      <c r="M73" s="1161">
        <v>595133.53328933252</v>
      </c>
      <c r="N73" s="1161">
        <v>614281.74978933251</v>
      </c>
      <c r="O73" s="1161">
        <v>633420.61928933254</v>
      </c>
      <c r="P73" s="1161">
        <v>652573.82162266586</v>
      </c>
      <c r="Q73" s="1161">
        <v>671755.84028933255</v>
      </c>
      <c r="R73" s="1160">
        <f t="shared" si="15"/>
        <v>556656.13354984554</v>
      </c>
    </row>
    <row r="74" spans="1:62">
      <c r="B74" s="1159"/>
      <c r="C74" s="1159" t="s">
        <v>1095</v>
      </c>
      <c r="D74" s="1159"/>
      <c r="E74" s="1160">
        <f>E72+E73</f>
        <v>29438320.803934332</v>
      </c>
      <c r="F74" s="1160">
        <f t="shared" ref="F74:Q74" si="16">F72+F73</f>
        <v>29665198.836780999</v>
      </c>
      <c r="G74" s="1160">
        <f t="shared" si="16"/>
        <v>29910426.489604332</v>
      </c>
      <c r="H74" s="1160">
        <f t="shared" si="16"/>
        <v>29840992.454052664</v>
      </c>
      <c r="I74" s="1160">
        <f t="shared" si="16"/>
        <v>30029090.743251</v>
      </c>
      <c r="J74" s="1160">
        <f t="shared" si="16"/>
        <v>30283540.780285999</v>
      </c>
      <c r="K74" s="1160">
        <f t="shared" si="16"/>
        <v>30499018.733669333</v>
      </c>
      <c r="L74" s="1160">
        <f t="shared" si="16"/>
        <v>30689099.030289333</v>
      </c>
      <c r="M74" s="1160">
        <f t="shared" si="16"/>
        <v>30883020.493289333</v>
      </c>
      <c r="N74" s="1160">
        <f t="shared" si="16"/>
        <v>31045098.829789329</v>
      </c>
      <c r="O74" s="1160">
        <f t="shared" si="16"/>
        <v>31305085.829289332</v>
      </c>
      <c r="P74" s="1160">
        <f t="shared" si="16"/>
        <v>31440111.551622666</v>
      </c>
      <c r="Q74" s="1160">
        <f t="shared" si="16"/>
        <v>31655321.380289331</v>
      </c>
      <c r="R74" s="1160">
        <f t="shared" si="15"/>
        <v>30514178.919703688</v>
      </c>
    </row>
    <row r="75" spans="1:62">
      <c r="B75" s="1159"/>
      <c r="C75" s="1159"/>
      <c r="D75" s="1159"/>
      <c r="E75" s="1159"/>
      <c r="F75" s="1159"/>
      <c r="G75" s="1159"/>
      <c r="H75" s="1159"/>
      <c r="I75" s="1159"/>
      <c r="J75" s="1159"/>
      <c r="K75" s="1159"/>
      <c r="L75" s="1159"/>
      <c r="M75" s="1159"/>
      <c r="N75" s="1159"/>
      <c r="O75" s="1159"/>
      <c r="P75" s="1159"/>
      <c r="Q75" s="1159"/>
      <c r="R75" s="1159"/>
    </row>
    <row r="76" spans="1:62">
      <c r="B76" s="1159"/>
      <c r="C76" s="1159" t="s">
        <v>1096</v>
      </c>
      <c r="D76" s="1159"/>
      <c r="E76" s="1160">
        <v>20648099.629999999</v>
      </c>
      <c r="F76" s="1160">
        <v>20823574.509999998</v>
      </c>
      <c r="G76" s="1160">
        <v>21023826.98</v>
      </c>
      <c r="H76" s="1160">
        <v>20900207.219999999</v>
      </c>
      <c r="I76" s="1160">
        <v>16193319.219999999</v>
      </c>
      <c r="J76" s="1160">
        <v>16361014.949999999</v>
      </c>
      <c r="K76" s="1160">
        <v>16460464.100000001</v>
      </c>
      <c r="L76" s="1160">
        <v>16606946.74</v>
      </c>
      <c r="M76" s="1160">
        <v>16758553.979999999</v>
      </c>
      <c r="N76" s="1160">
        <v>16887918.280000001</v>
      </c>
      <c r="O76" s="1160">
        <v>16866597.349999998</v>
      </c>
      <c r="P76" s="1160">
        <v>17045575.210000001</v>
      </c>
      <c r="Q76" s="1160">
        <v>17207422.080000002</v>
      </c>
      <c r="R76" s="1160">
        <f t="shared" si="15"/>
        <v>17983347.711538464</v>
      </c>
    </row>
    <row r="77" spans="1:62">
      <c r="B77" s="1159"/>
      <c r="C77" s="1159" t="s">
        <v>1097</v>
      </c>
      <c r="D77" s="1159"/>
      <c r="E77" s="1160">
        <v>1889706.2585420799</v>
      </c>
      <c r="F77" s="1160">
        <v>1949334.59599808</v>
      </c>
      <c r="G77" s="1160">
        <v>2009067.24735808</v>
      </c>
      <c r="H77" s="1160">
        <v>2069776.1475980801</v>
      </c>
      <c r="I77" s="1160">
        <v>2121606.1210220801</v>
      </c>
      <c r="J77" s="1160">
        <v>2173914.6255820799</v>
      </c>
      <c r="K77" s="1160">
        <v>2228691.3282220797</v>
      </c>
      <c r="L77" s="1160">
        <v>2283319.4723820798</v>
      </c>
      <c r="M77" s="1160">
        <v>2338176.1004460799</v>
      </c>
      <c r="N77" s="1160">
        <v>2393505.9834380797</v>
      </c>
      <c r="O77" s="1160">
        <v>2447377.1326700798</v>
      </c>
      <c r="P77" s="1160">
        <v>2501363.0627020798</v>
      </c>
      <c r="Q77" s="1160">
        <v>2558639.2660940797</v>
      </c>
      <c r="R77" s="1160">
        <f t="shared" si="15"/>
        <v>2228036.7186196181</v>
      </c>
    </row>
    <row r="78" spans="1:62">
      <c r="B78" s="1159"/>
      <c r="C78" s="1159" t="s">
        <v>1098</v>
      </c>
      <c r="D78" s="1159"/>
      <c r="E78" s="1160">
        <f>E76+E77</f>
        <v>22537805.888542078</v>
      </c>
      <c r="F78" s="1160">
        <f t="shared" ref="F78:Q78" si="17">F76+F77</f>
        <v>22772909.105998076</v>
      </c>
      <c r="G78" s="1160">
        <f t="shared" si="17"/>
        <v>23032894.22735808</v>
      </c>
      <c r="H78" s="1160">
        <f t="shared" si="17"/>
        <v>22969983.367598079</v>
      </c>
      <c r="I78" s="1160">
        <f t="shared" si="17"/>
        <v>18314925.341022078</v>
      </c>
      <c r="J78" s="1160">
        <f t="shared" si="17"/>
        <v>18534929.57558208</v>
      </c>
      <c r="K78" s="1160">
        <f t="shared" si="17"/>
        <v>18689155.428222083</v>
      </c>
      <c r="L78" s="1160">
        <f t="shared" si="17"/>
        <v>18890266.212382078</v>
      </c>
      <c r="M78" s="1160">
        <f t="shared" si="17"/>
        <v>19096730.080446079</v>
      </c>
      <c r="N78" s="1160">
        <f t="shared" si="17"/>
        <v>19281424.26343808</v>
      </c>
      <c r="O78" s="1160">
        <f t="shared" si="17"/>
        <v>19313974.482670076</v>
      </c>
      <c r="P78" s="1160">
        <f t="shared" si="17"/>
        <v>19546938.272702079</v>
      </c>
      <c r="Q78" s="1160">
        <f t="shared" si="17"/>
        <v>19766061.346094083</v>
      </c>
      <c r="R78" s="1160">
        <f t="shared" si="15"/>
        <v>20211384.430158079</v>
      </c>
    </row>
    <row r="79" spans="1:62">
      <c r="B79" s="1159"/>
      <c r="C79" s="1159"/>
      <c r="D79" s="1159"/>
      <c r="E79" s="1160"/>
      <c r="F79" s="1160"/>
      <c r="G79" s="1160"/>
      <c r="H79" s="1160"/>
      <c r="I79" s="1160"/>
      <c r="J79" s="1160"/>
      <c r="K79" s="1160"/>
      <c r="L79" s="1160"/>
      <c r="M79" s="1160"/>
      <c r="N79" s="1160"/>
      <c r="O79" s="1160"/>
      <c r="P79" s="1160"/>
      <c r="Q79" s="1160"/>
      <c r="R79" s="1160"/>
    </row>
    <row r="80" spans="1:62">
      <c r="B80" s="1159"/>
      <c r="C80" s="1159" t="s">
        <v>1099</v>
      </c>
      <c r="D80" s="1159"/>
      <c r="E80" s="1160">
        <v>1601013</v>
      </c>
      <c r="F80" s="1160">
        <v>1627798.87</v>
      </c>
      <c r="G80" s="1160">
        <v>1654601.55</v>
      </c>
      <c r="H80" s="1160">
        <v>1681414.51</v>
      </c>
      <c r="I80" s="1160">
        <v>1702719.61</v>
      </c>
      <c r="J80" s="1160">
        <v>1729591.2</v>
      </c>
      <c r="K80" s="1160">
        <v>1756510.16</v>
      </c>
      <c r="L80" s="1160">
        <v>1783501.15</v>
      </c>
      <c r="M80" s="1160">
        <v>1810518.15</v>
      </c>
      <c r="N80" s="1160">
        <v>1835190.17</v>
      </c>
      <c r="O80" s="1160">
        <v>1856236.85</v>
      </c>
      <c r="P80" s="1160">
        <v>1883477.77</v>
      </c>
      <c r="Q80" s="1160">
        <v>1910778.61</v>
      </c>
      <c r="R80" s="1160">
        <f t="shared" si="15"/>
        <v>1756411.6615384617</v>
      </c>
    </row>
    <row r="81" spans="2:18">
      <c r="B81" s="1159"/>
      <c r="C81" s="1159" t="s">
        <v>1100</v>
      </c>
      <c r="D81" s="1159"/>
      <c r="E81" s="1160">
        <v>376405.41300799983</v>
      </c>
      <c r="F81" s="1160">
        <v>389265.76999999984</v>
      </c>
      <c r="G81" s="1160">
        <v>402135.98711999983</v>
      </c>
      <c r="H81" s="1160">
        <v>415006.20422399981</v>
      </c>
      <c r="I81" s="1160">
        <v>427904.57174399978</v>
      </c>
      <c r="J81" s="1160">
        <v>440802.93926399975</v>
      </c>
      <c r="K81" s="1160">
        <v>453746.76948799973</v>
      </c>
      <c r="L81" s="1160">
        <v>466714.2709439997</v>
      </c>
      <c r="M81" s="1160">
        <v>479683.10527999973</v>
      </c>
      <c r="N81" s="1160">
        <v>492652.51828799973</v>
      </c>
      <c r="O81" s="1160">
        <v>505730.34665599972</v>
      </c>
      <c r="P81" s="1160">
        <v>518803.83582399972</v>
      </c>
      <c r="Q81" s="1160">
        <v>531939.15563199972</v>
      </c>
      <c r="R81" s="1160">
        <f t="shared" si="15"/>
        <v>453906.99134399969</v>
      </c>
    </row>
    <row r="82" spans="2:18">
      <c r="B82" s="1159"/>
      <c r="C82" s="1159" t="s">
        <v>1101</v>
      </c>
      <c r="D82" s="1159"/>
      <c r="E82" s="1160">
        <f t="shared" ref="E82:Q82" si="18">E80+E81</f>
        <v>1977418.4130079998</v>
      </c>
      <c r="F82" s="1160">
        <f t="shared" si="18"/>
        <v>2017064.64</v>
      </c>
      <c r="G82" s="1160">
        <f t="shared" si="18"/>
        <v>2056737.53712</v>
      </c>
      <c r="H82" s="1160">
        <f t="shared" si="18"/>
        <v>2096420.7142239998</v>
      </c>
      <c r="I82" s="1160">
        <f t="shared" si="18"/>
        <v>2130624.1817439999</v>
      </c>
      <c r="J82" s="1160">
        <f t="shared" si="18"/>
        <v>2170394.1392639996</v>
      </c>
      <c r="K82" s="1160">
        <f t="shared" si="18"/>
        <v>2210256.9294879995</v>
      </c>
      <c r="L82" s="1160">
        <f t="shared" si="18"/>
        <v>2250215.4209439997</v>
      </c>
      <c r="M82" s="1160">
        <f t="shared" si="18"/>
        <v>2290201.2552799997</v>
      </c>
      <c r="N82" s="1160">
        <f t="shared" si="18"/>
        <v>2327842.6882879995</v>
      </c>
      <c r="O82" s="1160">
        <f t="shared" si="18"/>
        <v>2361967.1966559999</v>
      </c>
      <c r="P82" s="1160">
        <f t="shared" si="18"/>
        <v>2402281.6058239997</v>
      </c>
      <c r="Q82" s="1160">
        <f t="shared" si="18"/>
        <v>2442717.7656319998</v>
      </c>
      <c r="R82" s="1160">
        <f t="shared" si="15"/>
        <v>2210318.6528824614</v>
      </c>
    </row>
  </sheetData>
  <mergeCells count="6">
    <mergeCell ref="A4:I4"/>
    <mergeCell ref="A5:I5"/>
    <mergeCell ref="A7:I7"/>
    <mergeCell ref="J4:R4"/>
    <mergeCell ref="J5:R5"/>
    <mergeCell ref="J7:R7"/>
  </mergeCells>
  <phoneticPr fontId="29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42"/>
    <pageSetUpPr fitToPage="1"/>
  </sheetPr>
  <dimension ref="A1:M115"/>
  <sheetViews>
    <sheetView zoomScaleNormal="100" workbookViewId="0">
      <selection activeCell="D11" sqref="D11:I22"/>
    </sheetView>
  </sheetViews>
  <sheetFormatPr defaultColWidth="7.109375" defaultRowHeight="12.75"/>
  <cols>
    <col min="1" max="1" width="4.77734375" style="634" customWidth="1"/>
    <col min="2" max="2" width="15.6640625" style="634" customWidth="1"/>
    <col min="3" max="3" width="7.109375" style="634" customWidth="1"/>
    <col min="4" max="4" width="8.77734375" style="634" customWidth="1"/>
    <col min="5" max="5" width="7.88671875" style="634" customWidth="1"/>
    <col min="6" max="6" width="7.6640625" style="634" customWidth="1"/>
    <col min="7" max="7" width="10.33203125" style="634" customWidth="1"/>
    <col min="8" max="8" width="13" style="634" customWidth="1"/>
    <col min="9" max="9" width="11.77734375" style="634" customWidth="1"/>
    <col min="10" max="10" width="11.21875" style="634" customWidth="1"/>
    <col min="11" max="11" width="8" style="634" customWidth="1"/>
    <col min="12" max="16384" width="7.109375" style="634"/>
  </cols>
  <sheetData>
    <row r="1" spans="1:11">
      <c r="K1" s="567"/>
    </row>
    <row r="2" spans="1:11">
      <c r="B2" s="112"/>
      <c r="C2" s="113"/>
      <c r="D2" s="113"/>
      <c r="E2" s="113"/>
      <c r="F2" s="113"/>
      <c r="G2" s="113"/>
      <c r="H2" s="113"/>
    </row>
    <row r="3" spans="1:11" ht="15" customHeight="1">
      <c r="B3" s="1164" t="s">
        <v>960</v>
      </c>
      <c r="C3" s="1164"/>
      <c r="D3" s="1164"/>
      <c r="E3" s="1164"/>
      <c r="F3" s="1164"/>
      <c r="G3" s="1164"/>
      <c r="H3" s="1164"/>
      <c r="I3" s="1164"/>
    </row>
    <row r="4" spans="1:11" ht="15" customHeight="1">
      <c r="B4" s="1164" t="s">
        <v>401</v>
      </c>
      <c r="C4" s="1164"/>
      <c r="D4" s="1164"/>
      <c r="E4" s="1164"/>
      <c r="F4" s="1164"/>
      <c r="G4" s="1164"/>
      <c r="H4" s="1164"/>
      <c r="I4" s="1164"/>
      <c r="J4" s="113"/>
    </row>
    <row r="5" spans="1:11">
      <c r="B5" s="112"/>
      <c r="C5" s="113"/>
      <c r="D5" s="568"/>
      <c r="E5" s="113"/>
      <c r="G5" s="113"/>
      <c r="H5" s="113"/>
      <c r="I5" s="113"/>
      <c r="J5" s="113"/>
    </row>
    <row r="6" spans="1:11" ht="15.75">
      <c r="A6" s="885" t="s">
        <v>667</v>
      </c>
      <c r="B6" s="112"/>
      <c r="C6" s="113"/>
      <c r="D6" s="1177" t="s">
        <v>1078</v>
      </c>
      <c r="E6" s="1178"/>
      <c r="F6" s="1178"/>
      <c r="G6" s="1178"/>
      <c r="H6" s="1179"/>
      <c r="I6" s="113"/>
      <c r="J6" s="113"/>
    </row>
    <row r="7" spans="1:11" ht="13.5" thickBot="1">
      <c r="A7" s="886" t="s">
        <v>668</v>
      </c>
    </row>
    <row r="8" spans="1:11" ht="15">
      <c r="A8" s="876">
        <v>1</v>
      </c>
      <c r="B8" s="632"/>
      <c r="C8" s="633"/>
      <c r="D8" s="785" t="s">
        <v>352</v>
      </c>
      <c r="E8" s="747" t="s">
        <v>455</v>
      </c>
      <c r="F8" s="747" t="s">
        <v>456</v>
      </c>
      <c r="G8" s="748" t="s">
        <v>457</v>
      </c>
      <c r="H8" s="785" t="s">
        <v>575</v>
      </c>
      <c r="I8" s="785" t="s">
        <v>68</v>
      </c>
      <c r="J8" s="747" t="s">
        <v>882</v>
      </c>
      <c r="K8"/>
    </row>
    <row r="9" spans="1:11" ht="15">
      <c r="A9" s="876">
        <f>A8+1</f>
        <v>2</v>
      </c>
      <c r="B9" s="635"/>
      <c r="C9" s="636"/>
      <c r="D9" s="749" t="s">
        <v>882</v>
      </c>
      <c r="E9" s="749" t="s">
        <v>882</v>
      </c>
      <c r="F9" s="749" t="s">
        <v>458</v>
      </c>
      <c r="G9" s="750" t="s">
        <v>459</v>
      </c>
      <c r="H9" s="751" t="s">
        <v>576</v>
      </c>
      <c r="I9" s="751" t="s">
        <v>69</v>
      </c>
      <c r="J9" s="751" t="s">
        <v>480</v>
      </c>
      <c r="K9"/>
    </row>
    <row r="10" spans="1:11" ht="15.75" thickBot="1">
      <c r="A10" s="876">
        <f t="shared" ref="A10:A44" si="0">A9+1</f>
        <v>3</v>
      </c>
      <c r="B10" s="637"/>
      <c r="C10" s="638"/>
      <c r="D10" s="752" t="s">
        <v>460</v>
      </c>
      <c r="E10" s="749" t="s">
        <v>460</v>
      </c>
      <c r="F10" s="752" t="s">
        <v>460</v>
      </c>
      <c r="G10" s="753" t="s">
        <v>460</v>
      </c>
      <c r="H10" s="786" t="s">
        <v>460</v>
      </c>
      <c r="I10" s="786" t="s">
        <v>460</v>
      </c>
      <c r="J10" s="751" t="s">
        <v>481</v>
      </c>
      <c r="K10"/>
    </row>
    <row r="11" spans="1:11" ht="15">
      <c r="A11" s="876">
        <f t="shared" si="0"/>
        <v>4</v>
      </c>
      <c r="B11" s="787" t="s">
        <v>598</v>
      </c>
      <c r="C11" s="788"/>
      <c r="D11" s="1120">
        <v>294</v>
      </c>
      <c r="E11" s="747">
        <v>432</v>
      </c>
      <c r="F11" s="1121">
        <v>2</v>
      </c>
      <c r="G11" s="747">
        <v>57</v>
      </c>
      <c r="H11" s="748">
        <v>145</v>
      </c>
      <c r="I11" s="1120">
        <v>80</v>
      </c>
      <c r="J11" s="747">
        <f>SUM(D11:I11)</f>
        <v>1010</v>
      </c>
      <c r="K11"/>
    </row>
    <row r="12" spans="1:11" ht="15">
      <c r="A12" s="876">
        <f t="shared" si="0"/>
        <v>5</v>
      </c>
      <c r="B12" s="787" t="s">
        <v>619</v>
      </c>
      <c r="C12" s="789"/>
      <c r="D12" s="1122">
        <v>269</v>
      </c>
      <c r="E12" s="749">
        <v>419</v>
      </c>
      <c r="F12" s="1061">
        <v>2</v>
      </c>
      <c r="G12" s="749">
        <v>51</v>
      </c>
      <c r="H12" s="750">
        <v>145</v>
      </c>
      <c r="I12" s="1122">
        <v>80</v>
      </c>
      <c r="J12" s="749">
        <f t="shared" ref="J12:J21" si="1">SUM(D12:I12)</f>
        <v>966</v>
      </c>
      <c r="K12"/>
    </row>
    <row r="13" spans="1:11" ht="15">
      <c r="A13" s="876">
        <f t="shared" si="0"/>
        <v>6</v>
      </c>
      <c r="B13" s="787" t="s">
        <v>620</v>
      </c>
      <c r="C13" s="789"/>
      <c r="D13" s="1122">
        <v>224</v>
      </c>
      <c r="E13" s="749">
        <v>432</v>
      </c>
      <c r="F13" s="1061">
        <v>3</v>
      </c>
      <c r="G13" s="749">
        <v>46</v>
      </c>
      <c r="H13" s="750">
        <v>145</v>
      </c>
      <c r="I13" s="1122">
        <v>80</v>
      </c>
      <c r="J13" s="749">
        <f t="shared" si="1"/>
        <v>930</v>
      </c>
      <c r="K13"/>
    </row>
    <row r="14" spans="1:11" ht="15">
      <c r="A14" s="876">
        <f t="shared" si="0"/>
        <v>7</v>
      </c>
      <c r="B14" s="787" t="s">
        <v>630</v>
      </c>
      <c r="C14" s="789"/>
      <c r="D14" s="1122">
        <v>195</v>
      </c>
      <c r="E14" s="749">
        <v>372</v>
      </c>
      <c r="F14" s="1061">
        <v>2</v>
      </c>
      <c r="G14" s="749">
        <v>35</v>
      </c>
      <c r="H14" s="750">
        <v>145</v>
      </c>
      <c r="I14" s="1122">
        <v>80</v>
      </c>
      <c r="J14" s="749">
        <f t="shared" si="1"/>
        <v>829</v>
      </c>
      <c r="K14"/>
    </row>
    <row r="15" spans="1:11" ht="15">
      <c r="A15" s="876">
        <f t="shared" si="0"/>
        <v>8</v>
      </c>
      <c r="B15" s="787" t="s">
        <v>631</v>
      </c>
      <c r="C15" s="789"/>
      <c r="D15" s="1122">
        <v>227</v>
      </c>
      <c r="E15" s="749">
        <v>324</v>
      </c>
      <c r="F15" s="1061">
        <v>3</v>
      </c>
      <c r="G15" s="749">
        <v>39</v>
      </c>
      <c r="H15" s="750">
        <v>165</v>
      </c>
      <c r="I15" s="1122">
        <v>80</v>
      </c>
      <c r="J15" s="749">
        <f t="shared" si="1"/>
        <v>838</v>
      </c>
      <c r="K15"/>
    </row>
    <row r="16" spans="1:11" ht="15">
      <c r="A16" s="876">
        <f t="shared" si="0"/>
        <v>9</v>
      </c>
      <c r="B16" s="787" t="s">
        <v>632</v>
      </c>
      <c r="C16" s="789"/>
      <c r="D16" s="1122">
        <v>359</v>
      </c>
      <c r="E16" s="749">
        <v>338</v>
      </c>
      <c r="F16" s="1061">
        <v>4</v>
      </c>
      <c r="G16" s="749">
        <v>67</v>
      </c>
      <c r="H16" s="750">
        <v>165</v>
      </c>
      <c r="I16" s="1122">
        <v>80</v>
      </c>
      <c r="J16" s="749">
        <f>SUM(D16:I16)</f>
        <v>1013</v>
      </c>
      <c r="K16"/>
    </row>
    <row r="17" spans="1:13" ht="15">
      <c r="A17" s="876">
        <f t="shared" si="0"/>
        <v>10</v>
      </c>
      <c r="B17" s="787" t="s">
        <v>621</v>
      </c>
      <c r="C17" s="789"/>
      <c r="D17" s="1122">
        <v>358</v>
      </c>
      <c r="E17" s="749">
        <v>345</v>
      </c>
      <c r="F17" s="1061">
        <v>4</v>
      </c>
      <c r="G17" s="749">
        <v>67</v>
      </c>
      <c r="H17" s="750">
        <v>165</v>
      </c>
      <c r="I17" s="1122">
        <v>80</v>
      </c>
      <c r="J17" s="749">
        <f t="shared" si="1"/>
        <v>1019</v>
      </c>
      <c r="K17"/>
    </row>
    <row r="18" spans="1:13" ht="15">
      <c r="A18" s="876">
        <f t="shared" si="0"/>
        <v>11</v>
      </c>
      <c r="B18" s="787" t="s">
        <v>595</v>
      </c>
      <c r="C18" s="789"/>
      <c r="D18" s="1122">
        <v>336</v>
      </c>
      <c r="E18" s="749">
        <v>347</v>
      </c>
      <c r="F18" s="1061">
        <v>4</v>
      </c>
      <c r="G18" s="749">
        <v>69</v>
      </c>
      <c r="H18" s="750">
        <v>165</v>
      </c>
      <c r="I18" s="1122">
        <v>80</v>
      </c>
      <c r="J18" s="749">
        <f t="shared" si="1"/>
        <v>1001</v>
      </c>
      <c r="K18"/>
    </row>
    <row r="19" spans="1:13" ht="15">
      <c r="A19" s="876">
        <f t="shared" si="0"/>
        <v>12</v>
      </c>
      <c r="B19" s="787" t="s">
        <v>622</v>
      </c>
      <c r="C19" s="789"/>
      <c r="D19" s="1122">
        <v>300</v>
      </c>
      <c r="E19" s="749">
        <v>351</v>
      </c>
      <c r="F19" s="1061">
        <v>3</v>
      </c>
      <c r="G19" s="749">
        <v>55</v>
      </c>
      <c r="H19" s="750">
        <v>165</v>
      </c>
      <c r="I19" s="1122">
        <v>80</v>
      </c>
      <c r="J19" s="749">
        <f t="shared" si="1"/>
        <v>954</v>
      </c>
      <c r="K19"/>
    </row>
    <row r="20" spans="1:13" ht="15">
      <c r="A20" s="876">
        <f t="shared" si="0"/>
        <v>13</v>
      </c>
      <c r="B20" s="787" t="s">
        <v>596</v>
      </c>
      <c r="C20" s="789"/>
      <c r="D20" s="1122">
        <v>239</v>
      </c>
      <c r="E20" s="749">
        <v>376</v>
      </c>
      <c r="F20" s="1061">
        <v>3</v>
      </c>
      <c r="G20" s="749">
        <v>42</v>
      </c>
      <c r="H20" s="750">
        <v>165</v>
      </c>
      <c r="I20" s="1122">
        <v>80</v>
      </c>
      <c r="J20" s="749">
        <f>SUM(D20:I20)</f>
        <v>905</v>
      </c>
      <c r="K20"/>
    </row>
    <row r="21" spans="1:13" ht="15">
      <c r="A21" s="876">
        <f t="shared" si="0"/>
        <v>14</v>
      </c>
      <c r="B21" s="787" t="s">
        <v>597</v>
      </c>
      <c r="C21" s="789"/>
      <c r="D21" s="1122">
        <v>261</v>
      </c>
      <c r="E21" s="749">
        <v>385</v>
      </c>
      <c r="F21" s="1061">
        <v>3</v>
      </c>
      <c r="G21" s="749">
        <v>49</v>
      </c>
      <c r="H21" s="1061">
        <v>165</v>
      </c>
      <c r="I21" s="1122">
        <v>80</v>
      </c>
      <c r="J21" s="749">
        <f t="shared" si="1"/>
        <v>943</v>
      </c>
      <c r="K21"/>
    </row>
    <row r="22" spans="1:13" ht="15.75" thickBot="1">
      <c r="A22" s="876">
        <f t="shared" si="0"/>
        <v>15</v>
      </c>
      <c r="B22" s="790" t="s">
        <v>623</v>
      </c>
      <c r="C22" s="791"/>
      <c r="D22" s="1123">
        <v>275</v>
      </c>
      <c r="E22" s="752">
        <v>400</v>
      </c>
      <c r="F22" s="1062">
        <v>3</v>
      </c>
      <c r="G22" s="752">
        <v>52</v>
      </c>
      <c r="H22" s="1062">
        <v>165</v>
      </c>
      <c r="I22" s="1123">
        <v>80</v>
      </c>
      <c r="J22" s="752">
        <f>SUM(D22:I22)</f>
        <v>975</v>
      </c>
      <c r="K22"/>
    </row>
    <row r="23" spans="1:13" ht="15.75" thickBot="1">
      <c r="A23" s="876">
        <f t="shared" si="0"/>
        <v>16</v>
      </c>
      <c r="B23" s="640"/>
      <c r="C23" s="639"/>
      <c r="D23" s="754"/>
      <c r="E23" s="754"/>
      <c r="F23" s="754"/>
      <c r="G23" s="749"/>
      <c r="H23" s="750"/>
      <c r="I23" s="752"/>
      <c r="J23" s="754"/>
      <c r="K23"/>
    </row>
    <row r="24" spans="1:13" ht="15.75" thickBot="1">
      <c r="A24" s="876">
        <f t="shared" si="0"/>
        <v>17</v>
      </c>
      <c r="B24" s="644" t="s">
        <v>534</v>
      </c>
      <c r="C24" s="641"/>
      <c r="D24" s="755">
        <f t="shared" ref="D24:J24" si="2">SUM(D11:D22)/12</f>
        <v>278.08333333333331</v>
      </c>
      <c r="E24" s="755">
        <f t="shared" si="2"/>
        <v>376.75</v>
      </c>
      <c r="F24" s="755">
        <f t="shared" si="2"/>
        <v>3</v>
      </c>
      <c r="G24" s="755">
        <f t="shared" si="2"/>
        <v>52.416666666666664</v>
      </c>
      <c r="H24" s="755">
        <f t="shared" si="2"/>
        <v>158.33333333333334</v>
      </c>
      <c r="I24" s="755">
        <f t="shared" si="2"/>
        <v>80</v>
      </c>
      <c r="J24" s="755">
        <f t="shared" si="2"/>
        <v>948.58333333333337</v>
      </c>
      <c r="K24"/>
    </row>
    <row r="25" spans="1:13">
      <c r="A25" s="876">
        <f t="shared" si="0"/>
        <v>18</v>
      </c>
    </row>
    <row r="26" spans="1:13" ht="15.75">
      <c r="A26" s="876">
        <f t="shared" si="0"/>
        <v>19</v>
      </c>
      <c r="B26" s="112"/>
      <c r="C26" s="113"/>
      <c r="D26" s="1177" t="s">
        <v>1079</v>
      </c>
      <c r="E26" s="1178"/>
      <c r="F26" s="1178"/>
      <c r="G26" s="1178"/>
      <c r="H26" s="1179"/>
      <c r="I26" s="113"/>
    </row>
    <row r="27" spans="1:13" ht="13.5" thickBot="1">
      <c r="A27" s="876">
        <f t="shared" si="0"/>
        <v>20</v>
      </c>
    </row>
    <row r="28" spans="1:13">
      <c r="A28" s="876">
        <f t="shared" si="0"/>
        <v>21</v>
      </c>
      <c r="B28" s="632"/>
      <c r="C28" s="633"/>
      <c r="D28" s="785" t="s">
        <v>352</v>
      </c>
      <c r="E28" s="747" t="s">
        <v>455</v>
      </c>
      <c r="F28" s="747" t="s">
        <v>456</v>
      </c>
      <c r="G28" s="748" t="s">
        <v>457</v>
      </c>
      <c r="H28" s="785" t="s">
        <v>575</v>
      </c>
      <c r="I28" s="785" t="s">
        <v>68</v>
      </c>
      <c r="J28" s="747" t="s">
        <v>882</v>
      </c>
    </row>
    <row r="29" spans="1:13">
      <c r="A29" s="876">
        <f t="shared" si="0"/>
        <v>22</v>
      </c>
      <c r="B29" s="635"/>
      <c r="C29" s="636"/>
      <c r="D29" s="749" t="s">
        <v>882</v>
      </c>
      <c r="E29" s="749" t="s">
        <v>882</v>
      </c>
      <c r="F29" s="749" t="s">
        <v>458</v>
      </c>
      <c r="G29" s="750" t="s">
        <v>459</v>
      </c>
      <c r="H29" s="751" t="s">
        <v>576</v>
      </c>
      <c r="I29" s="751" t="s">
        <v>69</v>
      </c>
      <c r="J29" s="751" t="s">
        <v>480</v>
      </c>
    </row>
    <row r="30" spans="1:13" ht="13.5" thickBot="1">
      <c r="A30" s="876">
        <f t="shared" si="0"/>
        <v>23</v>
      </c>
      <c r="B30" s="637"/>
      <c r="C30" s="638"/>
      <c r="D30" s="752" t="s">
        <v>460</v>
      </c>
      <c r="E30" s="749" t="s">
        <v>460</v>
      </c>
      <c r="F30" s="752" t="s">
        <v>460</v>
      </c>
      <c r="G30" s="753" t="s">
        <v>460</v>
      </c>
      <c r="H30" s="786" t="s">
        <v>460</v>
      </c>
      <c r="I30" s="786" t="s">
        <v>460</v>
      </c>
      <c r="J30" s="751" t="s">
        <v>481</v>
      </c>
    </row>
    <row r="31" spans="1:13">
      <c r="A31" s="876">
        <f t="shared" si="0"/>
        <v>24</v>
      </c>
      <c r="B31" s="787" t="s">
        <v>598</v>
      </c>
      <c r="C31" s="788"/>
      <c r="D31" s="1021">
        <v>293</v>
      </c>
      <c r="E31" s="1022">
        <v>424</v>
      </c>
      <c r="F31" s="1023">
        <v>3</v>
      </c>
      <c r="G31" s="1022">
        <v>61</v>
      </c>
      <c r="H31" s="748">
        <v>145</v>
      </c>
      <c r="I31" s="1021">
        <v>80</v>
      </c>
      <c r="J31" s="1022">
        <f t="shared" ref="J31:J42" si="3">SUM(D31:I31)</f>
        <v>1006</v>
      </c>
      <c r="M31" s="679" t="s">
        <v>1080</v>
      </c>
    </row>
    <row r="32" spans="1:13">
      <c r="A32" s="876">
        <f t="shared" si="0"/>
        <v>25</v>
      </c>
      <c r="B32" s="787" t="s">
        <v>619</v>
      </c>
      <c r="C32" s="789"/>
      <c r="D32" s="1024">
        <v>293</v>
      </c>
      <c r="E32" s="1025">
        <v>415</v>
      </c>
      <c r="F32" s="1026">
        <v>3</v>
      </c>
      <c r="G32" s="1025">
        <v>59</v>
      </c>
      <c r="H32" s="750">
        <v>145</v>
      </c>
      <c r="I32" s="1024">
        <v>80</v>
      </c>
      <c r="J32" s="1025">
        <f t="shared" si="3"/>
        <v>995</v>
      </c>
    </row>
    <row r="33" spans="1:10">
      <c r="A33" s="876">
        <f t="shared" si="0"/>
        <v>26</v>
      </c>
      <c r="B33" s="787" t="s">
        <v>620</v>
      </c>
      <c r="C33" s="789"/>
      <c r="D33" s="1024">
        <v>264</v>
      </c>
      <c r="E33" s="1025">
        <v>413</v>
      </c>
      <c r="F33" s="1026">
        <v>2</v>
      </c>
      <c r="G33" s="1025">
        <v>53</v>
      </c>
      <c r="H33" s="750">
        <v>145</v>
      </c>
      <c r="I33" s="1024">
        <v>80</v>
      </c>
      <c r="J33" s="1025">
        <f t="shared" si="3"/>
        <v>957</v>
      </c>
    </row>
    <row r="34" spans="1:10">
      <c r="A34" s="876">
        <f t="shared" si="0"/>
        <v>27</v>
      </c>
      <c r="B34" s="787" t="s">
        <v>630</v>
      </c>
      <c r="C34" s="789"/>
      <c r="D34" s="1024">
        <v>242</v>
      </c>
      <c r="E34" s="1025">
        <v>390</v>
      </c>
      <c r="F34" s="1026">
        <v>3</v>
      </c>
      <c r="G34" s="1025">
        <v>44</v>
      </c>
      <c r="H34" s="750">
        <v>145</v>
      </c>
      <c r="I34" s="1024">
        <v>80</v>
      </c>
      <c r="J34" s="1025">
        <f t="shared" si="3"/>
        <v>904</v>
      </c>
    </row>
    <row r="35" spans="1:10">
      <c r="A35" s="876">
        <f t="shared" si="0"/>
        <v>28</v>
      </c>
      <c r="B35" s="787" t="s">
        <v>631</v>
      </c>
      <c r="C35" s="789"/>
      <c r="D35" s="1024">
        <v>251</v>
      </c>
      <c r="E35" s="1025">
        <v>375</v>
      </c>
      <c r="F35" s="1026">
        <v>4</v>
      </c>
      <c r="G35" s="1025">
        <v>40</v>
      </c>
      <c r="H35" s="750">
        <v>145</v>
      </c>
      <c r="I35" s="1024">
        <v>80</v>
      </c>
      <c r="J35" s="1025">
        <f t="shared" si="3"/>
        <v>895</v>
      </c>
    </row>
    <row r="36" spans="1:10">
      <c r="A36" s="876">
        <f t="shared" si="0"/>
        <v>29</v>
      </c>
      <c r="B36" s="787" t="s">
        <v>632</v>
      </c>
      <c r="C36" s="789"/>
      <c r="D36" s="1024">
        <v>311</v>
      </c>
      <c r="E36" s="1025">
        <v>365</v>
      </c>
      <c r="F36" s="1026">
        <v>3</v>
      </c>
      <c r="G36" s="1025">
        <v>58</v>
      </c>
      <c r="H36" s="750">
        <v>145</v>
      </c>
      <c r="I36" s="1024">
        <v>80</v>
      </c>
      <c r="J36" s="1025">
        <f t="shared" si="3"/>
        <v>962</v>
      </c>
    </row>
    <row r="37" spans="1:10">
      <c r="A37" s="876">
        <f t="shared" si="0"/>
        <v>30</v>
      </c>
      <c r="B37" s="787" t="s">
        <v>621</v>
      </c>
      <c r="C37" s="789"/>
      <c r="D37" s="1024">
        <v>333</v>
      </c>
      <c r="E37" s="1025">
        <v>383</v>
      </c>
      <c r="F37" s="1026">
        <v>4</v>
      </c>
      <c r="G37" s="1025">
        <v>69</v>
      </c>
      <c r="H37" s="750">
        <v>165</v>
      </c>
      <c r="I37" s="1024">
        <v>80</v>
      </c>
      <c r="J37" s="1025">
        <f t="shared" si="3"/>
        <v>1034</v>
      </c>
    </row>
    <row r="38" spans="1:10">
      <c r="A38" s="876">
        <f t="shared" si="0"/>
        <v>31</v>
      </c>
      <c r="B38" s="787" t="s">
        <v>595</v>
      </c>
      <c r="C38" s="789"/>
      <c r="D38" s="1024">
        <v>327</v>
      </c>
      <c r="E38" s="1025">
        <v>380</v>
      </c>
      <c r="F38" s="1026">
        <v>4</v>
      </c>
      <c r="G38" s="1025">
        <v>65</v>
      </c>
      <c r="H38" s="750">
        <v>165</v>
      </c>
      <c r="I38" s="1024">
        <v>80</v>
      </c>
      <c r="J38" s="1025">
        <f t="shared" si="3"/>
        <v>1021</v>
      </c>
    </row>
    <row r="39" spans="1:10">
      <c r="A39" s="876">
        <f t="shared" si="0"/>
        <v>32</v>
      </c>
      <c r="B39" s="787" t="s">
        <v>622</v>
      </c>
      <c r="C39" s="789"/>
      <c r="D39" s="1024">
        <v>269</v>
      </c>
      <c r="E39" s="1025">
        <v>372</v>
      </c>
      <c r="F39" s="1026">
        <v>3</v>
      </c>
      <c r="G39" s="1025">
        <v>52</v>
      </c>
      <c r="H39" s="750">
        <v>165</v>
      </c>
      <c r="I39" s="1024">
        <v>80</v>
      </c>
      <c r="J39" s="1025">
        <f t="shared" si="3"/>
        <v>941</v>
      </c>
    </row>
    <row r="40" spans="1:10">
      <c r="A40" s="876">
        <f t="shared" si="0"/>
        <v>33</v>
      </c>
      <c r="B40" s="787" t="s">
        <v>596</v>
      </c>
      <c r="C40" s="789"/>
      <c r="D40" s="1024">
        <v>243</v>
      </c>
      <c r="E40" s="1025">
        <v>411</v>
      </c>
      <c r="F40" s="1026">
        <v>3</v>
      </c>
      <c r="G40" s="1025">
        <v>54</v>
      </c>
      <c r="H40" s="750">
        <v>165</v>
      </c>
      <c r="I40" s="1024">
        <v>80</v>
      </c>
      <c r="J40" s="1025">
        <f t="shared" si="3"/>
        <v>956</v>
      </c>
    </row>
    <row r="41" spans="1:10">
      <c r="A41" s="876">
        <f t="shared" si="0"/>
        <v>34</v>
      </c>
      <c r="B41" s="787" t="s">
        <v>597</v>
      </c>
      <c r="C41" s="789"/>
      <c r="D41" s="1024">
        <v>271</v>
      </c>
      <c r="E41" s="1025">
        <v>422</v>
      </c>
      <c r="F41" s="1026">
        <v>3</v>
      </c>
      <c r="G41" s="1025">
        <v>63</v>
      </c>
      <c r="H41" s="1061">
        <v>165</v>
      </c>
      <c r="I41" s="1024">
        <v>80</v>
      </c>
      <c r="J41" s="1025">
        <f t="shared" si="3"/>
        <v>1004</v>
      </c>
    </row>
    <row r="42" spans="1:10" ht="13.5" thickBot="1">
      <c r="A42" s="876">
        <f t="shared" si="0"/>
        <v>35</v>
      </c>
      <c r="B42" s="790" t="s">
        <v>623</v>
      </c>
      <c r="C42" s="791"/>
      <c r="D42" s="1027">
        <v>299</v>
      </c>
      <c r="E42" s="1028">
        <v>435</v>
      </c>
      <c r="F42" s="1029">
        <v>2</v>
      </c>
      <c r="G42" s="1028">
        <v>64</v>
      </c>
      <c r="H42" s="1062">
        <v>165</v>
      </c>
      <c r="I42" s="1027">
        <v>80</v>
      </c>
      <c r="J42" s="1028">
        <f t="shared" si="3"/>
        <v>1045</v>
      </c>
    </row>
    <row r="43" spans="1:10" ht="13.5" thickBot="1">
      <c r="A43" s="876">
        <f t="shared" si="0"/>
        <v>36</v>
      </c>
      <c r="B43" s="640"/>
      <c r="C43" s="639"/>
      <c r="D43" s="754"/>
      <c r="E43" s="754"/>
      <c r="F43" s="754"/>
      <c r="G43" s="749"/>
      <c r="H43" s="750"/>
      <c r="I43" s="752"/>
      <c r="J43" s="754"/>
    </row>
    <row r="44" spans="1:10" ht="13.5" thickBot="1">
      <c r="A44" s="876">
        <f t="shared" si="0"/>
        <v>37</v>
      </c>
      <c r="B44" s="644" t="s">
        <v>534</v>
      </c>
      <c r="C44" s="641"/>
      <c r="D44" s="755">
        <f t="shared" ref="D44:I44" si="4">SUM(D31:D42)/12</f>
        <v>283</v>
      </c>
      <c r="E44" s="755">
        <f>SUM(E31:E42)/12</f>
        <v>398.75</v>
      </c>
      <c r="F44" s="755">
        <f>SUM(F31:F42)/12</f>
        <v>3.0833333333333335</v>
      </c>
      <c r="G44" s="755">
        <f t="shared" si="4"/>
        <v>56.833333333333336</v>
      </c>
      <c r="H44" s="755">
        <f>SUM(H31:H42)/12</f>
        <v>155</v>
      </c>
      <c r="I44" s="755">
        <f t="shared" si="4"/>
        <v>80</v>
      </c>
      <c r="J44" s="755">
        <f>SUM(J31:J42)/12</f>
        <v>976.66666666666663</v>
      </c>
    </row>
    <row r="45" spans="1:10">
      <c r="A45" s="876"/>
    </row>
    <row r="46" spans="1:10">
      <c r="A46" s="876"/>
      <c r="B46" s="809"/>
      <c r="C46" s="679"/>
      <c r="D46" s="642"/>
      <c r="E46" s="642"/>
      <c r="F46" s="642"/>
      <c r="G46" s="948"/>
      <c r="H46" s="948"/>
      <c r="I46" s="643"/>
    </row>
    <row r="47" spans="1:10">
      <c r="A47" s="876"/>
      <c r="B47" s="679"/>
      <c r="C47" s="679"/>
      <c r="G47" s="948"/>
    </row>
    <row r="48" spans="1:10">
      <c r="A48" s="876"/>
      <c r="B48" s="681"/>
      <c r="D48" s="678"/>
      <c r="E48" s="678"/>
    </row>
    <row r="49" spans="1:7">
      <c r="A49" s="876"/>
      <c r="B49" s="816"/>
      <c r="C49" s="817"/>
      <c r="D49" s="818"/>
      <c r="E49" s="818"/>
      <c r="F49" s="817"/>
      <c r="G49" s="817"/>
    </row>
    <row r="50" spans="1:7">
      <c r="A50" s="876"/>
      <c r="B50" s="678"/>
      <c r="C50" s="678"/>
      <c r="D50" s="678"/>
      <c r="E50" s="678"/>
    </row>
    <row r="51" spans="1:7">
      <c r="A51" s="876"/>
      <c r="B51" s="678"/>
      <c r="C51" s="678"/>
      <c r="D51" s="678"/>
      <c r="E51" s="678"/>
    </row>
    <row r="52" spans="1:7">
      <c r="B52" s="678"/>
      <c r="C52" s="678"/>
      <c r="D52" s="678"/>
      <c r="E52" s="678"/>
    </row>
    <row r="53" spans="1:7">
      <c r="B53" s="678"/>
      <c r="C53" s="678"/>
      <c r="D53" s="678"/>
      <c r="E53" s="678"/>
    </row>
    <row r="54" spans="1:7">
      <c r="B54" s="678"/>
      <c r="C54" s="678"/>
      <c r="D54" s="678"/>
      <c r="E54" s="678"/>
    </row>
    <row r="55" spans="1:7">
      <c r="B55" s="678"/>
      <c r="C55" s="678"/>
      <c r="D55" s="678"/>
      <c r="E55" s="678"/>
    </row>
    <row r="56" spans="1:7">
      <c r="B56" s="678"/>
      <c r="C56" s="678"/>
      <c r="D56" s="678"/>
      <c r="E56" s="678"/>
    </row>
    <row r="57" spans="1:7">
      <c r="B57" s="678"/>
      <c r="C57" s="678"/>
      <c r="D57" s="678"/>
      <c r="E57" s="678"/>
    </row>
    <row r="58" spans="1:7">
      <c r="B58" s="678"/>
      <c r="C58" s="678"/>
      <c r="D58" s="678"/>
      <c r="E58" s="678"/>
    </row>
    <row r="59" spans="1:7">
      <c r="B59" s="680"/>
      <c r="C59" s="680"/>
      <c r="D59" s="680"/>
      <c r="E59" s="680"/>
    </row>
    <row r="114" spans="8:9">
      <c r="H114" s="634" t="s">
        <v>671</v>
      </c>
      <c r="I114" s="634">
        <f>+K183</f>
        <v>0</v>
      </c>
    </row>
    <row r="115" spans="8:9">
      <c r="I115" s="634">
        <f>+I114</f>
        <v>0</v>
      </c>
    </row>
  </sheetData>
  <mergeCells count="4">
    <mergeCell ref="D6:H6"/>
    <mergeCell ref="D26:H26"/>
    <mergeCell ref="B3:I3"/>
    <mergeCell ref="B4:I4"/>
  </mergeCells>
  <phoneticPr fontId="29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&amp;C&amp;"Arial MT,Bold"WORKPAPER 6
CUS LOADS
BLACK HILLS POWER, INC.&amp;RPage &amp;P of &amp;N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R120"/>
  <sheetViews>
    <sheetView topLeftCell="A10" zoomScaleNormal="100" zoomScalePageLayoutView="125" workbookViewId="0">
      <selection activeCell="D17" sqref="D17"/>
    </sheetView>
  </sheetViews>
  <sheetFormatPr defaultColWidth="8.5546875" defaultRowHeight="11.25"/>
  <cols>
    <col min="1" max="1" width="3.77734375" style="57" customWidth="1"/>
    <col min="2" max="2" width="18.44140625" style="57" customWidth="1"/>
    <col min="3" max="3" width="11.77734375" style="57" customWidth="1"/>
    <col min="4" max="4" width="10.109375" style="57" customWidth="1"/>
    <col min="5" max="5" width="0.88671875" style="57" customWidth="1"/>
    <col min="6" max="6" width="10.109375" style="57" customWidth="1"/>
    <col min="7" max="7" width="8.5546875" style="57" customWidth="1"/>
    <col min="8" max="8" width="8" style="57" customWidth="1"/>
    <col min="9" max="12" width="8.5546875" style="57"/>
    <col min="13" max="13" width="11.88671875" style="57" customWidth="1"/>
    <col min="14" max="16384" width="8.5546875" style="57"/>
  </cols>
  <sheetData>
    <row r="1" spans="1:10" ht="15.75">
      <c r="C1" s="58"/>
      <c r="H1" s="59"/>
      <c r="J1" s="554"/>
    </row>
    <row r="2" spans="1:10" ht="15">
      <c r="C2" s="83"/>
      <c r="D2" s="83"/>
      <c r="H2" s="61"/>
    </row>
    <row r="3" spans="1:10" ht="12.75">
      <c r="B3" s="1180"/>
      <c r="C3" s="1180"/>
      <c r="D3" s="1180"/>
      <c r="E3" s="1180"/>
      <c r="F3" s="1180"/>
      <c r="G3" s="1180"/>
      <c r="H3" s="1180"/>
      <c r="J3" s="554"/>
    </row>
    <row r="4" spans="1:10" ht="12.75">
      <c r="B4" s="73"/>
      <c r="C4" s="58"/>
    </row>
    <row r="5" spans="1:10" ht="15.75">
      <c r="B5" s="772"/>
    </row>
    <row r="8" spans="1:10" ht="13.5" customHeight="1">
      <c r="A8" s="887" t="s">
        <v>667</v>
      </c>
      <c r="D8" s="62" t="s">
        <v>810</v>
      </c>
      <c r="F8" s="62" t="s">
        <v>734</v>
      </c>
      <c r="G8" s="62"/>
      <c r="H8" s="62" t="s">
        <v>811</v>
      </c>
    </row>
    <row r="9" spans="1:10" ht="13.5" customHeight="1">
      <c r="A9" s="63" t="s">
        <v>668</v>
      </c>
      <c r="B9" s="64" t="s">
        <v>856</v>
      </c>
      <c r="C9" s="63" t="s">
        <v>812</v>
      </c>
      <c r="D9" s="63" t="s">
        <v>669</v>
      </c>
      <c r="F9" s="63" t="s">
        <v>813</v>
      </c>
      <c r="G9" s="63" t="s">
        <v>670</v>
      </c>
      <c r="H9" s="63" t="s">
        <v>669</v>
      </c>
    </row>
    <row r="10" spans="1:10" ht="13.5" customHeight="1">
      <c r="G10" s="69"/>
    </row>
    <row r="11" spans="1:10">
      <c r="A11" s="62">
        <v>1</v>
      </c>
      <c r="B11" s="846" t="s">
        <v>1077</v>
      </c>
      <c r="C11" s="846" t="s">
        <v>567</v>
      </c>
      <c r="D11" s="894">
        <v>2687249</v>
      </c>
      <c r="F11" s="62" t="s">
        <v>1022</v>
      </c>
      <c r="G11" s="69">
        <v>1</v>
      </c>
      <c r="H11" s="894">
        <f>D11*G11</f>
        <v>2687249</v>
      </c>
    </row>
    <row r="12" spans="1:10">
      <c r="A12" s="62">
        <f>+A11+1</f>
        <v>2</v>
      </c>
      <c r="B12" s="846" t="s">
        <v>347</v>
      </c>
      <c r="C12" s="846" t="s">
        <v>349</v>
      </c>
      <c r="D12" s="894">
        <v>0</v>
      </c>
      <c r="E12" s="846"/>
      <c r="F12" s="870" t="s">
        <v>1022</v>
      </c>
      <c r="G12" s="871">
        <f>+G11</f>
        <v>1</v>
      </c>
      <c r="H12" s="894">
        <f>D12*G12</f>
        <v>0</v>
      </c>
      <c r="I12" s="846"/>
    </row>
    <row r="13" spans="1:10">
      <c r="A13" s="62">
        <f t="shared" ref="A13:A34" si="0">+A12+1</f>
        <v>3</v>
      </c>
      <c r="B13" s="846" t="s">
        <v>348</v>
      </c>
      <c r="C13" s="846" t="s">
        <v>350</v>
      </c>
      <c r="D13" s="894">
        <v>13897</v>
      </c>
      <c r="E13" s="846"/>
      <c r="F13" s="870" t="s">
        <v>1022</v>
      </c>
      <c r="G13" s="871">
        <f>+G12</f>
        <v>1</v>
      </c>
      <c r="H13" s="894">
        <f>D13*G13</f>
        <v>13897</v>
      </c>
      <c r="I13" s="846"/>
    </row>
    <row r="14" spans="1:10" ht="12" thickBot="1">
      <c r="A14" s="62">
        <f t="shared" si="0"/>
        <v>4</v>
      </c>
      <c r="B14" s="1132" t="s">
        <v>859</v>
      </c>
      <c r="C14" s="1133"/>
      <c r="D14" s="872">
        <f>+D11-D12-D13</f>
        <v>2673352</v>
      </c>
      <c r="E14" s="846"/>
      <c r="F14" s="846"/>
      <c r="G14" s="846"/>
      <c r="H14" s="873">
        <f>+H11-H12-H13</f>
        <v>2673352</v>
      </c>
      <c r="I14" s="846"/>
    </row>
    <row r="15" spans="1:10">
      <c r="A15" s="62">
        <f t="shared" si="0"/>
        <v>5</v>
      </c>
      <c r="B15" s="846"/>
      <c r="C15" s="846"/>
      <c r="D15" s="846"/>
      <c r="E15" s="846"/>
      <c r="F15" s="846"/>
      <c r="G15" s="846"/>
      <c r="H15" s="846"/>
      <c r="I15" s="846"/>
    </row>
    <row r="16" spans="1:10">
      <c r="A16" s="62">
        <f t="shared" si="0"/>
        <v>6</v>
      </c>
      <c r="B16" s="893" t="s">
        <v>1076</v>
      </c>
      <c r="C16" s="846"/>
      <c r="D16" s="846"/>
      <c r="E16" s="846"/>
      <c r="F16" s="846"/>
      <c r="G16" s="846"/>
      <c r="H16" s="846"/>
      <c r="I16" s="846"/>
    </row>
    <row r="17" spans="1:9">
      <c r="A17" s="62">
        <f t="shared" si="0"/>
        <v>7</v>
      </c>
      <c r="B17" s="57" t="s">
        <v>814</v>
      </c>
      <c r="C17" s="57" t="s">
        <v>567</v>
      </c>
      <c r="D17" s="894">
        <v>2417158</v>
      </c>
      <c r="E17" s="846"/>
      <c r="F17" s="846"/>
      <c r="G17" s="846"/>
      <c r="H17" s="846"/>
      <c r="I17" s="846"/>
    </row>
    <row r="18" spans="1:9">
      <c r="A18" s="62">
        <f t="shared" si="0"/>
        <v>8</v>
      </c>
      <c r="B18" s="846" t="s">
        <v>347</v>
      </c>
      <c r="C18" s="846" t="s">
        <v>349</v>
      </c>
      <c r="D18" s="894">
        <v>10693</v>
      </c>
      <c r="E18" s="846"/>
      <c r="F18" s="846"/>
      <c r="G18" s="846"/>
      <c r="H18" s="846"/>
      <c r="I18" s="846"/>
    </row>
    <row r="19" spans="1:9">
      <c r="A19" s="62">
        <f t="shared" si="0"/>
        <v>9</v>
      </c>
      <c r="B19" s="846" t="s">
        <v>348</v>
      </c>
      <c r="C19" s="846" t="s">
        <v>350</v>
      </c>
      <c r="D19" s="894">
        <v>-86912</v>
      </c>
      <c r="E19" s="846"/>
      <c r="F19" s="846"/>
      <c r="G19" s="846"/>
      <c r="H19" s="846"/>
      <c r="I19" s="846"/>
    </row>
    <row r="20" spans="1:9" ht="12" thickBot="1">
      <c r="A20" s="62">
        <f t="shared" si="0"/>
        <v>10</v>
      </c>
      <c r="B20" s="846"/>
      <c r="C20" s="846"/>
      <c r="D20" s="872">
        <f>+D17-D18-D19</f>
        <v>2493377</v>
      </c>
      <c r="E20" s="846"/>
      <c r="F20" s="846"/>
      <c r="G20" s="846"/>
      <c r="H20" s="846"/>
      <c r="I20" s="846"/>
    </row>
    <row r="21" spans="1:9">
      <c r="A21" s="62">
        <f t="shared" si="0"/>
        <v>11</v>
      </c>
      <c r="B21" s="846"/>
      <c r="C21" s="846"/>
      <c r="D21" s="895"/>
      <c r="E21" s="846"/>
      <c r="F21" s="846"/>
      <c r="G21" s="846"/>
      <c r="H21" s="846"/>
      <c r="I21" s="846"/>
    </row>
    <row r="22" spans="1:9">
      <c r="A22" s="62">
        <f t="shared" si="0"/>
        <v>12</v>
      </c>
      <c r="B22" s="846" t="str">
        <f>"True-up Amount to be (Refunded)/Paid (line "&amp;A20&amp;"-line "&amp;A14&amp;")"</f>
        <v>True-up Amount to be (Refunded)/Paid (line 10-line 4)</v>
      </c>
      <c r="C22" s="846"/>
      <c r="D22" s="895">
        <f>D20-D14</f>
        <v>-179975</v>
      </c>
      <c r="E22" s="846"/>
      <c r="F22" s="846"/>
      <c r="G22" s="846"/>
      <c r="H22" s="846"/>
      <c r="I22" s="846"/>
    </row>
    <row r="23" spans="1:9">
      <c r="A23" s="62">
        <f t="shared" si="0"/>
        <v>13</v>
      </c>
      <c r="B23" s="846"/>
      <c r="C23" s="846"/>
      <c r="D23" s="846"/>
      <c r="E23" s="846"/>
      <c r="F23" s="846"/>
      <c r="G23" s="846"/>
      <c r="H23" s="846"/>
      <c r="I23" s="846"/>
    </row>
    <row r="24" spans="1:9">
      <c r="A24" s="62">
        <f t="shared" si="0"/>
        <v>14</v>
      </c>
      <c r="B24" s="846"/>
      <c r="C24" s="846"/>
      <c r="D24" s="846"/>
      <c r="E24" s="846"/>
      <c r="F24" s="846"/>
      <c r="G24" s="846"/>
      <c r="H24" s="846"/>
      <c r="I24" s="846"/>
    </row>
    <row r="25" spans="1:9">
      <c r="A25" s="62">
        <f t="shared" si="0"/>
        <v>15</v>
      </c>
      <c r="B25" s="874" t="s">
        <v>815</v>
      </c>
      <c r="C25" s="846"/>
      <c r="D25" s="846"/>
      <c r="E25" s="846"/>
      <c r="F25" s="846"/>
      <c r="G25" s="846"/>
      <c r="H25" s="846"/>
      <c r="I25" s="846"/>
    </row>
    <row r="26" spans="1:9">
      <c r="A26" s="62">
        <f t="shared" si="0"/>
        <v>16</v>
      </c>
    </row>
    <row r="27" spans="1:9" ht="12.75">
      <c r="A27" s="62">
        <f t="shared" si="0"/>
        <v>17</v>
      </c>
      <c r="B27" s="846" t="s">
        <v>816</v>
      </c>
      <c r="C27" s="846"/>
      <c r="D27" s="926">
        <f>D20</f>
        <v>2493377</v>
      </c>
    </row>
    <row r="28" spans="1:9" ht="12.75">
      <c r="A28" s="62">
        <f t="shared" si="0"/>
        <v>18</v>
      </c>
      <c r="B28" s="927" t="s">
        <v>817</v>
      </c>
      <c r="C28" s="846"/>
      <c r="D28" s="928">
        <f>'CU AC LOADS WP7'!J24*1000</f>
        <v>948583.33333333337</v>
      </c>
      <c r="F28" s="65" t="s">
        <v>818</v>
      </c>
      <c r="G28" s="846" t="s">
        <v>1089</v>
      </c>
      <c r="H28" s="846"/>
    </row>
    <row r="29" spans="1:9" ht="12">
      <c r="A29" s="62">
        <f t="shared" si="0"/>
        <v>19</v>
      </c>
      <c r="B29" s="846"/>
      <c r="C29" s="846"/>
      <c r="D29" s="846"/>
      <c r="F29" s="65"/>
      <c r="G29" s="846"/>
    </row>
    <row r="30" spans="1:9" ht="12.75">
      <c r="A30" s="62">
        <f t="shared" si="0"/>
        <v>20</v>
      </c>
      <c r="B30" s="929" t="s">
        <v>819</v>
      </c>
      <c r="C30" s="846"/>
      <c r="D30" s="930">
        <f>D27/D28</f>
        <v>2.6285271018185012</v>
      </c>
      <c r="E30" s="57" t="s">
        <v>820</v>
      </c>
      <c r="F30" s="67" t="s">
        <v>821</v>
      </c>
      <c r="G30" s="846" t="s">
        <v>231</v>
      </c>
    </row>
    <row r="31" spans="1:9" ht="12.75">
      <c r="A31" s="62">
        <f t="shared" si="0"/>
        <v>21</v>
      </c>
      <c r="B31" s="929" t="s">
        <v>822</v>
      </c>
      <c r="C31" s="846"/>
      <c r="D31" s="930">
        <f>D30/12</f>
        <v>0.21904392515154178</v>
      </c>
      <c r="E31" s="57" t="s">
        <v>820</v>
      </c>
      <c r="F31" s="67" t="s">
        <v>823</v>
      </c>
      <c r="G31" s="846" t="s">
        <v>232</v>
      </c>
    </row>
    <row r="32" spans="1:9" ht="12.75">
      <c r="A32" s="62">
        <f t="shared" si="0"/>
        <v>22</v>
      </c>
      <c r="B32" s="929" t="s">
        <v>824</v>
      </c>
      <c r="C32" s="846"/>
      <c r="D32" s="930">
        <f>D30/52</f>
        <v>5.0548598111894258E-2</v>
      </c>
      <c r="E32" s="57" t="s">
        <v>820</v>
      </c>
      <c r="F32" s="67" t="s">
        <v>825</v>
      </c>
      <c r="G32" s="846" t="s">
        <v>233</v>
      </c>
    </row>
    <row r="33" spans="1:8" ht="12.75">
      <c r="A33" s="62">
        <f t="shared" si="0"/>
        <v>23</v>
      </c>
      <c r="B33" s="929" t="s">
        <v>826</v>
      </c>
      <c r="C33" s="870" t="s">
        <v>857</v>
      </c>
      <c r="D33" s="930">
        <f>D30/365</f>
        <v>7.2014441145712366E-3</v>
      </c>
      <c r="E33" s="57" t="s">
        <v>820</v>
      </c>
      <c r="F33" s="67" t="s">
        <v>827</v>
      </c>
      <c r="G33" s="846" t="s">
        <v>234</v>
      </c>
    </row>
    <row r="34" spans="1:8" ht="12.75">
      <c r="A34" s="62">
        <f t="shared" si="0"/>
        <v>24</v>
      </c>
      <c r="B34" s="929" t="s">
        <v>828</v>
      </c>
      <c r="C34" s="870" t="s">
        <v>858</v>
      </c>
      <c r="D34" s="930">
        <f>(D30/8760)*1000</f>
        <v>0.30006017144046815</v>
      </c>
      <c r="E34" s="57" t="s">
        <v>820</v>
      </c>
      <c r="F34" s="67" t="s">
        <v>829</v>
      </c>
      <c r="G34" s="846" t="s">
        <v>235</v>
      </c>
    </row>
    <row r="35" spans="1:8">
      <c r="B35" s="66"/>
      <c r="G35" s="846"/>
    </row>
    <row r="36" spans="1:8">
      <c r="G36" s="846"/>
    </row>
    <row r="37" spans="1:8">
      <c r="G37" s="846"/>
    </row>
    <row r="42" spans="1:8" ht="10.5" customHeight="1"/>
    <row r="46" spans="1:8" ht="15.75">
      <c r="H46" s="59"/>
    </row>
    <row r="47" spans="1:8" ht="15">
      <c r="H47" s="61"/>
    </row>
    <row r="48" spans="1:8">
      <c r="H48" s="57" t="s">
        <v>665</v>
      </c>
    </row>
    <row r="52" spans="1:9" ht="14.25">
      <c r="C52" s="60"/>
    </row>
    <row r="53" spans="1:9" ht="14.25">
      <c r="C53" s="60"/>
    </row>
    <row r="54" spans="1:9" ht="14.25">
      <c r="C54" s="68"/>
    </row>
    <row r="55" spans="1:9" ht="15">
      <c r="A55"/>
      <c r="B55"/>
      <c r="C55"/>
      <c r="D55"/>
      <c r="E55"/>
      <c r="F55"/>
      <c r="G55"/>
      <c r="H55"/>
      <c r="I55"/>
    </row>
    <row r="56" spans="1:9" ht="15">
      <c r="A56"/>
      <c r="B56"/>
      <c r="C56"/>
      <c r="D56"/>
      <c r="E56"/>
      <c r="F56"/>
      <c r="G56"/>
      <c r="H56"/>
      <c r="I56"/>
    </row>
    <row r="57" spans="1:9" ht="15">
      <c r="A57"/>
      <c r="B57"/>
      <c r="C57"/>
      <c r="D57"/>
      <c r="E57"/>
      <c r="F57"/>
      <c r="G57"/>
      <c r="H57"/>
      <c r="I57"/>
    </row>
    <row r="58" spans="1:9" ht="15">
      <c r="A58"/>
      <c r="B58"/>
      <c r="C58"/>
      <c r="D58"/>
      <c r="E58"/>
      <c r="F58"/>
      <c r="G58"/>
      <c r="H58"/>
      <c r="I58"/>
    </row>
    <row r="59" spans="1:9" ht="15">
      <c r="A59"/>
      <c r="B59"/>
      <c r="C59"/>
      <c r="D59"/>
      <c r="E59"/>
      <c r="F59"/>
      <c r="G59"/>
      <c r="H59"/>
      <c r="I59"/>
    </row>
    <row r="60" spans="1:9" ht="15">
      <c r="A60"/>
      <c r="B60"/>
      <c r="C60"/>
      <c r="D60"/>
      <c r="E60"/>
      <c r="F60"/>
      <c r="G60"/>
      <c r="H60"/>
      <c r="I60"/>
    </row>
    <row r="61" spans="1:9" ht="15">
      <c r="A61"/>
      <c r="B61"/>
      <c r="C61"/>
      <c r="D61"/>
      <c r="E61"/>
      <c r="F61"/>
      <c r="G61"/>
      <c r="H61"/>
      <c r="I61"/>
    </row>
    <row r="62" spans="1:9" ht="15">
      <c r="A62"/>
      <c r="B62"/>
      <c r="C62"/>
      <c r="D62"/>
      <c r="E62"/>
      <c r="F62"/>
      <c r="G62"/>
      <c r="H62"/>
      <c r="I62"/>
    </row>
    <row r="63" spans="1:9" ht="15">
      <c r="A63"/>
      <c r="B63"/>
      <c r="C63"/>
      <c r="D63"/>
      <c r="E63"/>
      <c r="F63"/>
      <c r="G63"/>
      <c r="H63"/>
      <c r="I63"/>
    </row>
    <row r="64" spans="1:9" ht="15">
      <c r="A64"/>
      <c r="B64"/>
      <c r="C64"/>
      <c r="D64"/>
      <c r="E64"/>
      <c r="F64"/>
      <c r="G64"/>
      <c r="H64"/>
      <c r="I64"/>
    </row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  <row r="74" spans="1:9" ht="15">
      <c r="A74"/>
      <c r="B74"/>
      <c r="C74"/>
      <c r="D74"/>
      <c r="E74"/>
      <c r="F74"/>
      <c r="G74"/>
      <c r="H74"/>
      <c r="I74"/>
    </row>
    <row r="75" spans="1:9" ht="15">
      <c r="A75"/>
      <c r="B75"/>
      <c r="C75"/>
      <c r="D75"/>
      <c r="E75"/>
      <c r="F75"/>
      <c r="G75"/>
      <c r="H75"/>
      <c r="I75"/>
    </row>
    <row r="76" spans="1:9" ht="15">
      <c r="A76"/>
      <c r="B76"/>
      <c r="C76"/>
      <c r="D76"/>
      <c r="E76"/>
      <c r="F76"/>
      <c r="G76"/>
      <c r="H76"/>
      <c r="I76"/>
    </row>
    <row r="77" spans="1:9" ht="15">
      <c r="A77"/>
      <c r="B77"/>
      <c r="C77"/>
      <c r="D77"/>
      <c r="E77"/>
      <c r="F77"/>
      <c r="G77"/>
      <c r="H77"/>
      <c r="I77"/>
    </row>
    <row r="78" spans="1:9" ht="15">
      <c r="A78"/>
      <c r="B78"/>
      <c r="C78"/>
      <c r="D78"/>
      <c r="E78"/>
      <c r="F78"/>
      <c r="G78"/>
      <c r="H78"/>
      <c r="I78"/>
    </row>
    <row r="79" spans="1:9" ht="15">
      <c r="A79"/>
      <c r="B79"/>
      <c r="C79"/>
      <c r="D79"/>
      <c r="E79"/>
      <c r="F79"/>
      <c r="G79"/>
      <c r="H79"/>
      <c r="I79"/>
    </row>
    <row r="80" spans="1:9" ht="15">
      <c r="A80"/>
      <c r="B80"/>
      <c r="C80"/>
      <c r="D80"/>
      <c r="E80"/>
      <c r="F80"/>
      <c r="G80"/>
      <c r="H80"/>
      <c r="I80"/>
    </row>
    <row r="81" spans="1:18" ht="15">
      <c r="A81"/>
      <c r="B81"/>
      <c r="C81"/>
      <c r="D81"/>
      <c r="E81"/>
      <c r="F81"/>
      <c r="G81"/>
      <c r="H81"/>
      <c r="I81"/>
    </row>
    <row r="82" spans="1:18" ht="15">
      <c r="A82"/>
      <c r="B82"/>
      <c r="C82"/>
      <c r="D82"/>
      <c r="E82"/>
      <c r="F82"/>
      <c r="G82"/>
      <c r="H82"/>
      <c r="I82"/>
    </row>
    <row r="83" spans="1:18" ht="15">
      <c r="A83"/>
      <c r="B83"/>
      <c r="C83"/>
      <c r="D83"/>
      <c r="E83"/>
      <c r="F83"/>
      <c r="G83"/>
      <c r="H83"/>
      <c r="I83"/>
    </row>
    <row r="84" spans="1:18" ht="15">
      <c r="A84"/>
      <c r="B84"/>
      <c r="C84"/>
      <c r="D84"/>
      <c r="E84"/>
      <c r="F84"/>
      <c r="G84"/>
      <c r="H84"/>
      <c r="I84"/>
    </row>
    <row r="85" spans="1:18" ht="15">
      <c r="A85"/>
      <c r="B85"/>
      <c r="C85"/>
      <c r="D85"/>
      <c r="E85"/>
      <c r="F85"/>
      <c r="G85"/>
      <c r="H85"/>
      <c r="I85"/>
    </row>
    <row r="86" spans="1:18" ht="15">
      <c r="A86"/>
      <c r="B86"/>
      <c r="C86"/>
      <c r="D86"/>
      <c r="E86"/>
      <c r="F86"/>
      <c r="G86"/>
      <c r="H86"/>
      <c r="I86"/>
    </row>
    <row r="87" spans="1:18" ht="15">
      <c r="A87"/>
      <c r="B87"/>
      <c r="C87"/>
      <c r="D87"/>
      <c r="E87"/>
      <c r="F87"/>
      <c r="G87"/>
      <c r="H87"/>
      <c r="I87"/>
    </row>
    <row r="88" spans="1:18" ht="15">
      <c r="A88"/>
      <c r="B88"/>
      <c r="C88"/>
      <c r="D88"/>
      <c r="E88"/>
      <c r="F88"/>
      <c r="G88"/>
      <c r="H88"/>
      <c r="I88"/>
    </row>
    <row r="89" spans="1:18" ht="15">
      <c r="A89"/>
      <c r="B89"/>
      <c r="C89"/>
      <c r="D89"/>
      <c r="E89"/>
      <c r="F89"/>
      <c r="G89"/>
      <c r="H89"/>
      <c r="I89"/>
    </row>
    <row r="90" spans="1:18" ht="15">
      <c r="A90"/>
      <c r="B90"/>
      <c r="C90"/>
      <c r="D90"/>
      <c r="E90"/>
      <c r="F90"/>
      <c r="G90"/>
      <c r="H90"/>
      <c r="I90"/>
    </row>
    <row r="91" spans="1:18" ht="15">
      <c r="A91"/>
      <c r="B91"/>
      <c r="C91"/>
      <c r="D91"/>
      <c r="E91"/>
      <c r="F91"/>
      <c r="G91"/>
      <c r="H91"/>
      <c r="I91"/>
    </row>
    <row r="92" spans="1:18" ht="15">
      <c r="A92"/>
      <c r="B92"/>
      <c r="C92"/>
      <c r="D92"/>
      <c r="E92"/>
      <c r="F92"/>
      <c r="G92"/>
      <c r="H92"/>
      <c r="I92"/>
      <c r="M92" s="70"/>
      <c r="O92" s="70"/>
      <c r="P92" s="70"/>
      <c r="Q92" s="70"/>
      <c r="R92" s="70"/>
    </row>
    <row r="93" spans="1:18" ht="15">
      <c r="A93"/>
      <c r="B93"/>
      <c r="C93"/>
      <c r="D93"/>
      <c r="E93"/>
      <c r="F93"/>
      <c r="G93"/>
      <c r="H93"/>
      <c r="I93"/>
      <c r="J93" s="70"/>
    </row>
    <row r="94" spans="1:18" ht="15">
      <c r="A94"/>
      <c r="B94"/>
      <c r="C94"/>
      <c r="D94"/>
      <c r="E94"/>
      <c r="F94"/>
      <c r="G94"/>
      <c r="H94"/>
      <c r="I94"/>
      <c r="M94" s="70"/>
      <c r="O94" s="70"/>
      <c r="P94" s="70"/>
      <c r="Q94" s="70"/>
      <c r="R94" s="70"/>
    </row>
    <row r="95" spans="1:18" ht="15">
      <c r="A95"/>
      <c r="B95"/>
      <c r="C95"/>
      <c r="D95"/>
      <c r="E95"/>
      <c r="F95"/>
      <c r="G95"/>
      <c r="H95"/>
      <c r="I95"/>
    </row>
    <row r="96" spans="1:18" ht="15">
      <c r="A96"/>
      <c r="B96"/>
      <c r="C96"/>
      <c r="D96"/>
      <c r="E96"/>
      <c r="F96"/>
      <c r="G96"/>
      <c r="H96"/>
      <c r="I96"/>
    </row>
    <row r="97" spans="1:9" ht="15">
      <c r="A97"/>
      <c r="B97"/>
      <c r="C97"/>
      <c r="D97"/>
      <c r="E97"/>
      <c r="F97"/>
      <c r="G97"/>
      <c r="H97"/>
      <c r="I97"/>
    </row>
    <row r="98" spans="1:9" ht="15">
      <c r="A98"/>
      <c r="B98"/>
      <c r="C98"/>
      <c r="D98"/>
      <c r="E98"/>
      <c r="F98"/>
      <c r="G98"/>
      <c r="H98"/>
      <c r="I98"/>
    </row>
    <row r="99" spans="1:9" ht="15">
      <c r="A99"/>
      <c r="B99"/>
      <c r="C99"/>
      <c r="D99"/>
      <c r="E99"/>
      <c r="F99"/>
      <c r="G99"/>
      <c r="H99"/>
      <c r="I99"/>
    </row>
    <row r="100" spans="1:9" ht="15">
      <c r="A100"/>
      <c r="B100"/>
      <c r="C100"/>
      <c r="D100"/>
      <c r="E100"/>
      <c r="F100"/>
      <c r="G100"/>
      <c r="H100"/>
      <c r="I100"/>
    </row>
    <row r="101" spans="1:9" ht="15">
      <c r="A101"/>
      <c r="B101"/>
      <c r="C101"/>
      <c r="D101"/>
      <c r="E101"/>
      <c r="F101"/>
      <c r="G101"/>
      <c r="H101"/>
      <c r="I101"/>
    </row>
    <row r="119" spans="7:8">
      <c r="G119" s="57" t="s">
        <v>671</v>
      </c>
      <c r="H119" s="57">
        <f>+J188</f>
        <v>0</v>
      </c>
    </row>
    <row r="120" spans="7:8">
      <c r="H120" s="57">
        <f>+H119</f>
        <v>0</v>
      </c>
    </row>
  </sheetData>
  <mergeCells count="1">
    <mergeCell ref="B3:H3"/>
  </mergeCells>
  <phoneticPr fontId="29" type="noConversion"/>
  <pageMargins left="0.5" right="0.5" top="1" bottom="0.44" header="0.34" footer="0.21"/>
  <pageSetup scale="13" orientation="portrait" r:id="rId1"/>
  <headerFooter alignWithMargins="0">
    <oddHeader>&amp;C&amp;"Arial MT,Bold"SCHEDULE 1 RATE
BLACK HILLS POWER, INC.&amp;RExhibit No. BHP-11
Page &amp;P of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0"/>
    <pageSetUpPr fitToPage="1"/>
  </sheetPr>
  <dimension ref="A1:L52"/>
  <sheetViews>
    <sheetView zoomScaleNormal="100" workbookViewId="0">
      <selection activeCell="K22" sqref="K22"/>
    </sheetView>
  </sheetViews>
  <sheetFormatPr defaultColWidth="7.109375" defaultRowHeight="12.75"/>
  <cols>
    <col min="1" max="1" width="3.21875" style="74" customWidth="1"/>
    <col min="2" max="6" width="7.109375" style="71" customWidth="1"/>
    <col min="7" max="7" width="15.88671875" style="71" customWidth="1"/>
    <col min="8" max="8" width="10.77734375" style="72" bestFit="1" customWidth="1"/>
    <col min="9" max="9" width="9.5546875" style="71" bestFit="1" customWidth="1"/>
    <col min="10" max="16384" width="7.109375" style="71"/>
  </cols>
  <sheetData>
    <row r="1" spans="1:12">
      <c r="A1" s="73" t="s">
        <v>830</v>
      </c>
      <c r="J1" s="72"/>
    </row>
    <row r="2" spans="1:12">
      <c r="A2" s="73" t="s">
        <v>831</v>
      </c>
      <c r="L2" s="572">
        <f>+A4</f>
        <v>0</v>
      </c>
    </row>
    <row r="3" spans="1:12">
      <c r="A3" s="73" t="s">
        <v>832</v>
      </c>
      <c r="L3" s="572"/>
    </row>
    <row r="4" spans="1:12">
      <c r="A4" s="73">
        <f>+'BHP Sch. 1'!B5</f>
        <v>0</v>
      </c>
    </row>
    <row r="8" spans="1:12">
      <c r="A8" s="74">
        <v>1</v>
      </c>
      <c r="B8" s="58" t="s">
        <v>943</v>
      </c>
      <c r="H8" s="75">
        <f>+'BPH Sch. 2 a'!L10</f>
        <v>652763</v>
      </c>
      <c r="I8" s="727" t="s">
        <v>507</v>
      </c>
    </row>
    <row r="9" spans="1:12">
      <c r="B9" s="58"/>
      <c r="H9" s="75"/>
      <c r="I9" s="728"/>
    </row>
    <row r="10" spans="1:12">
      <c r="A10" s="74">
        <v>2</v>
      </c>
      <c r="B10" s="709" t="s">
        <v>944</v>
      </c>
      <c r="C10" s="707"/>
      <c r="D10" s="707"/>
      <c r="E10" s="707"/>
      <c r="F10" s="707"/>
      <c r="G10" s="707"/>
      <c r="H10" s="710">
        <f>+'BPH Sch. 2 a'!L9</f>
        <v>38482594</v>
      </c>
      <c r="I10" s="728" t="str">
        <f>+I8</f>
        <v>(page 16)</v>
      </c>
    </row>
    <row r="12" spans="1:12">
      <c r="A12" s="74">
        <v>3</v>
      </c>
      <c r="B12" s="58" t="s">
        <v>945</v>
      </c>
      <c r="H12" s="72">
        <f>H8+H10</f>
        <v>39135357</v>
      </c>
      <c r="I12" s="58" t="s">
        <v>953</v>
      </c>
    </row>
    <row r="13" spans="1:12">
      <c r="B13" s="77"/>
      <c r="L13" s="76"/>
    </row>
    <row r="14" spans="1:12">
      <c r="A14" s="74">
        <f>+A12+1</f>
        <v>4</v>
      </c>
      <c r="B14" s="71" t="s">
        <v>833</v>
      </c>
      <c r="H14" s="75">
        <v>3852343.2</v>
      </c>
      <c r="I14" s="58" t="s">
        <v>166</v>
      </c>
      <c r="L14" s="76"/>
    </row>
    <row r="15" spans="1:12">
      <c r="L15" s="76"/>
    </row>
    <row r="16" spans="1:12">
      <c r="A16" s="74">
        <f>+A14+1</f>
        <v>5</v>
      </c>
      <c r="B16" s="71" t="s">
        <v>834</v>
      </c>
      <c r="H16" s="72">
        <f>+H14+H12</f>
        <v>42987700.200000003</v>
      </c>
      <c r="I16" s="58" t="s">
        <v>954</v>
      </c>
    </row>
    <row r="18" spans="1:11">
      <c r="A18" s="74">
        <f>+A16+1</f>
        <v>6</v>
      </c>
      <c r="B18" s="707" t="s">
        <v>835</v>
      </c>
      <c r="C18" s="707"/>
      <c r="D18" s="707"/>
      <c r="E18" s="707"/>
      <c r="F18" s="707"/>
      <c r="G18" s="707"/>
      <c r="H18" s="708">
        <f>H50*H16</f>
        <v>9619202.277854085</v>
      </c>
      <c r="I18" s="58" t="s">
        <v>959</v>
      </c>
    </row>
    <row r="20" spans="1:11">
      <c r="A20" s="74">
        <f>+A18+1</f>
        <v>7</v>
      </c>
      <c r="B20" s="71" t="s">
        <v>836</v>
      </c>
      <c r="H20" s="78" t="e">
        <f>+#REF!</f>
        <v>#REF!</v>
      </c>
      <c r="I20" s="729" t="s">
        <v>508</v>
      </c>
    </row>
    <row r="22" spans="1:11">
      <c r="A22" s="74">
        <f>+A20+1</f>
        <v>8</v>
      </c>
      <c r="B22" s="71" t="s">
        <v>837</v>
      </c>
      <c r="H22" s="72" t="e">
        <f>H18*H20</f>
        <v>#REF!</v>
      </c>
      <c r="I22" s="58" t="s">
        <v>962</v>
      </c>
    </row>
    <row r="24" spans="1:11">
      <c r="A24" s="74">
        <f>+A22+1</f>
        <v>9</v>
      </c>
      <c r="B24" s="71" t="s">
        <v>838</v>
      </c>
      <c r="H24" s="79" t="e">
        <f>+#REF!-'BHP Sch. 2'!H22</f>
        <v>#REF!</v>
      </c>
      <c r="I24" s="729" t="s">
        <v>509</v>
      </c>
    </row>
    <row r="26" spans="1:11">
      <c r="A26" s="74">
        <f>+A24+1</f>
        <v>10</v>
      </c>
      <c r="B26" s="71" t="s">
        <v>839</v>
      </c>
      <c r="H26" s="72" t="e">
        <f>H24*'BHP Sch. 2 b'!F9</f>
        <v>#REF!</v>
      </c>
      <c r="I26" s="730" t="s">
        <v>167</v>
      </c>
      <c r="J26" s="652"/>
      <c r="K26" s="652"/>
    </row>
    <row r="27" spans="1:11">
      <c r="B27" s="111" t="s">
        <v>956</v>
      </c>
      <c r="I27" s="58"/>
    </row>
    <row r="29" spans="1:11" ht="13.5" thickBot="1">
      <c r="A29" s="74">
        <f>+A26+1</f>
        <v>11</v>
      </c>
      <c r="B29" s="705" t="s">
        <v>840</v>
      </c>
      <c r="C29" s="705"/>
      <c r="D29" s="705"/>
      <c r="E29" s="705"/>
      <c r="F29" s="705"/>
      <c r="G29" s="705"/>
      <c r="H29" s="706" t="e">
        <f>H22+H26</f>
        <v>#REF!</v>
      </c>
      <c r="I29" s="58" t="s">
        <v>955</v>
      </c>
    </row>
    <row r="30" spans="1:11">
      <c r="J30" s="80"/>
    </row>
    <row r="31" spans="1:11">
      <c r="A31" s="74">
        <f>+A29+1</f>
        <v>12</v>
      </c>
      <c r="B31" s="58" t="s">
        <v>405</v>
      </c>
      <c r="H31" s="81">
        <f>'CU AC LOADS WP7'!J44*1000</f>
        <v>976666.66666666663</v>
      </c>
      <c r="I31" s="652"/>
    </row>
    <row r="33" spans="1:11">
      <c r="A33" s="74">
        <f>+A31+1</f>
        <v>13</v>
      </c>
      <c r="B33" s="58" t="s">
        <v>958</v>
      </c>
      <c r="H33" s="82" t="e">
        <f>H29/H31</f>
        <v>#REF!</v>
      </c>
      <c r="I33" s="71" t="s">
        <v>841</v>
      </c>
      <c r="K33" s="58" t="s">
        <v>957</v>
      </c>
    </row>
    <row r="35" spans="1:11">
      <c r="A35" s="74">
        <v>14</v>
      </c>
      <c r="H35" s="82" t="e">
        <f>H33/12</f>
        <v>#REF!</v>
      </c>
      <c r="I35" s="71" t="s">
        <v>842</v>
      </c>
    </row>
    <row r="37" spans="1:11">
      <c r="A37" s="74">
        <v>15</v>
      </c>
      <c r="H37" s="82" t="e">
        <f>H33/52</f>
        <v>#REF!</v>
      </c>
      <c r="I37" s="71" t="s">
        <v>843</v>
      </c>
    </row>
    <row r="39" spans="1:11">
      <c r="A39" s="74">
        <v>16</v>
      </c>
      <c r="H39" s="82" t="e">
        <f>H33/365</f>
        <v>#REF!</v>
      </c>
      <c r="I39" s="71" t="s">
        <v>844</v>
      </c>
    </row>
    <row r="40" spans="1:11">
      <c r="A40" s="74">
        <v>17</v>
      </c>
      <c r="H40" s="82" t="e">
        <f>H33/312</f>
        <v>#REF!</v>
      </c>
      <c r="I40" s="71" t="s">
        <v>845</v>
      </c>
    </row>
    <row r="42" spans="1:11">
      <c r="A42" s="74">
        <v>18</v>
      </c>
      <c r="H42" s="82" t="e">
        <f>(H33/8760)*1000</f>
        <v>#REF!</v>
      </c>
      <c r="I42" s="71" t="s">
        <v>846</v>
      </c>
    </row>
    <row r="43" spans="1:11">
      <c r="A43" s="74">
        <v>19</v>
      </c>
      <c r="H43" s="82" t="e">
        <f>(H33/4992)*1000</f>
        <v>#REF!</v>
      </c>
      <c r="I43" s="71" t="s">
        <v>847</v>
      </c>
    </row>
    <row r="47" spans="1:11">
      <c r="A47" s="74">
        <f>+A43+1</f>
        <v>20</v>
      </c>
      <c r="B47" s="71" t="s">
        <v>848</v>
      </c>
      <c r="H47" s="103">
        <f>+'BPH Sch. 2 a'!D38*1000</f>
        <v>870839</v>
      </c>
      <c r="I47" s="729" t="s">
        <v>510</v>
      </c>
    </row>
    <row r="48" spans="1:11">
      <c r="A48" s="74">
        <f>+A47+1</f>
        <v>21</v>
      </c>
      <c r="B48" s="71" t="s">
        <v>849</v>
      </c>
      <c r="H48" s="103">
        <f>+'BPH Sch. 2 a'!F38*1000</f>
        <v>766158.15</v>
      </c>
      <c r="I48" s="652" t="str">
        <f>+I47</f>
        <v>(page 16)*1000</v>
      </c>
    </row>
    <row r="49" spans="1:9">
      <c r="A49" s="74">
        <f>+A48+1</f>
        <v>22</v>
      </c>
      <c r="B49" s="71" t="s">
        <v>850</v>
      </c>
      <c r="H49" s="103">
        <f>+'BPH Sch. 2 a'!G38*1000</f>
        <v>411357.69497494755</v>
      </c>
      <c r="I49" s="734" t="str">
        <f>+I48</f>
        <v>(page 16)*1000</v>
      </c>
    </row>
    <row r="50" spans="1:9">
      <c r="A50" s="74">
        <f>+A49+1</f>
        <v>23</v>
      </c>
      <c r="B50" s="111" t="s">
        <v>896</v>
      </c>
      <c r="H50" s="147">
        <f>+H49^2/(H48^2+H49^2)</f>
        <v>0.22376638510785193</v>
      </c>
    </row>
    <row r="52" spans="1:9">
      <c r="H52" s="864"/>
    </row>
  </sheetData>
  <phoneticPr fontId="29" type="noConversion"/>
  <pageMargins left="0.75" right="0.75" top="1" bottom="1" header="0.5" footer="0.5"/>
  <pageSetup scale="10" orientation="portrait" r:id="rId1"/>
  <headerFooter alignWithMargins="0">
    <oddHeader>&amp;RExhibit No. CJK-1
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0"/>
    <pageSetUpPr fitToPage="1"/>
  </sheetPr>
  <dimension ref="A1:M65"/>
  <sheetViews>
    <sheetView workbookViewId="0">
      <selection activeCell="L12" sqref="L12"/>
    </sheetView>
  </sheetViews>
  <sheetFormatPr defaultColWidth="7.109375" defaultRowHeight="12.75"/>
  <cols>
    <col min="1" max="1" width="3" style="84" customWidth="1"/>
    <col min="2" max="2" width="21.33203125" style="84" customWidth="1"/>
    <col min="3" max="3" width="8" style="84" customWidth="1"/>
    <col min="4" max="4" width="8.44140625" style="84" bestFit="1" customWidth="1"/>
    <col min="5" max="5" width="9.21875" style="84" customWidth="1"/>
    <col min="6" max="6" width="7.88671875" style="84" bestFit="1" customWidth="1"/>
    <col min="7" max="7" width="8.5546875" style="84" customWidth="1"/>
    <col min="8" max="8" width="10" style="84" customWidth="1"/>
    <col min="9" max="9" width="8.44140625" style="84" customWidth="1"/>
    <col min="10" max="10" width="8.5546875" style="84" customWidth="1"/>
    <col min="11" max="11" width="8" style="84" customWidth="1"/>
    <col min="12" max="12" width="8.77734375" style="84" customWidth="1"/>
    <col min="13" max="13" width="9.44140625" style="84" bestFit="1" customWidth="1"/>
    <col min="14" max="16384" width="7.109375" style="84"/>
  </cols>
  <sheetData>
    <row r="1" spans="1:13">
      <c r="B1" s="89" t="str">
        <f>+'BHP Sch. 2'!A1</f>
        <v xml:space="preserve">Ancillary Services, Schedule No. 2 - </v>
      </c>
      <c r="F1" s="89"/>
      <c r="L1" s="105">
        <f>+'BHP Sch. 2'!L2</f>
        <v>0</v>
      </c>
    </row>
    <row r="2" spans="1:13">
      <c r="B2" s="89" t="s">
        <v>930</v>
      </c>
      <c r="F2" s="89"/>
      <c r="L2" s="105"/>
    </row>
    <row r="3" spans="1:13" ht="15">
      <c r="B3" s="865" t="s">
        <v>805</v>
      </c>
      <c r="F3" s="89"/>
    </row>
    <row r="4" spans="1:13">
      <c r="B4" s="89"/>
      <c r="D4" s="91" t="s">
        <v>946</v>
      </c>
      <c r="E4" s="91" t="str">
        <f>+D4</f>
        <v>BEN</v>
      </c>
      <c r="F4" s="91" t="str">
        <f>+E4</f>
        <v>BEN</v>
      </c>
      <c r="G4" s="91" t="s">
        <v>948</v>
      </c>
      <c r="H4" s="91" t="str">
        <f>+G4</f>
        <v>NEIL</v>
      </c>
      <c r="I4" s="91" t="str">
        <f>+H4</f>
        <v>NEIL</v>
      </c>
    </row>
    <row r="5" spans="1:13">
      <c r="C5" s="90"/>
      <c r="D5" s="91" t="s">
        <v>947</v>
      </c>
      <c r="E5" s="91" t="str">
        <f>+D5</f>
        <v>FRENCH</v>
      </c>
      <c r="F5" s="91" t="str">
        <f>+E5</f>
        <v>FRENCH</v>
      </c>
      <c r="G5" s="91" t="s">
        <v>949</v>
      </c>
      <c r="H5" s="91" t="str">
        <f>+G5</f>
        <v>SIMPSON</v>
      </c>
      <c r="I5" s="91" t="str">
        <f>+H5</f>
        <v>SIMPSON</v>
      </c>
      <c r="J5" s="91" t="s">
        <v>931</v>
      </c>
      <c r="K5" s="91"/>
    </row>
    <row r="6" spans="1:13">
      <c r="C6" s="91" t="s">
        <v>869</v>
      </c>
      <c r="D6" s="91" t="s">
        <v>932</v>
      </c>
      <c r="E6" s="91" t="s">
        <v>933</v>
      </c>
      <c r="F6" s="91" t="s">
        <v>934</v>
      </c>
      <c r="G6" s="91" t="s">
        <v>935</v>
      </c>
      <c r="H6" s="91" t="s">
        <v>936</v>
      </c>
      <c r="I6" s="91" t="s">
        <v>937</v>
      </c>
      <c r="J6" s="91" t="s">
        <v>937</v>
      </c>
      <c r="K6" s="91" t="s">
        <v>881</v>
      </c>
      <c r="L6" s="91" t="s">
        <v>669</v>
      </c>
    </row>
    <row r="7" spans="1:13">
      <c r="C7" s="92"/>
      <c r="D7" s="92"/>
      <c r="E7" s="92"/>
      <c r="F7" s="92"/>
      <c r="G7" s="92"/>
      <c r="H7" s="92"/>
      <c r="I7" s="92"/>
      <c r="J7" s="92"/>
      <c r="K7" s="92"/>
    </row>
    <row r="8" spans="1:13">
      <c r="B8" s="89" t="s">
        <v>796</v>
      </c>
      <c r="C8" s="92"/>
      <c r="D8" s="92"/>
      <c r="E8" s="92"/>
      <c r="F8" s="92"/>
      <c r="G8" s="92"/>
      <c r="H8" s="92"/>
      <c r="I8" s="92"/>
      <c r="J8" s="92"/>
      <c r="K8" s="92"/>
    </row>
    <row r="9" spans="1:13">
      <c r="A9" s="84">
        <v>1</v>
      </c>
      <c r="B9" s="104" t="s">
        <v>944</v>
      </c>
      <c r="C9" s="92">
        <v>1450066</v>
      </c>
      <c r="D9" s="92">
        <v>1432471</v>
      </c>
      <c r="E9" s="92">
        <v>15883317</v>
      </c>
      <c r="F9" s="92">
        <v>1113150</v>
      </c>
      <c r="G9" s="92">
        <v>1028820</v>
      </c>
      <c r="H9" s="92">
        <v>8376866</v>
      </c>
      <c r="I9" s="92">
        <v>1879331</v>
      </c>
      <c r="J9" s="92">
        <v>2329465</v>
      </c>
      <c r="K9" s="92">
        <v>4989108</v>
      </c>
      <c r="L9" s="92">
        <f>SUM(C9:K9)</f>
        <v>38482594</v>
      </c>
      <c r="M9" s="104"/>
    </row>
    <row r="10" spans="1:13">
      <c r="A10" s="84">
        <v>2</v>
      </c>
      <c r="B10" s="550" t="s">
        <v>943</v>
      </c>
      <c r="C10" s="92">
        <v>40164</v>
      </c>
      <c r="D10" s="92">
        <v>53714</v>
      </c>
      <c r="E10" s="92">
        <v>348702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210183</v>
      </c>
      <c r="L10" s="92">
        <f>SUM(C10:K10)</f>
        <v>652763</v>
      </c>
      <c r="M10" s="104"/>
    </row>
    <row r="11" spans="1:13">
      <c r="C11" s="92"/>
      <c r="D11" s="92"/>
      <c r="E11" s="92"/>
      <c r="F11" s="92"/>
      <c r="G11" s="92"/>
      <c r="H11" s="92"/>
      <c r="I11" s="92"/>
      <c r="J11" s="92"/>
      <c r="K11" s="92"/>
      <c r="L11" s="92">
        <f>SUM(L9:L10)</f>
        <v>39135357</v>
      </c>
    </row>
    <row r="12" spans="1:13">
      <c r="B12" s="89" t="s">
        <v>860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3">
      <c r="H13" s="91" t="s">
        <v>938</v>
      </c>
    </row>
    <row r="14" spans="1:13">
      <c r="C14" s="90"/>
      <c r="D14" s="91" t="s">
        <v>861</v>
      </c>
      <c r="E14" s="91" t="s">
        <v>862</v>
      </c>
      <c r="F14" s="90"/>
      <c r="G14" s="90"/>
      <c r="H14" s="109" t="s">
        <v>951</v>
      </c>
    </row>
    <row r="15" spans="1:13" ht="13.5" thickBot="1">
      <c r="B15" s="85" t="s">
        <v>863</v>
      </c>
      <c r="C15" s="107" t="s">
        <v>864</v>
      </c>
      <c r="D15" s="108" t="s">
        <v>865</v>
      </c>
      <c r="E15" s="107" t="s">
        <v>866</v>
      </c>
      <c r="F15" s="107" t="s">
        <v>867</v>
      </c>
      <c r="G15" s="107" t="s">
        <v>868</v>
      </c>
      <c r="H15" s="110" t="s">
        <v>950</v>
      </c>
    </row>
    <row r="17" spans="1:8">
      <c r="A17" s="84">
        <v>3</v>
      </c>
      <c r="B17" s="84" t="s">
        <v>869</v>
      </c>
      <c r="C17" s="94" t="s">
        <v>870</v>
      </c>
      <c r="D17" s="84">
        <v>13.529</v>
      </c>
      <c r="E17" s="84">
        <v>0.85</v>
      </c>
      <c r="F17" s="96">
        <f>D17*E17</f>
        <v>11.499649999999999</v>
      </c>
      <c r="G17" s="96">
        <f>((D17^2)-(F17^2))^(1/2)</f>
        <v>7.1268429811172362</v>
      </c>
    </row>
    <row r="18" spans="1:8">
      <c r="A18" s="84">
        <v>4</v>
      </c>
      <c r="C18" s="94" t="s">
        <v>669</v>
      </c>
      <c r="F18" s="96">
        <f>F17*3</f>
        <v>34.498949999999994</v>
      </c>
      <c r="G18" s="96">
        <f>G17*3</f>
        <v>21.38052894335171</v>
      </c>
      <c r="H18" s="95">
        <f>(G18*G18)/((F18*F18)+(G18*G18))</f>
        <v>0.27750000000000014</v>
      </c>
    </row>
    <row r="19" spans="1:8">
      <c r="C19" s="94"/>
      <c r="H19" s="95"/>
    </row>
    <row r="20" spans="1:8">
      <c r="A20" s="84">
        <v>5</v>
      </c>
      <c r="B20" s="84" t="s">
        <v>871</v>
      </c>
      <c r="C20" s="94">
        <v>1</v>
      </c>
      <c r="D20" s="84">
        <v>23.5</v>
      </c>
      <c r="E20" s="84">
        <v>0.9</v>
      </c>
      <c r="F20" s="96">
        <f>D20*E20</f>
        <v>21.150000000000002</v>
      </c>
      <c r="G20" s="96">
        <f>((D20^2)-(F20^2))^(1/2)</f>
        <v>10.243412517320579</v>
      </c>
      <c r="H20" s="95">
        <f>(G20*G20)/((F20*F20)+(G20*G20))</f>
        <v>0.18999999999999984</v>
      </c>
    </row>
    <row r="21" spans="1:8">
      <c r="C21" s="94"/>
      <c r="H21" s="95"/>
    </row>
    <row r="22" spans="1:8">
      <c r="A22" s="84">
        <v>6</v>
      </c>
      <c r="B22" s="93" t="s">
        <v>872</v>
      </c>
      <c r="C22" s="94" t="s">
        <v>873</v>
      </c>
      <c r="D22" s="84">
        <v>29.6</v>
      </c>
      <c r="E22" s="84">
        <v>0.85</v>
      </c>
      <c r="F22" s="858">
        <f>D22*E22</f>
        <v>25.16</v>
      </c>
      <c r="G22" s="858">
        <f>((D22^2)-(F22^2))^(1/2)</f>
        <v>15.592767554222055</v>
      </c>
      <c r="H22" s="859"/>
    </row>
    <row r="23" spans="1:8">
      <c r="A23" s="84">
        <v>7</v>
      </c>
      <c r="B23" s="93"/>
      <c r="C23" s="94" t="s">
        <v>669</v>
      </c>
      <c r="F23" s="858">
        <f>F22*4</f>
        <v>100.64</v>
      </c>
      <c r="G23" s="858">
        <f>G22*4</f>
        <v>62.371070216888221</v>
      </c>
      <c r="H23" s="859">
        <f>(G23*G23)/((F23*F23)+(G23*G23))</f>
        <v>0.27750000000000002</v>
      </c>
    </row>
    <row r="24" spans="1:8">
      <c r="C24" s="94"/>
      <c r="F24" s="736"/>
      <c r="G24" s="736"/>
      <c r="H24" s="859"/>
    </row>
    <row r="25" spans="1:8">
      <c r="A25" s="84">
        <v>8</v>
      </c>
      <c r="B25" s="84" t="s">
        <v>874</v>
      </c>
      <c r="C25" s="94" t="s">
        <v>875</v>
      </c>
      <c r="D25" s="84">
        <v>2.5</v>
      </c>
      <c r="E25" s="84">
        <v>0.8</v>
      </c>
      <c r="F25" s="860">
        <f>D25*E25</f>
        <v>2</v>
      </c>
      <c r="G25" s="858">
        <f>((D25^2)-(F25^2))^(1/2)</f>
        <v>1.5</v>
      </c>
      <c r="H25" s="859"/>
    </row>
    <row r="26" spans="1:8">
      <c r="A26" s="84">
        <v>9</v>
      </c>
      <c r="C26" s="94" t="s">
        <v>669</v>
      </c>
      <c r="F26" s="736">
        <f>F25*5</f>
        <v>10</v>
      </c>
      <c r="G26" s="736">
        <f>G25*5</f>
        <v>7.5</v>
      </c>
      <c r="H26" s="859">
        <f>(G26*G26)/((F26*F26)+(G26*G26))</f>
        <v>0.36</v>
      </c>
    </row>
    <row r="27" spans="1:8">
      <c r="C27" s="94"/>
      <c r="F27" s="736"/>
      <c r="G27" s="736"/>
      <c r="H27" s="859"/>
    </row>
    <row r="28" spans="1:8">
      <c r="A28" s="84">
        <v>10</v>
      </c>
      <c r="B28" s="84" t="s">
        <v>876</v>
      </c>
      <c r="C28" s="94" t="s">
        <v>877</v>
      </c>
      <c r="D28" s="84">
        <v>25.6</v>
      </c>
      <c r="E28" s="84">
        <v>0.85</v>
      </c>
      <c r="F28" s="858">
        <f>D28*E28</f>
        <v>21.76</v>
      </c>
      <c r="G28" s="858">
        <f>((D28^2)-(F28^2))^(1/2)</f>
        <v>13.485636803651508</v>
      </c>
      <c r="H28" s="859">
        <f>(G28*G28)/((F28*F28)+(G28*G28))</f>
        <v>0.27750000000000002</v>
      </c>
    </row>
    <row r="29" spans="1:8">
      <c r="C29" s="94"/>
      <c r="F29" s="736"/>
      <c r="G29" s="736"/>
      <c r="H29" s="859"/>
    </row>
    <row r="30" spans="1:8">
      <c r="A30" s="84">
        <v>11</v>
      </c>
      <c r="B30" s="84" t="s">
        <v>878</v>
      </c>
      <c r="C30" s="94" t="s">
        <v>877</v>
      </c>
      <c r="D30" s="84">
        <v>105.6</v>
      </c>
      <c r="E30" s="84">
        <v>0.9</v>
      </c>
      <c r="F30" s="860">
        <f>D30*E30</f>
        <v>95.039999999999992</v>
      </c>
      <c r="G30" s="858">
        <f>((D30^2)-(F30^2))^(1/2)</f>
        <v>46.029972843789523</v>
      </c>
      <c r="H30" s="859">
        <f>(G30*G30)/((F30*F30)+(G30*G30))</f>
        <v>0.19000000000000011</v>
      </c>
    </row>
    <row r="31" spans="1:8">
      <c r="C31" s="94"/>
      <c r="F31" s="736"/>
      <c r="G31" s="736"/>
      <c r="H31" s="859"/>
    </row>
    <row r="32" spans="1:8">
      <c r="A32" s="84">
        <v>12</v>
      </c>
      <c r="B32" s="84" t="s">
        <v>879</v>
      </c>
      <c r="C32" s="94" t="s">
        <v>877</v>
      </c>
      <c r="D32" s="84">
        <v>71.176000000000002</v>
      </c>
      <c r="E32" s="84">
        <v>0.85</v>
      </c>
      <c r="F32" s="858">
        <f>D32*E32</f>
        <v>60.499600000000001</v>
      </c>
      <c r="G32" s="858">
        <f>((D32^2)-(F32^2))^(1/2)</f>
        <v>37.49428457565233</v>
      </c>
      <c r="H32" s="859">
        <f>(G32*G32)/((F32*F32)+(G32*G32))</f>
        <v>0.27750000000000002</v>
      </c>
    </row>
    <row r="33" spans="1:8">
      <c r="C33" s="94"/>
      <c r="F33" s="736"/>
      <c r="G33" s="736"/>
      <c r="H33" s="859"/>
    </row>
    <row r="34" spans="1:8">
      <c r="A34" s="84">
        <v>13</v>
      </c>
      <c r="B34" s="84" t="s">
        <v>880</v>
      </c>
      <c r="C34" s="94" t="s">
        <v>877</v>
      </c>
      <c r="D34" s="84">
        <v>71.176000000000002</v>
      </c>
      <c r="E34" s="84">
        <v>0.85</v>
      </c>
      <c r="F34" s="858">
        <f>D34*E34</f>
        <v>60.499600000000001</v>
      </c>
      <c r="G34" s="858">
        <f>((D34^2)-(F34^2))^(1/2)</f>
        <v>37.49428457565233</v>
      </c>
      <c r="H34" s="859">
        <f>(G34*G34)/((F34*F34)+(G34*G34))</f>
        <v>0.27750000000000002</v>
      </c>
    </row>
    <row r="35" spans="1:8">
      <c r="F35" s="736"/>
      <c r="G35" s="736"/>
      <c r="H35" s="861"/>
    </row>
    <row r="36" spans="1:8">
      <c r="A36" s="84">
        <v>14</v>
      </c>
      <c r="B36" s="84" t="s">
        <v>881</v>
      </c>
      <c r="C36" s="549">
        <v>1</v>
      </c>
      <c r="D36" s="101">
        <v>402.3</v>
      </c>
      <c r="E36" s="101">
        <v>0.9</v>
      </c>
      <c r="F36" s="862">
        <f>D36*E36</f>
        <v>362.07</v>
      </c>
      <c r="G36" s="862">
        <f>((D36^2)-(F36^2))^(1/2)</f>
        <v>175.35850449864134</v>
      </c>
      <c r="H36" s="863">
        <f>(G36*G36)/((F36*F36)+(G36*G36))</f>
        <v>0.19000000000000009</v>
      </c>
    </row>
    <row r="37" spans="1:8">
      <c r="F37" s="736"/>
      <c r="G37" s="736"/>
      <c r="H37" s="736"/>
    </row>
    <row r="38" spans="1:8">
      <c r="A38" s="84">
        <v>15</v>
      </c>
      <c r="B38" s="84" t="s">
        <v>882</v>
      </c>
      <c r="D38" s="96">
        <f>D17*3+D20+D22*4+D25*5+D28+D30+D32+D34+D36</f>
        <v>870.83899999999994</v>
      </c>
      <c r="F38" s="858">
        <f>F18+F20+F23+F26+F28+F30+F32+F34+F36</f>
        <v>766.15814999999998</v>
      </c>
      <c r="G38" s="858">
        <f>G18+G20+G23+G26+G28+G30+G32+G34+G36</f>
        <v>411.35769497494755</v>
      </c>
      <c r="H38" s="859">
        <f>(G38*G38)/((F38*F38)+(G38*G38))</f>
        <v>0.22376638510785191</v>
      </c>
    </row>
    <row r="40" spans="1:8" ht="15">
      <c r="A40"/>
      <c r="B40"/>
      <c r="C40"/>
      <c r="D40"/>
      <c r="E40"/>
      <c r="F40"/>
    </row>
    <row r="41" spans="1:8" ht="24.75" customHeight="1">
      <c r="A41"/>
      <c r="B41"/>
      <c r="C41"/>
      <c r="D41"/>
      <c r="E41"/>
      <c r="F41"/>
    </row>
    <row r="42" spans="1:8" ht="15">
      <c r="A42"/>
      <c r="B42"/>
      <c r="C42"/>
      <c r="D42"/>
      <c r="E42"/>
      <c r="F42"/>
    </row>
    <row r="43" spans="1:8" ht="15">
      <c r="A43"/>
      <c r="B43"/>
      <c r="C43"/>
      <c r="D43"/>
      <c r="E43"/>
      <c r="F43"/>
    </row>
    <row r="44" spans="1:8" ht="15">
      <c r="A44"/>
      <c r="B44"/>
      <c r="C44"/>
      <c r="D44"/>
      <c r="E44"/>
      <c r="F44"/>
    </row>
    <row r="45" spans="1:8" ht="15">
      <c r="A45"/>
      <c r="B45"/>
      <c r="C45"/>
      <c r="D45"/>
      <c r="E45"/>
      <c r="F45"/>
    </row>
    <row r="46" spans="1:8" ht="15">
      <c r="A46"/>
      <c r="B46"/>
      <c r="C46"/>
      <c r="D46"/>
      <c r="E46"/>
      <c r="F46"/>
    </row>
    <row r="47" spans="1:8" ht="15">
      <c r="A47"/>
      <c r="B47"/>
      <c r="C47"/>
      <c r="D47"/>
      <c r="E47"/>
      <c r="F47"/>
    </row>
    <row r="48" spans="1:8" ht="15">
      <c r="A48"/>
      <c r="B48"/>
      <c r="C48"/>
      <c r="D48"/>
      <c r="E48"/>
      <c r="F48"/>
    </row>
    <row r="49" spans="1:6" ht="15">
      <c r="A49"/>
      <c r="B49"/>
      <c r="C49"/>
      <c r="D49"/>
      <c r="E49"/>
      <c r="F49"/>
    </row>
    <row r="50" spans="1:6" ht="15">
      <c r="A50"/>
      <c r="B50"/>
      <c r="C50"/>
      <c r="D50"/>
      <c r="E50"/>
      <c r="F50"/>
    </row>
    <row r="51" spans="1:6" ht="15">
      <c r="A51"/>
      <c r="B51"/>
      <c r="C51"/>
      <c r="D51"/>
      <c r="E51"/>
      <c r="F51"/>
    </row>
    <row r="52" spans="1:6" ht="15">
      <c r="A52"/>
      <c r="B52"/>
      <c r="C52"/>
      <c r="D52"/>
      <c r="E52"/>
      <c r="F52"/>
    </row>
    <row r="53" spans="1:6" ht="15">
      <c r="A53"/>
      <c r="B53"/>
      <c r="C53"/>
      <c r="D53"/>
      <c r="E53"/>
      <c r="F53"/>
    </row>
    <row r="54" spans="1:6" ht="15">
      <c r="A54"/>
      <c r="B54"/>
      <c r="C54"/>
      <c r="D54"/>
      <c r="E54"/>
      <c r="F54"/>
    </row>
    <row r="55" spans="1:6" ht="15">
      <c r="A55"/>
      <c r="B55"/>
      <c r="C55"/>
      <c r="D55"/>
      <c r="E55"/>
      <c r="F55"/>
    </row>
    <row r="56" spans="1:6" ht="15">
      <c r="A56"/>
      <c r="B56"/>
      <c r="C56"/>
      <c r="D56"/>
      <c r="E56"/>
      <c r="F56"/>
    </row>
    <row r="57" spans="1:6" ht="15">
      <c r="A57"/>
      <c r="B57"/>
      <c r="C57"/>
      <c r="D57"/>
      <c r="E57"/>
      <c r="F57"/>
    </row>
    <row r="58" spans="1:6" ht="15">
      <c r="A58"/>
      <c r="B58"/>
      <c r="C58"/>
      <c r="D58"/>
      <c r="E58"/>
      <c r="F58"/>
    </row>
    <row r="59" spans="1:6" ht="15">
      <c r="A59"/>
      <c r="B59"/>
      <c r="C59"/>
      <c r="D59"/>
      <c r="E59"/>
      <c r="F59"/>
    </row>
    <row r="60" spans="1:6" ht="15">
      <c r="A60"/>
      <c r="B60"/>
      <c r="C60"/>
      <c r="D60"/>
      <c r="E60"/>
      <c r="F60"/>
    </row>
    <row r="61" spans="1:6" ht="15">
      <c r="A61"/>
      <c r="B61"/>
      <c r="C61"/>
      <c r="D61"/>
      <c r="E61"/>
      <c r="F61"/>
    </row>
    <row r="62" spans="1:6" ht="15">
      <c r="A62"/>
      <c r="B62"/>
      <c r="C62"/>
      <c r="D62"/>
      <c r="E62"/>
      <c r="F62"/>
    </row>
    <row r="63" spans="1:6" ht="15">
      <c r="A63"/>
      <c r="B63"/>
      <c r="C63"/>
      <c r="D63"/>
      <c r="E63"/>
      <c r="F63"/>
    </row>
    <row r="64" spans="1:6" ht="15">
      <c r="A64"/>
      <c r="B64"/>
      <c r="C64"/>
      <c r="D64"/>
      <c r="E64"/>
      <c r="F64"/>
    </row>
    <row r="65" spans="1:6" ht="15">
      <c r="A65"/>
      <c r="B65"/>
      <c r="C65"/>
      <c r="D65"/>
      <c r="E65"/>
      <c r="F65"/>
    </row>
  </sheetData>
  <phoneticPr fontId="29" type="noConversion"/>
  <pageMargins left="0.5" right="0.5" top="1" bottom="1" header="0.5" footer="0.5"/>
  <pageSetup scale="10" orientation="portrait" r:id="rId1"/>
  <headerFooter alignWithMargins="0">
    <oddHeader>&amp;RExhibit No. CJK-1
&amp;P of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0"/>
    <pageSetUpPr fitToPage="1"/>
  </sheetPr>
  <dimension ref="A1:H69"/>
  <sheetViews>
    <sheetView topLeftCell="A8" workbookViewId="0">
      <selection activeCell="F9" sqref="F9"/>
    </sheetView>
  </sheetViews>
  <sheetFormatPr defaultColWidth="7.109375" defaultRowHeight="12.75"/>
  <cols>
    <col min="1" max="1" width="3.44140625" style="90" customWidth="1"/>
    <col min="2" max="2" width="27.77734375" style="84" customWidth="1"/>
    <col min="3" max="3" width="7.109375" style="84" customWidth="1"/>
    <col min="4" max="4" width="14.88671875" style="84" customWidth="1"/>
    <col min="5" max="5" width="7.5546875" style="84" bestFit="1" customWidth="1"/>
    <col min="6" max="6" width="16.77734375" style="84" customWidth="1"/>
    <col min="7" max="16384" width="7.109375" style="84"/>
  </cols>
  <sheetData>
    <row r="1" spans="1:7">
      <c r="B1" s="89" t="str">
        <f>+'BPH Sch. 2 a'!B1</f>
        <v xml:space="preserve">Ancillary Services, Schedule No. 2 - </v>
      </c>
    </row>
    <row r="2" spans="1:7">
      <c r="B2" s="89" t="s">
        <v>941</v>
      </c>
      <c r="D2" s="97"/>
      <c r="E2" s="97"/>
      <c r="F2" s="98"/>
      <c r="G2" s="105">
        <f>+'BPH Sch. 2 a'!L1</f>
        <v>0</v>
      </c>
    </row>
    <row r="3" spans="1:7">
      <c r="D3" s="97"/>
      <c r="E3" s="99"/>
      <c r="F3" s="91"/>
      <c r="G3" s="105"/>
    </row>
    <row r="4" spans="1:7">
      <c r="C4" s="94"/>
    </row>
    <row r="5" spans="1:7">
      <c r="A5" s="90">
        <v>1</v>
      </c>
      <c r="B5" s="551" t="s">
        <v>406</v>
      </c>
      <c r="C5" s="94" t="s">
        <v>745</v>
      </c>
      <c r="D5" s="551" t="s">
        <v>407</v>
      </c>
      <c r="E5" s="658"/>
      <c r="F5" s="100"/>
    </row>
    <row r="6" spans="1:7">
      <c r="A6" s="90">
        <v>2</v>
      </c>
      <c r="B6" s="735" t="s">
        <v>511</v>
      </c>
      <c r="C6" s="94"/>
      <c r="D6" s="552" t="s">
        <v>512</v>
      </c>
      <c r="E6" s="736"/>
    </row>
    <row r="7" spans="1:7">
      <c r="C7" s="94"/>
    </row>
    <row r="8" spans="1:7">
      <c r="C8" s="94"/>
    </row>
    <row r="9" spans="1:7">
      <c r="A9" s="90">
        <v>3</v>
      </c>
      <c r="B9" s="659">
        <f>+F68</f>
        <v>2.8391900000000003</v>
      </c>
      <c r="C9" s="94" t="s">
        <v>745</v>
      </c>
      <c r="D9" s="549">
        <f>+E39</f>
        <v>114.9</v>
      </c>
      <c r="E9" s="90" t="s">
        <v>738</v>
      </c>
      <c r="F9" s="857">
        <f>(B9/B10)*(D9/D10)</f>
        <v>1.035085998303814E-3</v>
      </c>
    </row>
    <row r="10" spans="1:7">
      <c r="A10" s="90">
        <v>4</v>
      </c>
      <c r="B10" s="631">
        <f>+'BPH Sch. 2 a'!F38</f>
        <v>766.15814999999998</v>
      </c>
      <c r="C10" s="94"/>
      <c r="D10" s="90">
        <f>+'BPH Sch. 2 a'!G38</f>
        <v>411.35769497494755</v>
      </c>
    </row>
    <row r="11" spans="1:7">
      <c r="B11" s="93"/>
      <c r="C11" s="94"/>
    </row>
    <row r="13" spans="1:7">
      <c r="B13" s="89" t="s">
        <v>942</v>
      </c>
      <c r="E13" s="1181" t="s">
        <v>952</v>
      </c>
      <c r="F13" s="1182"/>
    </row>
    <row r="14" spans="1:7">
      <c r="C14" s="1183" t="s">
        <v>400</v>
      </c>
      <c r="D14" s="1184"/>
      <c r="E14" s="1183"/>
      <c r="F14" s="1184"/>
    </row>
    <row r="15" spans="1:7">
      <c r="D15" s="89"/>
      <c r="E15" s="89"/>
      <c r="F15" s="89"/>
    </row>
    <row r="16" spans="1:7" ht="13.5" thickBot="1">
      <c r="B16" s="85" t="s">
        <v>863</v>
      </c>
      <c r="C16" s="107" t="s">
        <v>403</v>
      </c>
      <c r="D16" s="107" t="s">
        <v>867</v>
      </c>
      <c r="E16" s="107" t="s">
        <v>868</v>
      </c>
    </row>
    <row r="18" spans="1:5">
      <c r="A18" s="90">
        <v>5</v>
      </c>
      <c r="B18" s="84" t="s">
        <v>869</v>
      </c>
      <c r="C18" s="548" t="s">
        <v>877</v>
      </c>
      <c r="D18" s="90">
        <v>11</v>
      </c>
      <c r="E18" s="90">
        <v>2.8</v>
      </c>
    </row>
    <row r="19" spans="1:5">
      <c r="A19" s="90">
        <v>6</v>
      </c>
      <c r="C19" s="548" t="s">
        <v>884</v>
      </c>
      <c r="D19" s="90">
        <v>11</v>
      </c>
      <c r="E19" s="90">
        <v>2.7</v>
      </c>
    </row>
    <row r="20" spans="1:5">
      <c r="A20" s="90">
        <v>7</v>
      </c>
      <c r="C20" s="548" t="s">
        <v>49</v>
      </c>
      <c r="D20" s="90">
        <v>11</v>
      </c>
      <c r="E20" s="90">
        <v>2.8</v>
      </c>
    </row>
    <row r="21" spans="1:5">
      <c r="C21" s="94"/>
      <c r="D21" s="90"/>
      <c r="E21" s="90"/>
    </row>
    <row r="22" spans="1:5">
      <c r="A22" s="90">
        <v>8</v>
      </c>
      <c r="B22" s="84" t="s">
        <v>871</v>
      </c>
      <c r="C22" s="94"/>
      <c r="D22" s="90">
        <v>24</v>
      </c>
      <c r="E22" s="90">
        <v>0.6</v>
      </c>
    </row>
    <row r="23" spans="1:5">
      <c r="C23" s="94"/>
      <c r="D23" s="90"/>
      <c r="E23" s="90"/>
    </row>
    <row r="24" spans="1:5">
      <c r="A24" s="90">
        <v>9</v>
      </c>
      <c r="B24" s="93" t="s">
        <v>872</v>
      </c>
      <c r="C24" s="548" t="s">
        <v>877</v>
      </c>
      <c r="D24" s="90">
        <v>16.899999999999999</v>
      </c>
      <c r="E24" s="90">
        <v>1.3</v>
      </c>
    </row>
    <row r="25" spans="1:5">
      <c r="A25" s="90">
        <v>10</v>
      </c>
      <c r="B25" s="93"/>
      <c r="C25" s="548" t="s">
        <v>884</v>
      </c>
      <c r="D25" s="90">
        <v>16.899999999999999</v>
      </c>
      <c r="E25" s="90">
        <v>1.3</v>
      </c>
    </row>
    <row r="26" spans="1:5">
      <c r="A26" s="90">
        <v>11</v>
      </c>
      <c r="B26" s="93"/>
      <c r="C26" s="548" t="s">
        <v>49</v>
      </c>
      <c r="D26" s="90">
        <v>16.899999999999999</v>
      </c>
      <c r="E26" s="90">
        <v>1.3</v>
      </c>
    </row>
    <row r="27" spans="1:5">
      <c r="A27" s="90">
        <v>12</v>
      </c>
      <c r="B27" s="93"/>
      <c r="C27" s="548" t="s">
        <v>404</v>
      </c>
      <c r="D27" s="90">
        <v>16.899999999999999</v>
      </c>
      <c r="E27" s="90">
        <v>1.3</v>
      </c>
    </row>
    <row r="28" spans="1:5">
      <c r="C28" s="94"/>
      <c r="D28" s="90"/>
      <c r="E28" s="90"/>
    </row>
    <row r="29" spans="1:5">
      <c r="A29" s="90">
        <v>13</v>
      </c>
      <c r="B29" s="84" t="s">
        <v>876</v>
      </c>
      <c r="C29" s="548" t="s">
        <v>877</v>
      </c>
      <c r="D29" s="90">
        <v>18.5</v>
      </c>
      <c r="E29" s="90">
        <v>10.6</v>
      </c>
    </row>
    <row r="30" spans="1:5">
      <c r="C30" s="94"/>
      <c r="D30" s="90"/>
      <c r="E30" s="90"/>
    </row>
    <row r="31" spans="1:5">
      <c r="A31" s="90">
        <v>14</v>
      </c>
      <c r="B31" s="84" t="s">
        <v>878</v>
      </c>
      <c r="C31" s="548" t="s">
        <v>877</v>
      </c>
      <c r="D31" s="90">
        <v>89</v>
      </c>
      <c r="E31" s="90">
        <v>10.8</v>
      </c>
    </row>
    <row r="32" spans="1:5">
      <c r="C32" s="94"/>
      <c r="D32" s="90"/>
      <c r="E32" s="90"/>
    </row>
    <row r="33" spans="1:8">
      <c r="A33" s="90">
        <v>15</v>
      </c>
      <c r="B33" s="84" t="s">
        <v>879</v>
      </c>
      <c r="C33" s="548" t="s">
        <v>877</v>
      </c>
      <c r="D33" s="90">
        <v>39.5</v>
      </c>
      <c r="E33" s="90">
        <v>8.6999999999999993</v>
      </c>
    </row>
    <row r="34" spans="1:8">
      <c r="C34" s="94"/>
      <c r="D34" s="90"/>
      <c r="E34" s="90"/>
    </row>
    <row r="35" spans="1:8">
      <c r="A35" s="90">
        <v>16</v>
      </c>
      <c r="B35" s="84" t="s">
        <v>880</v>
      </c>
      <c r="C35" s="548" t="s">
        <v>877</v>
      </c>
      <c r="D35" s="90">
        <v>39.5</v>
      </c>
      <c r="E35" s="90">
        <v>9.1999999999999993</v>
      </c>
    </row>
    <row r="36" spans="1:8">
      <c r="D36" s="90"/>
      <c r="E36" s="90"/>
    </row>
    <row r="37" spans="1:8">
      <c r="A37" s="90">
        <v>17</v>
      </c>
      <c r="B37" s="84" t="s">
        <v>881</v>
      </c>
      <c r="C37" s="548" t="s">
        <v>877</v>
      </c>
      <c r="D37" s="90">
        <v>340</v>
      </c>
      <c r="E37" s="90">
        <v>61.5</v>
      </c>
    </row>
    <row r="38" spans="1:8">
      <c r="D38" s="549"/>
      <c r="E38" s="549"/>
    </row>
    <row r="39" spans="1:8">
      <c r="A39" s="90">
        <v>18</v>
      </c>
      <c r="B39" s="102" t="s">
        <v>882</v>
      </c>
      <c r="D39" s="90">
        <f>SUM(D18:D38)</f>
        <v>651.1</v>
      </c>
      <c r="E39" s="90">
        <f>SUM(E18:E38)</f>
        <v>114.9</v>
      </c>
    </row>
    <row r="41" spans="1:8">
      <c r="A41" s="106"/>
      <c r="C41" s="543"/>
      <c r="D41" s="543"/>
      <c r="E41" s="541"/>
      <c r="F41" s="543"/>
      <c r="G41" s="104"/>
      <c r="H41" s="104"/>
    </row>
    <row r="42" spans="1:8">
      <c r="A42" s="106"/>
      <c r="B42" s="541" t="s">
        <v>397</v>
      </c>
      <c r="C42" s="543"/>
      <c r="D42" s="544"/>
      <c r="E42" s="543"/>
      <c r="F42" s="543"/>
      <c r="G42" s="104"/>
      <c r="H42" s="104"/>
    </row>
    <row r="43" spans="1:8">
      <c r="A43" s="106"/>
      <c r="B43" s="543"/>
      <c r="C43" s="653"/>
      <c r="D43" s="654" t="s">
        <v>939</v>
      </c>
      <c r="E43" s="654" t="s">
        <v>939</v>
      </c>
      <c r="F43" s="654" t="s">
        <v>938</v>
      </c>
      <c r="G43" s="104"/>
      <c r="H43" s="104"/>
    </row>
    <row r="44" spans="1:8" ht="13.5" thickBot="1">
      <c r="A44" s="106"/>
      <c r="B44" s="542" t="s">
        <v>863</v>
      </c>
      <c r="C44" s="655" t="s">
        <v>864</v>
      </c>
      <c r="D44" s="655" t="s">
        <v>940</v>
      </c>
      <c r="E44" s="655" t="s">
        <v>398</v>
      </c>
      <c r="F44" s="660" t="s">
        <v>399</v>
      </c>
      <c r="G44" s="104"/>
      <c r="H44" s="104"/>
    </row>
    <row r="45" spans="1:8">
      <c r="A45" s="106"/>
      <c r="B45" s="543"/>
      <c r="C45" s="543"/>
      <c r="D45" s="543"/>
      <c r="E45" s="543"/>
      <c r="F45" s="543"/>
      <c r="G45" s="104"/>
      <c r="H45" s="104"/>
    </row>
    <row r="46" spans="1:8">
      <c r="A46" s="106">
        <v>19</v>
      </c>
      <c r="B46" s="543" t="s">
        <v>869</v>
      </c>
      <c r="C46" s="545" t="s">
        <v>883</v>
      </c>
      <c r="D46" s="656">
        <v>157</v>
      </c>
      <c r="E46" s="656">
        <v>250</v>
      </c>
      <c r="F46" s="661">
        <f>(D46*E46)/1000000</f>
        <v>3.925E-2</v>
      </c>
      <c r="G46" s="104"/>
      <c r="H46" s="104"/>
    </row>
    <row r="47" spans="1:8">
      <c r="A47" s="106">
        <v>20</v>
      </c>
      <c r="B47" s="543"/>
      <c r="C47" s="545" t="s">
        <v>884</v>
      </c>
      <c r="D47" s="656">
        <v>260</v>
      </c>
      <c r="E47" s="656">
        <v>250</v>
      </c>
      <c r="F47" s="661">
        <f>(D47*E47)/1000000</f>
        <v>6.5000000000000002E-2</v>
      </c>
      <c r="G47" s="104"/>
      <c r="H47" s="104"/>
    </row>
    <row r="48" spans="1:8">
      <c r="A48" s="106">
        <v>21</v>
      </c>
      <c r="B48" s="543"/>
      <c r="C48" s="545" t="s">
        <v>669</v>
      </c>
      <c r="D48" s="656"/>
      <c r="E48" s="656"/>
      <c r="F48" s="661">
        <f>2*F46+F47</f>
        <v>0.14350000000000002</v>
      </c>
      <c r="G48" s="104"/>
      <c r="H48" s="104"/>
    </row>
    <row r="49" spans="1:8">
      <c r="A49" s="106"/>
      <c r="B49" s="543"/>
      <c r="C49" s="545"/>
      <c r="D49" s="656"/>
      <c r="E49" s="656"/>
      <c r="F49" s="661"/>
      <c r="G49" s="104"/>
      <c r="H49" s="104"/>
    </row>
    <row r="50" spans="1:8">
      <c r="A50" s="106">
        <v>22</v>
      </c>
      <c r="B50" s="543" t="s">
        <v>871</v>
      </c>
      <c r="C50" s="545">
        <v>1</v>
      </c>
      <c r="D50" s="656">
        <v>400</v>
      </c>
      <c r="E50" s="656">
        <v>250</v>
      </c>
      <c r="F50" s="661">
        <f>(D50*E50)/1000000</f>
        <v>0.1</v>
      </c>
      <c r="G50" s="104"/>
      <c r="H50" s="104"/>
    </row>
    <row r="51" spans="1:8">
      <c r="A51" s="106"/>
      <c r="B51" s="543"/>
      <c r="C51" s="545"/>
      <c r="D51" s="656"/>
      <c r="E51" s="656"/>
      <c r="F51" s="661"/>
      <c r="G51" s="104"/>
      <c r="H51" s="104"/>
    </row>
    <row r="52" spans="1:8">
      <c r="A52" s="106">
        <v>23</v>
      </c>
      <c r="B52" s="547" t="s">
        <v>872</v>
      </c>
      <c r="C52" s="545" t="s">
        <v>873</v>
      </c>
      <c r="D52" s="656">
        <v>229</v>
      </c>
      <c r="E52" s="656">
        <v>250</v>
      </c>
      <c r="F52" s="661">
        <f>(D52*E52)/1000000</f>
        <v>5.7250000000000002E-2</v>
      </c>
      <c r="G52" s="104"/>
      <c r="H52" s="104"/>
    </row>
    <row r="53" spans="1:8">
      <c r="A53" s="106">
        <v>24</v>
      </c>
      <c r="B53" s="547"/>
      <c r="C53" s="545" t="s">
        <v>669</v>
      </c>
      <c r="D53" s="656"/>
      <c r="E53" s="656"/>
      <c r="F53" s="662">
        <f>4*F52</f>
        <v>0.22900000000000001</v>
      </c>
      <c r="G53" s="104"/>
      <c r="H53" s="104"/>
    </row>
    <row r="54" spans="1:8">
      <c r="A54" s="106"/>
      <c r="B54" s="543"/>
      <c r="C54" s="545"/>
      <c r="D54" s="656"/>
      <c r="E54" s="656"/>
      <c r="F54" s="661"/>
      <c r="G54" s="104"/>
      <c r="H54" s="104"/>
    </row>
    <row r="55" spans="1:8">
      <c r="A55" s="106">
        <v>25</v>
      </c>
      <c r="B55" s="543" t="s">
        <v>874</v>
      </c>
      <c r="C55" s="545" t="s">
        <v>875</v>
      </c>
      <c r="D55" s="656">
        <v>84</v>
      </c>
      <c r="E55" s="656">
        <v>250</v>
      </c>
      <c r="F55" s="661">
        <f>(D55*E55)/1000000</f>
        <v>2.1000000000000001E-2</v>
      </c>
      <c r="G55" s="104"/>
      <c r="H55" s="104"/>
    </row>
    <row r="56" spans="1:8">
      <c r="A56" s="106"/>
      <c r="B56" s="543"/>
      <c r="C56" s="545" t="s">
        <v>669</v>
      </c>
      <c r="D56" s="656"/>
      <c r="E56" s="656"/>
      <c r="F56" s="661">
        <f>(D55*E55)*4/1000000</f>
        <v>8.4000000000000005E-2</v>
      </c>
      <c r="G56" s="104"/>
      <c r="H56" s="104"/>
    </row>
    <row r="57" spans="1:8">
      <c r="A57" s="106"/>
      <c r="B57" s="543"/>
      <c r="C57" s="545"/>
      <c r="D57" s="656"/>
      <c r="E57" s="656"/>
      <c r="F57" s="661"/>
      <c r="G57" s="104"/>
      <c r="H57" s="104"/>
    </row>
    <row r="58" spans="1:8">
      <c r="A58" s="106">
        <v>26</v>
      </c>
      <c r="B58" s="543" t="s">
        <v>876</v>
      </c>
      <c r="C58" s="545" t="s">
        <v>877</v>
      </c>
      <c r="D58" s="656">
        <v>390</v>
      </c>
      <c r="E58" s="656">
        <v>250</v>
      </c>
      <c r="F58" s="661">
        <f>(D58*E58)/1000000</f>
        <v>9.7500000000000003E-2</v>
      </c>
      <c r="G58" s="104"/>
      <c r="H58" s="104"/>
    </row>
    <row r="59" spans="1:8">
      <c r="A59" s="106"/>
      <c r="B59" s="543"/>
      <c r="C59" s="545"/>
      <c r="D59" s="656"/>
      <c r="E59" s="656"/>
      <c r="F59" s="661"/>
      <c r="G59" s="104"/>
      <c r="H59" s="104"/>
    </row>
    <row r="60" spans="1:8">
      <c r="A60" s="106">
        <v>27</v>
      </c>
      <c r="B60" s="543" t="s">
        <v>878</v>
      </c>
      <c r="C60" s="545" t="s">
        <v>877</v>
      </c>
      <c r="D60" s="656">
        <v>854</v>
      </c>
      <c r="E60" s="656">
        <v>300</v>
      </c>
      <c r="F60" s="661">
        <f>(D60*E60)/1000000</f>
        <v>0.25619999999999998</v>
      </c>
      <c r="G60" s="104"/>
      <c r="H60" s="104"/>
    </row>
    <row r="61" spans="1:8">
      <c r="A61" s="106"/>
      <c r="B61" s="543"/>
      <c r="C61" s="545"/>
      <c r="D61" s="656"/>
      <c r="E61" s="656"/>
      <c r="F61" s="661"/>
      <c r="G61" s="104"/>
      <c r="H61" s="104"/>
    </row>
    <row r="62" spans="1:8">
      <c r="A62" s="106">
        <v>28</v>
      </c>
      <c r="B62" s="543" t="s">
        <v>879</v>
      </c>
      <c r="C62" s="545" t="s">
        <v>877</v>
      </c>
      <c r="D62" s="656">
        <v>952</v>
      </c>
      <c r="E62" s="656">
        <v>250</v>
      </c>
      <c r="F62" s="661">
        <f>(D62*E62)/1000000</f>
        <v>0.23799999999999999</v>
      </c>
      <c r="G62" s="104"/>
      <c r="H62" s="104"/>
    </row>
    <row r="63" spans="1:8">
      <c r="A63" s="106"/>
      <c r="B63" s="543"/>
      <c r="C63" s="545"/>
      <c r="D63" s="656"/>
      <c r="E63" s="656"/>
      <c r="F63" s="661"/>
      <c r="G63" s="104"/>
      <c r="H63" s="104"/>
    </row>
    <row r="64" spans="1:8">
      <c r="A64" s="106">
        <v>29</v>
      </c>
      <c r="B64" s="543" t="s">
        <v>880</v>
      </c>
      <c r="C64" s="545" t="s">
        <v>877</v>
      </c>
      <c r="D64" s="656">
        <v>952</v>
      </c>
      <c r="E64" s="656">
        <v>250</v>
      </c>
      <c r="F64" s="661">
        <f>(D64*E64)/1000000</f>
        <v>0.23799999999999999</v>
      </c>
      <c r="G64" s="104"/>
      <c r="H64" s="104"/>
    </row>
    <row r="65" spans="1:8">
      <c r="A65" s="106"/>
      <c r="B65" s="543"/>
      <c r="C65" s="543"/>
      <c r="D65" s="656"/>
      <c r="E65" s="656"/>
      <c r="F65" s="661"/>
      <c r="G65" s="104"/>
      <c r="H65" s="104"/>
    </row>
    <row r="66" spans="1:8">
      <c r="A66" s="106">
        <v>30</v>
      </c>
      <c r="B66" s="543" t="s">
        <v>881</v>
      </c>
      <c r="C66" s="545" t="s">
        <v>877</v>
      </c>
      <c r="D66" s="657">
        <v>2849</v>
      </c>
      <c r="E66" s="657">
        <v>510</v>
      </c>
      <c r="F66" s="663">
        <f>(D66*E66)/1000000</f>
        <v>1.45299</v>
      </c>
      <c r="G66" s="104"/>
      <c r="H66" s="104"/>
    </row>
    <row r="67" spans="1:8">
      <c r="A67" s="106"/>
      <c r="B67" s="543"/>
      <c r="C67" s="543"/>
      <c r="D67" s="546"/>
      <c r="E67" s="546"/>
      <c r="F67" s="661"/>
      <c r="G67" s="104"/>
      <c r="H67" s="104"/>
    </row>
    <row r="68" spans="1:8">
      <c r="A68" s="106">
        <v>31</v>
      </c>
      <c r="B68" s="543"/>
      <c r="C68" s="543"/>
      <c r="D68" s="546"/>
      <c r="E68" s="546" t="s">
        <v>882</v>
      </c>
      <c r="F68" s="661">
        <f>F48+F50+F53+F56+F58+F60+F62+F64+F66</f>
        <v>2.8391900000000003</v>
      </c>
      <c r="G68" s="104"/>
      <c r="H68" s="104"/>
    </row>
    <row r="69" spans="1:8">
      <c r="A69" s="106"/>
      <c r="B69" s="104"/>
      <c r="C69" s="104"/>
      <c r="D69" s="104"/>
      <c r="E69" s="104"/>
      <c r="F69" s="104"/>
      <c r="G69" s="104"/>
      <c r="H69" s="104"/>
    </row>
  </sheetData>
  <mergeCells count="3">
    <mergeCell ref="E13:F13"/>
    <mergeCell ref="E14:F14"/>
    <mergeCell ref="C14:D14"/>
  </mergeCells>
  <phoneticPr fontId="29" type="noConversion"/>
  <printOptions horizontalCentered="1"/>
  <pageMargins left="0.5" right="0.5" top="1" bottom="0.75" header="0.5" footer="0.5"/>
  <pageSetup scale="10" orientation="portrait" r:id="rId1"/>
  <headerFooter alignWithMargins="0">
    <oddHeader>&amp;RExhibit No. CJK-1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K35"/>
  <sheetViews>
    <sheetView topLeftCell="A8" workbookViewId="0">
      <selection activeCell="A5" sqref="A5"/>
    </sheetView>
  </sheetViews>
  <sheetFormatPr defaultColWidth="7.109375" defaultRowHeight="12.75"/>
  <cols>
    <col min="1" max="1" width="23.44140625" style="139" customWidth="1"/>
    <col min="2" max="2" width="11.44140625" style="139" customWidth="1"/>
    <col min="3" max="3" width="10.88671875" style="139" customWidth="1"/>
    <col min="4" max="4" width="13.5546875" style="139" customWidth="1"/>
    <col min="5" max="5" width="10.109375" style="139" customWidth="1"/>
    <col min="6" max="6" width="2.21875" style="139" hidden="1" customWidth="1"/>
    <col min="7" max="7" width="11.5546875" style="139" hidden="1" customWidth="1"/>
    <col min="8" max="8" width="11.77734375" style="139" hidden="1" customWidth="1"/>
    <col min="9" max="9" width="2.88671875" style="139" hidden="1" customWidth="1"/>
    <col min="10" max="10" width="10.44140625" style="139" hidden="1" customWidth="1"/>
    <col min="11" max="11" width="0" style="139" hidden="1" customWidth="1"/>
    <col min="12" max="16384" width="7.109375" style="139"/>
  </cols>
  <sheetData>
    <row r="1" spans="1:11">
      <c r="E1" s="140" t="str">
        <f>+'RCDC Rev Req'!G2</f>
        <v>Rapid City DC Tie</v>
      </c>
    </row>
    <row r="2" spans="1:11">
      <c r="E2" s="140"/>
    </row>
    <row r="8" spans="1:11">
      <c r="A8" s="138" t="s">
        <v>408</v>
      </c>
    </row>
    <row r="10" spans="1:11">
      <c r="A10" s="144"/>
      <c r="B10" s="144"/>
      <c r="C10" s="144" t="s">
        <v>416</v>
      </c>
      <c r="D10" s="144" t="s">
        <v>416</v>
      </c>
      <c r="E10" s="144" t="s">
        <v>437</v>
      </c>
      <c r="F10" s="144"/>
      <c r="G10" s="558" t="s">
        <v>417</v>
      </c>
      <c r="H10" s="558" t="s">
        <v>418</v>
      </c>
      <c r="J10" s="144" t="s">
        <v>419</v>
      </c>
    </row>
    <row r="11" spans="1:11" ht="13.5" thickBot="1">
      <c r="A11" s="703" t="s">
        <v>92</v>
      </c>
      <c r="B11" s="703" t="s">
        <v>420</v>
      </c>
      <c r="C11" s="703" t="s">
        <v>421</v>
      </c>
      <c r="D11" s="703" t="s">
        <v>436</v>
      </c>
      <c r="E11" s="703" t="s">
        <v>678</v>
      </c>
      <c r="F11" s="142"/>
      <c r="G11" s="560">
        <v>0.65</v>
      </c>
      <c r="H11" s="560">
        <v>0.35</v>
      </c>
      <c r="J11" s="560">
        <v>1</v>
      </c>
      <c r="K11" s="559" t="s">
        <v>422</v>
      </c>
    </row>
    <row r="13" spans="1:11">
      <c r="A13" s="139" t="s">
        <v>423</v>
      </c>
      <c r="B13" s="145">
        <v>2977.7855780676541</v>
      </c>
      <c r="D13" s="145">
        <v>2977.7855780676541</v>
      </c>
      <c r="E13" s="145"/>
      <c r="F13" s="145"/>
      <c r="G13" s="145">
        <f>G11*D13</f>
        <v>1935.5606257439752</v>
      </c>
      <c r="H13" s="145">
        <f>D13*H11</f>
        <v>1042.224952323679</v>
      </c>
      <c r="I13" s="145"/>
    </row>
    <row r="14" spans="1:11">
      <c r="A14" s="139" t="s">
        <v>424</v>
      </c>
      <c r="B14" s="145">
        <v>1647338.6875224211</v>
      </c>
      <c r="C14" s="145"/>
      <c r="D14" s="145">
        <v>1647338.6875224211</v>
      </c>
      <c r="E14" s="145"/>
      <c r="F14" s="145"/>
      <c r="G14" s="145">
        <f>B14*G11</f>
        <v>1070770.1468895737</v>
      </c>
      <c r="H14" s="145">
        <f>B14*H11</f>
        <v>576568.54063284735</v>
      </c>
      <c r="I14" s="145"/>
    </row>
    <row r="15" spans="1:11">
      <c r="A15" s="139" t="s">
        <v>425</v>
      </c>
      <c r="B15" s="145">
        <v>46409772.200000003</v>
      </c>
      <c r="C15" s="145">
        <v>46409772.200000003</v>
      </c>
      <c r="D15" s="145"/>
      <c r="E15" s="145"/>
      <c r="F15" s="145"/>
      <c r="G15" s="145">
        <f>G11*C15</f>
        <v>30166351.930000003</v>
      </c>
      <c r="H15" s="145">
        <f>C15*H11</f>
        <v>16243420.27</v>
      </c>
      <c r="I15" s="145"/>
    </row>
    <row r="16" spans="1:11">
      <c r="A16" s="139" t="s">
        <v>426</v>
      </c>
      <c r="B16" s="145">
        <v>3299486.4512394951</v>
      </c>
      <c r="C16" s="145">
        <v>3299486.4512394951</v>
      </c>
      <c r="D16" s="145"/>
      <c r="E16" s="145"/>
      <c r="F16" s="145"/>
      <c r="G16" s="145">
        <f>C16*G11</f>
        <v>2144666.1933056717</v>
      </c>
      <c r="H16" s="145">
        <f>C16*H11</f>
        <v>1154820.2579338232</v>
      </c>
      <c r="I16" s="145"/>
    </row>
    <row r="17" spans="1:11">
      <c r="A17" s="139" t="s">
        <v>427</v>
      </c>
      <c r="B17" s="145">
        <v>758740.8490486088</v>
      </c>
      <c r="C17" s="145"/>
      <c r="D17" s="145">
        <v>758740.8490486088</v>
      </c>
      <c r="E17" s="145"/>
      <c r="F17" s="145"/>
      <c r="G17" s="145">
        <f>D17*G11</f>
        <v>493181.55188159575</v>
      </c>
      <c r="H17" s="145">
        <f>H11*D17</f>
        <v>265559.29716701305</v>
      </c>
      <c r="I17" s="145"/>
    </row>
    <row r="18" spans="1:11">
      <c r="A18" s="139" t="s">
        <v>428</v>
      </c>
      <c r="B18" s="145">
        <v>764414.8658406816</v>
      </c>
      <c r="C18" s="145"/>
      <c r="D18" s="145"/>
      <c r="E18" s="145">
        <v>764414.8658406816</v>
      </c>
      <c r="F18" s="145"/>
      <c r="G18" s="145"/>
      <c r="H18" s="145"/>
      <c r="I18" s="145"/>
      <c r="J18" s="145">
        <f>E18</f>
        <v>764414.8658406816</v>
      </c>
    </row>
    <row r="19" spans="1:11">
      <c r="A19" s="139" t="s">
        <v>429</v>
      </c>
      <c r="B19" s="145">
        <v>4891671.8324102508</v>
      </c>
      <c r="C19" s="145"/>
      <c r="D19" s="145"/>
      <c r="E19" s="145">
        <v>4891671.8324102508</v>
      </c>
      <c r="F19" s="145"/>
      <c r="G19" s="145"/>
      <c r="H19" s="145"/>
      <c r="I19" s="145"/>
      <c r="J19" s="145">
        <f>E19</f>
        <v>4891671.8324102508</v>
      </c>
    </row>
    <row r="20" spans="1:11">
      <c r="A20" s="139" t="s">
        <v>430</v>
      </c>
      <c r="B20" s="145">
        <v>74514.109602277575</v>
      </c>
      <c r="C20" s="145"/>
      <c r="D20" s="145"/>
      <c r="E20" s="145">
        <v>74514.109602277575</v>
      </c>
      <c r="F20" s="145"/>
      <c r="G20" s="145"/>
      <c r="H20" s="145"/>
      <c r="I20" s="145"/>
      <c r="K20" s="145">
        <f>B20</f>
        <v>74514.109602277575</v>
      </c>
    </row>
    <row r="21" spans="1:11">
      <c r="A21" s="139" t="s">
        <v>431</v>
      </c>
      <c r="B21" s="145">
        <v>953285.09278296109</v>
      </c>
      <c r="C21" s="145"/>
      <c r="D21" s="145"/>
      <c r="E21" s="145">
        <v>953285.09278296109</v>
      </c>
      <c r="F21" s="145"/>
      <c r="G21" s="145"/>
      <c r="H21" s="145"/>
      <c r="I21" s="145"/>
      <c r="J21" s="145">
        <f>B21</f>
        <v>953285.09278296109</v>
      </c>
    </row>
    <row r="22" spans="1:11">
      <c r="A22" s="139" t="s">
        <v>432</v>
      </c>
      <c r="B22" s="145">
        <v>463613.44162523595</v>
      </c>
      <c r="C22" s="145">
        <v>463613.44162523595</v>
      </c>
      <c r="D22" s="145"/>
      <c r="E22" s="145"/>
      <c r="F22" s="145"/>
      <c r="G22" s="145">
        <f>G11*B22</f>
        <v>301348.73705640336</v>
      </c>
      <c r="H22" s="145">
        <f>H11*C22</f>
        <v>162264.70456883256</v>
      </c>
      <c r="I22" s="145"/>
    </row>
    <row r="23" spans="1:11">
      <c r="A23" s="139" t="s">
        <v>433</v>
      </c>
      <c r="B23" s="145">
        <v>249751</v>
      </c>
      <c r="C23" s="145"/>
      <c r="D23" s="145"/>
      <c r="E23" s="145">
        <v>249751</v>
      </c>
      <c r="F23" s="145"/>
      <c r="G23" s="145"/>
      <c r="H23" s="145"/>
      <c r="I23" s="145"/>
      <c r="J23" s="145">
        <f>E23</f>
        <v>249751</v>
      </c>
    </row>
    <row r="24" spans="1:11">
      <c r="A24" s="139" t="s">
        <v>434</v>
      </c>
      <c r="B24" s="562">
        <v>5000000</v>
      </c>
      <c r="C24" s="562">
        <v>5000000</v>
      </c>
      <c r="D24" s="562"/>
      <c r="E24" s="562" t="s">
        <v>665</v>
      </c>
      <c r="F24" s="145"/>
      <c r="G24" s="145">
        <f>C24*G11</f>
        <v>3250000</v>
      </c>
      <c r="H24" s="145">
        <f>H11*C24</f>
        <v>1750000</v>
      </c>
      <c r="I24" s="145"/>
    </row>
    <row r="25" spans="1:11">
      <c r="A25" s="139" t="s">
        <v>435</v>
      </c>
      <c r="B25" s="562">
        <v>340511</v>
      </c>
      <c r="C25" s="562"/>
      <c r="D25" s="562">
        <v>340511</v>
      </c>
      <c r="E25" s="562"/>
      <c r="F25" s="145"/>
      <c r="G25" s="145">
        <f>G11*B25</f>
        <v>221332.15</v>
      </c>
      <c r="H25" s="145">
        <f>H11*B25</f>
        <v>119178.84999999999</v>
      </c>
      <c r="I25" s="145"/>
    </row>
    <row r="26" spans="1:11" ht="13.5" thickBot="1">
      <c r="A26" s="702" t="s">
        <v>449</v>
      </c>
      <c r="B26" s="564">
        <v>720352</v>
      </c>
      <c r="C26" s="564">
        <v>730352</v>
      </c>
      <c r="D26" s="564"/>
      <c r="E26" s="564"/>
      <c r="F26" s="145"/>
      <c r="G26" s="145"/>
      <c r="H26" s="145"/>
      <c r="I26" s="145"/>
    </row>
    <row r="27" spans="1:11">
      <c r="A27" s="138" t="s">
        <v>439</v>
      </c>
      <c r="B27" s="701">
        <f>SUM(B13:B26)</f>
        <v>65576429.315650009</v>
      </c>
      <c r="C27" s="701">
        <f>SUM(C13:C26)</f>
        <v>55903224.092864737</v>
      </c>
      <c r="D27" s="701">
        <f>SUM(D13:D26)</f>
        <v>2749568.3221490975</v>
      </c>
      <c r="E27" s="701">
        <f>SUM(E13:E26)</f>
        <v>6933636.900636171</v>
      </c>
      <c r="F27" s="562" t="s">
        <v>665</v>
      </c>
      <c r="G27" s="561">
        <f>SUM(G13:G26)</f>
        <v>37649586.269758992</v>
      </c>
      <c r="H27" s="561">
        <f>SUM(H13:H26)</f>
        <v>20272854.145254843</v>
      </c>
      <c r="I27" s="562" t="s">
        <v>665</v>
      </c>
      <c r="J27" s="561">
        <f>SUM(J13:J26)</f>
        <v>6859122.7910338938</v>
      </c>
      <c r="K27" s="561">
        <f>SUM(K13:K26)</f>
        <v>74514.109602277575</v>
      </c>
    </row>
    <row r="28" spans="1:11">
      <c r="B28" s="563"/>
      <c r="C28" s="563"/>
      <c r="D28" s="563"/>
      <c r="E28" s="563"/>
      <c r="F28" s="563"/>
      <c r="G28" s="563">
        <f>SUM(G27:G27)</f>
        <v>37649586.269758992</v>
      </c>
      <c r="H28" s="563">
        <f>SUM(H27:H27)</f>
        <v>20272854.145254843</v>
      </c>
      <c r="I28" s="145"/>
      <c r="J28" s="145">
        <f>SUM(J27:J27)</f>
        <v>6859122.7910338938</v>
      </c>
      <c r="K28" s="145">
        <f>SUM(K27:K27)</f>
        <v>74514.109602277575</v>
      </c>
    </row>
    <row r="29" spans="1:11">
      <c r="B29" s="145"/>
      <c r="C29" s="145"/>
      <c r="D29" s="145"/>
      <c r="E29" s="145" t="s">
        <v>665</v>
      </c>
      <c r="F29" s="145"/>
      <c r="G29" s="145" t="s">
        <v>665</v>
      </c>
      <c r="H29" s="145"/>
      <c r="I29" s="145"/>
      <c r="J29" s="145" t="s">
        <v>665</v>
      </c>
    </row>
    <row r="30" spans="1:11">
      <c r="A30" s="138" t="s">
        <v>438</v>
      </c>
      <c r="B30" s="148">
        <f>SUM(C30:D30)</f>
        <v>58652792.415013835</v>
      </c>
      <c r="C30" s="148">
        <f>+C27</f>
        <v>55903224.092864737</v>
      </c>
      <c r="D30" s="148">
        <f>+D27</f>
        <v>2749568.3221490975</v>
      </c>
      <c r="E30" s="145"/>
      <c r="F30" s="145"/>
      <c r="G30" s="145" t="s">
        <v>665</v>
      </c>
      <c r="H30" s="145"/>
      <c r="I30" s="145"/>
      <c r="J30" s="145" t="s">
        <v>665</v>
      </c>
    </row>
    <row r="31" spans="1:11">
      <c r="B31" s="145"/>
      <c r="C31" s="145"/>
      <c r="D31" s="145"/>
      <c r="E31" s="145"/>
      <c r="F31" s="145"/>
      <c r="G31" s="145"/>
      <c r="H31" s="145"/>
      <c r="I31" s="145"/>
    </row>
    <row r="32" spans="1:11">
      <c r="B32" s="145"/>
      <c r="C32" s="145"/>
      <c r="D32" s="145"/>
      <c r="E32" s="145"/>
      <c r="F32" s="145"/>
      <c r="G32" s="145"/>
      <c r="H32" s="145"/>
      <c r="I32" s="145"/>
    </row>
    <row r="33" spans="2:9">
      <c r="B33" s="145"/>
      <c r="C33" s="145"/>
      <c r="D33" s="145"/>
      <c r="E33" s="145"/>
      <c r="F33" s="145"/>
      <c r="G33" s="145"/>
      <c r="H33" s="145"/>
      <c r="I33" s="145"/>
    </row>
    <row r="34" spans="2:9">
      <c r="B34" s="145"/>
      <c r="C34" s="145"/>
      <c r="D34" s="145"/>
      <c r="E34" s="145"/>
      <c r="F34" s="145"/>
      <c r="G34" s="145"/>
      <c r="H34" s="145"/>
      <c r="I34" s="145"/>
    </row>
    <row r="35" spans="2:9">
      <c r="B35" s="145"/>
      <c r="C35" s="145"/>
      <c r="D35" s="145"/>
      <c r="E35" s="145"/>
      <c r="F35" s="145"/>
      <c r="G35" s="145"/>
      <c r="H35" s="145"/>
      <c r="I35" s="145"/>
    </row>
  </sheetData>
  <phoneticPr fontId="29" type="noConversion"/>
  <printOptions horizontalCentered="1"/>
  <pageMargins left="0.25" right="0" top="1.5" bottom="1" header="0.5" footer="0.5"/>
  <pageSetup orientation="portrait" r:id="rId1"/>
  <headerFooter alignWithMargins="0">
    <oddHeader>&amp;RExhibit No. BBP-8
&amp;P of &amp;N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T223"/>
  <sheetViews>
    <sheetView topLeftCell="A185" zoomScale="75" workbookViewId="0">
      <selection activeCell="H215" sqref="H215"/>
    </sheetView>
  </sheetViews>
  <sheetFormatPr defaultColWidth="7.109375" defaultRowHeight="12.75"/>
  <cols>
    <col min="1" max="1" width="4.5546875" style="158" customWidth="1"/>
    <col min="2" max="2" width="0.88671875" style="158" customWidth="1"/>
    <col min="3" max="3" width="27.88671875" style="158" customWidth="1"/>
    <col min="4" max="4" width="14" style="158" bestFit="1" customWidth="1"/>
    <col min="5" max="5" width="12.77734375" style="158" customWidth="1"/>
    <col min="6" max="6" width="1" style="158" customWidth="1"/>
    <col min="7" max="7" width="6.88671875" style="158" customWidth="1"/>
    <col min="8" max="8" width="9.21875" style="158" customWidth="1"/>
    <col min="9" max="9" width="1" style="158" customWidth="1"/>
    <col min="10" max="10" width="11.88671875" style="158" customWidth="1"/>
    <col min="11" max="11" width="1.21875" style="158" customWidth="1"/>
    <col min="12" max="12" width="10.33203125" style="158" customWidth="1"/>
    <col min="13" max="13" width="5.33203125" style="158" customWidth="1"/>
    <col min="14" max="14" width="11.44140625" style="158" hidden="1" customWidth="1"/>
    <col min="15" max="15" width="11.88671875" style="158" hidden="1" customWidth="1"/>
    <col min="16" max="16" width="11.21875" style="158" customWidth="1"/>
    <col min="17" max="17" width="11.33203125" style="158" hidden="1" customWidth="1"/>
    <col min="18" max="18" width="10.44140625" style="158" customWidth="1"/>
    <col min="19" max="19" width="9.21875" style="158" customWidth="1"/>
    <col min="20" max="20" width="8.21875" style="158" customWidth="1"/>
    <col min="21" max="16384" width="7.109375" style="158"/>
  </cols>
  <sheetData>
    <row r="1" spans="1:18">
      <c r="C1" s="159" t="s">
        <v>1001</v>
      </c>
      <c r="D1" s="160"/>
      <c r="E1" s="161" t="s">
        <v>855</v>
      </c>
      <c r="F1" s="162"/>
      <c r="G1" s="162"/>
      <c r="H1" s="160"/>
      <c r="I1" s="163"/>
      <c r="M1" s="159"/>
      <c r="N1" s="159"/>
      <c r="O1" s="164"/>
      <c r="P1" s="720" t="s">
        <v>87</v>
      </c>
      <c r="Q1" s="166"/>
    </row>
    <row r="2" spans="1:18">
      <c r="C2" s="160" t="s">
        <v>665</v>
      </c>
      <c r="D2" s="167"/>
      <c r="E2" s="168" t="s">
        <v>1002</v>
      </c>
      <c r="F2" s="169"/>
      <c r="G2" s="169"/>
      <c r="H2" s="167"/>
      <c r="I2" s="163"/>
      <c r="J2" s="163"/>
      <c r="K2" s="163"/>
      <c r="L2" s="163"/>
      <c r="M2" s="164"/>
      <c r="N2" s="164"/>
      <c r="O2" s="164"/>
      <c r="P2" s="165"/>
    </row>
    <row r="3" spans="1:18">
      <c r="C3" s="163"/>
      <c r="D3" s="163"/>
      <c r="E3" s="170" t="s">
        <v>1003</v>
      </c>
      <c r="F3" s="159"/>
      <c r="G3" s="159"/>
      <c r="H3" s="163"/>
      <c r="I3" s="163"/>
      <c r="J3" s="163"/>
      <c r="K3" s="163"/>
      <c r="L3" s="163"/>
      <c r="M3" s="164"/>
      <c r="N3" s="164"/>
      <c r="O3" s="164"/>
      <c r="P3" s="164"/>
    </row>
    <row r="6" spans="1:18">
      <c r="L6" s="161" t="s">
        <v>669</v>
      </c>
      <c r="M6" s="167"/>
      <c r="N6" s="171" t="s">
        <v>1004</v>
      </c>
      <c r="O6" s="171" t="s">
        <v>1005</v>
      </c>
      <c r="P6" s="171" t="s">
        <v>1006</v>
      </c>
      <c r="Q6" s="171" t="s">
        <v>797</v>
      </c>
      <c r="R6" s="172"/>
    </row>
    <row r="7" spans="1:18">
      <c r="A7" s="173" t="s">
        <v>667</v>
      </c>
      <c r="B7" s="174"/>
      <c r="C7" s="163"/>
      <c r="D7" s="163"/>
      <c r="E7" s="175"/>
      <c r="F7" s="163"/>
      <c r="G7" s="163"/>
      <c r="H7" s="163"/>
      <c r="L7" s="176" t="s">
        <v>678</v>
      </c>
      <c r="M7" s="167"/>
      <c r="N7" s="177" t="s">
        <v>678</v>
      </c>
      <c r="O7" s="177" t="s">
        <v>678</v>
      </c>
      <c r="P7" s="177" t="s">
        <v>1007</v>
      </c>
      <c r="Q7" s="177" t="s">
        <v>678</v>
      </c>
      <c r="R7" s="172"/>
    </row>
    <row r="8" spans="1:18" ht="13.5" thickBot="1">
      <c r="A8" s="178" t="s">
        <v>668</v>
      </c>
      <c r="B8" s="174"/>
      <c r="C8" s="163"/>
      <c r="D8" s="163"/>
      <c r="E8" s="163"/>
      <c r="F8" s="163"/>
      <c r="G8" s="163"/>
      <c r="H8" s="163"/>
      <c r="L8" s="179"/>
      <c r="N8" s="179"/>
      <c r="R8" s="180"/>
    </row>
    <row r="9" spans="1:18">
      <c r="A9" s="173">
        <v>1</v>
      </c>
      <c r="B9" s="174"/>
      <c r="C9" s="159" t="s">
        <v>513</v>
      </c>
      <c r="D9" s="297"/>
      <c r="E9" s="181" t="s">
        <v>665</v>
      </c>
      <c r="F9" s="163"/>
      <c r="G9" s="163"/>
      <c r="H9" s="163"/>
      <c r="L9" s="179">
        <f>J150</f>
        <v>49905726.75873898</v>
      </c>
      <c r="N9" s="179" t="e">
        <f>N150</f>
        <v>#REF!</v>
      </c>
      <c r="O9" s="179" t="e">
        <f>O150</f>
        <v>#REF!</v>
      </c>
      <c r="P9" s="179">
        <f>P150</f>
        <v>1654630.0439796543</v>
      </c>
      <c r="Q9" s="179" t="e">
        <f>Q150</f>
        <v>#REF!</v>
      </c>
      <c r="R9" s="182" t="s">
        <v>665</v>
      </c>
    </row>
    <row r="10" spans="1:18">
      <c r="A10" s="173"/>
      <c r="B10" s="174"/>
      <c r="C10" s="163"/>
      <c r="D10" s="163"/>
      <c r="E10" s="163"/>
      <c r="F10" s="163"/>
      <c r="G10" s="163"/>
      <c r="H10" s="163"/>
      <c r="L10" s="179"/>
      <c r="M10" s="163"/>
      <c r="N10" s="183" t="s">
        <v>665</v>
      </c>
      <c r="O10" s="179"/>
      <c r="P10" s="179"/>
      <c r="Q10" s="179"/>
      <c r="R10" s="182"/>
    </row>
    <row r="11" spans="1:18">
      <c r="A11" s="173"/>
      <c r="B11" s="174"/>
      <c r="C11" s="163"/>
      <c r="D11" s="163"/>
      <c r="E11" s="163"/>
      <c r="F11" s="163"/>
      <c r="G11" s="163"/>
      <c r="H11" s="163"/>
      <c r="L11" s="181"/>
      <c r="M11" s="163"/>
      <c r="N11" s="164"/>
      <c r="O11" s="164"/>
      <c r="P11" s="164"/>
      <c r="Q11" s="164"/>
      <c r="R11" s="184"/>
    </row>
    <row r="12" spans="1:18">
      <c r="A12" s="185" t="s">
        <v>854</v>
      </c>
      <c r="Q12" s="164"/>
      <c r="R12" s="184"/>
    </row>
    <row r="13" spans="1:18">
      <c r="Q13" s="164"/>
      <c r="R13" s="184"/>
    </row>
    <row r="14" spans="1:18">
      <c r="A14" s="186">
        <v>2</v>
      </c>
      <c r="C14" s="158" t="s">
        <v>853</v>
      </c>
      <c r="D14" s="286" t="s">
        <v>514</v>
      </c>
      <c r="L14" s="187">
        <f>+J76</f>
        <v>233908742.15000001</v>
      </c>
      <c r="Q14" s="164"/>
      <c r="R14" s="184"/>
    </row>
    <row r="15" spans="1:18">
      <c r="A15" s="186">
        <v>3</v>
      </c>
      <c r="C15" s="158" t="s">
        <v>852</v>
      </c>
      <c r="D15" s="286" t="s">
        <v>515</v>
      </c>
      <c r="L15" s="187">
        <f>+J150</f>
        <v>49905726.75873898</v>
      </c>
      <c r="Q15" s="179"/>
      <c r="R15" s="182"/>
    </row>
    <row r="16" spans="1:18">
      <c r="A16" s="186">
        <v>4</v>
      </c>
      <c r="C16" s="158" t="s">
        <v>1008</v>
      </c>
      <c r="D16" s="158" t="s">
        <v>1009</v>
      </c>
      <c r="L16" s="188">
        <f>+L15/L14</f>
        <v>0.21335554327736775</v>
      </c>
      <c r="Q16" s="179"/>
      <c r="R16" s="182"/>
    </row>
    <row r="17" spans="1:18">
      <c r="Q17" s="189"/>
      <c r="R17" s="182"/>
    </row>
    <row r="18" spans="1:18">
      <c r="Q18" s="182"/>
      <c r="R18" s="182"/>
    </row>
    <row r="19" spans="1:18">
      <c r="Q19" s="182"/>
      <c r="R19" s="182"/>
    </row>
    <row r="20" spans="1:18" ht="13.5" thickBot="1">
      <c r="Q20" s="190" t="e">
        <f>Q9+Q18</f>
        <v>#REF!</v>
      </c>
      <c r="R20" s="184"/>
    </row>
    <row r="21" spans="1:18" ht="13.5" thickTop="1">
      <c r="Q21" s="191"/>
      <c r="R21" s="191"/>
    </row>
    <row r="22" spans="1:18">
      <c r="A22" s="174"/>
      <c r="B22" s="174"/>
      <c r="C22" s="174"/>
      <c r="D22" s="174"/>
      <c r="E22" s="174"/>
      <c r="F22" s="174"/>
      <c r="G22" s="174"/>
      <c r="H22" s="174"/>
      <c r="L22" s="174"/>
      <c r="M22" s="163"/>
      <c r="N22" s="192" t="s">
        <v>665</v>
      </c>
      <c r="O22" s="164"/>
      <c r="P22" s="164"/>
      <c r="Q22" s="164"/>
      <c r="R22" s="164"/>
    </row>
    <row r="23" spans="1:18">
      <c r="L23" s="174"/>
      <c r="M23" s="174"/>
      <c r="N23" s="174"/>
      <c r="O23" s="164"/>
      <c r="P23" s="164"/>
      <c r="Q23" s="164"/>
      <c r="R23" s="164"/>
    </row>
    <row r="41" spans="1:20">
      <c r="A41" s="193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</row>
    <row r="42" spans="1:20">
      <c r="A42" s="194"/>
      <c r="B42" s="194"/>
      <c r="C42" s="195" t="str">
        <f>C1</f>
        <v>For the 12 months ended 12/31/02</v>
      </c>
      <c r="D42" s="196"/>
      <c r="E42" s="197" t="str">
        <f>E1</f>
        <v>Cost of Service</v>
      </c>
      <c r="F42" s="195"/>
      <c r="G42" s="195"/>
      <c r="H42" s="193"/>
      <c r="I42" s="196"/>
      <c r="J42" s="196"/>
      <c r="K42" s="196"/>
      <c r="M42" s="198"/>
      <c r="N42" s="198"/>
      <c r="O42" s="199"/>
      <c r="P42" s="200" t="str">
        <f>+P1</f>
        <v>Basin Electric Power Cooperative</v>
      </c>
      <c r="Q42" s="199" t="s">
        <v>991</v>
      </c>
      <c r="S42" s="193"/>
      <c r="T42" s="193"/>
    </row>
    <row r="43" spans="1:20">
      <c r="A43" s="194"/>
      <c r="B43" s="194"/>
      <c r="C43" s="194"/>
      <c r="D43" s="201"/>
      <c r="E43" s="202" t="s">
        <v>1010</v>
      </c>
      <c r="F43" s="203"/>
      <c r="G43" s="203"/>
      <c r="H43" s="201"/>
      <c r="I43" s="201"/>
      <c r="J43" s="201"/>
      <c r="K43" s="201"/>
      <c r="L43" s="201"/>
      <c r="M43" s="204"/>
      <c r="N43" s="205"/>
      <c r="O43" s="204"/>
      <c r="P43" s="165"/>
      <c r="Q43" s="199"/>
      <c r="R43" s="199"/>
      <c r="S43" s="193"/>
      <c r="T43" s="193"/>
    </row>
    <row r="44" spans="1:20">
      <c r="A44" s="194"/>
      <c r="B44" s="194"/>
      <c r="C44" s="196"/>
      <c r="D44" s="201"/>
      <c r="E44" s="206" t="s">
        <v>1003</v>
      </c>
      <c r="F44" s="207"/>
      <c r="G44" s="207"/>
      <c r="H44" s="201"/>
      <c r="I44" s="201"/>
      <c r="J44" s="201"/>
      <c r="K44" s="201"/>
      <c r="L44" s="201"/>
      <c r="M44" s="204"/>
      <c r="N44" s="204"/>
      <c r="O44" s="204"/>
      <c r="P44" s="204"/>
      <c r="Q44" s="199"/>
      <c r="R44" s="199"/>
      <c r="S44" s="193"/>
      <c r="T44" s="193"/>
    </row>
    <row r="45" spans="1:20">
      <c r="A45" s="194"/>
      <c r="B45" s="194"/>
      <c r="C45" s="196"/>
      <c r="D45" s="208"/>
      <c r="E45" s="201"/>
      <c r="F45" s="201"/>
      <c r="G45" s="201"/>
      <c r="H45" s="201"/>
      <c r="I45" s="201"/>
      <c r="J45" s="201"/>
      <c r="K45" s="201"/>
      <c r="L45" s="201"/>
      <c r="M45" s="204"/>
      <c r="N45" s="204"/>
      <c r="O45" s="204"/>
      <c r="P45" s="204"/>
      <c r="Q45" s="199"/>
      <c r="R45" s="199"/>
      <c r="S45" s="193"/>
      <c r="T45" s="193"/>
    </row>
    <row r="46" spans="1:20">
      <c r="A46" s="194"/>
      <c r="B46" s="194"/>
      <c r="C46" s="209" t="s">
        <v>672</v>
      </c>
      <c r="D46" s="209" t="s">
        <v>673</v>
      </c>
      <c r="E46" s="209" t="s">
        <v>674</v>
      </c>
      <c r="F46" s="201" t="s">
        <v>665</v>
      </c>
      <c r="G46" s="1185" t="s">
        <v>675</v>
      </c>
      <c r="H46" s="1185"/>
      <c r="I46" s="201"/>
      <c r="J46" s="210" t="s">
        <v>676</v>
      </c>
      <c r="K46" s="201"/>
      <c r="L46" s="209" t="s">
        <v>1011</v>
      </c>
      <c r="M46" s="204"/>
      <c r="N46" s="210" t="s">
        <v>1012</v>
      </c>
      <c r="O46" s="210" t="s">
        <v>1013</v>
      </c>
      <c r="P46" s="211" t="s">
        <v>1014</v>
      </c>
      <c r="Q46" s="210" t="s">
        <v>1015</v>
      </c>
      <c r="R46" s="212"/>
      <c r="S46" s="212"/>
      <c r="T46" s="193"/>
    </row>
    <row r="47" spans="1:20">
      <c r="A47" s="194"/>
      <c r="B47" s="194"/>
      <c r="C47" s="196"/>
      <c r="D47" s="213" t="s">
        <v>1016</v>
      </c>
      <c r="E47" s="201"/>
      <c r="F47" s="201"/>
      <c r="H47" s="214" t="s">
        <v>639</v>
      </c>
      <c r="I47" s="201"/>
      <c r="J47" s="214" t="s">
        <v>669</v>
      </c>
      <c r="K47" s="201"/>
      <c r="L47" s="214" t="s">
        <v>1018</v>
      </c>
      <c r="M47" s="204"/>
      <c r="N47" s="215" t="str">
        <f t="shared" ref="N47:Q48" si="0">N6</f>
        <v>IS</v>
      </c>
      <c r="O47" s="215" t="str">
        <f t="shared" si="0"/>
        <v>West</v>
      </c>
      <c r="P47" s="215" t="str">
        <f t="shared" si="0"/>
        <v>Common Use</v>
      </c>
      <c r="Q47" s="215" t="str">
        <f t="shared" si="0"/>
        <v>Other</v>
      </c>
      <c r="R47" s="216"/>
      <c r="S47" s="216"/>
      <c r="T47" s="193"/>
    </row>
    <row r="48" spans="1:20">
      <c r="D48" s="575" t="str">
        <f>+D110</f>
        <v>Reference</v>
      </c>
      <c r="E48" s="574" t="s">
        <v>637</v>
      </c>
      <c r="F48" s="217"/>
      <c r="H48" s="308" t="s">
        <v>516</v>
      </c>
      <c r="I48" s="217"/>
      <c r="J48" s="214" t="s">
        <v>678</v>
      </c>
      <c r="K48" s="201"/>
      <c r="L48" s="308" t="str">
        <f>+H48</f>
        <v>(Page 21)</v>
      </c>
      <c r="M48" s="205"/>
      <c r="N48" s="220" t="str">
        <f t="shared" si="0"/>
        <v>Transmission</v>
      </c>
      <c r="O48" s="220" t="str">
        <f t="shared" si="0"/>
        <v>Transmission</v>
      </c>
      <c r="P48" s="220" t="str">
        <f t="shared" si="0"/>
        <v>AC Facilities</v>
      </c>
      <c r="Q48" s="220" t="str">
        <f t="shared" si="0"/>
        <v>Transmission</v>
      </c>
      <c r="R48" s="216"/>
      <c r="S48" s="216"/>
      <c r="T48" s="193"/>
    </row>
    <row r="49" spans="1:20">
      <c r="F49" s="201"/>
      <c r="G49" s="201"/>
      <c r="H49" s="201"/>
      <c r="I49" s="201"/>
      <c r="J49" s="201"/>
      <c r="K49" s="201"/>
      <c r="L49" s="201"/>
      <c r="M49" s="205"/>
      <c r="N49" s="204"/>
      <c r="O49" s="204"/>
      <c r="P49" s="204"/>
      <c r="Q49" s="199"/>
      <c r="R49" s="221"/>
      <c r="S49" s="222"/>
      <c r="T49" s="193"/>
    </row>
    <row r="50" spans="1:20">
      <c r="F50" s="201"/>
      <c r="G50" s="201"/>
      <c r="H50" s="201"/>
      <c r="I50" s="201"/>
      <c r="J50" s="201"/>
      <c r="K50" s="201"/>
      <c r="L50" s="201"/>
      <c r="M50" s="205"/>
      <c r="N50" s="204" t="s">
        <v>665</v>
      </c>
      <c r="O50" s="204"/>
      <c r="P50" s="204"/>
      <c r="Q50" s="199"/>
      <c r="R50" s="222"/>
      <c r="S50" s="222"/>
      <c r="T50" s="193"/>
    </row>
    <row r="51" spans="1:20">
      <c r="A51" s="223"/>
      <c r="B51" s="194"/>
      <c r="C51" s="218" t="s">
        <v>683</v>
      </c>
      <c r="D51" s="201"/>
      <c r="E51" s="201" t="s">
        <v>665</v>
      </c>
      <c r="F51" s="201"/>
      <c r="G51" s="201"/>
      <c r="H51" s="201"/>
      <c r="I51" s="201"/>
      <c r="J51" s="201"/>
      <c r="K51" s="201"/>
      <c r="L51" s="201"/>
      <c r="M51" s="205"/>
      <c r="N51" s="204"/>
      <c r="O51" s="204"/>
      <c r="P51" s="204"/>
      <c r="Q51" s="199"/>
      <c r="R51" s="221"/>
      <c r="S51" s="224"/>
      <c r="T51" s="193"/>
    </row>
    <row r="52" spans="1:20">
      <c r="A52" s="223">
        <v>1</v>
      </c>
      <c r="B52" s="194"/>
      <c r="C52" s="196" t="s">
        <v>684</v>
      </c>
      <c r="D52" s="219" t="s">
        <v>1019</v>
      </c>
      <c r="E52" s="225">
        <v>1668030361.3800001</v>
      </c>
      <c r="F52" s="201"/>
      <c r="G52" s="226" t="s">
        <v>685</v>
      </c>
      <c r="H52" s="227" t="s">
        <v>665</v>
      </c>
      <c r="I52" s="201"/>
      <c r="J52" s="228">
        <v>0</v>
      </c>
      <c r="K52" s="201"/>
      <c r="L52" s="226"/>
      <c r="M52" s="205"/>
      <c r="N52" s="228">
        <v>0</v>
      </c>
      <c r="O52" s="228">
        <v>0</v>
      </c>
      <c r="P52" s="228">
        <v>0</v>
      </c>
      <c r="Q52" s="228">
        <v>0</v>
      </c>
      <c r="R52" s="229"/>
      <c r="S52" s="222"/>
      <c r="T52" s="193"/>
    </row>
    <row r="53" spans="1:20">
      <c r="A53" s="223">
        <v>2</v>
      </c>
      <c r="B53" s="194"/>
      <c r="C53" s="196" t="s">
        <v>1020</v>
      </c>
      <c r="D53" s="219" t="s">
        <v>1021</v>
      </c>
      <c r="E53" s="225">
        <v>423647719.74000001</v>
      </c>
      <c r="F53" s="201"/>
      <c r="G53" s="226" t="s">
        <v>1022</v>
      </c>
      <c r="H53" s="227" t="s">
        <v>665</v>
      </c>
      <c r="I53" s="201"/>
      <c r="J53" s="228">
        <f>E53</f>
        <v>423647719.74000001</v>
      </c>
      <c r="K53" s="201"/>
      <c r="L53" s="226" t="s">
        <v>1023</v>
      </c>
      <c r="M53" s="205"/>
      <c r="N53" s="228">
        <v>304187588.33000004</v>
      </c>
      <c r="O53" s="228">
        <v>90419729.189999998</v>
      </c>
      <c r="P53" s="228">
        <f>+'BEPC Facilities'!C18</f>
        <v>11212546.129999999</v>
      </c>
      <c r="Q53" s="228">
        <v>17515357.090000004</v>
      </c>
      <c r="R53" s="229" t="s">
        <v>665</v>
      </c>
      <c r="S53" s="229"/>
      <c r="T53" s="230"/>
    </row>
    <row r="54" spans="1:20">
      <c r="A54" s="223">
        <v>3</v>
      </c>
      <c r="B54" s="194"/>
      <c r="C54" s="196" t="s">
        <v>687</v>
      </c>
      <c r="D54" s="219" t="s">
        <v>1024</v>
      </c>
      <c r="E54" s="231">
        <v>0</v>
      </c>
      <c r="F54" s="201"/>
      <c r="G54" s="226" t="s">
        <v>685</v>
      </c>
      <c r="H54" s="227"/>
      <c r="I54" s="201"/>
      <c r="J54" s="228">
        <v>0</v>
      </c>
      <c r="K54" s="201"/>
      <c r="L54" s="226"/>
      <c r="M54" s="205"/>
      <c r="N54" s="228">
        <v>0</v>
      </c>
      <c r="O54" s="228">
        <v>0</v>
      </c>
      <c r="P54" s="228"/>
      <c r="Q54" s="228">
        <v>0</v>
      </c>
      <c r="R54" s="232"/>
      <c r="S54" s="229"/>
      <c r="T54" s="230"/>
    </row>
    <row r="55" spans="1:20">
      <c r="A55" s="223">
        <v>4</v>
      </c>
      <c r="B55" s="194"/>
      <c r="C55" s="196" t="s">
        <v>1025</v>
      </c>
      <c r="D55" s="219" t="s">
        <v>1026</v>
      </c>
      <c r="E55" s="225">
        <v>99046815.079999998</v>
      </c>
      <c r="F55" s="201"/>
      <c r="G55" s="226"/>
      <c r="H55" s="227"/>
      <c r="I55" s="201"/>
      <c r="J55" s="228"/>
      <c r="K55" s="201"/>
      <c r="L55" s="226"/>
      <c r="M55" s="204"/>
      <c r="N55" s="228">
        <v>0</v>
      </c>
      <c r="O55" s="228">
        <v>0</v>
      </c>
      <c r="P55" s="228"/>
      <c r="Q55" s="228">
        <v>0</v>
      </c>
      <c r="R55" s="232"/>
      <c r="S55" s="229"/>
      <c r="T55" s="230"/>
    </row>
    <row r="56" spans="1:20">
      <c r="A56" s="223" t="s">
        <v>1027</v>
      </c>
      <c r="B56" s="194"/>
      <c r="C56" s="196" t="s">
        <v>1028</v>
      </c>
      <c r="D56" s="233" t="s">
        <v>665</v>
      </c>
      <c r="E56" s="228">
        <v>29436926.545257602</v>
      </c>
      <c r="F56" s="201"/>
      <c r="G56" s="226" t="s">
        <v>1022</v>
      </c>
      <c r="H56" s="227"/>
      <c r="I56" s="201"/>
      <c r="J56" s="228">
        <v>29436926.545257602</v>
      </c>
      <c r="K56" s="201"/>
      <c r="L56" s="226" t="s">
        <v>685</v>
      </c>
      <c r="M56" s="204"/>
      <c r="N56" s="228">
        <v>23105065.715257604</v>
      </c>
      <c r="O56" s="228">
        <v>4345721.49</v>
      </c>
      <c r="P56" s="228">
        <v>0</v>
      </c>
      <c r="Q56" s="228">
        <v>297.87</v>
      </c>
      <c r="R56" s="232"/>
      <c r="S56" s="229"/>
      <c r="T56" s="230"/>
    </row>
    <row r="57" spans="1:20">
      <c r="A57" s="223" t="s">
        <v>1029</v>
      </c>
      <c r="B57" s="194"/>
      <c r="C57" s="196" t="s">
        <v>1030</v>
      </c>
      <c r="D57" s="233"/>
      <c r="E57" s="228">
        <v>17588821.109999999</v>
      </c>
      <c r="F57" s="201"/>
      <c r="G57" s="226" t="s">
        <v>685</v>
      </c>
      <c r="H57" s="227"/>
      <c r="I57" s="201"/>
      <c r="J57" s="228">
        <v>0</v>
      </c>
      <c r="K57" s="201"/>
      <c r="L57" s="226" t="s">
        <v>685</v>
      </c>
      <c r="M57" s="204"/>
      <c r="N57" s="228">
        <v>0</v>
      </c>
      <c r="O57" s="228">
        <v>0</v>
      </c>
      <c r="P57" s="228"/>
      <c r="Q57" s="228">
        <v>0</v>
      </c>
      <c r="R57" s="232"/>
      <c r="S57" s="229"/>
      <c r="T57" s="193"/>
    </row>
    <row r="58" spans="1:20">
      <c r="A58" s="223" t="s">
        <v>1031</v>
      </c>
      <c r="B58" s="194"/>
      <c r="C58" s="196" t="s">
        <v>1032</v>
      </c>
      <c r="D58" s="233" t="s">
        <v>665</v>
      </c>
      <c r="E58" s="228">
        <v>52021067.424742401</v>
      </c>
      <c r="F58" s="201"/>
      <c r="G58" s="226" t="s">
        <v>785</v>
      </c>
      <c r="H58" s="234">
        <f>L172</f>
        <v>0.10360238623422539</v>
      </c>
      <c r="I58" s="201"/>
      <c r="J58" s="228">
        <f>E58*H58</f>
        <v>5389506.7196548432</v>
      </c>
      <c r="K58" s="235"/>
      <c r="L58" s="226" t="s">
        <v>1033</v>
      </c>
      <c r="M58" s="236"/>
      <c r="N58" s="228">
        <f>E58*N172+1</f>
        <v>4456278.4501836998</v>
      </c>
      <c r="O58" s="228">
        <f>E58*O172</f>
        <v>481083.57839782862</v>
      </c>
      <c r="P58" s="228">
        <f>E58*P172</f>
        <v>218086.65218485548</v>
      </c>
      <c r="Q58" s="228">
        <f>E58*Q172</f>
        <v>234059.03888846116</v>
      </c>
      <c r="R58" s="232"/>
      <c r="S58" s="229"/>
      <c r="T58" s="230"/>
    </row>
    <row r="59" spans="1:20">
      <c r="A59" s="223">
        <v>5</v>
      </c>
      <c r="B59" s="194"/>
      <c r="C59" s="196" t="s">
        <v>1034</v>
      </c>
      <c r="D59" s="201" t="s">
        <v>1035</v>
      </c>
      <c r="E59" s="237">
        <v>61130445.299999997</v>
      </c>
      <c r="F59" s="201"/>
      <c r="G59" s="226" t="s">
        <v>1022</v>
      </c>
      <c r="H59" s="238"/>
      <c r="I59" s="201"/>
      <c r="J59" s="239">
        <v>31483930.449999999</v>
      </c>
      <c r="K59" s="201"/>
      <c r="L59" s="226" t="str">
        <f>+L53</f>
        <v>Worksheet 1</v>
      </c>
      <c r="M59" s="204"/>
      <c r="N59" s="239">
        <v>28471284.719999999</v>
      </c>
      <c r="O59" s="239">
        <v>2585985.73</v>
      </c>
      <c r="P59" s="239">
        <f>+'BEPC Facilities'!C24</f>
        <v>426659</v>
      </c>
      <c r="Q59" s="239">
        <v>0</v>
      </c>
      <c r="R59" s="232"/>
      <c r="S59" s="229"/>
      <c r="T59" s="230"/>
    </row>
    <row r="60" spans="1:20">
      <c r="A60" s="223">
        <v>6</v>
      </c>
      <c r="B60" s="194"/>
      <c r="C60" s="196" t="s">
        <v>692</v>
      </c>
      <c r="D60" s="201"/>
      <c r="E60" s="240">
        <f>E52+E53+E55+E59</f>
        <v>2251855341.5000005</v>
      </c>
      <c r="F60" s="201"/>
      <c r="G60" s="226" t="s">
        <v>693</v>
      </c>
      <c r="H60" s="234">
        <f>J60/E60</f>
        <v>0.21757973277650366</v>
      </c>
      <c r="I60" s="201"/>
      <c r="J60" s="240">
        <f>SUM(J52:J59)</f>
        <v>489958083.45491248</v>
      </c>
      <c r="K60" s="201"/>
      <c r="L60" s="234" t="s">
        <v>693</v>
      </c>
      <c r="M60" s="234">
        <f>P60/$E$60</f>
        <v>5.2655654933351547E-3</v>
      </c>
      <c r="N60" s="240">
        <f>SUM(N52:N59)</f>
        <v>360220217.21544135</v>
      </c>
      <c r="O60" s="240">
        <f>SUM(O52:O59)</f>
        <v>97832519.988397822</v>
      </c>
      <c r="P60" s="240">
        <f>SUM(P53:P59)</f>
        <v>11857291.782184854</v>
      </c>
      <c r="Q60" s="240">
        <f>SUM(Q52:Q59)</f>
        <v>17749713.998888467</v>
      </c>
      <c r="R60" s="240"/>
      <c r="S60" s="240"/>
      <c r="T60" s="242"/>
    </row>
    <row r="61" spans="1:20">
      <c r="A61" s="194"/>
      <c r="B61" s="194"/>
      <c r="C61" s="196"/>
      <c r="D61" s="201"/>
      <c r="E61" s="201" t="s">
        <v>665</v>
      </c>
      <c r="F61" s="201"/>
      <c r="I61" s="201"/>
      <c r="J61" s="201" t="s">
        <v>665</v>
      </c>
      <c r="K61" s="201"/>
      <c r="M61" s="243"/>
      <c r="N61" s="234">
        <f>N60/$E$60</f>
        <v>0.1599659669859132</v>
      </c>
      <c r="O61" s="234">
        <f>O60/$E$60</f>
        <v>4.3445295168574129E-2</v>
      </c>
      <c r="Q61" s="234">
        <f>Q60/$E$60</f>
        <v>7.8822620937386983E-3</v>
      </c>
      <c r="R61" s="244"/>
      <c r="S61" s="244"/>
      <c r="T61" s="245"/>
    </row>
    <row r="62" spans="1:20">
      <c r="A62" s="194"/>
      <c r="B62" s="194"/>
      <c r="C62" s="193"/>
      <c r="D62" s="201"/>
      <c r="E62" s="201" t="s">
        <v>665</v>
      </c>
      <c r="F62" s="201"/>
      <c r="G62" s="226"/>
      <c r="H62" s="235"/>
      <c r="I62" s="201"/>
      <c r="J62" s="201" t="s">
        <v>665</v>
      </c>
      <c r="K62" s="201"/>
      <c r="L62" s="246"/>
      <c r="M62" s="243"/>
      <c r="N62" s="234">
        <f>N60/J60</f>
        <v>0.73520619289586631</v>
      </c>
      <c r="O62" s="234">
        <f>O60/J60</f>
        <v>0.1996752850744643</v>
      </c>
      <c r="P62" s="234"/>
      <c r="Q62" s="234">
        <f>Q60/J60</f>
        <v>3.6227005122004184E-2</v>
      </c>
      <c r="R62" s="244"/>
      <c r="S62" s="244"/>
      <c r="T62" s="245"/>
    </row>
    <row r="63" spans="1:20">
      <c r="A63" s="194"/>
      <c r="B63" s="194"/>
      <c r="C63" s="218" t="s">
        <v>694</v>
      </c>
      <c r="D63" s="201"/>
      <c r="E63" s="201" t="s">
        <v>665</v>
      </c>
      <c r="F63" s="201"/>
      <c r="G63" s="226"/>
      <c r="H63" s="235"/>
      <c r="I63" s="201"/>
      <c r="J63" s="201" t="s">
        <v>665</v>
      </c>
      <c r="K63" s="201"/>
      <c r="L63" s="246"/>
      <c r="M63" s="205"/>
      <c r="N63" s="234"/>
      <c r="O63" s="234"/>
      <c r="P63" s="234"/>
      <c r="Q63" s="234"/>
      <c r="R63" s="222"/>
      <c r="S63" s="222"/>
      <c r="T63" s="193"/>
    </row>
    <row r="64" spans="1:20">
      <c r="A64" s="223">
        <v>7</v>
      </c>
      <c r="B64" s="194"/>
      <c r="C64" s="196" t="s">
        <v>684</v>
      </c>
      <c r="D64" s="219" t="s">
        <v>1036</v>
      </c>
      <c r="E64" s="225">
        <v>769425497.55000007</v>
      </c>
      <c r="F64" s="201"/>
      <c r="G64" s="226" t="s">
        <v>685</v>
      </c>
      <c r="H64" s="238"/>
      <c r="I64" s="201"/>
      <c r="J64" s="228">
        <v>0</v>
      </c>
      <c r="K64" s="201"/>
      <c r="L64" s="226" t="s">
        <v>685</v>
      </c>
      <c r="M64" s="205"/>
      <c r="N64" s="228">
        <v>0</v>
      </c>
      <c r="O64" s="228">
        <v>0</v>
      </c>
      <c r="P64" s="228"/>
      <c r="Q64" s="228">
        <v>0</v>
      </c>
      <c r="R64" s="232"/>
      <c r="S64" s="222"/>
      <c r="T64" s="193"/>
    </row>
    <row r="65" spans="1:20">
      <c r="A65" s="223">
        <v>8</v>
      </c>
      <c r="B65" s="194"/>
      <c r="C65" s="196" t="s">
        <v>686</v>
      </c>
      <c r="D65" s="219" t="s">
        <v>1037</v>
      </c>
      <c r="E65" s="225">
        <v>189738977.59</v>
      </c>
      <c r="F65" s="201"/>
      <c r="G65" s="226" t="s">
        <v>1022</v>
      </c>
      <c r="H65" s="238"/>
      <c r="I65" s="201"/>
      <c r="J65" s="228">
        <f>E65</f>
        <v>189738977.59</v>
      </c>
      <c r="K65" s="201"/>
      <c r="L65" s="226" t="s">
        <v>1023</v>
      </c>
      <c r="M65" s="205"/>
      <c r="N65" s="228">
        <v>139895676.14497596</v>
      </c>
      <c r="O65" s="228">
        <v>40750313.730917454</v>
      </c>
      <c r="P65" s="228">
        <f>+'BEPC Facilities'!D18</f>
        <v>1872859.22</v>
      </c>
      <c r="Q65" s="228">
        <v>7222782.2509196047</v>
      </c>
      <c r="R65" s="229"/>
      <c r="S65" s="229"/>
      <c r="T65" s="230"/>
    </row>
    <row r="66" spans="1:20">
      <c r="A66" s="223">
        <v>9</v>
      </c>
      <c r="B66" s="194"/>
      <c r="C66" s="196" t="s">
        <v>687</v>
      </c>
      <c r="D66" s="219" t="s">
        <v>1038</v>
      </c>
      <c r="E66" s="225">
        <v>0</v>
      </c>
      <c r="F66" s="201"/>
      <c r="G66" s="226" t="s">
        <v>685</v>
      </c>
      <c r="H66" s="238"/>
      <c r="I66" s="201"/>
      <c r="J66" s="225">
        <v>0</v>
      </c>
      <c r="K66" s="201"/>
      <c r="L66" s="226" t="s">
        <v>685</v>
      </c>
      <c r="M66" s="205"/>
      <c r="N66" s="228">
        <v>0</v>
      </c>
      <c r="O66" s="228">
        <v>0</v>
      </c>
      <c r="P66" s="228"/>
      <c r="Q66" s="228">
        <v>0</v>
      </c>
      <c r="R66" s="229"/>
      <c r="S66" s="229"/>
      <c r="T66" s="230"/>
    </row>
    <row r="67" spans="1:20">
      <c r="A67" s="223">
        <v>10</v>
      </c>
      <c r="B67" s="194"/>
      <c r="C67" s="196" t="s">
        <v>1025</v>
      </c>
      <c r="D67" s="219" t="s">
        <v>1039</v>
      </c>
      <c r="E67" s="225">
        <v>67317620.179946959</v>
      </c>
      <c r="F67" s="201"/>
      <c r="G67" s="226"/>
      <c r="H67" s="238"/>
      <c r="I67" s="201"/>
      <c r="J67" s="228"/>
      <c r="K67" s="201"/>
      <c r="L67" s="226"/>
      <c r="M67" s="205"/>
      <c r="N67" s="228">
        <v>0</v>
      </c>
      <c r="O67" s="228">
        <v>0</v>
      </c>
      <c r="P67" s="228"/>
      <c r="Q67" s="228">
        <v>0</v>
      </c>
      <c r="R67" s="229"/>
      <c r="S67" s="229"/>
      <c r="T67" s="193"/>
    </row>
    <row r="68" spans="1:20">
      <c r="A68" s="223" t="s">
        <v>1040</v>
      </c>
      <c r="B68" s="194"/>
      <c r="C68" s="196" t="str">
        <f>+C56</f>
        <v xml:space="preserve">          Direct Assign - Transmission Microwave</v>
      </c>
      <c r="D68" s="233" t="s">
        <v>665</v>
      </c>
      <c r="E68" s="228">
        <v>18994230.16130456</v>
      </c>
      <c r="F68" s="201"/>
      <c r="G68" s="226" t="s">
        <v>1022</v>
      </c>
      <c r="H68" s="238"/>
      <c r="I68" s="201"/>
      <c r="J68" s="228">
        <f>E68</f>
        <v>18994230.16130456</v>
      </c>
      <c r="K68" s="201"/>
      <c r="L68" s="226" t="s">
        <v>685</v>
      </c>
      <c r="M68" s="205"/>
      <c r="N68" s="228">
        <v>16009123.481357601</v>
      </c>
      <c r="O68" s="228">
        <v>2915595.2899469584</v>
      </c>
      <c r="P68" s="228"/>
      <c r="Q68" s="228">
        <v>297.87</v>
      </c>
      <c r="R68" s="232"/>
      <c r="S68" s="229"/>
      <c r="T68" s="230"/>
    </row>
    <row r="69" spans="1:20">
      <c r="A69" s="223" t="s">
        <v>1041</v>
      </c>
      <c r="B69" s="194"/>
      <c r="C69" s="196" t="s">
        <v>1030</v>
      </c>
      <c r="D69" s="233"/>
      <c r="E69" s="228">
        <v>14031111.41</v>
      </c>
      <c r="F69" s="201"/>
      <c r="G69" s="226" t="s">
        <v>685</v>
      </c>
      <c r="H69" s="238"/>
      <c r="I69" s="201"/>
      <c r="J69" s="228">
        <v>0</v>
      </c>
      <c r="K69" s="201"/>
      <c r="L69" s="226" t="s">
        <v>685</v>
      </c>
      <c r="M69" s="205"/>
      <c r="N69" s="228">
        <v>0</v>
      </c>
      <c r="O69" s="228">
        <v>0</v>
      </c>
      <c r="P69" s="228"/>
      <c r="Q69" s="228">
        <v>0</v>
      </c>
      <c r="R69" s="232"/>
      <c r="S69" s="229"/>
      <c r="T69" s="230"/>
    </row>
    <row r="70" spans="1:20">
      <c r="A70" s="223" t="s">
        <v>1042</v>
      </c>
      <c r="B70" s="194"/>
      <c r="C70" s="196" t="s">
        <v>1032</v>
      </c>
      <c r="D70" s="233" t="s">
        <v>665</v>
      </c>
      <c r="E70" s="228">
        <v>34292278.608642399</v>
      </c>
      <c r="F70" s="201"/>
      <c r="G70" s="226" t="s">
        <v>785</v>
      </c>
      <c r="H70" s="234">
        <f>H58</f>
        <v>0.10360238623422539</v>
      </c>
      <c r="I70" s="201"/>
      <c r="J70" s="228">
        <f>E70*H70</f>
        <v>3552761.8932642355</v>
      </c>
      <c r="K70" s="201"/>
      <c r="L70" s="226" t="s">
        <v>785</v>
      </c>
      <c r="M70" s="205"/>
      <c r="N70" s="228">
        <f>E70*N172</f>
        <v>2937577.3209610698</v>
      </c>
      <c r="O70" s="228">
        <f>E70*O172</f>
        <v>317130.21130001714</v>
      </c>
      <c r="P70" s="228">
        <f>E70*P172</f>
        <v>143762.6832315271</v>
      </c>
      <c r="Q70" s="228">
        <f>E70*Q172</f>
        <v>154291.67777162199</v>
      </c>
      <c r="R70" s="232"/>
      <c r="S70" s="229"/>
      <c r="T70" s="230"/>
    </row>
    <row r="71" spans="1:20">
      <c r="A71" s="223">
        <v>11</v>
      </c>
      <c r="B71" s="194"/>
      <c r="C71" s="196" t="s">
        <v>1034</v>
      </c>
      <c r="D71" s="201" t="s">
        <v>1043</v>
      </c>
      <c r="E71" s="237">
        <v>32136843.780000001</v>
      </c>
      <c r="F71" s="201"/>
      <c r="G71" s="226" t="s">
        <v>1022</v>
      </c>
      <c r="H71" s="238"/>
      <c r="I71" s="201"/>
      <c r="J71" s="239">
        <v>16116876.275936933</v>
      </c>
      <c r="K71" s="201"/>
      <c r="L71" s="226" t="str">
        <f>+L65</f>
        <v>Worksheet 1</v>
      </c>
      <c r="M71" s="205"/>
      <c r="N71" s="239">
        <v>14574172.76</v>
      </c>
      <c r="O71" s="239">
        <v>1366558.4359369336</v>
      </c>
      <c r="P71" s="239">
        <f>+'BEPC Facilities'!D24</f>
        <v>176145.08</v>
      </c>
      <c r="Q71" s="239">
        <v>0</v>
      </c>
      <c r="R71" s="232"/>
      <c r="S71" s="229"/>
      <c r="T71" s="230"/>
    </row>
    <row r="72" spans="1:20">
      <c r="A72" s="223">
        <v>12</v>
      </c>
      <c r="B72" s="194"/>
      <c r="C72" s="196" t="s">
        <v>695</v>
      </c>
      <c r="D72" s="201"/>
      <c r="E72" s="240">
        <f>E64+E65+E67+E71</f>
        <v>1058618939.099947</v>
      </c>
      <c r="F72" s="201"/>
      <c r="G72" s="226"/>
      <c r="H72" s="201"/>
      <c r="I72" s="201"/>
      <c r="J72" s="240">
        <f>SUM(J64:J71)</f>
        <v>228402845.92050573</v>
      </c>
      <c r="K72" s="201"/>
      <c r="L72" s="226"/>
      <c r="M72" s="205"/>
      <c r="N72" s="240">
        <f>SUM(N64:N71)</f>
        <v>173416549.70729461</v>
      </c>
      <c r="O72" s="240">
        <f>SUM(O64:O71)</f>
        <v>45349597.668101363</v>
      </c>
      <c r="P72" s="240">
        <f>SUM(P64:P71)</f>
        <v>2192766.9832315273</v>
      </c>
      <c r="Q72" s="240">
        <f>SUM(Q64:Q71)</f>
        <v>7377371.7986912271</v>
      </c>
      <c r="R72" s="240"/>
      <c r="S72" s="240"/>
      <c r="T72" s="242"/>
    </row>
    <row r="73" spans="1:20">
      <c r="A73" s="223"/>
      <c r="B73" s="194"/>
      <c r="C73" s="194"/>
      <c r="D73" s="201" t="s">
        <v>665</v>
      </c>
      <c r="E73" s="204" t="s">
        <v>665</v>
      </c>
      <c r="F73" s="201"/>
      <c r="G73" s="226"/>
      <c r="H73" s="234"/>
      <c r="I73" s="201"/>
      <c r="J73" s="231" t="s">
        <v>665</v>
      </c>
      <c r="K73" s="201"/>
      <c r="L73" s="234"/>
      <c r="M73" s="205"/>
      <c r="N73" s="204"/>
      <c r="O73" s="204"/>
      <c r="P73" s="204"/>
      <c r="Q73" s="199"/>
      <c r="R73" s="232"/>
      <c r="S73" s="247"/>
      <c r="T73" s="193"/>
    </row>
    <row r="74" spans="1:20">
      <c r="A74" s="223" t="s">
        <v>0</v>
      </c>
      <c r="B74" s="194"/>
      <c r="C74" s="218" t="s">
        <v>696</v>
      </c>
      <c r="D74" s="201"/>
      <c r="E74" s="201"/>
      <c r="F74" s="201"/>
      <c r="G74" s="226"/>
      <c r="H74" s="201"/>
      <c r="I74" s="201"/>
      <c r="J74" s="201"/>
      <c r="K74" s="201"/>
      <c r="L74" s="226"/>
      <c r="M74" s="205"/>
      <c r="N74" s="204" t="s">
        <v>665</v>
      </c>
      <c r="O74" s="204" t="s">
        <v>665</v>
      </c>
      <c r="P74" s="204"/>
      <c r="Q74" s="199"/>
      <c r="R74" s="221"/>
      <c r="S74" s="222"/>
      <c r="T74" s="193"/>
    </row>
    <row r="75" spans="1:20">
      <c r="A75" s="223">
        <v>13</v>
      </c>
      <c r="B75" s="194"/>
      <c r="C75" s="196" t="s">
        <v>684</v>
      </c>
      <c r="D75" s="201" t="s">
        <v>697</v>
      </c>
      <c r="E75" s="225">
        <f>E52-E64-1</f>
        <v>898604862.83000004</v>
      </c>
      <c r="F75" s="201"/>
      <c r="G75" s="226" t="s">
        <v>446</v>
      </c>
      <c r="H75" s="234" t="s">
        <v>665</v>
      </c>
      <c r="I75" s="201"/>
      <c r="J75" s="228">
        <v>0</v>
      </c>
      <c r="K75" s="201"/>
      <c r="L75" s="234"/>
      <c r="M75" s="205"/>
      <c r="N75" s="228">
        <v>0</v>
      </c>
      <c r="O75" s="228">
        <v>0</v>
      </c>
      <c r="P75" s="228"/>
      <c r="Q75" s="228">
        <v>0</v>
      </c>
      <c r="R75" s="232"/>
      <c r="S75" s="222"/>
      <c r="T75" s="193"/>
    </row>
    <row r="76" spans="1:20">
      <c r="A76" s="223">
        <v>14</v>
      </c>
      <c r="B76" s="194"/>
      <c r="C76" s="196" t="s">
        <v>686</v>
      </c>
      <c r="D76" s="201" t="s">
        <v>698</v>
      </c>
      <c r="E76" s="225">
        <f t="shared" ref="E76:E81" si="1">E53-E65</f>
        <v>233908742.15000001</v>
      </c>
      <c r="F76" s="201"/>
      <c r="G76" s="226" t="s">
        <v>446</v>
      </c>
      <c r="H76" s="227"/>
      <c r="I76" s="201"/>
      <c r="J76" s="228">
        <f>J53-J65</f>
        <v>233908742.15000001</v>
      </c>
      <c r="K76" s="201"/>
      <c r="L76" s="234"/>
      <c r="M76" s="205"/>
      <c r="N76" s="228">
        <f>N53-N65</f>
        <v>164291912.18502408</v>
      </c>
      <c r="O76" s="228">
        <f>O53-O65</f>
        <v>49669415.459082544</v>
      </c>
      <c r="P76" s="228">
        <f>+'BEPC Facilities'!E18</f>
        <v>9339686.9099999983</v>
      </c>
      <c r="Q76" s="228">
        <f>Q53-Q65</f>
        <v>10292574.839080399</v>
      </c>
      <c r="R76" s="248"/>
      <c r="S76" s="248"/>
      <c r="T76" s="230"/>
    </row>
    <row r="77" spans="1:20">
      <c r="A77" s="223">
        <v>15</v>
      </c>
      <c r="B77" s="194"/>
      <c r="C77" s="196" t="s">
        <v>687</v>
      </c>
      <c r="D77" s="201" t="s">
        <v>699</v>
      </c>
      <c r="E77" s="225">
        <f t="shared" si="1"/>
        <v>0</v>
      </c>
      <c r="F77" s="201"/>
      <c r="G77" s="226" t="s">
        <v>446</v>
      </c>
      <c r="H77" s="234"/>
      <c r="I77" s="201"/>
      <c r="J77" s="228">
        <v>0</v>
      </c>
      <c r="K77" s="201"/>
      <c r="L77" s="234"/>
      <c r="M77" s="205"/>
      <c r="N77" s="228">
        <v>0</v>
      </c>
      <c r="O77" s="228">
        <v>0</v>
      </c>
      <c r="P77" s="228"/>
      <c r="Q77" s="228">
        <v>0</v>
      </c>
      <c r="R77" s="232"/>
      <c r="S77" s="222"/>
      <c r="T77" s="230"/>
    </row>
    <row r="78" spans="1:20">
      <c r="A78" s="223">
        <v>16</v>
      </c>
      <c r="B78" s="194"/>
      <c r="C78" s="196" t="s">
        <v>1025</v>
      </c>
      <c r="D78" s="201" t="s">
        <v>700</v>
      </c>
      <c r="E78" s="225">
        <f t="shared" si="1"/>
        <v>31729194.900053039</v>
      </c>
      <c r="F78" s="201"/>
      <c r="G78" s="226"/>
      <c r="H78" s="234"/>
      <c r="I78" s="201"/>
      <c r="J78" s="228" t="s">
        <v>665</v>
      </c>
      <c r="K78" s="201"/>
      <c r="L78" s="234"/>
      <c r="M78" s="205"/>
      <c r="N78" s="228">
        <v>0</v>
      </c>
      <c r="O78" s="228">
        <v>0</v>
      </c>
      <c r="P78" s="228"/>
      <c r="Q78" s="228">
        <v>0</v>
      </c>
      <c r="R78" s="232"/>
      <c r="S78" s="222"/>
      <c r="T78" s="193"/>
    </row>
    <row r="79" spans="1:20">
      <c r="A79" s="223" t="s">
        <v>1</v>
      </c>
      <c r="B79" s="194"/>
      <c r="C79" s="196" t="str">
        <f>+C68</f>
        <v xml:space="preserve">          Direct Assign - Transmission Microwave</v>
      </c>
      <c r="D79" s="201"/>
      <c r="E79" s="228">
        <f t="shared" si="1"/>
        <v>10442696.383953042</v>
      </c>
      <c r="F79" s="201"/>
      <c r="G79" s="226" t="s">
        <v>446</v>
      </c>
      <c r="H79" s="234"/>
      <c r="I79" s="201"/>
      <c r="J79" s="228">
        <f>J56-J68</f>
        <v>10442696.383953042</v>
      </c>
      <c r="K79" s="201"/>
      <c r="L79" s="234"/>
      <c r="M79" s="205"/>
      <c r="N79" s="228">
        <f>N56-N68</f>
        <v>7095942.2339000031</v>
      </c>
      <c r="O79" s="228">
        <f>O56-O68</f>
        <v>1430126.2000530418</v>
      </c>
      <c r="P79" s="228">
        <f>P56-P68</f>
        <v>0</v>
      </c>
      <c r="Q79" s="228">
        <f>Q56-Q68</f>
        <v>0</v>
      </c>
      <c r="R79" s="248"/>
      <c r="S79" s="248"/>
      <c r="T79" s="230"/>
    </row>
    <row r="80" spans="1:20">
      <c r="A80" s="223" t="s">
        <v>2</v>
      </c>
      <c r="B80" s="194"/>
      <c r="C80" s="196" t="str">
        <f>+C69</f>
        <v xml:space="preserve">          Direct Assign - Production</v>
      </c>
      <c r="D80" s="201"/>
      <c r="E80" s="228">
        <f t="shared" si="1"/>
        <v>3557709.6999999993</v>
      </c>
      <c r="F80" s="201"/>
      <c r="G80" s="226" t="s">
        <v>446</v>
      </c>
      <c r="H80" s="234"/>
      <c r="I80" s="201"/>
      <c r="J80" s="228">
        <v>0</v>
      </c>
      <c r="K80" s="201"/>
      <c r="L80" s="234"/>
      <c r="M80" s="205"/>
      <c r="N80" s="228">
        <v>0</v>
      </c>
      <c r="O80" s="228">
        <v>0</v>
      </c>
      <c r="P80" s="228"/>
      <c r="Q80" s="228">
        <v>0</v>
      </c>
      <c r="R80" s="232"/>
      <c r="S80" s="222"/>
      <c r="T80" s="193"/>
    </row>
    <row r="81" spans="1:20">
      <c r="A81" s="223" t="s">
        <v>3</v>
      </c>
      <c r="B81" s="194"/>
      <c r="C81" s="196" t="s">
        <v>1032</v>
      </c>
      <c r="D81" s="201"/>
      <c r="E81" s="228">
        <f t="shared" si="1"/>
        <v>17728788.816100001</v>
      </c>
      <c r="F81" s="201"/>
      <c r="G81" s="226" t="s">
        <v>446</v>
      </c>
      <c r="H81" s="234"/>
      <c r="I81" s="201"/>
      <c r="J81" s="228">
        <f>J58-J70</f>
        <v>1836744.8263906077</v>
      </c>
      <c r="K81" s="201"/>
      <c r="L81" s="234"/>
      <c r="M81" s="205"/>
      <c r="N81" s="228">
        <f t="shared" ref="N81:Q82" si="2">N58-N70</f>
        <v>1518701.1292226301</v>
      </c>
      <c r="O81" s="228">
        <f t="shared" si="2"/>
        <v>163953.36709781148</v>
      </c>
      <c r="P81" s="228">
        <f t="shared" si="2"/>
        <v>74323.968953328382</v>
      </c>
      <c r="Q81" s="228">
        <f t="shared" si="2"/>
        <v>79767.361116839165</v>
      </c>
      <c r="R81" s="248"/>
      <c r="S81" s="229"/>
      <c r="T81" s="230"/>
    </row>
    <row r="82" spans="1:20">
      <c r="A82" s="223">
        <v>17</v>
      </c>
      <c r="B82" s="194"/>
      <c r="C82" s="196" t="s">
        <v>1034</v>
      </c>
      <c r="D82" s="201" t="s">
        <v>701</v>
      </c>
      <c r="E82" s="237">
        <f>E59-E71-1</f>
        <v>28993600.519999996</v>
      </c>
      <c r="F82" s="201"/>
      <c r="G82" s="226" t="s">
        <v>446</v>
      </c>
      <c r="H82" s="234"/>
      <c r="I82" s="201"/>
      <c r="J82" s="239">
        <f>J59-J71</f>
        <v>15367054.174063066</v>
      </c>
      <c r="K82" s="201"/>
      <c r="L82" s="234"/>
      <c r="M82" s="205"/>
      <c r="N82" s="239">
        <f t="shared" si="2"/>
        <v>13897111.959999999</v>
      </c>
      <c r="O82" s="239">
        <f t="shared" si="2"/>
        <v>1219427.2940630664</v>
      </c>
      <c r="P82" s="239">
        <f t="shared" si="2"/>
        <v>250513.92000000001</v>
      </c>
      <c r="Q82" s="239">
        <f t="shared" si="2"/>
        <v>0</v>
      </c>
      <c r="R82" s="248"/>
      <c r="S82" s="248"/>
      <c r="T82" s="249"/>
    </row>
    <row r="83" spans="1:20">
      <c r="A83" s="223">
        <v>18</v>
      </c>
      <c r="B83" s="194"/>
      <c r="C83" s="196" t="s">
        <v>702</v>
      </c>
      <c r="D83" s="201"/>
      <c r="E83" s="240">
        <f>E75+E76+E78+E82+1</f>
        <v>1193236401.400053</v>
      </c>
      <c r="F83" s="201"/>
      <c r="G83" s="254" t="s">
        <v>703</v>
      </c>
      <c r="H83" s="234">
        <f>J83/E83</f>
        <v>0.21919817081302384</v>
      </c>
      <c r="I83" s="201"/>
      <c r="J83" s="240">
        <f>SUM(J75:J82)-1</f>
        <v>261555236.53440669</v>
      </c>
      <c r="K83" s="201"/>
      <c r="L83" s="234" t="s">
        <v>703</v>
      </c>
      <c r="M83" s="234">
        <f>P83/$E$83</f>
        <v>8.0994216968353523E-3</v>
      </c>
      <c r="N83" s="240">
        <f>SUM(N75:N82)</f>
        <v>186803667.50814673</v>
      </c>
      <c r="O83" s="240">
        <f>SUM(O75:O82)</f>
        <v>52482922.320296466</v>
      </c>
      <c r="P83" s="240">
        <f>SUM(P75:P82)</f>
        <v>9664524.7989533264</v>
      </c>
      <c r="Q83" s="240">
        <f>SUM(Q75:Q82)</f>
        <v>10372342.200197238</v>
      </c>
      <c r="R83" s="240"/>
      <c r="S83" s="240"/>
      <c r="T83" s="250" t="s">
        <v>665</v>
      </c>
    </row>
    <row r="84" spans="1:20">
      <c r="A84" s="251"/>
      <c r="B84" s="252"/>
      <c r="C84" s="253"/>
      <c r="D84" s="248"/>
      <c r="E84" s="228" t="s">
        <v>665</v>
      </c>
      <c r="F84" s="201"/>
      <c r="I84" s="201"/>
      <c r="J84" s="204" t="s">
        <v>665</v>
      </c>
      <c r="K84" s="201"/>
      <c r="M84" s="241" t="s">
        <v>665</v>
      </c>
      <c r="N84" s="234">
        <f>N83/E83</f>
        <v>0.1565521025749512</v>
      </c>
      <c r="O84" s="234">
        <f>O83/$E$83</f>
        <v>4.3983675203603398E-2</v>
      </c>
      <c r="Q84" s="234">
        <f>Q83/$E$83</f>
        <v>8.692612954169952E-3</v>
      </c>
      <c r="R84" s="234"/>
      <c r="S84" s="244"/>
      <c r="T84" s="234"/>
    </row>
    <row r="85" spans="1:20">
      <c r="A85" s="251"/>
      <c r="B85" s="252"/>
      <c r="C85" s="253"/>
      <c r="D85" s="248"/>
      <c r="E85" s="228"/>
      <c r="F85" s="201"/>
      <c r="G85" s="254"/>
      <c r="H85" s="234"/>
      <c r="I85" s="201"/>
      <c r="J85" s="204"/>
      <c r="K85" s="201"/>
      <c r="L85" s="234"/>
      <c r="M85" s="241"/>
      <c r="N85" s="234"/>
      <c r="O85" s="234"/>
      <c r="P85" s="234"/>
      <c r="Q85" s="234"/>
      <c r="R85" s="234"/>
      <c r="S85" s="244"/>
      <c r="T85" s="234"/>
    </row>
    <row r="86" spans="1:20">
      <c r="A86" s="251"/>
      <c r="B86" s="252"/>
      <c r="C86" s="255" t="s">
        <v>4</v>
      </c>
      <c r="D86" s="248"/>
      <c r="E86" s="228"/>
      <c r="F86" s="201"/>
      <c r="G86" s="254"/>
      <c r="H86" s="234"/>
      <c r="I86" s="201"/>
      <c r="J86" s="204"/>
      <c r="K86" s="201"/>
      <c r="L86" s="234" t="s">
        <v>665</v>
      </c>
      <c r="M86" s="241"/>
      <c r="N86" s="234"/>
      <c r="O86" s="234"/>
      <c r="P86" s="234"/>
      <c r="Q86" s="234"/>
      <c r="R86" s="234"/>
      <c r="S86" s="244"/>
      <c r="T86" s="234"/>
    </row>
    <row r="87" spans="1:20">
      <c r="A87" s="251">
        <v>19</v>
      </c>
      <c r="B87" s="252"/>
      <c r="C87" s="253" t="s">
        <v>786</v>
      </c>
      <c r="D87" s="248" t="s">
        <v>784</v>
      </c>
      <c r="E87" s="228">
        <f>+E124/12</f>
        <v>3169119.9129629624</v>
      </c>
      <c r="F87" s="201"/>
      <c r="G87" s="226" t="s">
        <v>446</v>
      </c>
      <c r="H87" s="234"/>
      <c r="I87" s="201"/>
      <c r="J87" s="204">
        <f>+J124/12</f>
        <v>1205647.5454644877</v>
      </c>
      <c r="K87" s="201"/>
      <c r="L87" s="234" t="str">
        <f>+G87</f>
        <v>Auto</v>
      </c>
      <c r="M87" s="241"/>
      <c r="N87" s="234"/>
      <c r="O87" s="234"/>
      <c r="P87" s="256">
        <f>+P124/12</f>
        <v>52829.071921752271</v>
      </c>
      <c r="Q87" s="234"/>
      <c r="R87" s="234"/>
      <c r="S87" s="244"/>
      <c r="T87" s="234"/>
    </row>
    <row r="88" spans="1:20">
      <c r="A88" s="251">
        <v>20</v>
      </c>
      <c r="B88" s="252"/>
      <c r="C88" s="253" t="s">
        <v>5</v>
      </c>
      <c r="D88" s="248" t="s">
        <v>6</v>
      </c>
      <c r="E88" s="228">
        <v>4221137</v>
      </c>
      <c r="F88" s="201"/>
      <c r="G88" s="254" t="s">
        <v>1022</v>
      </c>
      <c r="H88" s="234"/>
      <c r="I88" s="201"/>
      <c r="J88" s="204">
        <v>4221137</v>
      </c>
      <c r="K88" s="201" t="s">
        <v>665</v>
      </c>
      <c r="L88" s="234" t="s">
        <v>20</v>
      </c>
      <c r="M88" s="241"/>
      <c r="N88" s="234"/>
      <c r="O88" s="234"/>
      <c r="P88" s="256">
        <f>+P175*J88</f>
        <v>170808.51451328737</v>
      </c>
      <c r="Q88" s="234"/>
      <c r="R88" s="234"/>
      <c r="S88" s="244"/>
      <c r="T88" s="234"/>
    </row>
    <row r="89" spans="1:20">
      <c r="A89" s="251">
        <v>21</v>
      </c>
      <c r="B89" s="252"/>
      <c r="C89" s="253" t="s">
        <v>7</v>
      </c>
      <c r="D89" s="248" t="s">
        <v>8</v>
      </c>
      <c r="E89" s="239">
        <v>0</v>
      </c>
      <c r="F89" s="201"/>
      <c r="G89" s="254" t="s">
        <v>711</v>
      </c>
      <c r="H89" s="234" t="s">
        <v>665</v>
      </c>
      <c r="I89" s="201"/>
      <c r="J89" s="579">
        <f>+H60*E89</f>
        <v>0</v>
      </c>
      <c r="K89" s="201"/>
      <c r="L89" s="234" t="str">
        <f>+G89</f>
        <v>GP</v>
      </c>
      <c r="M89" s="241"/>
      <c r="N89" s="234"/>
      <c r="O89" s="234"/>
      <c r="P89" s="580">
        <f>+M60*E89</f>
        <v>0</v>
      </c>
      <c r="Q89" s="234"/>
      <c r="R89" s="234"/>
      <c r="S89" s="244"/>
      <c r="T89" s="234"/>
    </row>
    <row r="90" spans="1:20">
      <c r="A90" s="251">
        <v>22</v>
      </c>
      <c r="B90" s="252"/>
      <c r="C90" s="253" t="s">
        <v>9</v>
      </c>
      <c r="D90" s="248"/>
      <c r="E90" s="225">
        <v>8960247.4250000007</v>
      </c>
      <c r="F90" s="201"/>
      <c r="G90" s="254"/>
      <c r="H90" s="234"/>
      <c r="I90" s="201"/>
      <c r="J90" s="258">
        <f>SUM(J87:J89)</f>
        <v>5426784.5454644877</v>
      </c>
      <c r="K90" s="201"/>
      <c r="L90" s="234"/>
      <c r="M90" s="241"/>
      <c r="N90" s="234"/>
      <c r="O90" s="234"/>
      <c r="P90" s="258">
        <f>SUM(P87:P89)</f>
        <v>223637.58643503964</v>
      </c>
      <c r="Q90" s="234"/>
      <c r="R90" s="234"/>
      <c r="S90" s="244"/>
      <c r="T90" s="234"/>
    </row>
    <row r="91" spans="1:20">
      <c r="A91" s="251"/>
      <c r="B91" s="252"/>
      <c r="C91" s="253"/>
      <c r="D91" s="248"/>
      <c r="E91" s="228"/>
      <c r="F91" s="201"/>
      <c r="G91" s="254"/>
      <c r="H91" s="234"/>
      <c r="I91" s="201"/>
      <c r="J91" s="204"/>
      <c r="K91" s="201"/>
      <c r="L91" s="234"/>
      <c r="M91" s="241"/>
      <c r="N91" s="234"/>
      <c r="O91" s="234"/>
      <c r="P91" s="234"/>
      <c r="Q91" s="234"/>
      <c r="R91" s="234"/>
      <c r="S91" s="244"/>
      <c r="T91" s="234"/>
    </row>
    <row r="92" spans="1:20">
      <c r="A92" s="251">
        <v>23</v>
      </c>
      <c r="B92" s="252"/>
      <c r="C92" s="255" t="s">
        <v>638</v>
      </c>
      <c r="D92" s="248"/>
      <c r="E92" s="225"/>
      <c r="F92" s="201"/>
      <c r="G92" s="254"/>
      <c r="H92" s="234"/>
      <c r="I92" s="201"/>
      <c r="J92" s="225">
        <f>+J90+J83</f>
        <v>266982021.07987118</v>
      </c>
      <c r="K92" s="201"/>
      <c r="L92" s="234"/>
      <c r="M92" s="241"/>
      <c r="N92" s="234"/>
      <c r="O92" s="234"/>
      <c r="P92" s="225">
        <f>+P90+P83</f>
        <v>9888162.3853883669</v>
      </c>
      <c r="Q92" s="234"/>
      <c r="R92" s="234"/>
      <c r="S92" s="244"/>
      <c r="T92" s="234"/>
    </row>
    <row r="93" spans="1:20">
      <c r="A93" s="251"/>
      <c r="B93" s="252"/>
      <c r="C93" s="253"/>
      <c r="D93" s="248"/>
      <c r="E93" s="228"/>
      <c r="F93" s="201"/>
      <c r="G93" s="254"/>
      <c r="H93" s="234"/>
      <c r="I93" s="201"/>
      <c r="J93" s="204"/>
      <c r="K93" s="201"/>
      <c r="L93" s="234"/>
      <c r="M93" s="241"/>
      <c r="N93" s="234"/>
      <c r="O93" s="234"/>
      <c r="P93" s="234"/>
      <c r="Q93" s="234"/>
      <c r="R93" s="234"/>
      <c r="S93" s="244"/>
      <c r="T93" s="234"/>
    </row>
    <row r="94" spans="1:20">
      <c r="A94" s="251"/>
      <c r="B94" s="252"/>
      <c r="C94" s="253"/>
      <c r="D94" s="248"/>
      <c r="E94" s="228"/>
      <c r="F94" s="201"/>
      <c r="G94" s="254"/>
      <c r="H94" s="234"/>
      <c r="I94" s="201"/>
      <c r="J94" s="204"/>
      <c r="K94" s="201"/>
      <c r="L94" s="234"/>
      <c r="M94" s="241"/>
      <c r="N94" s="234"/>
      <c r="O94" s="234"/>
      <c r="P94" s="234"/>
      <c r="Q94" s="234"/>
      <c r="R94" s="234"/>
      <c r="S94" s="244"/>
      <c r="T94" s="234"/>
    </row>
    <row r="95" spans="1:20">
      <c r="A95" s="251"/>
      <c r="B95" s="252"/>
      <c r="C95" s="253"/>
      <c r="D95" s="248"/>
      <c r="E95" s="228"/>
      <c r="F95" s="201"/>
      <c r="G95" s="254"/>
      <c r="H95" s="234"/>
      <c r="I95" s="201"/>
      <c r="J95" s="204"/>
      <c r="K95" s="201"/>
      <c r="L95" s="234"/>
      <c r="M95" s="241"/>
      <c r="N95" s="234"/>
      <c r="O95" s="234"/>
      <c r="P95" s="234"/>
      <c r="Q95" s="234"/>
      <c r="R95" s="234"/>
      <c r="S95" s="244"/>
      <c r="T95" s="234"/>
    </row>
    <row r="96" spans="1:20">
      <c r="A96" s="251"/>
      <c r="B96" s="252"/>
      <c r="C96" s="253"/>
      <c r="D96" s="248"/>
      <c r="E96" s="228"/>
      <c r="F96" s="201"/>
      <c r="G96" s="254"/>
      <c r="H96" s="234"/>
      <c r="I96" s="201"/>
      <c r="J96" s="204"/>
      <c r="K96" s="201"/>
      <c r="L96" s="234"/>
      <c r="M96" s="241"/>
      <c r="N96" s="234"/>
      <c r="O96" s="234"/>
      <c r="P96" s="234"/>
      <c r="Q96" s="234"/>
      <c r="R96" s="234"/>
      <c r="S96" s="244"/>
      <c r="T96" s="234"/>
    </row>
    <row r="97" spans="1:20">
      <c r="A97" s="251"/>
      <c r="B97" s="252"/>
      <c r="C97" s="253"/>
      <c r="D97" s="248"/>
      <c r="E97" s="228"/>
      <c r="F97" s="201"/>
      <c r="G97" s="254"/>
      <c r="H97" s="234"/>
      <c r="I97" s="201"/>
      <c r="J97" s="204"/>
      <c r="K97" s="201"/>
      <c r="L97" s="234"/>
      <c r="M97" s="241"/>
      <c r="N97" s="234"/>
      <c r="O97" s="234"/>
      <c r="P97" s="234"/>
      <c r="Q97" s="234"/>
      <c r="R97" s="234"/>
      <c r="S97" s="244"/>
      <c r="T97" s="234"/>
    </row>
    <row r="98" spans="1:20">
      <c r="A98" s="251"/>
      <c r="B98" s="252"/>
      <c r="C98" s="253"/>
      <c r="D98" s="248"/>
      <c r="E98" s="228"/>
      <c r="F98" s="201"/>
      <c r="G98" s="254"/>
      <c r="H98" s="234"/>
      <c r="I98" s="201"/>
      <c r="J98" s="204"/>
      <c r="K98" s="201"/>
      <c r="L98" s="234"/>
      <c r="M98" s="241"/>
      <c r="N98" s="234"/>
      <c r="O98" s="234"/>
      <c r="P98" s="234"/>
      <c r="Q98" s="234"/>
      <c r="R98" s="234"/>
      <c r="S98" s="244"/>
      <c r="T98" s="234"/>
    </row>
    <row r="99" spans="1:20">
      <c r="A99" s="251"/>
      <c r="B99" s="252"/>
      <c r="C99" s="253"/>
      <c r="D99" s="248"/>
      <c r="E99" s="228"/>
      <c r="F99" s="201"/>
      <c r="G99" s="254"/>
      <c r="H99" s="234"/>
      <c r="I99" s="201"/>
      <c r="J99" s="204"/>
      <c r="K99" s="201"/>
      <c r="L99" s="234"/>
      <c r="M99" s="241"/>
      <c r="N99" s="234"/>
      <c r="O99" s="234"/>
      <c r="P99" s="234"/>
      <c r="Q99" s="234"/>
      <c r="R99" s="234"/>
      <c r="S99" s="244"/>
      <c r="T99" s="234"/>
    </row>
    <row r="100" spans="1:20">
      <c r="A100" s="251"/>
      <c r="B100" s="252"/>
      <c r="C100" s="253"/>
      <c r="D100" s="248"/>
      <c r="E100" s="228"/>
      <c r="F100" s="201"/>
      <c r="G100" s="254"/>
      <c r="H100" s="234"/>
      <c r="I100" s="201"/>
      <c r="J100" s="204"/>
      <c r="K100" s="201"/>
      <c r="L100" s="234"/>
      <c r="M100" s="241"/>
      <c r="N100" s="234"/>
      <c r="O100" s="234"/>
      <c r="P100" s="234"/>
      <c r="Q100" s="234"/>
      <c r="R100" s="234"/>
      <c r="S100" s="244"/>
      <c r="T100" s="234"/>
    </row>
    <row r="101" spans="1:20">
      <c r="A101" s="251"/>
      <c r="B101" s="252"/>
      <c r="C101" s="253"/>
      <c r="D101" s="248"/>
      <c r="E101" s="225"/>
      <c r="F101" s="193"/>
      <c r="G101" s="193"/>
      <c r="H101" s="193"/>
      <c r="I101" s="201"/>
      <c r="J101" s="201" t="s">
        <v>665</v>
      </c>
      <c r="K101" s="201"/>
      <c r="L101" s="246"/>
      <c r="M101" s="205"/>
      <c r="N101" s="242" t="s">
        <v>665</v>
      </c>
      <c r="O101" s="234"/>
      <c r="P101" s="234"/>
      <c r="Q101" s="234"/>
      <c r="R101" s="248"/>
      <c r="S101" s="245"/>
      <c r="T101" s="245"/>
    </row>
    <row r="102" spans="1:20">
      <c r="A102" s="194" t="s">
        <v>745</v>
      </c>
      <c r="B102" s="259" t="s">
        <v>517</v>
      </c>
      <c r="C102" s="259"/>
      <c r="D102" s="259"/>
      <c r="E102" s="259"/>
      <c r="F102" s="259"/>
      <c r="G102" s="259"/>
      <c r="J102" s="193"/>
      <c r="K102" s="193"/>
      <c r="L102" s="260"/>
      <c r="M102" s="193"/>
      <c r="N102" s="193"/>
      <c r="O102" s="261" t="s">
        <v>665</v>
      </c>
      <c r="P102" s="261"/>
      <c r="Q102" s="193"/>
      <c r="R102" s="193"/>
      <c r="S102" s="193"/>
      <c r="T102" s="193"/>
    </row>
    <row r="103" spans="1:20">
      <c r="A103" s="193"/>
      <c r="B103" s="259" t="s">
        <v>10</v>
      </c>
      <c r="C103" s="259"/>
      <c r="D103" s="262" t="s">
        <v>665</v>
      </c>
      <c r="E103" s="259"/>
      <c r="F103" s="259" t="s">
        <v>665</v>
      </c>
      <c r="G103" s="259"/>
      <c r="J103" s="193"/>
      <c r="K103" s="193"/>
      <c r="L103" s="193"/>
      <c r="M103" s="193"/>
      <c r="N103" s="230" t="s">
        <v>665</v>
      </c>
      <c r="O103" s="193"/>
      <c r="P103" s="193"/>
      <c r="Q103" s="193"/>
      <c r="R103" s="230" t="s">
        <v>665</v>
      </c>
      <c r="S103" s="193"/>
      <c r="T103" s="193"/>
    </row>
    <row r="104" spans="1:20">
      <c r="A104" s="223"/>
      <c r="B104" s="194"/>
      <c r="C104" s="203" t="str">
        <f>C1</f>
        <v>For the 12 months ended 12/31/02</v>
      </c>
      <c r="D104" s="201"/>
      <c r="E104" s="197" t="s">
        <v>11</v>
      </c>
      <c r="F104" s="195"/>
      <c r="G104" s="195"/>
      <c r="H104" s="201"/>
      <c r="I104" s="201"/>
      <c r="J104" s="193"/>
      <c r="K104" s="201"/>
      <c r="M104" s="258"/>
      <c r="N104" s="258"/>
      <c r="O104" s="204"/>
      <c r="P104" s="165" t="str">
        <f>+P42</f>
        <v>Basin Electric Power Cooperative</v>
      </c>
      <c r="Q104" s="199" t="s">
        <v>12</v>
      </c>
      <c r="S104" s="193"/>
      <c r="T104" s="193"/>
    </row>
    <row r="105" spans="1:20">
      <c r="A105" s="223"/>
      <c r="B105" s="194"/>
      <c r="C105" s="196"/>
      <c r="D105" s="201"/>
      <c r="E105" s="202" t="s">
        <v>1002</v>
      </c>
      <c r="F105" s="203"/>
      <c r="G105" s="203"/>
      <c r="H105" s="201"/>
      <c r="I105" s="201"/>
      <c r="J105" s="201"/>
      <c r="K105" s="201"/>
      <c r="L105" s="201"/>
      <c r="M105" s="204"/>
      <c r="N105" s="204"/>
      <c r="O105" s="204"/>
      <c r="P105" s="165"/>
      <c r="Q105" s="199"/>
      <c r="R105" s="199"/>
      <c r="S105" s="193"/>
      <c r="T105" s="193"/>
    </row>
    <row r="106" spans="1:20">
      <c r="A106" s="223"/>
      <c r="B106" s="194"/>
      <c r="C106" s="194"/>
      <c r="D106" s="201"/>
      <c r="E106" s="206" t="s">
        <v>1003</v>
      </c>
      <c r="F106" s="207"/>
      <c r="G106" s="207"/>
      <c r="H106" s="201"/>
      <c r="I106" s="201"/>
      <c r="J106" s="201"/>
      <c r="K106" s="201"/>
      <c r="L106" s="201"/>
      <c r="M106" s="204"/>
      <c r="N106" s="204"/>
      <c r="O106" s="204"/>
      <c r="P106" s="204"/>
      <c r="Q106" s="199"/>
      <c r="R106" s="199"/>
      <c r="S106" s="193"/>
      <c r="T106" s="193"/>
    </row>
    <row r="107" spans="1:20">
      <c r="A107" s="223"/>
      <c r="B107" s="194"/>
      <c r="C107" s="194"/>
      <c r="D107" s="219"/>
      <c r="E107" s="193"/>
      <c r="F107" s="219"/>
      <c r="G107" s="219"/>
      <c r="H107" s="219"/>
      <c r="I107" s="219"/>
      <c r="J107" s="219"/>
      <c r="K107" s="201"/>
      <c r="L107" s="201"/>
      <c r="M107" s="204"/>
      <c r="N107" s="204"/>
      <c r="O107" s="204"/>
      <c r="P107" s="204"/>
      <c r="Q107" s="199"/>
      <c r="R107" s="199"/>
      <c r="S107" s="193"/>
      <c r="T107" s="193"/>
    </row>
    <row r="108" spans="1:20">
      <c r="A108" s="194"/>
      <c r="B108" s="194"/>
      <c r="C108" s="209" t="s">
        <v>672</v>
      </c>
      <c r="D108" s="209" t="s">
        <v>673</v>
      </c>
      <c r="E108" s="209" t="s">
        <v>674</v>
      </c>
      <c r="F108" s="201" t="s">
        <v>665</v>
      </c>
      <c r="G108" s="1185" t="s">
        <v>675</v>
      </c>
      <c r="H108" s="1185"/>
      <c r="I108" s="201"/>
      <c r="J108" s="210" t="s">
        <v>676</v>
      </c>
      <c r="K108" s="201"/>
      <c r="L108" s="209" t="s">
        <v>1011</v>
      </c>
      <c r="M108" s="204"/>
      <c r="N108" s="210" t="s">
        <v>1012</v>
      </c>
      <c r="O108" s="210" t="s">
        <v>1013</v>
      </c>
      <c r="P108" s="211" t="s">
        <v>1014</v>
      </c>
      <c r="Q108" s="210" t="s">
        <v>1015</v>
      </c>
      <c r="S108" s="210" t="s">
        <v>665</v>
      </c>
      <c r="T108" s="193"/>
    </row>
    <row r="109" spans="1:20">
      <c r="A109" s="194"/>
      <c r="B109" s="194"/>
      <c r="C109" s="196"/>
      <c r="D109" s="213" t="s">
        <v>1016</v>
      </c>
      <c r="E109" s="201"/>
      <c r="F109" s="201"/>
      <c r="G109" s="201"/>
      <c r="H109" s="209"/>
      <c r="I109" s="201"/>
      <c r="J109" s="214" t="s">
        <v>669</v>
      </c>
      <c r="K109" s="201"/>
      <c r="L109" s="209"/>
      <c r="M109" s="204"/>
      <c r="N109" s="215" t="str">
        <f>N6</f>
        <v>IS</v>
      </c>
      <c r="O109" s="215" t="str">
        <f>O6</f>
        <v>West</v>
      </c>
      <c r="P109" s="215" t="str">
        <f>P6</f>
        <v>Common Use</v>
      </c>
      <c r="Q109" s="215" t="str">
        <f>Q6</f>
        <v>Other</v>
      </c>
      <c r="S109" s="215" t="s">
        <v>665</v>
      </c>
      <c r="T109" s="193"/>
    </row>
    <row r="110" spans="1:20">
      <c r="A110" s="223" t="s">
        <v>667</v>
      </c>
      <c r="B110" s="194"/>
      <c r="C110" s="196"/>
      <c r="D110" s="263" t="s">
        <v>13</v>
      </c>
      <c r="E110" s="214" t="str">
        <f>+E48</f>
        <v>Cooperative Total</v>
      </c>
      <c r="F110" s="217"/>
      <c r="G110" s="218" t="s">
        <v>1017</v>
      </c>
      <c r="H110" s="219"/>
      <c r="I110" s="217"/>
      <c r="J110" s="214" t="s">
        <v>678</v>
      </c>
      <c r="K110" s="201"/>
      <c r="L110" s="214" t="s">
        <v>1018</v>
      </c>
      <c r="M110" s="205"/>
      <c r="N110" s="220" t="str">
        <f>+J110</f>
        <v>Transmission</v>
      </c>
      <c r="O110" s="220" t="str">
        <f>+N110</f>
        <v>Transmission</v>
      </c>
      <c r="P110" s="220" t="str">
        <f>P48</f>
        <v>AC Facilities</v>
      </c>
      <c r="Q110" s="220" t="str">
        <f>Q48</f>
        <v>Transmission</v>
      </c>
      <c r="S110" s="216" t="s">
        <v>665</v>
      </c>
      <c r="T110" s="193"/>
    </row>
    <row r="111" spans="1:20" ht="13.5" thickBot="1">
      <c r="A111" s="264" t="s">
        <v>668</v>
      </c>
      <c r="B111" s="194"/>
      <c r="C111" s="218" t="s">
        <v>665</v>
      </c>
      <c r="D111" s="201"/>
      <c r="E111" s="265" t="s">
        <v>665</v>
      </c>
      <c r="F111" s="201"/>
      <c r="G111" s="201"/>
      <c r="H111" s="201"/>
      <c r="I111" s="201"/>
      <c r="J111" s="201"/>
      <c r="K111" s="201"/>
      <c r="L111" s="201"/>
      <c r="M111" s="205"/>
      <c r="N111" s="204"/>
      <c r="O111" s="204"/>
      <c r="P111" s="204"/>
      <c r="Q111" s="199"/>
      <c r="S111" s="193"/>
      <c r="T111" s="193"/>
    </row>
    <row r="112" spans="1:20">
      <c r="A112" s="223"/>
      <c r="B112" s="194"/>
      <c r="C112" s="196"/>
      <c r="D112" s="201"/>
      <c r="E112" s="201"/>
      <c r="F112" s="201"/>
      <c r="G112" s="201"/>
      <c r="H112" s="226"/>
      <c r="I112" s="201"/>
      <c r="J112" s="201"/>
      <c r="K112" s="201"/>
      <c r="L112" s="201"/>
      <c r="M112" s="205"/>
      <c r="N112" s="204" t="s">
        <v>665</v>
      </c>
      <c r="O112" s="204" t="s">
        <v>665</v>
      </c>
      <c r="P112" s="204"/>
      <c r="Q112" s="199"/>
      <c r="S112" s="193"/>
      <c r="T112" s="193"/>
    </row>
    <row r="113" spans="1:20">
      <c r="A113" s="223"/>
      <c r="B113" s="194"/>
      <c r="C113" s="218" t="s">
        <v>657</v>
      </c>
      <c r="D113" s="201"/>
      <c r="E113" s="201"/>
      <c r="F113" s="201"/>
      <c r="G113" s="201"/>
      <c r="H113" s="226"/>
      <c r="I113" s="201"/>
      <c r="J113" s="201"/>
      <c r="K113" s="201"/>
      <c r="L113" s="201"/>
      <c r="M113" s="204"/>
      <c r="N113" s="204" t="s">
        <v>665</v>
      </c>
      <c r="O113" s="204" t="s">
        <v>665</v>
      </c>
      <c r="P113" s="204"/>
      <c r="Q113" s="199"/>
      <c r="R113" s="187"/>
      <c r="S113" s="193"/>
      <c r="T113" s="193"/>
    </row>
    <row r="114" spans="1:20">
      <c r="A114" s="223">
        <v>1</v>
      </c>
      <c r="B114" s="194"/>
      <c r="C114" s="196" t="s">
        <v>14</v>
      </c>
      <c r="D114" s="266" t="s">
        <v>15</v>
      </c>
      <c r="E114" s="267">
        <f>23065638+1155274-13055042</f>
        <v>11165870</v>
      </c>
      <c r="F114" s="201"/>
      <c r="G114" s="226" t="s">
        <v>710</v>
      </c>
      <c r="H114" s="583"/>
      <c r="I114" s="193"/>
      <c r="J114" s="268" t="s">
        <v>665</v>
      </c>
      <c r="K114" s="208"/>
      <c r="L114" s="201"/>
      <c r="M114" s="204"/>
      <c r="N114" s="204" t="s">
        <v>665</v>
      </c>
      <c r="O114" s="223"/>
      <c r="P114" s="269" t="s">
        <v>665</v>
      </c>
      <c r="Q114" s="204"/>
      <c r="R114" s="187"/>
      <c r="S114" s="230"/>
      <c r="T114" s="193"/>
    </row>
    <row r="115" spans="1:20">
      <c r="A115" s="223">
        <v>2</v>
      </c>
      <c r="B115" s="194"/>
      <c r="C115" s="196" t="s">
        <v>16</v>
      </c>
      <c r="D115" s="266" t="s">
        <v>17</v>
      </c>
      <c r="E115" s="268">
        <v>0</v>
      </c>
      <c r="F115" s="201"/>
      <c r="G115" s="226" t="s">
        <v>685</v>
      </c>
      <c r="H115" s="583"/>
      <c r="I115" s="201" t="s">
        <v>665</v>
      </c>
      <c r="J115" s="268">
        <f>E115</f>
        <v>0</v>
      </c>
      <c r="K115" s="208"/>
      <c r="L115" s="226" t="s">
        <v>685</v>
      </c>
      <c r="M115" s="204"/>
      <c r="N115" s="268" t="s">
        <v>665</v>
      </c>
      <c r="O115" s="268" t="s">
        <v>665</v>
      </c>
      <c r="P115" s="268" t="s">
        <v>665</v>
      </c>
      <c r="Q115" s="268" t="s">
        <v>665</v>
      </c>
      <c r="R115" s="187"/>
      <c r="S115" s="230"/>
      <c r="T115" s="193"/>
    </row>
    <row r="116" spans="1:20">
      <c r="A116" s="223">
        <v>3</v>
      </c>
      <c r="B116" s="194"/>
      <c r="C116" s="196" t="s">
        <v>18</v>
      </c>
      <c r="D116" s="266" t="s">
        <v>17</v>
      </c>
      <c r="E116" s="268">
        <f>E114-E115</f>
        <v>11165870</v>
      </c>
      <c r="F116" s="201"/>
      <c r="G116" s="226" t="s">
        <v>20</v>
      </c>
      <c r="H116" s="582" t="s">
        <v>665</v>
      </c>
      <c r="I116" s="201"/>
      <c r="J116" s="268">
        <f>E116</f>
        <v>11165870</v>
      </c>
      <c r="K116" s="208"/>
      <c r="L116" s="226" t="s">
        <v>20</v>
      </c>
      <c r="M116" s="204"/>
      <c r="N116" s="268">
        <f>J116*N117</f>
        <v>9232424.6505196486</v>
      </c>
      <c r="O116" s="268">
        <f>J116*O117</f>
        <v>996699.13684957428</v>
      </c>
      <c r="P116" s="268">
        <f>J116*P175</f>
        <v>451827.47395985492</v>
      </c>
      <c r="Q116" s="268">
        <f>J116*Q117</f>
        <v>484918.73867092509</v>
      </c>
      <c r="R116" s="271"/>
      <c r="S116" s="230"/>
      <c r="T116" s="193"/>
    </row>
    <row r="117" spans="1:20">
      <c r="A117" s="223">
        <v>4</v>
      </c>
      <c r="B117" s="194"/>
      <c r="C117" s="196" t="s">
        <v>714</v>
      </c>
      <c r="D117" s="266" t="s">
        <v>21</v>
      </c>
      <c r="E117" s="267">
        <v>33406651</v>
      </c>
      <c r="F117" s="201"/>
      <c r="G117" s="226" t="s">
        <v>665</v>
      </c>
      <c r="H117" s="583"/>
      <c r="I117" s="201"/>
      <c r="J117" s="268"/>
      <c r="K117" s="201"/>
      <c r="M117" s="204"/>
      <c r="N117" s="271">
        <f>N175</f>
        <v>0.8268432867765475</v>
      </c>
      <c r="O117" s="271">
        <f>O175</f>
        <v>8.926300743691036E-2</v>
      </c>
      <c r="Q117" s="271">
        <f>Q175</f>
        <v>4.3428657029942593E-2</v>
      </c>
      <c r="R117" s="187"/>
      <c r="S117" s="230"/>
      <c r="T117" s="193"/>
    </row>
    <row r="118" spans="1:20">
      <c r="A118" s="223">
        <v>5</v>
      </c>
      <c r="B118" s="194"/>
      <c r="C118" s="196" t="s">
        <v>22</v>
      </c>
      <c r="D118" s="272" t="s">
        <v>17</v>
      </c>
      <c r="E118" s="268">
        <f>6593637.39</f>
        <v>6593637.3899999997</v>
      </c>
      <c r="F118" s="201"/>
      <c r="G118" s="226" t="s">
        <v>685</v>
      </c>
      <c r="H118" s="583"/>
      <c r="I118" s="201"/>
      <c r="J118" s="268">
        <v>0</v>
      </c>
      <c r="K118" s="201"/>
      <c r="L118" s="226" t="s">
        <v>685</v>
      </c>
      <c r="M118" s="204" t="s">
        <v>665</v>
      </c>
      <c r="N118" s="268">
        <v>0</v>
      </c>
      <c r="O118" s="268">
        <v>0</v>
      </c>
      <c r="P118" s="268">
        <v>0</v>
      </c>
      <c r="Q118" s="268">
        <v>0</v>
      </c>
      <c r="R118" s="273"/>
      <c r="S118" s="193"/>
      <c r="T118" s="193"/>
    </row>
    <row r="119" spans="1:20">
      <c r="A119" s="223">
        <v>6</v>
      </c>
      <c r="B119" s="194"/>
      <c r="C119" s="196" t="s">
        <v>24</v>
      </c>
      <c r="D119" s="272" t="s">
        <v>17</v>
      </c>
      <c r="E119" s="268">
        <v>528172.78</v>
      </c>
      <c r="F119" s="201"/>
      <c r="G119" s="226" t="s">
        <v>648</v>
      </c>
      <c r="H119" s="582" t="s">
        <v>665</v>
      </c>
      <c r="I119" s="193"/>
      <c r="J119" s="268">
        <f>E119</f>
        <v>528172.78</v>
      </c>
      <c r="K119" s="201"/>
      <c r="L119" s="226" t="s">
        <v>25</v>
      </c>
      <c r="M119" s="204"/>
      <c r="N119" s="268">
        <f>(J119-103734)*N117/(N117+R116+Q117)</f>
        <v>403258.26701436489</v>
      </c>
      <c r="O119" s="268">
        <v>103734</v>
      </c>
      <c r="P119" s="268">
        <f>(J119)*P175</f>
        <v>21372.537294608857</v>
      </c>
      <c r="Q119" s="268">
        <f>(J119-103734)*Q117/(N117+R116+Q117)</f>
        <v>21180.512985635094</v>
      </c>
      <c r="R119" s="273" t="s">
        <v>665</v>
      </c>
      <c r="S119" s="230"/>
      <c r="T119" s="193"/>
    </row>
    <row r="120" spans="1:20">
      <c r="A120" s="223">
        <v>7</v>
      </c>
      <c r="B120" s="194"/>
      <c r="C120" s="196" t="s">
        <v>26</v>
      </c>
      <c r="D120" s="272" t="s">
        <v>17</v>
      </c>
      <c r="E120" s="268">
        <v>26284840.620000001</v>
      </c>
      <c r="F120" s="201"/>
      <c r="G120" s="226" t="s">
        <v>785</v>
      </c>
      <c r="H120" s="582">
        <f>H70</f>
        <v>0.10360238623422539</v>
      </c>
      <c r="I120" s="193"/>
      <c r="J120" s="268">
        <f>E120*H120</f>
        <v>2723172.2100182967</v>
      </c>
      <c r="K120" s="201"/>
      <c r="L120" s="226" t="str">
        <f>+L130</f>
        <v>WS</v>
      </c>
      <c r="M120" s="204"/>
      <c r="N120" s="268">
        <f>$E$120*N125</f>
        <v>2251636.6605900829</v>
      </c>
      <c r="O120" s="268">
        <f>E120*O125</f>
        <v>243078.54123485083</v>
      </c>
      <c r="P120" s="268">
        <f>E120*P172</f>
        <v>110193.29625100801</v>
      </c>
      <c r="Q120" s="268">
        <f>$E$120*Q125</f>
        <v>118263.71194235541</v>
      </c>
      <c r="R120" s="274"/>
      <c r="S120" s="230"/>
      <c r="T120" s="193"/>
    </row>
    <row r="121" spans="1:20">
      <c r="A121" s="223">
        <v>8</v>
      </c>
      <c r="B121" s="194"/>
      <c r="C121" s="196" t="s">
        <v>27</v>
      </c>
      <c r="D121" s="201"/>
      <c r="E121" s="228">
        <v>0</v>
      </c>
      <c r="F121" s="248"/>
      <c r="G121" s="275" t="s">
        <v>685</v>
      </c>
      <c r="H121" s="275"/>
      <c r="I121" s="276"/>
      <c r="J121" s="228">
        <v>0</v>
      </c>
      <c r="K121" s="248"/>
      <c r="L121" s="581" t="s">
        <v>685</v>
      </c>
      <c r="M121" s="232"/>
      <c r="N121" s="228">
        <v>0</v>
      </c>
      <c r="O121" s="228">
        <v>0</v>
      </c>
      <c r="P121" s="228">
        <v>0</v>
      </c>
      <c r="Q121" s="239">
        <v>0</v>
      </c>
      <c r="R121" s="268"/>
      <c r="S121" s="245"/>
      <c r="T121" s="193"/>
    </row>
    <row r="122" spans="1:20">
      <c r="A122" s="223" t="s">
        <v>28</v>
      </c>
      <c r="B122" s="194"/>
      <c r="C122" s="196" t="s">
        <v>29</v>
      </c>
      <c r="D122" s="201" t="str">
        <f>+D123</f>
        <v>Workpaper 2</v>
      </c>
      <c r="E122" s="228">
        <f>+'BEPC WP2'!C19</f>
        <v>43555.555555555555</v>
      </c>
      <c r="F122" s="248"/>
      <c r="G122" s="275" t="s">
        <v>1022</v>
      </c>
      <c r="H122" s="721">
        <v>1</v>
      </c>
      <c r="I122" s="276"/>
      <c r="J122" s="228">
        <f>+H122*E122</f>
        <v>43555.555555555555</v>
      </c>
      <c r="K122" s="248"/>
      <c r="L122" s="722" t="s">
        <v>1022</v>
      </c>
      <c r="M122" s="723">
        <v>1</v>
      </c>
      <c r="N122" s="228"/>
      <c r="O122" s="228"/>
      <c r="P122" s="228">
        <f>+J122</f>
        <v>43555.555555555555</v>
      </c>
      <c r="Q122" s="228"/>
      <c r="R122" s="268"/>
      <c r="S122" s="245"/>
      <c r="T122" s="193"/>
    </row>
    <row r="123" spans="1:20">
      <c r="A123" s="223" t="s">
        <v>501</v>
      </c>
      <c r="B123" s="194"/>
      <c r="C123" s="196" t="s">
        <v>502</v>
      </c>
      <c r="D123" s="201" t="s">
        <v>503</v>
      </c>
      <c r="E123" s="239">
        <f>+'BEPC WP2'!C26</f>
        <v>7000</v>
      </c>
      <c r="F123" s="201"/>
      <c r="G123" s="226" t="s">
        <v>1022</v>
      </c>
      <c r="H123" s="676">
        <f>+H122</f>
        <v>1</v>
      </c>
      <c r="I123" s="277"/>
      <c r="J123" s="239">
        <f>+H123*E123</f>
        <v>7000</v>
      </c>
      <c r="K123" s="201"/>
      <c r="L123" s="278" t="s">
        <v>1022</v>
      </c>
      <c r="M123" s="677">
        <f>+M122</f>
        <v>1</v>
      </c>
      <c r="N123" s="228"/>
      <c r="O123" s="228"/>
      <c r="P123" s="239">
        <v>7000</v>
      </c>
      <c r="Q123" s="228"/>
      <c r="R123" s="268"/>
      <c r="S123" s="245"/>
      <c r="T123" s="193"/>
    </row>
    <row r="124" spans="1:20">
      <c r="A124" s="223">
        <v>9</v>
      </c>
      <c r="B124" s="194"/>
      <c r="C124" s="196" t="s">
        <v>536</v>
      </c>
      <c r="D124" s="201"/>
      <c r="E124" s="250">
        <f>E116+E119+E120+E121+E122+E123</f>
        <v>38029438.955555551</v>
      </c>
      <c r="F124" s="201"/>
      <c r="G124" s="226"/>
      <c r="H124" s="226" t="s">
        <v>665</v>
      </c>
      <c r="I124" s="277"/>
      <c r="J124" s="250">
        <f>J116+J119+J120+J121+J122+J123</f>
        <v>14467770.545573853</v>
      </c>
      <c r="K124" s="201"/>
      <c r="L124" s="277"/>
      <c r="M124" s="204"/>
      <c r="N124" s="250">
        <f>N116+N119+N120+N121</f>
        <v>11887319.578124097</v>
      </c>
      <c r="O124" s="250">
        <f>O116+O119+O120+O121</f>
        <v>1343511.6780844252</v>
      </c>
      <c r="P124" s="250">
        <f>P116+P119+P120+P121+P122+P123</f>
        <v>633948.86306102725</v>
      </c>
      <c r="Q124" s="250">
        <f>Q116+Q119+Q120+Q121</f>
        <v>624362.96359891561</v>
      </c>
      <c r="R124" s="268"/>
      <c r="S124" s="230"/>
      <c r="T124" s="193"/>
    </row>
    <row r="125" spans="1:20">
      <c r="A125" s="223"/>
      <c r="B125" s="194"/>
      <c r="C125" s="194"/>
      <c r="D125" s="201"/>
      <c r="E125" s="204"/>
      <c r="F125" s="201"/>
      <c r="G125" s="226"/>
      <c r="H125" s="582" t="s">
        <v>665</v>
      </c>
      <c r="I125" s="277"/>
      <c r="J125" s="194"/>
      <c r="K125" s="201"/>
      <c r="L125" s="226"/>
      <c r="M125" s="204"/>
      <c r="N125" s="274">
        <f>N172</f>
        <v>8.5662937551800267E-2</v>
      </c>
      <c r="O125" s="274">
        <f>O172</f>
        <v>9.2478605729073207E-3</v>
      </c>
      <c r="P125" s="279"/>
      <c r="Q125" s="274">
        <f>Q172</f>
        <v>4.4993124992498204E-3</v>
      </c>
      <c r="R125" s="280" t="s">
        <v>665</v>
      </c>
      <c r="S125" s="193"/>
      <c r="T125" s="193"/>
    </row>
    <row r="126" spans="1:20">
      <c r="A126" s="223"/>
      <c r="B126" s="194"/>
      <c r="C126" s="218"/>
      <c r="D126" s="272"/>
      <c r="E126" s="201" t="s">
        <v>665</v>
      </c>
      <c r="F126" s="201"/>
      <c r="G126" s="226"/>
      <c r="H126" s="226"/>
      <c r="I126" s="193"/>
      <c r="J126" s="201"/>
      <c r="K126" s="201"/>
      <c r="L126" s="201"/>
      <c r="M126" s="204"/>
      <c r="N126" s="242" t="s">
        <v>665</v>
      </c>
      <c r="O126" s="242"/>
      <c r="P126" s="242"/>
      <c r="Q126" s="242"/>
      <c r="S126" s="193"/>
      <c r="T126" s="193"/>
    </row>
    <row r="127" spans="1:20">
      <c r="A127" s="223">
        <v>10</v>
      </c>
      <c r="B127" s="194"/>
      <c r="C127" s="218" t="s">
        <v>715</v>
      </c>
      <c r="D127" s="201"/>
      <c r="E127" s="267"/>
      <c r="F127" s="201"/>
      <c r="G127" s="226"/>
      <c r="H127" s="582"/>
      <c r="I127" s="277"/>
      <c r="J127" s="268"/>
      <c r="K127" s="201"/>
      <c r="L127" s="234"/>
      <c r="M127" s="270"/>
      <c r="N127" s="268">
        <f>E127*N84</f>
        <v>0</v>
      </c>
      <c r="O127" s="268">
        <f>E127*O84</f>
        <v>0</v>
      </c>
      <c r="P127" s="268"/>
      <c r="Q127" s="268">
        <f>E127*Q84</f>
        <v>0</v>
      </c>
      <c r="R127" s="187" t="s">
        <v>665</v>
      </c>
      <c r="S127" s="230" t="s">
        <v>665</v>
      </c>
      <c r="T127" s="193"/>
    </row>
    <row r="128" spans="1:20">
      <c r="A128" s="223">
        <v>11</v>
      </c>
      <c r="B128" s="194"/>
      <c r="C128" s="196" t="s">
        <v>713</v>
      </c>
      <c r="D128" s="219" t="s">
        <v>30</v>
      </c>
      <c r="E128" s="268">
        <v>12483853</v>
      </c>
      <c r="F128" s="201"/>
      <c r="G128" s="226" t="s">
        <v>1022</v>
      </c>
      <c r="H128" s="582"/>
      <c r="I128" s="277"/>
      <c r="J128" s="268">
        <f>+E128</f>
        <v>12483853</v>
      </c>
      <c r="K128" s="235"/>
      <c r="L128" s="234" t="s">
        <v>1023</v>
      </c>
      <c r="M128" s="270"/>
      <c r="N128" s="268">
        <f>$E$128*N84</f>
        <v>1954373.4353866123</v>
      </c>
      <c r="O128" s="268">
        <f>$E$128*O84</f>
        <v>549085.7356415299</v>
      </c>
      <c r="P128" s="268">
        <f>+'BEPC Facilities'!F18</f>
        <v>275952.07</v>
      </c>
      <c r="Q128" s="268">
        <f>$E$128*Q84</f>
        <v>108517.30230575342</v>
      </c>
      <c r="R128" s="187"/>
      <c r="S128" s="281" t="s">
        <v>665</v>
      </c>
      <c r="T128" s="193"/>
    </row>
    <row r="129" spans="1:20">
      <c r="A129" s="223">
        <v>12</v>
      </c>
      <c r="B129" s="194"/>
      <c r="C129" s="196" t="s">
        <v>31</v>
      </c>
      <c r="D129" s="219" t="s">
        <v>665</v>
      </c>
      <c r="E129" s="268">
        <v>2639188</v>
      </c>
      <c r="F129" s="201"/>
      <c r="G129" s="226" t="s">
        <v>1022</v>
      </c>
      <c r="H129" s="582"/>
      <c r="I129" s="277"/>
      <c r="J129" s="268">
        <f>+E129</f>
        <v>2639188</v>
      </c>
      <c r="K129" s="201"/>
      <c r="L129" s="234" t="s">
        <v>685</v>
      </c>
      <c r="M129" s="270" t="s">
        <v>665</v>
      </c>
      <c r="N129" s="268">
        <v>0</v>
      </c>
      <c r="O129" s="268">
        <v>0</v>
      </c>
      <c r="P129" s="268">
        <v>0</v>
      </c>
      <c r="Q129" s="268">
        <v>0</v>
      </c>
      <c r="R129" s="187"/>
      <c r="S129" s="230" t="s">
        <v>665</v>
      </c>
      <c r="T129" s="193"/>
    </row>
    <row r="130" spans="1:20">
      <c r="A130" s="223">
        <v>13</v>
      </c>
      <c r="B130" s="194"/>
      <c r="C130" s="196" t="s">
        <v>32</v>
      </c>
      <c r="D130" s="201" t="s">
        <v>33</v>
      </c>
      <c r="E130" s="228">
        <v>2559779</v>
      </c>
      <c r="F130" s="248"/>
      <c r="G130" s="275" t="s">
        <v>785</v>
      </c>
      <c r="H130" s="584">
        <f>H120</f>
        <v>0.10360238623422539</v>
      </c>
      <c r="I130" s="276"/>
      <c r="J130" s="228">
        <f>+H130*E130</f>
        <v>265199.21263225924</v>
      </c>
      <c r="K130" s="248"/>
      <c r="L130" s="244" t="s">
        <v>785</v>
      </c>
      <c r="M130" s="282" t="s">
        <v>665</v>
      </c>
      <c r="N130" s="228">
        <f>9703.74+(832683.49*N175)</f>
        <v>698202.49371616635</v>
      </c>
      <c r="O130" s="228">
        <f>832683.49*O175</f>
        <v>74327.83256046247</v>
      </c>
      <c r="P130" s="228">
        <f>+E130*P172</f>
        <v>10731.299069376248</v>
      </c>
      <c r="Q130" s="268">
        <f>832683.49*Q175</f>
        <v>36162.325701705631</v>
      </c>
      <c r="R130" s="187" t="s">
        <v>665</v>
      </c>
      <c r="S130" s="230" t="s">
        <v>665</v>
      </c>
      <c r="T130" s="193"/>
    </row>
    <row r="131" spans="1:20">
      <c r="A131" s="223">
        <v>14</v>
      </c>
      <c r="B131" s="194"/>
      <c r="C131" s="196" t="s">
        <v>1034</v>
      </c>
      <c r="D131" s="201" t="str">
        <f>+L131</f>
        <v>Worksheet 1</v>
      </c>
      <c r="E131" s="239">
        <f>+'BEPC Facilities'!F26</f>
        <v>610288.02040324779</v>
      </c>
      <c r="F131" s="201"/>
      <c r="G131" s="226" t="s">
        <v>1023</v>
      </c>
      <c r="H131" s="582"/>
      <c r="I131" s="277"/>
      <c r="J131" s="239">
        <f>+E131</f>
        <v>610288.02040324779</v>
      </c>
      <c r="K131" s="201"/>
      <c r="L131" s="244" t="str">
        <f>+G131</f>
        <v>Worksheet 1</v>
      </c>
      <c r="M131" s="270"/>
      <c r="N131" s="268"/>
      <c r="O131" s="268"/>
      <c r="P131" s="239">
        <f>+'BEPC Facilities'!F24</f>
        <v>11742.84</v>
      </c>
      <c r="Q131" s="268"/>
      <c r="R131" s="187"/>
      <c r="S131" s="230"/>
      <c r="T131" s="193"/>
    </row>
    <row r="132" spans="1:20">
      <c r="A132" s="223">
        <v>15</v>
      </c>
      <c r="B132" s="194"/>
      <c r="C132" s="196" t="s">
        <v>34</v>
      </c>
      <c r="D132" s="201"/>
      <c r="E132" s="267">
        <f>SUM(E128:E130)</f>
        <v>17682820</v>
      </c>
      <c r="F132" s="201"/>
      <c r="G132" s="279"/>
      <c r="H132" s="585"/>
      <c r="I132" s="277"/>
      <c r="J132" s="267">
        <f>SUM(J128:J130)</f>
        <v>15388240.212632259</v>
      </c>
      <c r="K132" s="283"/>
      <c r="L132" s="279"/>
      <c r="M132" s="284" t="s">
        <v>665</v>
      </c>
      <c r="N132" s="268">
        <f>E132*N172</f>
        <v>1514762.3053997247</v>
      </c>
      <c r="O132" s="268">
        <f>O125*$E$132</f>
        <v>163528.25389581703</v>
      </c>
      <c r="P132" s="267">
        <f>SUM(P128:P130)</f>
        <v>286683.36906937626</v>
      </c>
      <c r="Q132" s="268">
        <f>Q125*$E$132</f>
        <v>79560.533047984703</v>
      </c>
      <c r="R132" s="187"/>
      <c r="S132" s="230" t="s">
        <v>665</v>
      </c>
      <c r="T132" s="193"/>
    </row>
    <row r="133" spans="1:20">
      <c r="A133" s="223"/>
      <c r="B133" s="194"/>
      <c r="C133" s="196"/>
      <c r="D133" s="272"/>
      <c r="E133" s="201" t="s">
        <v>665</v>
      </c>
      <c r="F133" s="201"/>
      <c r="G133" s="226"/>
      <c r="H133" s="226"/>
      <c r="I133" s="201"/>
      <c r="J133" s="201"/>
      <c r="K133" s="201"/>
      <c r="L133" s="201"/>
      <c r="M133" s="204"/>
      <c r="N133" s="250" t="s">
        <v>665</v>
      </c>
      <c r="O133" s="250"/>
      <c r="P133" s="250"/>
      <c r="Q133" s="250"/>
      <c r="R133" s="285"/>
      <c r="S133" s="193"/>
      <c r="T133" s="193"/>
    </row>
    <row r="134" spans="1:20">
      <c r="A134" s="223">
        <v>16</v>
      </c>
      <c r="B134" s="194"/>
      <c r="C134" s="218" t="s">
        <v>144</v>
      </c>
      <c r="D134" s="266"/>
      <c r="E134" s="201"/>
      <c r="F134" s="201"/>
      <c r="G134" s="226"/>
      <c r="H134" s="226"/>
      <c r="I134" s="201"/>
      <c r="J134" s="201" t="s">
        <v>665</v>
      </c>
      <c r="K134" s="201"/>
      <c r="L134" s="201"/>
      <c r="M134" s="204"/>
      <c r="N134" s="242"/>
      <c r="O134" s="242"/>
      <c r="P134" s="242"/>
      <c r="Q134" s="242"/>
      <c r="R134" s="285"/>
      <c r="S134" s="193"/>
      <c r="T134" s="193"/>
    </row>
    <row r="135" spans="1:20">
      <c r="A135" s="223">
        <v>17</v>
      </c>
      <c r="B135" s="194"/>
      <c r="C135" s="196" t="s">
        <v>717</v>
      </c>
      <c r="D135" s="266"/>
      <c r="E135" s="268">
        <v>0</v>
      </c>
      <c r="F135" s="201"/>
      <c r="G135" s="226"/>
      <c r="H135" s="278"/>
      <c r="I135" s="201"/>
      <c r="J135" s="268" t="s">
        <v>665</v>
      </c>
      <c r="K135" s="201"/>
      <c r="L135" s="234"/>
      <c r="M135" s="204"/>
      <c r="N135" s="242"/>
      <c r="O135" s="242"/>
      <c r="P135" s="242"/>
      <c r="Q135" s="242"/>
      <c r="R135" s="242"/>
      <c r="S135" s="193"/>
      <c r="T135" s="193"/>
    </row>
    <row r="136" spans="1:20">
      <c r="A136" s="223">
        <v>18</v>
      </c>
      <c r="B136" s="194"/>
      <c r="C136" s="196" t="s">
        <v>718</v>
      </c>
      <c r="D136" s="272"/>
      <c r="E136" s="268">
        <v>0</v>
      </c>
      <c r="F136" s="201"/>
      <c r="G136" s="226" t="s">
        <v>785</v>
      </c>
      <c r="H136" s="586" t="s">
        <v>665</v>
      </c>
      <c r="I136" s="201"/>
      <c r="J136" s="268"/>
      <c r="K136" s="201"/>
      <c r="L136" s="234" t="s">
        <v>785</v>
      </c>
      <c r="M136" s="270"/>
      <c r="N136" s="228">
        <v>0</v>
      </c>
      <c r="O136" s="228">
        <v>0</v>
      </c>
      <c r="P136" s="228">
        <v>0</v>
      </c>
      <c r="Q136" s="228">
        <v>0</v>
      </c>
      <c r="R136" s="242"/>
      <c r="S136" s="193"/>
      <c r="T136" s="193"/>
    </row>
    <row r="137" spans="1:20">
      <c r="A137" s="223">
        <v>19</v>
      </c>
      <c r="B137" s="194"/>
      <c r="C137" s="196" t="s">
        <v>719</v>
      </c>
      <c r="D137" s="272"/>
      <c r="E137" s="268">
        <v>0</v>
      </c>
      <c r="F137" s="201"/>
      <c r="G137" s="226" t="s">
        <v>785</v>
      </c>
      <c r="H137" s="586"/>
      <c r="I137" s="201"/>
      <c r="J137" s="268"/>
      <c r="K137" s="201"/>
      <c r="L137" s="234" t="s">
        <v>785</v>
      </c>
      <c r="M137" s="270"/>
      <c r="N137" s="228">
        <v>0</v>
      </c>
      <c r="O137" s="228">
        <v>0</v>
      </c>
      <c r="P137" s="228">
        <v>0</v>
      </c>
      <c r="Q137" s="228">
        <v>0</v>
      </c>
      <c r="R137" s="242"/>
      <c r="S137" s="193"/>
      <c r="T137" s="193"/>
    </row>
    <row r="138" spans="1:20">
      <c r="A138" s="223">
        <v>20</v>
      </c>
      <c r="B138" s="194"/>
      <c r="C138" s="196" t="s">
        <v>720</v>
      </c>
      <c r="D138" s="272"/>
      <c r="E138" s="268"/>
      <c r="F138" s="201"/>
      <c r="G138" s="226"/>
      <c r="H138" s="278"/>
      <c r="I138" s="201"/>
      <c r="J138" s="268"/>
      <c r="K138" s="201"/>
      <c r="L138" s="234"/>
      <c r="M138" s="270"/>
      <c r="N138" s="228"/>
      <c r="O138" s="228"/>
      <c r="P138" s="228"/>
      <c r="Q138" s="228"/>
      <c r="R138" s="268"/>
      <c r="S138" s="193"/>
      <c r="T138" s="193"/>
    </row>
    <row r="139" spans="1:20">
      <c r="A139" s="223">
        <v>21</v>
      </c>
      <c r="B139" s="194"/>
      <c r="C139" s="194" t="s">
        <v>35</v>
      </c>
      <c r="D139" s="272"/>
      <c r="E139" s="267"/>
      <c r="F139" s="201"/>
      <c r="G139" s="226" t="s">
        <v>711</v>
      </c>
      <c r="H139" s="586"/>
      <c r="I139" s="201"/>
      <c r="J139" s="268"/>
      <c r="K139" s="201"/>
      <c r="L139" s="234" t="s">
        <v>711</v>
      </c>
      <c r="M139" s="270"/>
      <c r="N139" s="228">
        <v>0</v>
      </c>
      <c r="O139" s="228">
        <v>0</v>
      </c>
      <c r="P139" s="228"/>
      <c r="Q139" s="228">
        <v>0</v>
      </c>
      <c r="R139" s="268"/>
      <c r="S139" s="193"/>
      <c r="T139" s="193"/>
    </row>
    <row r="140" spans="1:20">
      <c r="A140" s="223">
        <v>22</v>
      </c>
      <c r="B140" s="194"/>
      <c r="C140" s="196" t="s">
        <v>36</v>
      </c>
      <c r="D140" s="272" t="s">
        <v>37</v>
      </c>
      <c r="E140" s="268">
        <v>880743</v>
      </c>
      <c r="F140" s="201"/>
      <c r="G140" s="226" t="s">
        <v>711</v>
      </c>
      <c r="H140" s="582">
        <f>H60</f>
        <v>0.21757973277650366</v>
      </c>
      <c r="I140" s="286"/>
      <c r="J140" s="268">
        <f>(E140*H140)</f>
        <v>191631.82658477616</v>
      </c>
      <c r="K140" s="201"/>
      <c r="L140" s="234" t="s">
        <v>711</v>
      </c>
      <c r="M140" s="270"/>
      <c r="N140" s="228">
        <f>$E$140*N61</f>
        <v>140888.90566107415</v>
      </c>
      <c r="O140" s="228">
        <f>$E$140*O61</f>
        <v>38264.139602655487</v>
      </c>
      <c r="P140" s="228">
        <f>E140*M60</f>
        <v>4637.609949296484</v>
      </c>
      <c r="Q140" s="228">
        <f>$E$140*Q61</f>
        <v>6942.247163225702</v>
      </c>
      <c r="R140" s="268" t="s">
        <v>665</v>
      </c>
      <c r="S140" s="230" t="s">
        <v>665</v>
      </c>
      <c r="T140" s="193"/>
    </row>
    <row r="141" spans="1:20">
      <c r="A141" s="223">
        <v>23</v>
      </c>
      <c r="B141" s="194"/>
      <c r="C141" s="196" t="s">
        <v>38</v>
      </c>
      <c r="D141" s="272" t="s">
        <v>17</v>
      </c>
      <c r="E141" s="268">
        <v>165238</v>
      </c>
      <c r="F141" s="201"/>
      <c r="G141" s="226" t="s">
        <v>1022</v>
      </c>
      <c r="H141" s="226"/>
      <c r="I141" s="286"/>
      <c r="J141" s="268">
        <v>165238</v>
      </c>
      <c r="K141" s="201"/>
      <c r="L141" s="234" t="s">
        <v>1022</v>
      </c>
      <c r="M141" s="270"/>
      <c r="N141" s="228">
        <v>165238</v>
      </c>
      <c r="O141" s="228">
        <v>0</v>
      </c>
      <c r="P141" s="228">
        <v>0</v>
      </c>
      <c r="Q141" s="228">
        <v>0</v>
      </c>
      <c r="R141" s="268" t="s">
        <v>665</v>
      </c>
      <c r="S141" s="193"/>
      <c r="T141" s="193"/>
    </row>
    <row r="142" spans="1:20">
      <c r="A142" s="223">
        <v>24</v>
      </c>
      <c r="B142" s="194"/>
      <c r="C142" s="196" t="s">
        <v>39</v>
      </c>
      <c r="D142" s="272" t="s">
        <v>40</v>
      </c>
      <c r="E142" s="239">
        <v>7935946</v>
      </c>
      <c r="F142" s="201"/>
      <c r="G142" s="226" t="s">
        <v>685</v>
      </c>
      <c r="H142" s="226"/>
      <c r="I142" s="286"/>
      <c r="J142" s="239">
        <v>0</v>
      </c>
      <c r="K142" s="201"/>
      <c r="L142" s="234" t="s">
        <v>685</v>
      </c>
      <c r="M142" s="270"/>
      <c r="N142" s="239">
        <v>0</v>
      </c>
      <c r="O142" s="239">
        <v>0</v>
      </c>
      <c r="P142" s="239">
        <v>0</v>
      </c>
      <c r="Q142" s="239">
        <v>0</v>
      </c>
      <c r="R142" s="268"/>
      <c r="S142" s="193"/>
      <c r="T142" s="193"/>
    </row>
    <row r="143" spans="1:20">
      <c r="A143" s="223">
        <v>25</v>
      </c>
      <c r="B143" s="194"/>
      <c r="C143" s="196" t="s">
        <v>537</v>
      </c>
      <c r="D143" s="272"/>
      <c r="E143" s="250">
        <f>+E142+E141+E140</f>
        <v>8981927</v>
      </c>
      <c r="F143" s="201"/>
      <c r="G143" s="226"/>
      <c r="H143" s="226"/>
      <c r="I143" s="286"/>
      <c r="J143" s="250">
        <f>SUM(J140:J142)</f>
        <v>356869.82658477616</v>
      </c>
      <c r="K143" s="250"/>
      <c r="L143" s="287"/>
      <c r="M143" s="250"/>
      <c r="N143" s="250">
        <f>SUM(N140:N142)</f>
        <v>306126.90566107415</v>
      </c>
      <c r="O143" s="250">
        <f>SUM(O140:O142)</f>
        <v>38264.139602655487</v>
      </c>
      <c r="P143" s="250">
        <f>SUM(P140:P142)</f>
        <v>4637.609949296484</v>
      </c>
      <c r="Q143" s="250">
        <f>SUM(Q140:Q142)</f>
        <v>6942.247163225702</v>
      </c>
      <c r="R143" s="250"/>
      <c r="S143" s="193"/>
      <c r="T143" s="193"/>
    </row>
    <row r="144" spans="1:20">
      <c r="A144" s="223"/>
      <c r="B144" s="194"/>
      <c r="C144" s="196"/>
      <c r="D144" s="201"/>
      <c r="E144" s="201"/>
      <c r="F144" s="201"/>
      <c r="G144" s="226"/>
      <c r="H144" s="226"/>
      <c r="I144" s="286"/>
      <c r="J144" s="201"/>
      <c r="K144" s="201"/>
      <c r="L144" s="201"/>
      <c r="M144" s="270"/>
      <c r="N144" s="242"/>
      <c r="O144" s="242"/>
      <c r="P144" s="242"/>
      <c r="Q144" s="242"/>
      <c r="R144" s="242"/>
      <c r="S144" s="193"/>
      <c r="T144" s="193"/>
    </row>
    <row r="145" spans="1:20">
      <c r="A145" s="223">
        <v>26</v>
      </c>
      <c r="B145" s="194"/>
      <c r="C145" s="218" t="s">
        <v>41</v>
      </c>
      <c r="D145" s="201"/>
      <c r="E145" s="250">
        <f>+E143+E132+E124</f>
        <v>64694185.955555551</v>
      </c>
      <c r="F145" s="201"/>
      <c r="G145" s="226"/>
      <c r="H145" s="582" t="s">
        <v>665</v>
      </c>
      <c r="I145" s="286"/>
      <c r="J145" s="250">
        <f>+J143+J132+J124</f>
        <v>30212880.584790889</v>
      </c>
      <c r="K145" s="201"/>
      <c r="L145" s="201"/>
      <c r="M145" s="270"/>
      <c r="N145" s="217" t="e">
        <f>N124+#REF!+N143-1</f>
        <v>#REF!</v>
      </c>
      <c r="O145" s="217" t="e">
        <f>O124+#REF!+O143</f>
        <v>#REF!</v>
      </c>
      <c r="P145" s="250">
        <f>+P143+P132+P124</f>
        <v>925269.84207969997</v>
      </c>
      <c r="Q145" s="217" t="e">
        <f>Q124+#REF!+Q143+1</f>
        <v>#REF!</v>
      </c>
      <c r="R145" s="217"/>
      <c r="S145" s="193"/>
      <c r="T145" s="193"/>
    </row>
    <row r="146" spans="1:20">
      <c r="A146" s="223" t="s">
        <v>665</v>
      </c>
      <c r="B146" s="194"/>
      <c r="C146" s="194"/>
      <c r="D146" s="288"/>
      <c r="E146" s="286"/>
      <c r="F146" s="201"/>
      <c r="G146" s="226"/>
      <c r="H146" s="226"/>
      <c r="I146" s="286"/>
      <c r="J146" s="201"/>
      <c r="K146" s="201"/>
      <c r="L146" s="201"/>
      <c r="M146" s="270"/>
      <c r="N146" s="204"/>
      <c r="O146" s="204"/>
      <c r="P146" s="204"/>
      <c r="Q146" s="199"/>
      <c r="R146" s="199"/>
      <c r="S146" s="193"/>
      <c r="T146" s="193"/>
    </row>
    <row r="147" spans="1:20">
      <c r="A147" s="223">
        <v>27</v>
      </c>
      <c r="B147" s="194"/>
      <c r="C147" s="218" t="s">
        <v>518</v>
      </c>
      <c r="D147" s="234"/>
      <c r="E147" s="250">
        <f>+E92*$J209</f>
        <v>0</v>
      </c>
      <c r="F147" s="201"/>
      <c r="G147" s="226"/>
      <c r="H147" s="582"/>
      <c r="I147" s="286"/>
      <c r="J147" s="250">
        <f>+J92*$J209</f>
        <v>19692846.173948087</v>
      </c>
      <c r="K147" s="201"/>
      <c r="L147" s="234"/>
      <c r="M147" s="270"/>
      <c r="N147" s="289">
        <f>E147*N84</f>
        <v>0</v>
      </c>
      <c r="O147" s="289">
        <f>E147*O84</f>
        <v>0</v>
      </c>
      <c r="P147" s="250">
        <f>+P92*$J209</f>
        <v>729360.20189995435</v>
      </c>
      <c r="Q147" s="289">
        <f>ROUND(E147*Q84,0)</f>
        <v>0</v>
      </c>
      <c r="R147" s="289"/>
      <c r="S147" s="230"/>
      <c r="T147" s="193"/>
    </row>
    <row r="148" spans="1:20">
      <c r="A148" s="223"/>
      <c r="B148" s="194"/>
      <c r="C148" s="290" t="s">
        <v>665</v>
      </c>
      <c r="D148" s="219"/>
      <c r="E148" s="201"/>
      <c r="F148" s="201"/>
      <c r="G148" s="226"/>
      <c r="H148" s="201"/>
      <c r="I148" s="286"/>
      <c r="J148" s="201"/>
      <c r="K148" s="201"/>
      <c r="L148" s="234"/>
      <c r="M148" s="270"/>
      <c r="N148" s="204"/>
      <c r="O148" s="223"/>
      <c r="P148" s="223"/>
      <c r="Q148" s="204"/>
      <c r="R148" s="204"/>
      <c r="S148" s="230" t="s">
        <v>665</v>
      </c>
      <c r="T148" s="193"/>
    </row>
    <row r="149" spans="1:20" ht="13.5" thickBot="1">
      <c r="A149" s="223"/>
      <c r="B149" s="194"/>
      <c r="C149" s="196"/>
      <c r="D149" s="219"/>
      <c r="E149" s="291"/>
      <c r="F149" s="201"/>
      <c r="G149" s="226"/>
      <c r="H149" s="201"/>
      <c r="I149" s="286"/>
      <c r="J149" s="291"/>
      <c r="K149" s="201"/>
      <c r="L149" s="234"/>
      <c r="M149" s="204"/>
      <c r="N149" s="257"/>
      <c r="O149" s="292"/>
      <c r="P149" s="292"/>
      <c r="Q149" s="257"/>
      <c r="R149" s="232"/>
      <c r="S149" s="193"/>
      <c r="T149" s="193"/>
    </row>
    <row r="150" spans="1:20" ht="13.5" thickBot="1">
      <c r="A150" s="223">
        <v>28</v>
      </c>
      <c r="B150" s="194"/>
      <c r="C150" s="218" t="s">
        <v>42</v>
      </c>
      <c r="D150" s="201"/>
      <c r="E150" s="587">
        <f>E145+E147</f>
        <v>64694185.955555551</v>
      </c>
      <c r="F150" s="201"/>
      <c r="G150" s="226"/>
      <c r="H150" s="201"/>
      <c r="I150" s="286"/>
      <c r="J150" s="293">
        <f>J145+J147</f>
        <v>49905726.75873898</v>
      </c>
      <c r="K150" s="208"/>
      <c r="L150" s="208"/>
      <c r="M150" s="205"/>
      <c r="N150" s="293" t="e">
        <f>N145+N147</f>
        <v>#REF!</v>
      </c>
      <c r="O150" s="293" t="e">
        <f>O145+O147</f>
        <v>#REF!</v>
      </c>
      <c r="P150" s="293">
        <f>P145+P147</f>
        <v>1654630.0439796543</v>
      </c>
      <c r="Q150" s="293" t="e">
        <f>Q145+Q147</f>
        <v>#REF!</v>
      </c>
      <c r="R150" s="289"/>
      <c r="S150" s="193"/>
      <c r="T150" s="193"/>
    </row>
    <row r="151" spans="1:20" ht="13.5" thickTop="1">
      <c r="A151" s="223"/>
      <c r="B151" s="194"/>
      <c r="C151" s="219"/>
      <c r="D151" s="219"/>
      <c r="E151" s="250" t="s">
        <v>665</v>
      </c>
      <c r="F151" s="219"/>
      <c r="G151" s="219"/>
      <c r="H151" s="219"/>
      <c r="I151" s="219"/>
      <c r="J151" s="219"/>
      <c r="K151" s="201"/>
      <c r="L151" s="201"/>
      <c r="M151" s="204"/>
      <c r="N151" s="204" t="s">
        <v>665</v>
      </c>
      <c r="O151" s="223"/>
      <c r="P151" s="223"/>
      <c r="Q151" s="204"/>
      <c r="R151" s="204"/>
      <c r="S151" s="193"/>
      <c r="T151" s="193"/>
    </row>
    <row r="152" spans="1:20">
      <c r="A152" s="193"/>
      <c r="B152" s="193"/>
      <c r="C152" s="193"/>
      <c r="D152" s="193"/>
      <c r="E152" s="250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</row>
    <row r="153" spans="1:20">
      <c r="A153" s="193"/>
      <c r="B153" s="294" t="s">
        <v>665</v>
      </c>
      <c r="C153" s="295" t="str">
        <f>C1</f>
        <v>For the 12 months ended 12/31/02</v>
      </c>
      <c r="D153" s="296"/>
      <c r="E153" s="197" t="s">
        <v>11</v>
      </c>
      <c r="F153" s="195"/>
      <c r="G153" s="195"/>
      <c r="H153" s="296"/>
      <c r="I153" s="297"/>
      <c r="J153" s="297"/>
      <c r="K153" s="193"/>
      <c r="M153" s="295"/>
      <c r="N153" s="295"/>
      <c r="O153" s="193"/>
      <c r="P153" s="165" t="str">
        <f>+P104</f>
        <v>Basin Electric Power Cooperative</v>
      </c>
      <c r="Q153" s="298" t="s">
        <v>43</v>
      </c>
      <c r="S153" s="193"/>
      <c r="T153" s="193"/>
    </row>
    <row r="154" spans="1:20">
      <c r="A154" s="193"/>
      <c r="B154" s="193"/>
      <c r="C154" s="296" t="s">
        <v>665</v>
      </c>
      <c r="D154" s="299"/>
      <c r="E154" s="202" t="s">
        <v>1002</v>
      </c>
      <c r="F154" s="203"/>
      <c r="G154" s="203"/>
      <c r="H154" s="299"/>
      <c r="I154" s="297"/>
      <c r="J154" s="297"/>
      <c r="K154" s="297"/>
      <c r="L154" s="297"/>
      <c r="M154" s="300"/>
      <c r="N154" s="193"/>
      <c r="O154" s="193"/>
      <c r="P154" s="165"/>
      <c r="Q154" s="193"/>
      <c r="R154" s="193"/>
      <c r="S154" s="193"/>
      <c r="T154" s="193"/>
    </row>
    <row r="155" spans="1:20">
      <c r="A155" s="193"/>
      <c r="B155" s="193"/>
      <c r="C155" s="297"/>
      <c r="D155" s="297"/>
      <c r="E155" s="206" t="s">
        <v>1003</v>
      </c>
      <c r="F155" s="207"/>
      <c r="G155" s="207"/>
      <c r="H155" s="297"/>
      <c r="I155" s="297"/>
      <c r="J155" s="297"/>
      <c r="K155" s="297"/>
      <c r="L155" s="297"/>
      <c r="M155" s="300"/>
      <c r="N155" s="193"/>
      <c r="O155" s="193"/>
      <c r="P155" s="193"/>
      <c r="Q155" s="193"/>
      <c r="R155" s="193"/>
      <c r="S155" s="193"/>
      <c r="T155" s="193"/>
    </row>
    <row r="156" spans="1:20">
      <c r="A156" s="193"/>
      <c r="B156" s="193"/>
      <c r="C156" s="193"/>
      <c r="D156" s="193"/>
      <c r="E156" s="295"/>
      <c r="F156" s="295"/>
      <c r="G156" s="295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</row>
    <row r="157" spans="1:20">
      <c r="A157" s="193"/>
      <c r="B157" s="193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</row>
    <row r="158" spans="1:20" ht="13.5" customHeight="1">
      <c r="A158" s="301" t="s">
        <v>665</v>
      </c>
      <c r="B158" s="301" t="s">
        <v>665</v>
      </c>
      <c r="C158" s="301"/>
      <c r="D158" s="301"/>
      <c r="E158" s="302"/>
      <c r="F158" s="30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</row>
    <row r="159" spans="1:20" ht="15.75">
      <c r="A159" s="301" t="s">
        <v>665</v>
      </c>
      <c r="B159" s="304"/>
      <c r="C159" s="301" t="s">
        <v>640</v>
      </c>
      <c r="D159" s="304"/>
      <c r="E159" s="193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</row>
    <row r="160" spans="1:20" ht="14.25" customHeight="1">
      <c r="A160" s="302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</row>
    <row r="161" spans="1:20" ht="16.5" thickBot="1">
      <c r="A161" s="193"/>
      <c r="B161" s="193"/>
      <c r="C161" s="305" t="s">
        <v>641</v>
      </c>
      <c r="D161" s="305"/>
      <c r="E161" s="306"/>
      <c r="F161" s="307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</row>
    <row r="162" spans="1:20" ht="16.5" thickTop="1">
      <c r="A162" s="193"/>
      <c r="B162" s="306"/>
      <c r="C162" s="306"/>
      <c r="D162" s="306"/>
      <c r="E162" s="306"/>
      <c r="F162" s="307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</row>
    <row r="163" spans="1:20">
      <c r="A163" s="308" t="s">
        <v>665</v>
      </c>
      <c r="B163" s="308"/>
      <c r="C163" s="309" t="s">
        <v>672</v>
      </c>
      <c r="D163" s="309" t="s">
        <v>673</v>
      </c>
      <c r="E163" s="309" t="s">
        <v>674</v>
      </c>
      <c r="F163" s="308"/>
      <c r="G163" s="309" t="s">
        <v>675</v>
      </c>
      <c r="H163" s="193"/>
      <c r="I163" s="193"/>
      <c r="K163" s="193"/>
      <c r="L163" s="309" t="s">
        <v>676</v>
      </c>
      <c r="M163" s="193"/>
      <c r="N163" s="309" t="s">
        <v>1012</v>
      </c>
      <c r="O163" s="309" t="s">
        <v>1013</v>
      </c>
      <c r="P163" s="309" t="s">
        <v>1014</v>
      </c>
      <c r="Q163" s="309" t="s">
        <v>1015</v>
      </c>
      <c r="R163" s="310"/>
      <c r="S163" s="310"/>
      <c r="T163" s="222"/>
    </row>
    <row r="164" spans="1:20">
      <c r="A164" s="311"/>
      <c r="B164" s="193"/>
      <c r="C164" s="312" t="s">
        <v>44</v>
      </c>
      <c r="D164" s="312"/>
      <c r="E164" s="311"/>
      <c r="F164" s="311"/>
      <c r="G164" s="311"/>
      <c r="H164" s="193"/>
      <c r="I164" s="193"/>
      <c r="K164" s="193"/>
      <c r="L164" s="311" t="s">
        <v>665</v>
      </c>
      <c r="M164" s="193"/>
      <c r="N164" s="313" t="s">
        <v>1004</v>
      </c>
      <c r="O164" s="313" t="s">
        <v>1005</v>
      </c>
      <c r="P164" s="263" t="str">
        <f>P109</f>
        <v>Common Use</v>
      </c>
      <c r="Q164" s="263" t="s">
        <v>797</v>
      </c>
      <c r="R164" s="314"/>
      <c r="S164" s="310"/>
      <c r="T164" s="222"/>
    </row>
    <row r="165" spans="1:20">
      <c r="A165" s="315" t="s">
        <v>45</v>
      </c>
      <c r="B165" s="311"/>
      <c r="C165" s="311"/>
      <c r="D165" s="311"/>
      <c r="E165" s="316" t="s">
        <v>882</v>
      </c>
      <c r="F165" s="193"/>
      <c r="G165" s="317" t="s">
        <v>670</v>
      </c>
      <c r="H165" s="193"/>
      <c r="I165" s="193"/>
      <c r="K165" s="193"/>
      <c r="L165" s="317" t="s">
        <v>46</v>
      </c>
      <c r="M165" s="193"/>
      <c r="N165" s="318" t="s">
        <v>678</v>
      </c>
      <c r="O165" s="318" t="s">
        <v>678</v>
      </c>
      <c r="P165" s="318" t="s">
        <v>678</v>
      </c>
      <c r="Q165" s="318" t="s">
        <v>678</v>
      </c>
      <c r="R165" s="314"/>
      <c r="S165" s="310"/>
      <c r="T165" s="222"/>
    </row>
    <row r="166" spans="1:20">
      <c r="A166" s="319" t="s">
        <v>877</v>
      </c>
      <c r="B166" s="193"/>
      <c r="C166" s="311" t="s">
        <v>47</v>
      </c>
      <c r="D166" s="311"/>
      <c r="E166" s="320">
        <v>27602827.879999999</v>
      </c>
      <c r="F166" s="193"/>
      <c r="K166" s="193"/>
      <c r="M166" s="193"/>
      <c r="N166" s="311"/>
      <c r="O166" s="311"/>
      <c r="P166" s="311"/>
      <c r="Q166" s="311"/>
      <c r="R166" s="321"/>
      <c r="S166" s="222"/>
      <c r="T166" s="222"/>
    </row>
    <row r="167" spans="1:20">
      <c r="A167" s="319" t="s">
        <v>884</v>
      </c>
      <c r="B167" s="193"/>
      <c r="C167" s="311" t="s">
        <v>48</v>
      </c>
      <c r="D167" s="311"/>
      <c r="E167" s="320">
        <f>2905464.82-2761748.26</f>
        <v>143716.56000000006</v>
      </c>
      <c r="F167" s="193"/>
      <c r="K167" s="193"/>
      <c r="M167" s="193"/>
      <c r="N167" s="322">
        <f>E167+E188</f>
        <v>2637824.202815623</v>
      </c>
      <c r="O167" s="322">
        <f>E168+E189</f>
        <v>284769.95</v>
      </c>
      <c r="P167" s="322">
        <f>E190</f>
        <v>129093.00551304994</v>
      </c>
      <c r="Q167" s="322">
        <f>E191</f>
        <v>138547.61167132779</v>
      </c>
      <c r="R167" s="323" t="s">
        <v>665</v>
      </c>
      <c r="S167" s="323"/>
      <c r="T167" s="324"/>
    </row>
    <row r="168" spans="1:20">
      <c r="A168" s="319" t="s">
        <v>49</v>
      </c>
      <c r="B168" s="193"/>
      <c r="C168" s="311" t="s">
        <v>50</v>
      </c>
      <c r="D168" s="311"/>
      <c r="E168" s="320">
        <v>284769.95</v>
      </c>
      <c r="F168" s="193"/>
      <c r="K168" s="193"/>
      <c r="M168" s="193"/>
      <c r="N168" s="311" t="s">
        <v>665</v>
      </c>
      <c r="O168" s="311"/>
      <c r="P168" s="311"/>
      <c r="Q168" s="311"/>
      <c r="R168" s="325" t="s">
        <v>665</v>
      </c>
      <c r="S168" s="324"/>
      <c r="T168" s="222"/>
    </row>
    <row r="169" spans="1:20">
      <c r="A169" s="319">
        <v>4</v>
      </c>
      <c r="B169" s="193"/>
      <c r="C169" s="311" t="s">
        <v>51</v>
      </c>
      <c r="D169" s="311"/>
      <c r="E169" s="320">
        <v>2761748.26</v>
      </c>
      <c r="F169" s="193"/>
      <c r="K169" s="193"/>
      <c r="M169" s="193"/>
      <c r="N169" s="322" t="s">
        <v>665</v>
      </c>
      <c r="O169" s="311"/>
      <c r="P169" s="311"/>
      <c r="Q169" s="311"/>
      <c r="R169" s="321"/>
      <c r="S169" s="324"/>
      <c r="T169" s="222"/>
    </row>
    <row r="170" spans="1:20">
      <c r="A170" s="319">
        <v>5</v>
      </c>
      <c r="B170" s="193"/>
      <c r="C170" s="311" t="s">
        <v>52</v>
      </c>
      <c r="D170" s="311"/>
      <c r="E170" s="320">
        <v>0</v>
      </c>
      <c r="F170" s="193"/>
      <c r="K170" s="193"/>
      <c r="M170" s="193"/>
      <c r="N170" s="311"/>
      <c r="O170" s="311"/>
      <c r="P170" s="311"/>
      <c r="Q170" s="311"/>
      <c r="R170" s="321"/>
      <c r="S170" s="222"/>
      <c r="T170" s="222"/>
    </row>
    <row r="171" spans="1:20">
      <c r="A171" s="319">
        <v>6</v>
      </c>
      <c r="B171" s="193"/>
      <c r="C171" s="311" t="s">
        <v>797</v>
      </c>
      <c r="D171" s="311"/>
      <c r="E171" s="326">
        <v>0</v>
      </c>
      <c r="F171" s="193"/>
      <c r="K171" s="193"/>
      <c r="M171" s="193"/>
      <c r="N171" s="311"/>
      <c r="O171" s="311"/>
      <c r="P171" s="311"/>
      <c r="Q171" s="311"/>
      <c r="R171" s="321"/>
      <c r="S171" s="327"/>
      <c r="T171" s="222"/>
    </row>
    <row r="172" spans="1:20">
      <c r="A172" s="319">
        <v>7</v>
      </c>
      <c r="B172" s="311"/>
      <c r="C172" s="311" t="s">
        <v>53</v>
      </c>
      <c r="D172" s="311"/>
      <c r="E172" s="328">
        <f>SUM(E166:E171)</f>
        <v>30793062.649999999</v>
      </c>
      <c r="F172" s="193"/>
      <c r="G172" s="315" t="s">
        <v>785</v>
      </c>
      <c r="H172" s="193" t="s">
        <v>54</v>
      </c>
      <c r="I172" s="193"/>
      <c r="K172" s="193"/>
      <c r="L172" s="245">
        <f>(E167+E168+E169)/E172</f>
        <v>0.10360238623422539</v>
      </c>
      <c r="M172" s="193"/>
      <c r="N172" s="329">
        <f>N167/$E$172</f>
        <v>8.5662937551800267E-2</v>
      </c>
      <c r="O172" s="329">
        <f>O167/$E$172</f>
        <v>9.2478605729073207E-3</v>
      </c>
      <c r="P172" s="329">
        <f>P167/E172</f>
        <v>4.1922756102680146E-3</v>
      </c>
      <c r="Q172" s="329">
        <f>Q167/E172</f>
        <v>4.4993124992498204E-3</v>
      </c>
      <c r="R172" s="327"/>
      <c r="S172" s="327"/>
      <c r="T172" s="330"/>
    </row>
    <row r="173" spans="1:20">
      <c r="A173" s="319"/>
      <c r="B173" s="311"/>
      <c r="C173" s="311"/>
      <c r="D173" s="311"/>
      <c r="E173" s="322" t="s">
        <v>665</v>
      </c>
      <c r="F173" s="311"/>
      <c r="G173" s="315"/>
      <c r="H173" s="193"/>
      <c r="I173" s="193"/>
      <c r="J173" s="315"/>
      <c r="K173" s="193"/>
      <c r="L173" s="193"/>
      <c r="M173" s="193"/>
      <c r="N173" s="254" t="s">
        <v>55</v>
      </c>
      <c r="O173" s="254" t="s">
        <v>56</v>
      </c>
      <c r="P173" s="254"/>
      <c r="Q173" s="254" t="s">
        <v>55</v>
      </c>
      <c r="R173" s="331"/>
      <c r="S173" s="331"/>
      <c r="T173" s="222"/>
    </row>
    <row r="174" spans="1:20">
      <c r="A174" s="311"/>
      <c r="B174" s="311"/>
      <c r="C174" s="311"/>
      <c r="D174" s="311"/>
      <c r="E174" s="322" t="s">
        <v>665</v>
      </c>
      <c r="F174" s="311"/>
      <c r="G174" s="308" t="s">
        <v>665</v>
      </c>
      <c r="H174" s="193"/>
      <c r="I174" s="311" t="s">
        <v>665</v>
      </c>
      <c r="J174" s="193"/>
      <c r="K174" s="193"/>
      <c r="L174" s="193"/>
      <c r="M174" s="193"/>
      <c r="N174" s="254" t="s">
        <v>665</v>
      </c>
      <c r="O174" s="254" t="s">
        <v>665</v>
      </c>
      <c r="P174" s="254"/>
      <c r="Q174" s="254" t="s">
        <v>665</v>
      </c>
      <c r="R174" s="331"/>
      <c r="S174" s="222"/>
      <c r="T174" s="222"/>
    </row>
    <row r="175" spans="1:20">
      <c r="A175" s="193"/>
      <c r="B175" s="193"/>
      <c r="C175" s="193"/>
      <c r="D175" s="193"/>
      <c r="E175" s="273" t="s">
        <v>665</v>
      </c>
      <c r="F175" s="193"/>
      <c r="G175" s="308" t="s">
        <v>20</v>
      </c>
      <c r="H175" s="193" t="s">
        <v>57</v>
      </c>
      <c r="I175" s="193"/>
      <c r="J175" s="193"/>
      <c r="K175" s="193"/>
      <c r="L175" s="193"/>
      <c r="M175" s="193"/>
      <c r="N175" s="329">
        <f>N167/($E$167+$E$168+E169)</f>
        <v>0.8268432867765475</v>
      </c>
      <c r="O175" s="329">
        <f>O167/($E$167+$E$168+E169)</f>
        <v>8.926300743691036E-2</v>
      </c>
      <c r="P175" s="329">
        <f>P167/($E$167+$E$168+E169)</f>
        <v>4.0465048756599793E-2</v>
      </c>
      <c r="Q175" s="329">
        <f>Q167/($E$167+$E$168+E169)</f>
        <v>4.3428657029942593E-2</v>
      </c>
      <c r="R175" s="327"/>
      <c r="S175" s="327"/>
      <c r="T175" s="330"/>
    </row>
    <row r="176" spans="1:20">
      <c r="A176" s="193"/>
      <c r="B176" s="193"/>
      <c r="C176" s="193"/>
      <c r="D176" s="193"/>
      <c r="E176" s="193"/>
      <c r="F176" s="193"/>
      <c r="G176" s="260"/>
      <c r="H176" s="193"/>
      <c r="I176" s="193"/>
      <c r="J176" s="193"/>
      <c r="K176" s="193"/>
      <c r="L176" s="193"/>
      <c r="M176" s="193"/>
      <c r="N176" s="298" t="s">
        <v>58</v>
      </c>
      <c r="O176" s="298" t="s">
        <v>58</v>
      </c>
      <c r="P176" s="298"/>
      <c r="Q176" s="298" t="s">
        <v>58</v>
      </c>
      <c r="R176" s="332"/>
      <c r="S176" s="332"/>
      <c r="T176" s="222"/>
    </row>
    <row r="177" spans="1:20" ht="13.5" thickBot="1">
      <c r="A177" s="311" t="s">
        <v>665</v>
      </c>
      <c r="B177" s="193"/>
      <c r="C177" s="305" t="s">
        <v>59</v>
      </c>
      <c r="D177" s="333"/>
      <c r="E177" s="321"/>
      <c r="F177" s="321"/>
      <c r="G177" s="334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222"/>
      <c r="S177" s="222"/>
      <c r="T177" s="222"/>
    </row>
    <row r="178" spans="1:20" ht="13.5" thickTop="1">
      <c r="A178" s="311" t="s">
        <v>665</v>
      </c>
      <c r="B178" s="311"/>
      <c r="C178" s="311"/>
      <c r="D178" s="311"/>
      <c r="E178" s="311"/>
      <c r="F178" s="311"/>
      <c r="G178" s="334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222"/>
      <c r="S178" s="222"/>
      <c r="T178" s="222"/>
    </row>
    <row r="179" spans="1:20">
      <c r="A179" s="319">
        <f>A172+1</f>
        <v>8</v>
      </c>
      <c r="B179" s="193"/>
      <c r="C179" s="335" t="s">
        <v>60</v>
      </c>
      <c r="D179" s="335"/>
      <c r="E179" s="320">
        <f>N76+N79+N82</f>
        <v>185284966.3789241</v>
      </c>
      <c r="F179" s="335"/>
      <c r="G179" s="334"/>
      <c r="H179" s="273" t="s">
        <v>665</v>
      </c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</row>
    <row r="180" spans="1:20">
      <c r="A180" s="319">
        <f t="shared" ref="A180:A192" si="3">A179+1</f>
        <v>9</v>
      </c>
      <c r="B180" s="193"/>
      <c r="C180" s="335" t="s">
        <v>61</v>
      </c>
      <c r="D180" s="335"/>
      <c r="E180" s="325">
        <f>O76+O79+O82</f>
        <v>52318968.953198656</v>
      </c>
      <c r="F180" s="335"/>
      <c r="G180" s="334"/>
      <c r="H180" s="273" t="s">
        <v>665</v>
      </c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</row>
    <row r="181" spans="1:20">
      <c r="A181" s="319">
        <f t="shared" si="3"/>
        <v>10</v>
      </c>
      <c r="B181" s="193"/>
      <c r="C181" s="335" t="s">
        <v>62</v>
      </c>
      <c r="D181" s="335"/>
      <c r="E181" s="325">
        <f>P76+P79+P82</f>
        <v>9590200.8299999982</v>
      </c>
      <c r="F181" s="335"/>
      <c r="G181" s="334"/>
      <c r="H181" s="273" t="s">
        <v>725</v>
      </c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</row>
    <row r="182" spans="1:20">
      <c r="A182" s="319">
        <f t="shared" si="3"/>
        <v>11</v>
      </c>
      <c r="B182" s="193"/>
      <c r="C182" s="335" t="s">
        <v>63</v>
      </c>
      <c r="D182" s="335"/>
      <c r="E182" s="326">
        <f>Q76+Q79+Q82</f>
        <v>10292574.839080399</v>
      </c>
      <c r="F182" s="335"/>
      <c r="G182" s="334"/>
      <c r="H182" s="273" t="s">
        <v>665</v>
      </c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</row>
    <row r="183" spans="1:20">
      <c r="A183" s="319">
        <f t="shared" si="3"/>
        <v>12</v>
      </c>
      <c r="B183" s="193"/>
      <c r="C183" s="335" t="s">
        <v>64</v>
      </c>
      <c r="D183" s="335"/>
      <c r="E183" s="322">
        <f>SUM(E179:E182)</f>
        <v>257486711.00120312</v>
      </c>
      <c r="F183" s="335"/>
      <c r="G183" s="334"/>
      <c r="H183" s="273" t="s">
        <v>665</v>
      </c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</row>
    <row r="184" spans="1:20">
      <c r="A184" s="319">
        <f t="shared" si="3"/>
        <v>13</v>
      </c>
      <c r="B184" s="193"/>
      <c r="C184" s="335" t="s">
        <v>70</v>
      </c>
      <c r="D184" s="335"/>
      <c r="E184" s="193"/>
      <c r="F184" s="335"/>
      <c r="G184" s="315" t="s">
        <v>71</v>
      </c>
      <c r="H184" s="261" t="s">
        <v>665</v>
      </c>
      <c r="I184" s="193"/>
      <c r="J184" s="329">
        <f>E179/E183</f>
        <v>0.71959040394150031</v>
      </c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</row>
    <row r="185" spans="1:20">
      <c r="A185" s="319">
        <f t="shared" si="3"/>
        <v>14</v>
      </c>
      <c r="B185" s="193"/>
      <c r="C185" s="335" t="s">
        <v>72</v>
      </c>
      <c r="D185" s="335"/>
      <c r="E185" s="325"/>
      <c r="F185" s="335"/>
      <c r="G185" s="315" t="s">
        <v>73</v>
      </c>
      <c r="H185" s="322" t="s">
        <v>665</v>
      </c>
      <c r="I185" s="193"/>
      <c r="J185" s="329">
        <f>E180/E183</f>
        <v>0.20319094818432859</v>
      </c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</row>
    <row r="186" spans="1:20">
      <c r="A186" s="319">
        <f t="shared" si="3"/>
        <v>15</v>
      </c>
      <c r="B186" s="193"/>
      <c r="C186" s="335" t="s">
        <v>74</v>
      </c>
      <c r="D186" s="335"/>
      <c r="E186" s="193"/>
      <c r="F186" s="335"/>
      <c r="G186" s="315" t="s">
        <v>75</v>
      </c>
      <c r="H186" s="193"/>
      <c r="I186" s="193"/>
      <c r="J186" s="329">
        <f>E181/E183</f>
        <v>3.7245420521741748E-2</v>
      </c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</row>
    <row r="187" spans="1:20">
      <c r="A187" s="319">
        <f t="shared" si="3"/>
        <v>16</v>
      </c>
      <c r="B187" s="193"/>
      <c r="C187" s="335" t="s">
        <v>76</v>
      </c>
      <c r="D187" s="335"/>
      <c r="E187" s="193"/>
      <c r="F187" s="335"/>
      <c r="G187" s="315" t="s">
        <v>77</v>
      </c>
      <c r="H187" s="193"/>
      <c r="I187" s="193"/>
      <c r="J187" s="329">
        <f>E182/E183</f>
        <v>3.9973227352429488E-2</v>
      </c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</row>
    <row r="188" spans="1:20">
      <c r="A188" s="319">
        <f t="shared" si="3"/>
        <v>17</v>
      </c>
      <c r="B188" s="193"/>
      <c r="C188" s="335" t="s">
        <v>107</v>
      </c>
      <c r="D188" s="335"/>
      <c r="E188" s="322">
        <f>E169*E179/(E183-E180)</f>
        <v>2494107.642815623</v>
      </c>
      <c r="F188" s="335"/>
      <c r="G188" s="334" t="s">
        <v>665</v>
      </c>
      <c r="I188" s="193"/>
      <c r="J188" s="245" t="s">
        <v>665</v>
      </c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</row>
    <row r="189" spans="1:20">
      <c r="A189" s="319">
        <f t="shared" si="3"/>
        <v>18</v>
      </c>
      <c r="B189" s="193"/>
      <c r="C189" s="335" t="s">
        <v>78</v>
      </c>
      <c r="D189" s="335"/>
      <c r="E189" s="322">
        <v>0</v>
      </c>
      <c r="F189" s="335"/>
      <c r="G189" s="336"/>
      <c r="H189" s="273" t="s">
        <v>665</v>
      </c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</row>
    <row r="190" spans="1:20">
      <c r="A190" s="319">
        <f t="shared" si="3"/>
        <v>19</v>
      </c>
      <c r="B190" s="193"/>
      <c r="C190" s="335" t="s">
        <v>79</v>
      </c>
      <c r="D190" s="335"/>
      <c r="E190" s="322">
        <f>E169*E181/(E183-E180)</f>
        <v>129093.00551304994</v>
      </c>
      <c r="F190" s="335"/>
      <c r="G190" s="337" t="s">
        <v>665</v>
      </c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</row>
    <row r="191" spans="1:20">
      <c r="A191" s="319">
        <f t="shared" si="3"/>
        <v>20</v>
      </c>
      <c r="B191" s="193"/>
      <c r="C191" s="335" t="s">
        <v>80</v>
      </c>
      <c r="D191" s="335"/>
      <c r="E191" s="338">
        <f>E169*E182/(E183-E180)</f>
        <v>138547.61167132779</v>
      </c>
      <c r="F191" s="335"/>
      <c r="G191" s="337" t="s">
        <v>665</v>
      </c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</row>
    <row r="192" spans="1:20">
      <c r="A192" s="319">
        <f t="shared" si="3"/>
        <v>21</v>
      </c>
      <c r="B192" s="193"/>
      <c r="C192" s="193" t="s">
        <v>81</v>
      </c>
      <c r="D192" s="193"/>
      <c r="E192" s="339">
        <f>SUM(E188:E191)</f>
        <v>2761748.2600000007</v>
      </c>
      <c r="F192" s="193"/>
      <c r="G192" s="260"/>
      <c r="H192" s="193" t="s">
        <v>82</v>
      </c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</row>
    <row r="193" spans="1:20">
      <c r="A193" s="260" t="s">
        <v>665</v>
      </c>
      <c r="B193" s="193"/>
      <c r="C193" s="193"/>
      <c r="D193" s="193" t="s">
        <v>665</v>
      </c>
      <c r="E193" s="273"/>
      <c r="F193" s="193"/>
      <c r="G193" s="260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</row>
    <row r="194" spans="1:20">
      <c r="A194" s="193"/>
      <c r="B194" s="193"/>
      <c r="C194" s="193"/>
      <c r="D194" s="193"/>
      <c r="E194" s="193"/>
      <c r="F194" s="193"/>
      <c r="G194" s="193"/>
      <c r="H194" s="260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</row>
    <row r="195" spans="1:20" ht="13.5" thickBot="1">
      <c r="A195" s="193"/>
      <c r="B195" s="193"/>
      <c r="C195" s="576" t="s">
        <v>643</v>
      </c>
      <c r="D195" s="193"/>
      <c r="E195" s="193"/>
      <c r="F195" s="193"/>
      <c r="G195" s="260"/>
      <c r="H195" s="193"/>
      <c r="I195" s="193"/>
      <c r="J195" s="193"/>
      <c r="K195" s="193"/>
      <c r="L195" s="193"/>
      <c r="N195" s="193"/>
      <c r="O195" s="193"/>
      <c r="P195" s="193"/>
      <c r="Q195" s="193"/>
      <c r="R195" s="193"/>
      <c r="S195" s="193"/>
      <c r="T195" s="193"/>
    </row>
    <row r="196" spans="1:20" ht="13.5" thickTop="1">
      <c r="A196" s="186">
        <f>+A192+1</f>
        <v>22</v>
      </c>
      <c r="C196" s="573" t="s">
        <v>645</v>
      </c>
      <c r="G196" s="574" t="s">
        <v>685</v>
      </c>
      <c r="K196" s="193"/>
      <c r="L196" s="193"/>
      <c r="N196" s="193"/>
      <c r="O196" s="193"/>
      <c r="P196" s="193"/>
      <c r="Q196" s="193"/>
      <c r="R196" s="193"/>
      <c r="S196" s="193"/>
      <c r="T196" s="193"/>
    </row>
    <row r="197" spans="1:20">
      <c r="A197" s="186">
        <f>+A196+1</f>
        <v>23</v>
      </c>
      <c r="C197" s="573" t="s">
        <v>646</v>
      </c>
      <c r="G197" s="574" t="s">
        <v>1022</v>
      </c>
    </row>
    <row r="198" spans="1:20">
      <c r="A198" s="186">
        <f>+A197+1</f>
        <v>24</v>
      </c>
      <c r="C198" s="573" t="s">
        <v>994</v>
      </c>
      <c r="D198" s="286" t="s">
        <v>519</v>
      </c>
      <c r="G198" s="574" t="s">
        <v>711</v>
      </c>
    </row>
    <row r="199" spans="1:20">
      <c r="A199" s="186">
        <f>+A198+1</f>
        <v>25</v>
      </c>
      <c r="C199" s="573" t="s">
        <v>644</v>
      </c>
      <c r="D199" s="286" t="s">
        <v>520</v>
      </c>
      <c r="G199" s="574" t="s">
        <v>705</v>
      </c>
    </row>
    <row r="200" spans="1:20">
      <c r="A200" s="186">
        <f>+A199+1</f>
        <v>26</v>
      </c>
      <c r="C200" s="573" t="s">
        <v>647</v>
      </c>
      <c r="G200" s="574" t="s">
        <v>446</v>
      </c>
    </row>
    <row r="203" spans="1:20">
      <c r="A203" s="186"/>
    </row>
    <row r="204" spans="1:20">
      <c r="A204" s="193"/>
      <c r="B204" s="295" t="s">
        <v>650</v>
      </c>
      <c r="C204" s="193"/>
      <c r="D204" s="193"/>
      <c r="E204" s="193"/>
      <c r="F204" s="193"/>
      <c r="G204" s="193"/>
      <c r="H204" s="193"/>
      <c r="I204" s="193"/>
      <c r="J204" s="193"/>
    </row>
    <row r="205" spans="1:20">
      <c r="C205" s="761" t="s">
        <v>538</v>
      </c>
      <c r="E205" s="132"/>
    </row>
    <row r="206" spans="1:20">
      <c r="E206" s="759" t="s">
        <v>887</v>
      </c>
      <c r="F206" s="760"/>
      <c r="G206" s="760" t="s">
        <v>749</v>
      </c>
      <c r="H206" s="760" t="s">
        <v>748</v>
      </c>
      <c r="I206" s="760"/>
      <c r="J206" s="760" t="s">
        <v>750</v>
      </c>
    </row>
    <row r="207" spans="1:20">
      <c r="A207" s="186">
        <f>+A200+1</f>
        <v>27</v>
      </c>
      <c r="C207" s="573" t="s">
        <v>642</v>
      </c>
      <c r="E207" s="132">
        <v>1212599</v>
      </c>
      <c r="F207" s="340"/>
      <c r="G207" s="147">
        <f>+E207/E209</f>
        <v>0.64570734193176671</v>
      </c>
      <c r="H207" s="147">
        <v>5.4699999999999999E-2</v>
      </c>
      <c r="J207" s="147">
        <f>+H207*G207</f>
        <v>3.5320191603667637E-2</v>
      </c>
    </row>
    <row r="208" spans="1:20">
      <c r="A208" s="186">
        <f>+A207+1</f>
        <v>28</v>
      </c>
      <c r="C208" s="158" t="s">
        <v>85</v>
      </c>
      <c r="D208" s="278"/>
      <c r="E208" s="132">
        <v>665340</v>
      </c>
      <c r="F208" s="340"/>
      <c r="G208" s="147">
        <f>+E208/E209</f>
        <v>0.35429265806823329</v>
      </c>
      <c r="H208" s="147">
        <v>0.1085</v>
      </c>
      <c r="J208" s="147">
        <f>+H208*G208</f>
        <v>3.8440753400403309E-2</v>
      </c>
    </row>
    <row r="209" spans="1:10">
      <c r="A209" s="186">
        <f>+A208+1</f>
        <v>29</v>
      </c>
      <c r="C209" s="158" t="s">
        <v>86</v>
      </c>
      <c r="E209" s="132">
        <f>+E208+E207</f>
        <v>1877939</v>
      </c>
      <c r="G209" s="125">
        <f>+G208+G207</f>
        <v>1</v>
      </c>
      <c r="J209" s="147">
        <f>+J208+J207</f>
        <v>7.3760945004070946E-2</v>
      </c>
    </row>
    <row r="210" spans="1:10">
      <c r="A210" s="186"/>
    </row>
    <row r="212" spans="1:10">
      <c r="B212" s="574" t="s">
        <v>649</v>
      </c>
    </row>
    <row r="214" spans="1:10">
      <c r="A214" s="573" t="s">
        <v>753</v>
      </c>
      <c r="C214" s="573" t="s">
        <v>651</v>
      </c>
    </row>
    <row r="215" spans="1:10">
      <c r="A215" s="573" t="s">
        <v>754</v>
      </c>
      <c r="C215" s="577" t="s">
        <v>653</v>
      </c>
    </row>
    <row r="216" spans="1:10">
      <c r="C216" s="577" t="s">
        <v>654</v>
      </c>
    </row>
    <row r="217" spans="1:10">
      <c r="A217" s="573" t="s">
        <v>755</v>
      </c>
      <c r="C217" s="577" t="s">
        <v>655</v>
      </c>
    </row>
    <row r="218" spans="1:10">
      <c r="C218" s="578" t="s">
        <v>792</v>
      </c>
    </row>
    <row r="219" spans="1:10">
      <c r="C219" s="577" t="s">
        <v>656</v>
      </c>
    </row>
    <row r="220" spans="1:10">
      <c r="A220" s="573" t="s">
        <v>756</v>
      </c>
      <c r="C220" s="577" t="s">
        <v>763</v>
      </c>
    </row>
    <row r="221" spans="1:10">
      <c r="C221" s="577" t="s">
        <v>652</v>
      </c>
    </row>
    <row r="222" spans="1:10">
      <c r="C222" s="577" t="s">
        <v>790</v>
      </c>
    </row>
    <row r="223" spans="1:10">
      <c r="B223" s="573"/>
      <c r="C223" s="577"/>
    </row>
  </sheetData>
  <mergeCells count="2">
    <mergeCell ref="G46:H46"/>
    <mergeCell ref="G108:H108"/>
  </mergeCells>
  <phoneticPr fontId="29" type="noConversion"/>
  <pageMargins left="0.25" right="0.25" top="1" bottom="0.5" header="0.5" footer="0.5"/>
  <pageSetup scale="65" orientation="portrait" r:id="rId1"/>
  <headerFooter alignWithMargins="0">
    <oddHeader>&amp;RExhibit No. BBP-8
&amp;P of &amp;N</oddHeader>
  </headerFooter>
  <rowBreaks count="3" manualBreakCount="3">
    <brk id="41" max="16383" man="1"/>
    <brk id="103" max="15" man="1"/>
    <brk id="152" max="15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H37"/>
  <sheetViews>
    <sheetView workbookViewId="0">
      <selection activeCell="G2" sqref="G2:G3"/>
    </sheetView>
  </sheetViews>
  <sheetFormatPr defaultColWidth="7.109375" defaultRowHeight="12.75"/>
  <cols>
    <col min="1" max="1" width="19.33203125" style="158" bestFit="1" customWidth="1"/>
    <col min="2" max="2" width="4.21875" style="158" customWidth="1"/>
    <col min="3" max="4" width="10.88671875" style="158" bestFit="1" customWidth="1"/>
    <col min="5" max="5" width="11" style="158" bestFit="1" customWidth="1"/>
    <col min="6" max="6" width="9.77734375" style="158" bestFit="1" customWidth="1"/>
    <col min="7" max="7" width="7.109375" style="158" customWidth="1"/>
    <col min="8" max="8" width="8" style="158" bestFit="1" customWidth="1"/>
    <col min="9" max="16384" width="7.109375" style="158"/>
  </cols>
  <sheetData>
    <row r="2" spans="1:7">
      <c r="G2" s="588" t="s">
        <v>87</v>
      </c>
    </row>
    <row r="3" spans="1:7">
      <c r="F3" s="574"/>
      <c r="G3" s="588" t="s">
        <v>1023</v>
      </c>
    </row>
    <row r="4" spans="1:7">
      <c r="F4" s="574"/>
    </row>
    <row r="5" spans="1:7" ht="15.75">
      <c r="A5" s="1186" t="s">
        <v>1003</v>
      </c>
      <c r="B5" s="1186"/>
      <c r="C5" s="1186"/>
      <c r="D5" s="1186"/>
      <c r="E5" s="1186"/>
    </row>
    <row r="6" spans="1:7" ht="15">
      <c r="A6" s="1187" t="s">
        <v>497</v>
      </c>
      <c r="B6" s="1188"/>
      <c r="C6" s="1188"/>
      <c r="D6" s="1188"/>
      <c r="E6" s="1188"/>
    </row>
    <row r="9" spans="1:7">
      <c r="C9" s="341" t="s">
        <v>89</v>
      </c>
      <c r="D9" s="342" t="s">
        <v>90</v>
      </c>
      <c r="E9" s="342" t="s">
        <v>90</v>
      </c>
      <c r="F9" s="343" t="s">
        <v>91</v>
      </c>
    </row>
    <row r="10" spans="1:7" ht="13.5" thickBot="1">
      <c r="A10" s="711" t="s">
        <v>92</v>
      </c>
      <c r="B10" s="712"/>
      <c r="C10" s="713" t="s">
        <v>93</v>
      </c>
      <c r="D10" s="713" t="s">
        <v>94</v>
      </c>
      <c r="E10" s="713" t="s">
        <v>95</v>
      </c>
      <c r="F10" s="714" t="s">
        <v>96</v>
      </c>
    </row>
    <row r="11" spans="1:7">
      <c r="A11" s="573" t="s">
        <v>496</v>
      </c>
      <c r="C11" s="344"/>
      <c r="D11" s="344"/>
      <c r="E11" s="344"/>
    </row>
    <row r="12" spans="1:7">
      <c r="A12" s="298" t="s">
        <v>97</v>
      </c>
      <c r="B12" s="193"/>
      <c r="C12" s="345">
        <v>936331.33</v>
      </c>
      <c r="D12" s="345">
        <v>2167.4299999999998</v>
      </c>
      <c r="E12" s="345">
        <f>C12-D12</f>
        <v>934163.89999999991</v>
      </c>
      <c r="F12" s="345">
        <v>2167.4299999999998</v>
      </c>
    </row>
    <row r="13" spans="1:7">
      <c r="A13" s="166" t="s">
        <v>98</v>
      </c>
      <c r="B13" s="346"/>
      <c r="C13" s="345">
        <v>3239390.63</v>
      </c>
      <c r="D13" s="347">
        <v>540040.97</v>
      </c>
      <c r="E13" s="348">
        <f>C13-D13</f>
        <v>2699349.66</v>
      </c>
      <c r="F13" s="347">
        <v>88590.5</v>
      </c>
    </row>
    <row r="14" spans="1:7">
      <c r="A14" s="166" t="s">
        <v>99</v>
      </c>
      <c r="B14" s="346"/>
      <c r="C14" s="345">
        <v>4073116.79</v>
      </c>
      <c r="D14" s="347">
        <v>963433.62</v>
      </c>
      <c r="E14" s="348">
        <f>C14-D14</f>
        <v>3109683.17</v>
      </c>
      <c r="F14" s="347">
        <v>108210.66</v>
      </c>
    </row>
    <row r="15" spans="1:7">
      <c r="A15" s="166" t="s">
        <v>100</v>
      </c>
      <c r="B15" s="346"/>
      <c r="C15" s="345">
        <v>2963707.38</v>
      </c>
      <c r="D15" s="347">
        <v>465749.2</v>
      </c>
      <c r="E15" s="347">
        <f>C15-D15</f>
        <v>2497958.1799999997</v>
      </c>
      <c r="F15" s="347">
        <v>76983.48</v>
      </c>
    </row>
    <row r="16" spans="1:7">
      <c r="A16" s="166"/>
      <c r="B16" s="346"/>
      <c r="C16" s="345">
        <f>SUM(C12:C15)</f>
        <v>11212546.129999999</v>
      </c>
      <c r="D16" s="345">
        <f>SUM(D12:D15)</f>
        <v>1971391.22</v>
      </c>
      <c r="E16" s="345">
        <f>SUM(E12:E15)</f>
        <v>9241154.9100000001</v>
      </c>
      <c r="F16" s="345">
        <f>SUM(F12:F15)</f>
        <v>275952.07</v>
      </c>
    </row>
    <row r="17" spans="1:8" ht="13.5" thickBot="1">
      <c r="A17" s="715" t="s">
        <v>101</v>
      </c>
      <c r="B17" s="715" t="s">
        <v>521</v>
      </c>
      <c r="C17" s="716"/>
      <c r="D17" s="716">
        <v>-98532</v>
      </c>
      <c r="E17" s="716"/>
      <c r="F17" s="716"/>
      <c r="H17" s="259"/>
    </row>
    <row r="18" spans="1:8">
      <c r="A18" s="166" t="s">
        <v>102</v>
      </c>
      <c r="C18" s="349">
        <f>+C16</f>
        <v>11212546.129999999</v>
      </c>
      <c r="D18" s="349">
        <f>+D16+D17</f>
        <v>1872859.22</v>
      </c>
      <c r="E18" s="349">
        <f>+C18-D18</f>
        <v>9339686.9099999983</v>
      </c>
      <c r="F18" s="349">
        <f>+F16</f>
        <v>275952.07</v>
      </c>
      <c r="H18" s="259"/>
    </row>
    <row r="19" spans="1:8">
      <c r="C19" s="349"/>
      <c r="D19" s="349"/>
      <c r="E19" s="349"/>
      <c r="F19" s="349"/>
    </row>
    <row r="21" spans="1:8">
      <c r="A21" s="158" t="s">
        <v>103</v>
      </c>
    </row>
    <row r="22" spans="1:8">
      <c r="A22" s="166" t="s">
        <v>104</v>
      </c>
      <c r="B22" s="166"/>
      <c r="C22" s="350">
        <v>2039742.56</v>
      </c>
      <c r="D22" s="349">
        <v>1366558.4359369336</v>
      </c>
      <c r="E22" s="350">
        <f>+C22-D22</f>
        <v>673184.12406306644</v>
      </c>
      <c r="F22" s="349">
        <v>63613.11040324792</v>
      </c>
    </row>
    <row r="23" spans="1:8">
      <c r="A23" s="166" t="s">
        <v>105</v>
      </c>
      <c r="B23" s="166"/>
      <c r="C23" s="350">
        <v>18989385.850000001</v>
      </c>
      <c r="D23" s="349">
        <v>9000780.5800000001</v>
      </c>
      <c r="E23" s="350">
        <f>+C23-D23</f>
        <v>9988605.2700000014</v>
      </c>
      <c r="F23" s="349">
        <v>527716.06999999995</v>
      </c>
    </row>
    <row r="24" spans="1:8">
      <c r="A24" s="166" t="str">
        <f>+'BEPC ATRR'!P47</f>
        <v>Common Use</v>
      </c>
      <c r="B24" s="166"/>
      <c r="C24" s="350">
        <v>426659</v>
      </c>
      <c r="D24" s="349">
        <v>176145.08</v>
      </c>
      <c r="E24" s="350">
        <f>+C24-D24</f>
        <v>250513.92000000001</v>
      </c>
      <c r="F24" s="349">
        <v>11742.84</v>
      </c>
    </row>
    <row r="25" spans="1:8" ht="13.5" thickBot="1">
      <c r="A25" s="717" t="s">
        <v>106</v>
      </c>
      <c r="B25" s="717"/>
      <c r="C25" s="718">
        <v>460430.97</v>
      </c>
      <c r="D25" s="719">
        <v>198245.97</v>
      </c>
      <c r="E25" s="718">
        <f>+C25-D25</f>
        <v>262185</v>
      </c>
      <c r="F25" s="719">
        <v>7216</v>
      </c>
    </row>
    <row r="26" spans="1:8">
      <c r="A26" s="166"/>
      <c r="B26" s="166"/>
      <c r="C26" s="350">
        <v>21916218.379999999</v>
      </c>
      <c r="D26" s="349">
        <v>10741730.065936934</v>
      </c>
      <c r="E26" s="350">
        <f>+C26-D26</f>
        <v>11174488.314063065</v>
      </c>
      <c r="F26" s="349">
        <v>610288.02040324779</v>
      </c>
    </row>
    <row r="27" spans="1:8">
      <c r="A27" s="166"/>
      <c r="B27" s="166"/>
      <c r="C27" s="166"/>
      <c r="D27" s="166"/>
      <c r="E27" s="166"/>
      <c r="F27" s="166"/>
    </row>
    <row r="28" spans="1:8" ht="15">
      <c r="A28"/>
      <c r="B28"/>
      <c r="C28"/>
      <c r="D28"/>
      <c r="E28"/>
      <c r="F28"/>
    </row>
    <row r="29" spans="1:8" ht="15">
      <c r="A29"/>
      <c r="B29"/>
      <c r="C29"/>
      <c r="D29"/>
      <c r="E29"/>
      <c r="F29"/>
    </row>
    <row r="30" spans="1:8" ht="15">
      <c r="A30"/>
      <c r="B30"/>
      <c r="C30"/>
      <c r="D30"/>
      <c r="E30"/>
      <c r="F30"/>
    </row>
    <row r="31" spans="1:8" ht="15">
      <c r="A31"/>
      <c r="B31"/>
      <c r="C31"/>
      <c r="D31"/>
      <c r="E31"/>
      <c r="F31"/>
    </row>
    <row r="32" spans="1:8" ht="15">
      <c r="A32"/>
      <c r="B32"/>
      <c r="C32"/>
      <c r="D32"/>
      <c r="E32"/>
      <c r="F32"/>
    </row>
    <row r="33" spans="1:6" ht="15">
      <c r="A33"/>
      <c r="B33"/>
      <c r="C33"/>
      <c r="D33"/>
      <c r="E33"/>
      <c r="F33"/>
    </row>
    <row r="34" spans="1:6" ht="15">
      <c r="A34"/>
      <c r="B34"/>
      <c r="C34"/>
      <c r="D34"/>
      <c r="E34"/>
      <c r="F34"/>
    </row>
    <row r="35" spans="1:6" ht="15">
      <c r="A35"/>
      <c r="B35"/>
      <c r="C35"/>
      <c r="D35"/>
      <c r="E35"/>
      <c r="F35"/>
    </row>
    <row r="36" spans="1:6" ht="15">
      <c r="A36"/>
      <c r="B36"/>
      <c r="C36"/>
      <c r="D36"/>
      <c r="E36"/>
      <c r="F36"/>
    </row>
    <row r="37" spans="1:6" ht="15">
      <c r="A37"/>
      <c r="B37"/>
      <c r="C37"/>
      <c r="D37"/>
      <c r="E37"/>
      <c r="F37"/>
    </row>
  </sheetData>
  <mergeCells count="2">
    <mergeCell ref="A5:E5"/>
    <mergeCell ref="A6:E6"/>
  </mergeCells>
  <phoneticPr fontId="29" type="noConversion"/>
  <printOptions horizontalCentered="1"/>
  <pageMargins left="0.5" right="0.5" top="1" bottom="1" header="0.5" footer="0.5"/>
  <pageSetup scale="19" orientation="portrait" r:id="rId1"/>
  <headerFooter alignWithMargins="0">
    <oddHeader>&amp;RExhibit No. BBP-8
&amp;P of 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G26"/>
  <sheetViews>
    <sheetView topLeftCell="A2" workbookViewId="0">
      <selection activeCell="B30" sqref="B30"/>
    </sheetView>
  </sheetViews>
  <sheetFormatPr defaultColWidth="7.109375" defaultRowHeight="12.75"/>
  <cols>
    <col min="1" max="1" width="4.109375" style="368" customWidth="1"/>
    <col min="2" max="2" width="30.33203125" style="368" customWidth="1"/>
    <col min="3" max="3" width="11.109375" style="508" customWidth="1"/>
    <col min="4" max="16384" width="7.109375" style="368"/>
  </cols>
  <sheetData>
    <row r="2" spans="1:7">
      <c r="G2" s="352" t="s">
        <v>87</v>
      </c>
    </row>
    <row r="3" spans="1:7">
      <c r="G3" s="556" t="s">
        <v>660</v>
      </c>
    </row>
    <row r="5" spans="1:7" ht="15.75">
      <c r="A5" s="1174" t="str">
        <f>+'BEPC Facilities'!A5:E5</f>
        <v>BASIN ELECTRIC POWER COOPERATIVE</v>
      </c>
      <c r="B5" s="1174"/>
      <c r="C5" s="1174"/>
    </row>
    <row r="6" spans="1:7">
      <c r="A6" s="1175" t="s">
        <v>495</v>
      </c>
      <c r="B6" s="1176"/>
      <c r="C6" s="1176"/>
    </row>
    <row r="9" spans="1:7">
      <c r="A9" s="506" t="s">
        <v>483</v>
      </c>
      <c r="C9" s="132"/>
    </row>
    <row r="10" spans="1:7">
      <c r="C10" s="132"/>
    </row>
    <row r="11" spans="1:7">
      <c r="B11" s="599" t="s">
        <v>485</v>
      </c>
      <c r="C11" s="103">
        <v>100000</v>
      </c>
    </row>
    <row r="12" spans="1:7" ht="12.75" customHeight="1">
      <c r="B12" s="599"/>
      <c r="C12" s="103"/>
    </row>
    <row r="13" spans="1:7">
      <c r="B13" s="599" t="s">
        <v>484</v>
      </c>
      <c r="C13" s="103">
        <f>(37000+25000)/3</f>
        <v>20666.666666666668</v>
      </c>
    </row>
    <row r="14" spans="1:7">
      <c r="B14" s="599"/>
      <c r="C14" s="103"/>
    </row>
    <row r="15" spans="1:7">
      <c r="B15" s="599" t="s">
        <v>486</v>
      </c>
      <c r="C15" s="103">
        <v>10000</v>
      </c>
    </row>
    <row r="16" spans="1:7">
      <c r="B16" s="589"/>
      <c r="C16" s="103"/>
    </row>
    <row r="17" spans="1:6" ht="16.5" customHeight="1">
      <c r="B17" s="664" t="s">
        <v>488</v>
      </c>
      <c r="C17" s="665">
        <f>SUM(C11:C16)</f>
        <v>130666.66666666667</v>
      </c>
    </row>
    <row r="18" spans="1:6">
      <c r="A18" s="589"/>
      <c r="B18" s="589"/>
      <c r="C18" s="103"/>
      <c r="D18" s="589"/>
      <c r="E18" s="589"/>
      <c r="F18" s="589"/>
    </row>
    <row r="19" spans="1:6">
      <c r="A19" s="664" t="s">
        <v>487</v>
      </c>
      <c r="C19" s="665">
        <f>+C17/3</f>
        <v>43555.555555555555</v>
      </c>
      <c r="D19" s="589"/>
      <c r="E19" s="589"/>
      <c r="F19" s="589"/>
    </row>
    <row r="20" spans="1:6">
      <c r="A20" s="589"/>
      <c r="B20" s="589"/>
      <c r="C20" s="103"/>
      <c r="D20" s="589"/>
      <c r="E20" s="589"/>
      <c r="F20" s="589"/>
    </row>
    <row r="21" spans="1:6">
      <c r="A21" s="589"/>
      <c r="B21" s="589"/>
      <c r="C21" s="103"/>
      <c r="D21" s="589"/>
      <c r="E21" s="589"/>
      <c r="F21" s="589"/>
    </row>
    <row r="22" spans="1:6">
      <c r="A22" s="506" t="s">
        <v>494</v>
      </c>
      <c r="C22" s="132"/>
    </row>
    <row r="23" spans="1:6">
      <c r="C23" s="132"/>
    </row>
    <row r="24" spans="1:6">
      <c r="B24" s="518" t="s">
        <v>489</v>
      </c>
      <c r="C24" s="132">
        <v>7000</v>
      </c>
    </row>
    <row r="26" spans="1:6">
      <c r="A26" s="506" t="s">
        <v>490</v>
      </c>
      <c r="B26" s="506"/>
      <c r="C26" s="604">
        <f>+C24</f>
        <v>7000</v>
      </c>
    </row>
  </sheetData>
  <mergeCells count="2">
    <mergeCell ref="A5:C5"/>
    <mergeCell ref="A6:C6"/>
  </mergeCells>
  <phoneticPr fontId="29" type="noConversion"/>
  <printOptions horizontalCentered="1"/>
  <pageMargins left="0.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2:BN485"/>
  <sheetViews>
    <sheetView topLeftCell="A160" zoomScale="75" zoomScaleNormal="75" workbookViewId="0">
      <selection activeCell="H189" sqref="H188:H189"/>
    </sheetView>
  </sheetViews>
  <sheetFormatPr defaultColWidth="7.109375" defaultRowHeight="12.75"/>
  <cols>
    <col min="1" max="1" width="3.6640625" style="351" customWidth="1"/>
    <col min="2" max="2" width="1.44140625" style="351" customWidth="1"/>
    <col min="3" max="3" width="25.88671875" style="351" customWidth="1"/>
    <col min="4" max="4" width="20.5546875" style="351" customWidth="1"/>
    <col min="5" max="5" width="12.5546875" style="351" customWidth="1"/>
    <col min="6" max="6" width="1.5546875" style="351" customWidth="1"/>
    <col min="7" max="7" width="5.6640625" style="351" customWidth="1"/>
    <col min="8" max="8" width="9.21875" style="351" customWidth="1"/>
    <col min="9" max="9" width="1.88671875" style="351" customWidth="1"/>
    <col min="10" max="10" width="12.21875" style="351" customWidth="1"/>
    <col min="11" max="11" width="1.6640625" style="351" customWidth="1"/>
    <col min="12" max="12" width="4.44140625" style="351" customWidth="1"/>
    <col min="13" max="13" width="9.21875" style="351" customWidth="1"/>
    <col min="14" max="14" width="1.77734375" style="351" customWidth="1"/>
    <col min="15" max="15" width="11" style="351" customWidth="1"/>
    <col min="16" max="16" width="3.33203125" style="351" customWidth="1"/>
    <col min="17" max="17" width="16.77734375" style="351" customWidth="1"/>
    <col min="18" max="16384" width="7.109375" style="351"/>
  </cols>
  <sheetData>
    <row r="2" spans="1:66">
      <c r="O2" s="352" t="str">
        <f>+D6</f>
        <v>Powder River Energy Corporation</v>
      </c>
    </row>
    <row r="3" spans="1:66" ht="15">
      <c r="A3" s="353"/>
      <c r="B3" s="353"/>
      <c r="C3" s="354" t="s">
        <v>1001</v>
      </c>
      <c r="D3" s="1192" t="s">
        <v>855</v>
      </c>
      <c r="E3" s="1192"/>
      <c r="F3" s="1192"/>
      <c r="G3" s="1192"/>
      <c r="H3" s="356"/>
      <c r="I3" s="354"/>
      <c r="N3" s="354"/>
      <c r="O3" s="357"/>
      <c r="P3" s="358"/>
      <c r="Q3" s="359"/>
      <c r="R3" s="359"/>
      <c r="S3" s="359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  <c r="BL3" s="360"/>
      <c r="BM3" s="360"/>
      <c r="BN3" s="360"/>
    </row>
    <row r="4" spans="1:66" ht="15">
      <c r="A4" s="353"/>
      <c r="B4" s="353"/>
      <c r="C4" s="356"/>
      <c r="D4" s="1190" t="s">
        <v>108</v>
      </c>
      <c r="E4" s="1190"/>
      <c r="F4" s="1190"/>
      <c r="G4" s="1190"/>
      <c r="H4" s="362"/>
      <c r="I4" s="354"/>
      <c r="J4" s="354"/>
      <c r="K4" s="354"/>
      <c r="L4" s="354"/>
      <c r="M4" s="354"/>
      <c r="N4" s="354"/>
      <c r="O4" s="354"/>
      <c r="P4" s="358"/>
      <c r="Q4" s="359"/>
      <c r="R4" s="359"/>
      <c r="S4" s="359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  <c r="AQ4" s="360"/>
      <c r="AR4" s="360"/>
      <c r="AS4" s="360"/>
      <c r="AT4" s="360"/>
      <c r="AU4" s="360"/>
      <c r="AV4" s="360"/>
      <c r="AW4" s="360"/>
      <c r="AX4" s="360"/>
      <c r="AY4" s="360"/>
      <c r="AZ4" s="360"/>
      <c r="BA4" s="360"/>
      <c r="BB4" s="360"/>
      <c r="BC4" s="360"/>
      <c r="BD4" s="360"/>
      <c r="BE4" s="360"/>
      <c r="BF4" s="360"/>
      <c r="BG4" s="360"/>
      <c r="BH4" s="360"/>
      <c r="BI4" s="360"/>
      <c r="BJ4" s="360"/>
      <c r="BK4" s="360"/>
      <c r="BL4" s="360"/>
      <c r="BM4" s="360"/>
      <c r="BN4" s="360"/>
    </row>
    <row r="5" spans="1:66" ht="15">
      <c r="A5" s="353"/>
      <c r="B5" s="353"/>
      <c r="C5" s="354"/>
      <c r="D5" s="354"/>
      <c r="E5" s="355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8"/>
      <c r="Q5" s="359"/>
      <c r="R5" s="359"/>
      <c r="S5" s="359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  <c r="AQ5" s="360"/>
      <c r="AR5" s="360"/>
      <c r="AS5" s="360"/>
      <c r="AT5" s="360"/>
      <c r="AU5" s="360"/>
      <c r="AV5" s="360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  <c r="BL5" s="360"/>
      <c r="BM5" s="360"/>
      <c r="BN5" s="360"/>
    </row>
    <row r="6" spans="1:66" ht="15">
      <c r="A6" s="363"/>
      <c r="B6" s="353"/>
      <c r="C6" s="354"/>
      <c r="D6" s="1193" t="s">
        <v>109</v>
      </c>
      <c r="E6" s="1193"/>
      <c r="F6" s="1193"/>
      <c r="G6" s="1193"/>
      <c r="H6" s="354"/>
      <c r="I6" s="354"/>
      <c r="J6" s="354"/>
      <c r="K6" s="354"/>
      <c r="L6" s="354"/>
      <c r="M6" s="354"/>
      <c r="N6" s="354"/>
      <c r="O6" s="354"/>
      <c r="P6" s="358"/>
      <c r="Q6" s="359"/>
      <c r="R6" s="359"/>
      <c r="S6" s="359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60"/>
      <c r="BM6" s="360"/>
      <c r="BN6" s="360"/>
    </row>
    <row r="7" spans="1:66" ht="15">
      <c r="A7" s="363"/>
      <c r="B7" s="353"/>
      <c r="C7" s="354"/>
      <c r="D7" s="354"/>
      <c r="E7" s="36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8"/>
      <c r="Q7" s="359"/>
      <c r="R7" s="359"/>
      <c r="S7" s="359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360"/>
      <c r="BK7" s="360"/>
      <c r="BL7" s="360"/>
      <c r="BM7" s="360"/>
      <c r="BN7" s="360"/>
    </row>
    <row r="8" spans="1:66" ht="15">
      <c r="A8" s="363" t="s">
        <v>667</v>
      </c>
      <c r="B8" s="353"/>
      <c r="C8" s="354"/>
      <c r="D8" s="354"/>
      <c r="E8" s="364"/>
      <c r="F8" s="354"/>
      <c r="G8" s="354"/>
      <c r="H8" s="354"/>
      <c r="I8" s="354"/>
      <c r="J8" s="117" t="str">
        <f>+O49</f>
        <v>Common Use</v>
      </c>
      <c r="K8" s="117"/>
      <c r="L8" s="117"/>
      <c r="M8" s="117"/>
      <c r="N8" s="354"/>
      <c r="O8" s="354"/>
      <c r="P8" s="358"/>
      <c r="Q8" s="359"/>
      <c r="R8" s="359"/>
      <c r="S8" s="359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  <c r="BL8" s="360"/>
      <c r="BM8" s="360"/>
      <c r="BN8" s="360"/>
    </row>
    <row r="9" spans="1:66" ht="15.75" thickBot="1">
      <c r="A9" s="365" t="s">
        <v>668</v>
      </c>
      <c r="B9" s="353"/>
      <c r="C9" s="354"/>
      <c r="D9" s="354"/>
      <c r="E9" s="354"/>
      <c r="F9" s="354"/>
      <c r="G9" s="354"/>
      <c r="H9" s="354"/>
      <c r="I9" s="354"/>
      <c r="J9" s="117" t="str">
        <f>+O50</f>
        <v>AC Facilities</v>
      </c>
      <c r="K9" s="117"/>
      <c r="L9" s="117"/>
      <c r="M9" s="117"/>
      <c r="N9" s="354"/>
      <c r="O9" s="354"/>
      <c r="P9" s="358"/>
      <c r="Q9" s="359"/>
      <c r="R9" s="359"/>
      <c r="S9" s="359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0"/>
      <c r="AV9" s="360"/>
      <c r="AW9" s="360"/>
      <c r="AX9" s="360"/>
      <c r="AY9" s="360"/>
      <c r="AZ9" s="360"/>
      <c r="BA9" s="360"/>
      <c r="BB9" s="360"/>
      <c r="BC9" s="360"/>
      <c r="BD9" s="360"/>
      <c r="BE9" s="360"/>
      <c r="BF9" s="360"/>
      <c r="BG9" s="360"/>
      <c r="BH9" s="360"/>
      <c r="BI9" s="360"/>
      <c r="BJ9" s="360"/>
      <c r="BK9" s="360"/>
      <c r="BL9" s="360"/>
      <c r="BM9" s="360"/>
      <c r="BN9" s="360"/>
    </row>
    <row r="10" spans="1:66" ht="15">
      <c r="A10" s="363">
        <v>1</v>
      </c>
      <c r="B10" s="353"/>
      <c r="C10" s="354" t="s">
        <v>522</v>
      </c>
      <c r="D10" s="372"/>
      <c r="E10" s="366"/>
      <c r="F10" s="354"/>
      <c r="G10" s="354"/>
      <c r="H10" s="354"/>
      <c r="I10" s="354"/>
      <c r="J10" s="367">
        <f>+O136</f>
        <v>1297602.0185064427</v>
      </c>
      <c r="K10" s="367"/>
      <c r="L10" s="367"/>
      <c r="M10" s="367"/>
      <c r="N10" s="354"/>
      <c r="O10" s="354"/>
      <c r="P10" s="358"/>
      <c r="Q10" s="359"/>
      <c r="R10" s="359"/>
      <c r="S10" s="359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0"/>
      <c r="AW10" s="360"/>
      <c r="AX10" s="360"/>
      <c r="AY10" s="360"/>
      <c r="AZ10" s="360"/>
      <c r="BA10" s="360"/>
      <c r="BB10" s="360"/>
      <c r="BC10" s="360"/>
      <c r="BD10" s="360"/>
      <c r="BE10" s="360"/>
      <c r="BF10" s="360"/>
      <c r="BG10" s="360"/>
      <c r="BH10" s="360"/>
      <c r="BI10" s="360"/>
      <c r="BJ10" s="360"/>
      <c r="BK10" s="360"/>
      <c r="BL10" s="360"/>
      <c r="BM10" s="360"/>
      <c r="BN10" s="360"/>
    </row>
    <row r="11" spans="1:66" ht="15">
      <c r="A11" s="363"/>
      <c r="B11" s="353"/>
      <c r="C11" s="354"/>
      <c r="D11" s="354"/>
      <c r="E11" s="354"/>
      <c r="F11" s="354"/>
      <c r="G11" s="354"/>
      <c r="H11" s="354"/>
      <c r="I11" s="354"/>
      <c r="J11" s="366"/>
      <c r="K11" s="366"/>
      <c r="L11" s="366"/>
      <c r="M11" s="366"/>
      <c r="N11" s="354"/>
      <c r="O11" s="354"/>
      <c r="P11" s="358"/>
      <c r="Q11" s="359"/>
      <c r="R11" s="359"/>
      <c r="S11" s="359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</row>
    <row r="12" spans="1:66" ht="15">
      <c r="A12" s="363"/>
      <c r="B12" s="353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54"/>
      <c r="O12" s="354"/>
      <c r="P12" s="358"/>
      <c r="Q12" s="359"/>
      <c r="R12" s="359"/>
      <c r="S12" s="359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0"/>
      <c r="AV12" s="360"/>
      <c r="AW12" s="360"/>
      <c r="AX12" s="360"/>
      <c r="AY12" s="360"/>
      <c r="AZ12" s="360"/>
      <c r="BA12" s="360"/>
      <c r="BB12" s="360"/>
      <c r="BC12" s="360"/>
      <c r="BD12" s="360"/>
      <c r="BE12" s="360"/>
      <c r="BF12" s="360"/>
      <c r="BG12" s="360"/>
      <c r="BH12" s="360"/>
      <c r="BI12" s="360"/>
      <c r="BJ12" s="360"/>
      <c r="BK12" s="360"/>
      <c r="BL12" s="360"/>
      <c r="BM12" s="360"/>
      <c r="BN12" s="360"/>
    </row>
    <row r="13" spans="1:66" ht="15">
      <c r="A13" s="363" t="s">
        <v>665</v>
      </c>
      <c r="B13" s="353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54"/>
      <c r="O13" s="354"/>
      <c r="P13" s="358"/>
      <c r="Q13" s="359"/>
      <c r="R13" s="359"/>
      <c r="S13" s="359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0"/>
      <c r="AV13" s="360"/>
      <c r="AW13" s="360"/>
      <c r="AX13" s="360"/>
      <c r="AY13" s="360"/>
      <c r="AZ13" s="360"/>
      <c r="BA13" s="360"/>
      <c r="BB13" s="360"/>
      <c r="BC13" s="360"/>
      <c r="BD13" s="360"/>
      <c r="BE13" s="360"/>
      <c r="BF13" s="360"/>
      <c r="BG13" s="360"/>
      <c r="BH13" s="360"/>
      <c r="BI13" s="360"/>
      <c r="BJ13" s="360"/>
      <c r="BK13" s="360"/>
      <c r="BL13" s="360"/>
      <c r="BM13" s="360"/>
      <c r="BN13" s="360"/>
    </row>
    <row r="14" spans="1:66" ht="15">
      <c r="A14" s="363"/>
      <c r="B14" s="353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54"/>
      <c r="O14" s="354"/>
      <c r="P14" s="358"/>
      <c r="Q14" s="359"/>
      <c r="R14" s="359"/>
      <c r="S14" s="359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0"/>
      <c r="AV14" s="360"/>
      <c r="AW14" s="360"/>
      <c r="AX14" s="360"/>
      <c r="AY14" s="360"/>
      <c r="AZ14" s="360"/>
      <c r="BA14" s="360"/>
      <c r="BB14" s="360"/>
      <c r="BC14" s="360"/>
      <c r="BD14" s="360"/>
      <c r="BE14" s="360"/>
      <c r="BF14" s="360"/>
      <c r="BG14" s="360"/>
      <c r="BH14" s="360"/>
      <c r="BI14" s="360"/>
      <c r="BJ14" s="360"/>
      <c r="BK14" s="360"/>
      <c r="BL14" s="360"/>
      <c r="BM14" s="360"/>
      <c r="BN14" s="360"/>
    </row>
    <row r="15" spans="1:66" ht="15">
      <c r="A15" s="363"/>
      <c r="B15" s="353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54"/>
      <c r="O15" s="354"/>
      <c r="P15" s="358"/>
      <c r="Q15" s="359"/>
      <c r="R15" s="359"/>
      <c r="S15" s="359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360"/>
      <c r="AS15" s="360"/>
      <c r="AT15" s="360"/>
      <c r="AU15" s="360"/>
      <c r="AV15" s="360"/>
      <c r="AW15" s="360"/>
      <c r="AX15" s="360"/>
      <c r="AY15" s="360"/>
      <c r="AZ15" s="360"/>
      <c r="BA15" s="360"/>
      <c r="BB15" s="360"/>
      <c r="BC15" s="360"/>
      <c r="BD15" s="360"/>
      <c r="BE15" s="360"/>
      <c r="BF15" s="360"/>
      <c r="BG15" s="360"/>
      <c r="BH15" s="360"/>
      <c r="BI15" s="360"/>
      <c r="BJ15" s="360"/>
      <c r="BK15" s="360"/>
      <c r="BL15" s="360"/>
      <c r="BM15" s="360"/>
      <c r="BN15" s="360"/>
    </row>
    <row r="16" spans="1:66" ht="15">
      <c r="A16" s="363"/>
      <c r="B16" s="353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54"/>
      <c r="O16" s="354"/>
      <c r="P16" s="358"/>
      <c r="Q16" s="359"/>
      <c r="R16" s="359"/>
      <c r="S16" s="359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  <c r="AW16" s="360"/>
      <c r="AX16" s="360"/>
      <c r="AY16" s="360"/>
      <c r="AZ16" s="360"/>
      <c r="BA16" s="360"/>
      <c r="BB16" s="360"/>
      <c r="BC16" s="360"/>
      <c r="BD16" s="360"/>
      <c r="BE16" s="360"/>
      <c r="BF16" s="360"/>
      <c r="BG16" s="360"/>
      <c r="BH16" s="360"/>
      <c r="BI16" s="360"/>
      <c r="BJ16" s="360"/>
      <c r="BK16" s="360"/>
      <c r="BL16" s="360"/>
      <c r="BM16" s="360"/>
      <c r="BN16" s="360"/>
    </row>
    <row r="17" spans="1:66" ht="15">
      <c r="A17" s="363"/>
      <c r="B17" s="353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54"/>
      <c r="O17" s="354"/>
      <c r="P17" s="358"/>
      <c r="Q17" s="359"/>
      <c r="R17" s="359"/>
      <c r="S17" s="359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360"/>
      <c r="AS17" s="360"/>
      <c r="AT17" s="360"/>
      <c r="AU17" s="360"/>
      <c r="AV17" s="360"/>
      <c r="AW17" s="360"/>
      <c r="AX17" s="360"/>
      <c r="AY17" s="360"/>
      <c r="AZ17" s="360"/>
      <c r="BA17" s="360"/>
      <c r="BB17" s="360"/>
      <c r="BC17" s="360"/>
      <c r="BD17" s="360"/>
      <c r="BE17" s="360"/>
      <c r="BF17" s="360"/>
      <c r="BG17" s="360"/>
      <c r="BH17" s="360"/>
      <c r="BI17" s="360"/>
      <c r="BJ17" s="360"/>
      <c r="BK17" s="360"/>
      <c r="BL17" s="360"/>
      <c r="BM17" s="360"/>
      <c r="BN17" s="360"/>
    </row>
    <row r="18" spans="1:66" ht="15">
      <c r="A18" s="363"/>
      <c r="B18" s="353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54"/>
      <c r="O18" s="354"/>
      <c r="P18" s="358"/>
      <c r="Q18" s="359"/>
      <c r="R18" s="359"/>
      <c r="S18" s="359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  <c r="AH18" s="360"/>
      <c r="AI18" s="360"/>
      <c r="AJ18" s="360"/>
      <c r="AK18" s="360"/>
      <c r="AL18" s="360"/>
      <c r="AM18" s="360"/>
      <c r="AN18" s="360"/>
      <c r="AO18" s="360"/>
      <c r="AP18" s="360"/>
      <c r="AQ18" s="360"/>
      <c r="AR18" s="360"/>
      <c r="AS18" s="360"/>
      <c r="AT18" s="360"/>
      <c r="AU18" s="360"/>
      <c r="AV18" s="360"/>
      <c r="AW18" s="360"/>
      <c r="AX18" s="360"/>
      <c r="AY18" s="360"/>
      <c r="AZ18" s="360"/>
      <c r="BA18" s="360"/>
      <c r="BB18" s="360"/>
      <c r="BC18" s="360"/>
      <c r="BD18" s="360"/>
      <c r="BE18" s="360"/>
      <c r="BF18" s="360"/>
      <c r="BG18" s="360"/>
      <c r="BH18" s="360"/>
      <c r="BI18" s="360"/>
      <c r="BJ18" s="360"/>
      <c r="BK18" s="360"/>
      <c r="BL18" s="360"/>
      <c r="BM18" s="360"/>
      <c r="BN18" s="360"/>
    </row>
    <row r="19" spans="1:66" ht="15">
      <c r="A19" s="363"/>
      <c r="B19" s="353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54"/>
      <c r="O19" s="354"/>
      <c r="P19" s="358"/>
      <c r="Q19" s="359"/>
      <c r="R19" s="359"/>
      <c r="S19" s="359"/>
      <c r="T19" s="360"/>
      <c r="U19" s="360"/>
      <c r="V19" s="360"/>
      <c r="W19" s="360"/>
      <c r="X19" s="360"/>
      <c r="Y19" s="360"/>
      <c r="Z19" s="360"/>
      <c r="AA19" s="360"/>
      <c r="AB19" s="360"/>
      <c r="AC19" s="360"/>
      <c r="AD19" s="360"/>
      <c r="AE19" s="360"/>
      <c r="AF19" s="360"/>
      <c r="AG19" s="360"/>
      <c r="AH19" s="360"/>
      <c r="AI19" s="360"/>
      <c r="AJ19" s="360"/>
      <c r="AK19" s="360"/>
      <c r="AL19" s="360"/>
      <c r="AM19" s="360"/>
      <c r="AN19" s="360"/>
      <c r="AO19" s="360"/>
      <c r="AP19" s="360"/>
      <c r="AQ19" s="360"/>
      <c r="AR19" s="360"/>
      <c r="AS19" s="360"/>
      <c r="AT19" s="360"/>
      <c r="AU19" s="360"/>
      <c r="AV19" s="360"/>
      <c r="AW19" s="360"/>
      <c r="AX19" s="360"/>
      <c r="AY19" s="360"/>
      <c r="AZ19" s="360"/>
      <c r="BA19" s="360"/>
      <c r="BB19" s="360"/>
      <c r="BC19" s="360"/>
      <c r="BD19" s="360"/>
      <c r="BE19" s="360"/>
      <c r="BF19" s="360"/>
      <c r="BG19" s="360"/>
      <c r="BH19" s="360"/>
      <c r="BI19" s="360"/>
      <c r="BJ19" s="360"/>
      <c r="BK19" s="360"/>
      <c r="BL19" s="360"/>
      <c r="BM19" s="360"/>
      <c r="BN19" s="360"/>
    </row>
    <row r="20" spans="1:66" ht="15">
      <c r="A20" s="363"/>
      <c r="B20" s="370"/>
      <c r="C20" s="589"/>
      <c r="D20" s="589"/>
      <c r="E20" s="589"/>
      <c r="F20" s="589"/>
      <c r="G20" s="368"/>
      <c r="H20" s="368"/>
      <c r="I20" s="368"/>
      <c r="J20" s="368"/>
      <c r="K20" s="368"/>
      <c r="L20" s="368"/>
      <c r="M20" s="368"/>
      <c r="N20" s="354"/>
      <c r="O20" s="354"/>
      <c r="P20" s="358"/>
      <c r="Q20" s="359"/>
      <c r="R20" s="359"/>
      <c r="S20" s="359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0"/>
      <c r="AN20" s="360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  <c r="BL20" s="360"/>
      <c r="BM20" s="360"/>
      <c r="BN20" s="360"/>
    </row>
    <row r="21" spans="1:66" ht="15">
      <c r="A21" s="363"/>
      <c r="B21" s="370"/>
      <c r="C21" s="589"/>
      <c r="D21" s="589"/>
      <c r="E21" s="589"/>
      <c r="F21" s="589"/>
      <c r="G21" s="368"/>
      <c r="H21" s="368"/>
      <c r="I21" s="368"/>
      <c r="J21" s="368"/>
      <c r="K21" s="368"/>
      <c r="L21" s="368"/>
      <c r="M21" s="368"/>
      <c r="N21" s="354"/>
      <c r="O21" s="354"/>
      <c r="P21" s="358"/>
      <c r="Q21" s="359"/>
      <c r="R21" s="359"/>
      <c r="S21" s="359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  <c r="BM21" s="360"/>
      <c r="BN21" s="360"/>
    </row>
    <row r="22" spans="1:66" ht="15">
      <c r="A22" s="363"/>
      <c r="B22" s="370"/>
      <c r="C22" s="370"/>
      <c r="D22" s="372"/>
      <c r="E22" s="645"/>
      <c r="F22" s="404"/>
      <c r="G22" s="362"/>
      <c r="H22" s="362"/>
      <c r="I22" s="362"/>
      <c r="J22" s="353"/>
      <c r="K22" s="353"/>
      <c r="L22" s="353"/>
      <c r="M22" s="353"/>
      <c r="N22" s="354"/>
      <c r="O22" s="354"/>
      <c r="P22" s="358"/>
      <c r="Q22" s="359"/>
      <c r="R22" s="359"/>
      <c r="S22" s="359"/>
      <c r="T22" s="360"/>
      <c r="U22" s="360"/>
      <c r="V22" s="360"/>
      <c r="W22" s="360"/>
      <c r="X22" s="360"/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  <c r="AI22" s="360"/>
      <c r="AJ22" s="360"/>
      <c r="AK22" s="360"/>
      <c r="AL22" s="360"/>
      <c r="AM22" s="360"/>
      <c r="AN22" s="360"/>
      <c r="AO22" s="360"/>
      <c r="AP22" s="360"/>
      <c r="AQ22" s="360"/>
      <c r="AR22" s="360"/>
      <c r="AS22" s="360"/>
      <c r="AT22" s="360"/>
      <c r="AU22" s="360"/>
      <c r="AV22" s="360"/>
      <c r="AW22" s="360"/>
      <c r="AX22" s="360"/>
      <c r="AY22" s="360"/>
      <c r="AZ22" s="360"/>
      <c r="BA22" s="360"/>
      <c r="BB22" s="360"/>
      <c r="BC22" s="360"/>
      <c r="BD22" s="360"/>
      <c r="BE22" s="360"/>
      <c r="BF22" s="360"/>
      <c r="BG22" s="360"/>
      <c r="BH22" s="360"/>
      <c r="BI22" s="360"/>
      <c r="BJ22" s="360"/>
      <c r="BK22" s="360"/>
      <c r="BL22" s="360"/>
      <c r="BM22" s="360"/>
      <c r="BN22" s="360"/>
    </row>
    <row r="23" spans="1:66" ht="15">
      <c r="A23" s="369"/>
      <c r="B23" s="370"/>
      <c r="C23" s="371"/>
      <c r="D23" s="372"/>
      <c r="E23" s="373"/>
      <c r="F23" s="372"/>
      <c r="G23" s="372"/>
      <c r="H23" s="372"/>
      <c r="I23" s="372"/>
      <c r="J23" s="374"/>
      <c r="K23" s="374"/>
      <c r="L23" s="374"/>
      <c r="M23" s="374"/>
      <c r="N23" s="372"/>
      <c r="O23" s="372"/>
      <c r="P23" s="358"/>
      <c r="Q23" s="359"/>
      <c r="R23" s="359"/>
      <c r="S23" s="359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360"/>
      <c r="AP23" s="360"/>
      <c r="AQ23" s="360"/>
      <c r="AR23" s="360"/>
      <c r="AS23" s="360"/>
      <c r="AT23" s="360"/>
      <c r="AU23" s="360"/>
      <c r="AV23" s="360"/>
      <c r="AW23" s="360"/>
      <c r="AX23" s="360"/>
      <c r="AY23" s="360"/>
      <c r="AZ23" s="360"/>
      <c r="BA23" s="360"/>
      <c r="BB23" s="360"/>
      <c r="BC23" s="360"/>
      <c r="BD23" s="360"/>
      <c r="BE23" s="360"/>
      <c r="BF23" s="360"/>
      <c r="BG23" s="360"/>
      <c r="BH23" s="360"/>
      <c r="BI23" s="360"/>
      <c r="BJ23" s="360"/>
      <c r="BK23" s="360"/>
      <c r="BL23" s="360"/>
      <c r="BM23" s="360"/>
      <c r="BN23" s="360"/>
    </row>
    <row r="24" spans="1:66" ht="15">
      <c r="A24" s="369"/>
      <c r="B24" s="370"/>
      <c r="C24" s="371"/>
      <c r="D24" s="372"/>
      <c r="E24" s="373"/>
      <c r="F24" s="372"/>
      <c r="G24" s="372"/>
      <c r="H24" s="372"/>
      <c r="I24" s="372"/>
      <c r="J24" s="374"/>
      <c r="K24" s="374"/>
      <c r="L24" s="374"/>
      <c r="M24" s="374"/>
      <c r="N24" s="372"/>
      <c r="O24" s="372"/>
      <c r="P24" s="358"/>
      <c r="Q24" s="359"/>
      <c r="R24" s="359"/>
      <c r="S24" s="359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360"/>
      <c r="AJ24" s="360"/>
      <c r="AK24" s="360"/>
      <c r="AL24" s="360"/>
      <c r="AM24" s="360"/>
      <c r="AN24" s="360"/>
      <c r="AO24" s="360"/>
      <c r="AP24" s="360"/>
      <c r="AQ24" s="360"/>
      <c r="AR24" s="360"/>
      <c r="AS24" s="360"/>
      <c r="AT24" s="360"/>
      <c r="AU24" s="360"/>
      <c r="AV24" s="360"/>
      <c r="AW24" s="360"/>
      <c r="AX24" s="360"/>
      <c r="AY24" s="360"/>
      <c r="AZ24" s="360"/>
      <c r="BA24" s="360"/>
      <c r="BB24" s="360"/>
      <c r="BC24" s="360"/>
      <c r="BD24" s="360"/>
      <c r="BE24" s="360"/>
      <c r="BF24" s="360"/>
      <c r="BG24" s="360"/>
      <c r="BH24" s="360"/>
      <c r="BI24" s="360"/>
      <c r="BJ24" s="360"/>
      <c r="BK24" s="360"/>
      <c r="BL24" s="360"/>
      <c r="BM24" s="360"/>
      <c r="BN24" s="360"/>
    </row>
    <row r="25" spans="1:66" ht="15">
      <c r="A25" s="369"/>
      <c r="B25" s="370"/>
      <c r="C25" s="371"/>
      <c r="D25" s="372"/>
      <c r="E25" s="373"/>
      <c r="F25" s="372"/>
      <c r="G25" s="372"/>
      <c r="H25" s="372"/>
      <c r="I25" s="372"/>
      <c r="J25" s="374"/>
      <c r="K25" s="374"/>
      <c r="L25" s="374"/>
      <c r="M25" s="374"/>
      <c r="N25" s="372"/>
      <c r="O25" s="372"/>
      <c r="P25" s="358"/>
      <c r="Q25" s="359"/>
      <c r="R25" s="359"/>
      <c r="S25" s="359"/>
      <c r="T25" s="360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0"/>
      <c r="AO25" s="360"/>
      <c r="AP25" s="360"/>
      <c r="AQ25" s="360"/>
      <c r="AR25" s="360"/>
      <c r="AS25" s="360"/>
      <c r="AT25" s="360"/>
      <c r="AU25" s="360"/>
      <c r="AV25" s="360"/>
      <c r="AW25" s="360"/>
      <c r="AX25" s="360"/>
      <c r="AY25" s="360"/>
      <c r="AZ25" s="360"/>
      <c r="BA25" s="360"/>
      <c r="BB25" s="360"/>
      <c r="BC25" s="360"/>
      <c r="BD25" s="360"/>
      <c r="BE25" s="360"/>
      <c r="BF25" s="360"/>
      <c r="BG25" s="360"/>
      <c r="BH25" s="360"/>
      <c r="BI25" s="360"/>
      <c r="BJ25" s="360"/>
      <c r="BK25" s="360"/>
      <c r="BL25" s="360"/>
      <c r="BM25" s="360"/>
      <c r="BN25" s="360"/>
    </row>
    <row r="26" spans="1:66" ht="15">
      <c r="A26" s="369"/>
      <c r="B26" s="370"/>
      <c r="C26" s="371"/>
      <c r="D26" s="372"/>
      <c r="E26" s="375"/>
      <c r="F26" s="372"/>
      <c r="G26" s="372"/>
      <c r="H26" s="372"/>
      <c r="I26" s="372"/>
      <c r="J26" s="376"/>
      <c r="K26" s="376"/>
      <c r="L26" s="376"/>
      <c r="M26" s="376"/>
      <c r="N26" s="372"/>
      <c r="O26" s="372"/>
      <c r="P26" s="358"/>
      <c r="Q26" s="359"/>
      <c r="R26" s="359"/>
      <c r="S26" s="359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60"/>
      <c r="AG26" s="360"/>
      <c r="AH26" s="360"/>
      <c r="AI26" s="360"/>
      <c r="AJ26" s="360"/>
      <c r="AK26" s="360"/>
      <c r="AL26" s="360"/>
      <c r="AM26" s="360"/>
      <c r="AN26" s="360"/>
      <c r="AO26" s="360"/>
      <c r="AP26" s="360"/>
      <c r="AQ26" s="360"/>
      <c r="AR26" s="360"/>
      <c r="AS26" s="360"/>
      <c r="AT26" s="360"/>
      <c r="AU26" s="360"/>
      <c r="AV26" s="360"/>
      <c r="AW26" s="360"/>
      <c r="AX26" s="360"/>
      <c r="AY26" s="360"/>
      <c r="AZ26" s="360"/>
      <c r="BA26" s="360"/>
      <c r="BB26" s="360"/>
      <c r="BC26" s="360"/>
      <c r="BD26" s="360"/>
      <c r="BE26" s="360"/>
      <c r="BF26" s="360"/>
      <c r="BG26" s="360"/>
      <c r="BH26" s="360"/>
      <c r="BI26" s="360"/>
      <c r="BJ26" s="360"/>
      <c r="BK26" s="360"/>
      <c r="BL26" s="360"/>
      <c r="BM26" s="360"/>
      <c r="BN26" s="360"/>
    </row>
    <row r="27" spans="1:66" ht="15">
      <c r="A27" s="369"/>
      <c r="B27" s="370"/>
      <c r="C27" s="371"/>
      <c r="D27" s="372"/>
      <c r="E27" s="373"/>
      <c r="F27" s="372"/>
      <c r="G27" s="372"/>
      <c r="H27" s="372"/>
      <c r="I27" s="372"/>
      <c r="J27" s="374"/>
      <c r="K27" s="374"/>
      <c r="L27" s="374"/>
      <c r="M27" s="374"/>
      <c r="N27" s="372"/>
      <c r="O27" s="372"/>
      <c r="P27" s="358"/>
      <c r="Q27" s="359"/>
      <c r="R27" s="359"/>
      <c r="S27" s="359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360"/>
      <c r="AJ27" s="360"/>
      <c r="AK27" s="360"/>
      <c r="AL27" s="360"/>
      <c r="AM27" s="360"/>
      <c r="AN27" s="360"/>
      <c r="AO27" s="360"/>
      <c r="AP27" s="360"/>
      <c r="AQ27" s="360"/>
      <c r="AR27" s="360"/>
      <c r="AS27" s="360"/>
      <c r="AT27" s="360"/>
      <c r="AU27" s="360"/>
      <c r="AV27" s="360"/>
      <c r="AW27" s="360"/>
      <c r="AX27" s="360"/>
      <c r="AY27" s="360"/>
      <c r="AZ27" s="360"/>
      <c r="BA27" s="360"/>
      <c r="BB27" s="360"/>
      <c r="BC27" s="360"/>
      <c r="BD27" s="360"/>
      <c r="BE27" s="360"/>
      <c r="BF27" s="360"/>
      <c r="BG27" s="360"/>
      <c r="BH27" s="360"/>
      <c r="BI27" s="360"/>
      <c r="BJ27" s="360"/>
      <c r="BK27" s="360"/>
      <c r="BL27" s="360"/>
      <c r="BM27" s="360"/>
      <c r="BN27" s="360"/>
    </row>
    <row r="28" spans="1:66" ht="15">
      <c r="A28" s="369"/>
      <c r="B28" s="370"/>
      <c r="C28" s="371"/>
      <c r="D28" s="372"/>
      <c r="E28" s="373"/>
      <c r="F28" s="372"/>
      <c r="G28" s="372"/>
      <c r="H28" s="372"/>
      <c r="I28" s="372"/>
      <c r="J28" s="377"/>
      <c r="K28" s="377"/>
      <c r="L28" s="377"/>
      <c r="M28" s="377"/>
      <c r="N28" s="372"/>
      <c r="O28" s="372"/>
      <c r="P28" s="358"/>
      <c r="Q28" s="359"/>
      <c r="R28" s="359"/>
      <c r="S28" s="359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360"/>
      <c r="AJ28" s="360"/>
      <c r="AK28" s="360"/>
      <c r="AL28" s="360"/>
      <c r="AM28" s="360"/>
      <c r="AN28" s="360"/>
      <c r="AO28" s="360"/>
      <c r="AP28" s="360"/>
      <c r="AQ28" s="360"/>
      <c r="AR28" s="360"/>
      <c r="AS28" s="360"/>
      <c r="AT28" s="360"/>
      <c r="AU28" s="360"/>
      <c r="AV28" s="360"/>
      <c r="AW28" s="360"/>
      <c r="AX28" s="360"/>
      <c r="AY28" s="360"/>
      <c r="AZ28" s="360"/>
      <c r="BA28" s="360"/>
      <c r="BB28" s="360"/>
      <c r="BC28" s="360"/>
      <c r="BD28" s="360"/>
      <c r="BE28" s="360"/>
      <c r="BF28" s="360"/>
      <c r="BG28" s="360"/>
      <c r="BH28" s="360"/>
      <c r="BI28" s="360"/>
      <c r="BJ28" s="360"/>
      <c r="BK28" s="360"/>
      <c r="BL28" s="360"/>
      <c r="BM28" s="360"/>
      <c r="BN28" s="360"/>
    </row>
    <row r="29" spans="1:66" ht="15">
      <c r="A29" s="369"/>
      <c r="B29" s="370"/>
      <c r="C29" s="371"/>
      <c r="D29" s="372"/>
      <c r="E29" s="373"/>
      <c r="F29" s="372"/>
      <c r="G29" s="374"/>
      <c r="H29" s="372"/>
      <c r="I29" s="372"/>
      <c r="J29" s="377"/>
      <c r="K29" s="377"/>
      <c r="L29" s="377"/>
      <c r="M29" s="377"/>
      <c r="N29" s="372"/>
      <c r="O29" s="372"/>
      <c r="P29" s="358"/>
      <c r="Q29" s="359"/>
      <c r="R29" s="359"/>
      <c r="S29" s="359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0"/>
      <c r="AI29" s="360"/>
      <c r="AJ29" s="360"/>
      <c r="AK29" s="360"/>
      <c r="AL29" s="360"/>
      <c r="AM29" s="360"/>
      <c r="AN29" s="360"/>
      <c r="AO29" s="360"/>
      <c r="AP29" s="360"/>
      <c r="AQ29" s="360"/>
      <c r="AR29" s="360"/>
      <c r="AS29" s="360"/>
      <c r="AT29" s="360"/>
      <c r="AU29" s="360"/>
      <c r="AV29" s="360"/>
      <c r="AW29" s="360"/>
      <c r="AX29" s="360"/>
      <c r="AY29" s="360"/>
      <c r="AZ29" s="360"/>
      <c r="BA29" s="360"/>
      <c r="BB29" s="360"/>
      <c r="BC29" s="360"/>
      <c r="BD29" s="360"/>
      <c r="BE29" s="360"/>
      <c r="BF29" s="360"/>
      <c r="BG29" s="360"/>
      <c r="BH29" s="360"/>
      <c r="BI29" s="360"/>
      <c r="BJ29" s="360"/>
      <c r="BK29" s="360"/>
      <c r="BL29" s="360"/>
      <c r="BM29" s="360"/>
      <c r="BN29" s="360"/>
    </row>
    <row r="30" spans="1:66" ht="15">
      <c r="A30" s="369"/>
      <c r="B30" s="370"/>
      <c r="C30" s="371"/>
      <c r="D30" s="372"/>
      <c r="E30" s="373"/>
      <c r="F30" s="372"/>
      <c r="G30" s="374"/>
      <c r="H30" s="372"/>
      <c r="I30" s="372"/>
      <c r="J30" s="377"/>
      <c r="K30" s="377"/>
      <c r="L30" s="377"/>
      <c r="M30" s="377"/>
      <c r="N30" s="372"/>
      <c r="O30" s="372"/>
      <c r="P30" s="358"/>
      <c r="Q30" s="359"/>
      <c r="R30" s="359"/>
      <c r="S30" s="359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0"/>
      <c r="AV30" s="360"/>
      <c r="AW30" s="360"/>
      <c r="AX30" s="360"/>
      <c r="AY30" s="360"/>
      <c r="AZ30" s="360"/>
      <c r="BA30" s="360"/>
      <c r="BB30" s="360"/>
      <c r="BC30" s="360"/>
      <c r="BD30" s="360"/>
      <c r="BE30" s="360"/>
      <c r="BF30" s="360"/>
      <c r="BG30" s="360"/>
      <c r="BH30" s="360"/>
      <c r="BI30" s="360"/>
      <c r="BJ30" s="360"/>
      <c r="BK30" s="360"/>
      <c r="BL30" s="360"/>
      <c r="BM30" s="360"/>
      <c r="BN30" s="360"/>
    </row>
    <row r="31" spans="1:66" ht="15">
      <c r="A31" s="369"/>
      <c r="B31" s="370"/>
      <c r="C31" s="371"/>
      <c r="D31" s="372"/>
      <c r="E31" s="372"/>
      <c r="F31" s="372"/>
      <c r="G31" s="374"/>
      <c r="H31" s="372"/>
      <c r="I31" s="372"/>
      <c r="J31" s="374"/>
      <c r="K31" s="374"/>
      <c r="L31" s="374"/>
      <c r="M31" s="374"/>
      <c r="N31" s="372"/>
      <c r="O31" s="372"/>
      <c r="P31" s="358"/>
      <c r="Q31" s="359"/>
      <c r="R31" s="359"/>
      <c r="S31" s="359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0"/>
      <c r="AL31" s="360"/>
      <c r="AM31" s="360"/>
      <c r="AN31" s="360"/>
      <c r="AO31" s="360"/>
      <c r="AP31" s="360"/>
      <c r="AQ31" s="360"/>
      <c r="AR31" s="360"/>
      <c r="AS31" s="360"/>
      <c r="AT31" s="360"/>
      <c r="AU31" s="360"/>
      <c r="AV31" s="360"/>
      <c r="AW31" s="360"/>
      <c r="AX31" s="360"/>
      <c r="AY31" s="360"/>
      <c r="AZ31" s="360"/>
      <c r="BA31" s="360"/>
      <c r="BB31" s="360"/>
      <c r="BC31" s="360"/>
      <c r="BD31" s="360"/>
      <c r="BE31" s="360"/>
      <c r="BF31" s="360"/>
      <c r="BG31" s="360"/>
      <c r="BH31" s="360"/>
      <c r="BI31" s="360"/>
      <c r="BJ31" s="360"/>
      <c r="BK31" s="360"/>
      <c r="BL31" s="360"/>
      <c r="BM31" s="360"/>
      <c r="BN31" s="360"/>
    </row>
    <row r="32" spans="1:66" ht="15">
      <c r="A32" s="369"/>
      <c r="B32" s="370"/>
      <c r="C32" s="371"/>
      <c r="D32" s="372"/>
      <c r="E32" s="372"/>
      <c r="F32" s="372"/>
      <c r="G32" s="374"/>
      <c r="H32" s="372"/>
      <c r="I32" s="372"/>
      <c r="J32" s="374"/>
      <c r="K32" s="374"/>
      <c r="L32" s="374"/>
      <c r="M32" s="374"/>
      <c r="N32" s="372"/>
      <c r="O32" s="372"/>
      <c r="P32" s="358"/>
      <c r="Q32" s="359"/>
      <c r="R32" s="359"/>
      <c r="S32" s="359"/>
      <c r="T32" s="360"/>
      <c r="U32" s="360"/>
      <c r="V32" s="360"/>
      <c r="W32" s="360"/>
      <c r="X32" s="360"/>
      <c r="Y32" s="360"/>
      <c r="Z32" s="360"/>
      <c r="AA32" s="360"/>
      <c r="AB32" s="360"/>
      <c r="AC32" s="360"/>
      <c r="AD32" s="360"/>
      <c r="AE32" s="360"/>
      <c r="AF32" s="360"/>
      <c r="AG32" s="360"/>
      <c r="AH32" s="360"/>
      <c r="AI32" s="360"/>
      <c r="AJ32" s="360"/>
      <c r="AK32" s="360"/>
      <c r="AL32" s="360"/>
      <c r="AM32" s="360"/>
      <c r="AN32" s="360"/>
      <c r="AO32" s="360"/>
      <c r="AP32" s="360"/>
      <c r="AQ32" s="360"/>
      <c r="AR32" s="360"/>
      <c r="AS32" s="360"/>
      <c r="AT32" s="360"/>
      <c r="AU32" s="360"/>
      <c r="AV32" s="360"/>
      <c r="AW32" s="360"/>
      <c r="AX32" s="360"/>
      <c r="AY32" s="360"/>
      <c r="AZ32" s="360"/>
      <c r="BA32" s="360"/>
      <c r="BB32" s="360"/>
      <c r="BC32" s="360"/>
      <c r="BD32" s="360"/>
      <c r="BE32" s="360"/>
      <c r="BF32" s="360"/>
      <c r="BG32" s="360"/>
      <c r="BH32" s="360"/>
      <c r="BI32" s="360"/>
      <c r="BJ32" s="360"/>
      <c r="BK32" s="360"/>
      <c r="BL32" s="360"/>
      <c r="BM32" s="360"/>
      <c r="BN32" s="360"/>
    </row>
    <row r="33" spans="1:66" ht="15">
      <c r="A33" s="369"/>
      <c r="B33" s="370"/>
      <c r="C33" s="371"/>
      <c r="D33" s="372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2"/>
      <c r="P33" s="358"/>
      <c r="Q33" s="359"/>
      <c r="R33" s="359"/>
      <c r="S33" s="359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0"/>
      <c r="AH33" s="360"/>
      <c r="AI33" s="360"/>
      <c r="AJ33" s="360"/>
      <c r="AK33" s="360"/>
      <c r="AL33" s="360"/>
      <c r="AM33" s="360"/>
      <c r="AN33" s="360"/>
      <c r="AO33" s="360"/>
      <c r="AP33" s="360"/>
      <c r="AQ33" s="360"/>
      <c r="AR33" s="360"/>
      <c r="AS33" s="360"/>
      <c r="AT33" s="360"/>
      <c r="AU33" s="360"/>
      <c r="AV33" s="360"/>
      <c r="AW33" s="360"/>
      <c r="AX33" s="360"/>
      <c r="AY33" s="360"/>
      <c r="AZ33" s="360"/>
      <c r="BA33" s="360"/>
      <c r="BB33" s="360"/>
      <c r="BC33" s="360"/>
      <c r="BD33" s="360"/>
      <c r="BE33" s="360"/>
      <c r="BF33" s="360"/>
      <c r="BG33" s="360"/>
      <c r="BH33" s="360"/>
      <c r="BI33" s="360"/>
      <c r="BJ33" s="360"/>
      <c r="BK33" s="360"/>
      <c r="BL33" s="360"/>
      <c r="BM33" s="360"/>
      <c r="BN33" s="360"/>
    </row>
    <row r="34" spans="1:66" ht="15">
      <c r="A34" s="369"/>
      <c r="B34" s="370"/>
      <c r="C34" s="371"/>
      <c r="D34" s="372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2"/>
      <c r="P34" s="358"/>
      <c r="Q34" s="359"/>
      <c r="R34" s="359"/>
      <c r="S34" s="359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0"/>
      <c r="AV34" s="360"/>
      <c r="AW34" s="360"/>
      <c r="AX34" s="360"/>
      <c r="AY34" s="360"/>
      <c r="AZ34" s="360"/>
      <c r="BA34" s="360"/>
      <c r="BB34" s="360"/>
      <c r="BC34" s="360"/>
      <c r="BD34" s="360"/>
      <c r="BE34" s="360"/>
      <c r="BF34" s="360"/>
      <c r="BG34" s="360"/>
      <c r="BH34" s="360"/>
      <c r="BI34" s="360"/>
      <c r="BJ34" s="360"/>
      <c r="BK34" s="360"/>
      <c r="BL34" s="360"/>
      <c r="BM34" s="360"/>
      <c r="BN34" s="360"/>
    </row>
    <row r="35" spans="1:66" ht="15">
      <c r="A35" s="370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9"/>
      <c r="O35" s="372"/>
      <c r="P35" s="358"/>
      <c r="Q35" s="359"/>
      <c r="R35" s="359"/>
      <c r="S35" s="359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  <c r="AH35" s="360"/>
      <c r="AI35" s="360"/>
      <c r="AJ35" s="360"/>
      <c r="AK35" s="360"/>
      <c r="AL35" s="360"/>
      <c r="AM35" s="360"/>
      <c r="AN35" s="360"/>
      <c r="AO35" s="360"/>
      <c r="AP35" s="360"/>
      <c r="AQ35" s="360"/>
      <c r="AR35" s="360"/>
      <c r="AS35" s="360"/>
      <c r="AT35" s="360"/>
      <c r="AU35" s="360"/>
      <c r="AV35" s="360"/>
      <c r="AW35" s="360"/>
      <c r="AX35" s="360"/>
      <c r="AY35" s="360"/>
      <c r="AZ35" s="360"/>
      <c r="BA35" s="360"/>
      <c r="BB35" s="360"/>
      <c r="BC35" s="360"/>
      <c r="BD35" s="360"/>
      <c r="BE35" s="360"/>
      <c r="BF35" s="360"/>
      <c r="BG35" s="360"/>
      <c r="BH35" s="360"/>
      <c r="BI35" s="360"/>
      <c r="BJ35" s="360"/>
      <c r="BK35" s="360"/>
      <c r="BL35" s="360"/>
      <c r="BM35" s="360"/>
      <c r="BN35" s="360"/>
    </row>
    <row r="36" spans="1:66" ht="15">
      <c r="A36" s="370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9"/>
      <c r="O36" s="372"/>
      <c r="P36" s="358"/>
      <c r="Q36" s="359"/>
      <c r="R36" s="359"/>
      <c r="S36" s="359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  <c r="AI36" s="360"/>
      <c r="AJ36" s="360"/>
      <c r="AK36" s="360"/>
      <c r="AL36" s="360"/>
      <c r="AM36" s="360"/>
      <c r="AN36" s="360"/>
      <c r="AO36" s="360"/>
      <c r="AP36" s="360"/>
      <c r="AQ36" s="360"/>
      <c r="AR36" s="360"/>
      <c r="AS36" s="360"/>
      <c r="AT36" s="360"/>
      <c r="AU36" s="360"/>
      <c r="AV36" s="360"/>
      <c r="AW36" s="360"/>
      <c r="AX36" s="360"/>
      <c r="AY36" s="360"/>
      <c r="AZ36" s="360"/>
      <c r="BA36" s="360"/>
      <c r="BB36" s="360"/>
      <c r="BC36" s="360"/>
      <c r="BD36" s="360"/>
      <c r="BE36" s="360"/>
      <c r="BF36" s="360"/>
      <c r="BG36" s="360"/>
      <c r="BH36" s="360"/>
      <c r="BI36" s="360"/>
      <c r="BJ36" s="360"/>
      <c r="BK36" s="360"/>
      <c r="BL36" s="360"/>
      <c r="BM36" s="360"/>
      <c r="BN36" s="360"/>
    </row>
    <row r="37" spans="1:66" ht="15">
      <c r="A37" s="370"/>
      <c r="B37" s="370"/>
      <c r="C37" s="371"/>
      <c r="D37" s="372"/>
      <c r="E37" s="372"/>
      <c r="F37" s="372"/>
      <c r="G37" s="372"/>
      <c r="H37" s="372"/>
      <c r="I37" s="372"/>
      <c r="J37" s="380"/>
      <c r="K37" s="380"/>
      <c r="L37" s="380"/>
      <c r="M37" s="380"/>
      <c r="N37" s="372"/>
      <c r="O37" s="372"/>
      <c r="P37" s="358"/>
      <c r="Q37" s="359"/>
      <c r="R37" s="359"/>
      <c r="S37" s="359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360"/>
      <c r="BD37" s="360"/>
      <c r="BE37" s="360"/>
      <c r="BF37" s="360"/>
      <c r="BG37" s="360"/>
      <c r="BH37" s="360"/>
      <c r="BI37" s="360"/>
      <c r="BJ37" s="360"/>
      <c r="BK37" s="360"/>
      <c r="BL37" s="360"/>
      <c r="BM37" s="360"/>
      <c r="BN37" s="360"/>
    </row>
    <row r="38" spans="1:66" ht="15">
      <c r="A38" s="353"/>
      <c r="B38" s="353"/>
      <c r="C38" s="356"/>
      <c r="D38" s="354"/>
      <c r="E38" s="354"/>
      <c r="F38" s="354"/>
      <c r="G38" s="354"/>
      <c r="H38" s="354"/>
      <c r="I38" s="354"/>
      <c r="J38" s="381"/>
      <c r="K38" s="381"/>
      <c r="L38" s="381"/>
      <c r="M38" s="381"/>
      <c r="N38" s="354"/>
      <c r="O38" s="354"/>
      <c r="P38" s="358"/>
      <c r="Q38" s="359"/>
      <c r="R38" s="359"/>
      <c r="S38" s="359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360"/>
      <c r="AG38" s="360"/>
      <c r="AH38" s="360"/>
      <c r="AI38" s="360"/>
      <c r="AJ38" s="360"/>
      <c r="AK38" s="360"/>
      <c r="AL38" s="360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0"/>
      <c r="AX38" s="360"/>
      <c r="AY38" s="360"/>
      <c r="AZ38" s="360"/>
      <c r="BA38" s="360"/>
      <c r="BB38" s="360"/>
      <c r="BC38" s="360"/>
      <c r="BD38" s="360"/>
      <c r="BE38" s="360"/>
      <c r="BF38" s="360"/>
      <c r="BG38" s="360"/>
      <c r="BH38" s="360"/>
      <c r="BI38" s="360"/>
      <c r="BJ38" s="360"/>
      <c r="BK38" s="360"/>
      <c r="BL38" s="360"/>
      <c r="BM38" s="360"/>
      <c r="BN38" s="360"/>
    </row>
    <row r="39" spans="1:66" ht="15">
      <c r="A39" s="353"/>
      <c r="B39" s="353"/>
      <c r="C39" s="356"/>
      <c r="D39" s="354"/>
      <c r="E39" s="354"/>
      <c r="F39" s="354"/>
      <c r="G39" s="354"/>
      <c r="H39" s="354"/>
      <c r="I39" s="354"/>
      <c r="J39" s="381"/>
      <c r="K39" s="381"/>
      <c r="L39" s="381"/>
      <c r="M39" s="381"/>
      <c r="N39" s="354"/>
      <c r="O39" s="354"/>
      <c r="P39" s="358"/>
      <c r="Q39" s="359"/>
      <c r="R39" s="359"/>
      <c r="S39" s="359"/>
      <c r="T39" s="360"/>
      <c r="U39" s="360"/>
      <c r="V39" s="360"/>
      <c r="W39" s="360"/>
      <c r="X39" s="360"/>
      <c r="Y39" s="360"/>
      <c r="Z39" s="360"/>
      <c r="AA39" s="360"/>
      <c r="AB39" s="360"/>
      <c r="AC39" s="360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0"/>
      <c r="BB39" s="360"/>
      <c r="BC39" s="360"/>
      <c r="BD39" s="360"/>
      <c r="BE39" s="360"/>
      <c r="BF39" s="360"/>
      <c r="BG39" s="360"/>
      <c r="BH39" s="360"/>
      <c r="BI39" s="360"/>
      <c r="BJ39" s="360"/>
      <c r="BK39" s="360"/>
      <c r="BL39" s="360"/>
      <c r="BM39" s="360"/>
      <c r="BN39" s="360"/>
    </row>
    <row r="40" spans="1:66" ht="15">
      <c r="A40" s="353"/>
      <c r="B40" s="353"/>
      <c r="C40" s="356"/>
      <c r="D40" s="354"/>
      <c r="E40" s="354"/>
      <c r="F40" s="354"/>
      <c r="G40" s="354"/>
      <c r="H40" s="354"/>
      <c r="I40" s="354"/>
      <c r="J40" s="381"/>
      <c r="K40" s="381"/>
      <c r="L40" s="381"/>
      <c r="M40" s="381"/>
      <c r="N40" s="354"/>
      <c r="O40" s="354"/>
      <c r="P40" s="358"/>
      <c r="Q40" s="359"/>
      <c r="R40" s="359"/>
      <c r="S40" s="359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0"/>
      <c r="AH40" s="360"/>
      <c r="AI40" s="360"/>
      <c r="AJ40" s="360"/>
      <c r="AK40" s="360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60"/>
      <c r="AW40" s="360"/>
      <c r="AX40" s="360"/>
      <c r="AY40" s="360"/>
      <c r="AZ40" s="360"/>
      <c r="BA40" s="360"/>
      <c r="BB40" s="360"/>
      <c r="BC40" s="360"/>
      <c r="BD40" s="360"/>
      <c r="BE40" s="360"/>
      <c r="BF40" s="360"/>
      <c r="BG40" s="360"/>
      <c r="BH40" s="360"/>
      <c r="BI40" s="360"/>
      <c r="BJ40" s="360"/>
      <c r="BK40" s="360"/>
      <c r="BL40" s="360"/>
      <c r="BM40" s="360"/>
      <c r="BN40" s="360"/>
    </row>
    <row r="41" spans="1:66" ht="15">
      <c r="A41" s="353"/>
      <c r="B41" s="353"/>
      <c r="C41" s="356"/>
      <c r="D41" s="354"/>
      <c r="E41" s="354"/>
      <c r="F41" s="354"/>
      <c r="G41" s="354"/>
      <c r="H41" s="354"/>
      <c r="I41" s="354"/>
      <c r="J41" s="381"/>
      <c r="K41" s="381"/>
      <c r="L41" s="381"/>
      <c r="M41" s="381"/>
      <c r="N41" s="354"/>
      <c r="O41" s="555" t="str">
        <f>+O2</f>
        <v>Powder River Energy Corporation</v>
      </c>
      <c r="P41" s="358"/>
      <c r="Q41" s="359"/>
      <c r="R41" s="359"/>
      <c r="S41" s="359"/>
      <c r="T41" s="360"/>
      <c r="U41" s="360"/>
      <c r="V41" s="360"/>
      <c r="W41" s="360"/>
      <c r="X41" s="360"/>
      <c r="Y41" s="360"/>
      <c r="Z41" s="360"/>
      <c r="AA41" s="360"/>
      <c r="AB41" s="360"/>
      <c r="AC41" s="360"/>
      <c r="AD41" s="360"/>
      <c r="AE41" s="360"/>
      <c r="AF41" s="360"/>
      <c r="AG41" s="360"/>
      <c r="AH41" s="360"/>
      <c r="AI41" s="360"/>
      <c r="AJ41" s="360"/>
      <c r="AK41" s="360"/>
      <c r="AL41" s="360"/>
      <c r="AM41" s="360"/>
      <c r="AN41" s="360"/>
      <c r="AO41" s="360"/>
      <c r="AP41" s="360"/>
      <c r="AQ41" s="360"/>
      <c r="AR41" s="360"/>
      <c r="AS41" s="360"/>
      <c r="AT41" s="360"/>
      <c r="AU41" s="360"/>
      <c r="AV41" s="360"/>
      <c r="AW41" s="360"/>
      <c r="AX41" s="360"/>
      <c r="AY41" s="360"/>
      <c r="AZ41" s="360"/>
      <c r="BA41" s="360"/>
      <c r="BB41" s="360"/>
      <c r="BC41" s="360"/>
      <c r="BD41" s="360"/>
      <c r="BE41" s="360"/>
      <c r="BF41" s="360"/>
      <c r="BG41" s="360"/>
      <c r="BH41" s="360"/>
      <c r="BI41" s="360"/>
      <c r="BJ41" s="360"/>
      <c r="BK41" s="360"/>
      <c r="BL41" s="360"/>
      <c r="BM41" s="360"/>
      <c r="BN41" s="360"/>
    </row>
    <row r="42" spans="1:66" ht="15">
      <c r="A42" s="353"/>
      <c r="B42" s="353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7"/>
      <c r="P42" s="358"/>
      <c r="Q42" s="359"/>
      <c r="R42" s="359"/>
      <c r="S42" s="359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0"/>
      <c r="BB42" s="360"/>
      <c r="BC42" s="360"/>
      <c r="BD42" s="360"/>
      <c r="BE42" s="360"/>
      <c r="BF42" s="360"/>
      <c r="BG42" s="360"/>
      <c r="BH42" s="360"/>
      <c r="BI42" s="360"/>
      <c r="BJ42" s="360"/>
      <c r="BK42" s="360"/>
      <c r="BL42" s="360"/>
      <c r="BM42" s="360"/>
      <c r="BN42" s="360"/>
    </row>
    <row r="43" spans="1:66" ht="15">
      <c r="A43" s="353"/>
      <c r="B43" s="353"/>
      <c r="C43" s="356" t="str">
        <f>C3</f>
        <v>For the 12 months ended 12/31/02</v>
      </c>
      <c r="D43" s="1192" t="str">
        <f>D3</f>
        <v>Cost of Service</v>
      </c>
      <c r="E43" s="1192"/>
      <c r="F43" s="1192"/>
      <c r="G43" s="1192"/>
      <c r="H43" s="356"/>
      <c r="I43" s="356"/>
      <c r="N43" s="356"/>
      <c r="O43" s="356"/>
      <c r="P43" s="382"/>
      <c r="Q43" s="383"/>
      <c r="R43" s="383"/>
      <c r="S43" s="383"/>
      <c r="T43" s="360"/>
      <c r="U43" s="360"/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360"/>
      <c r="AJ43" s="360"/>
      <c r="AK43" s="360"/>
      <c r="AL43" s="360"/>
      <c r="AM43" s="360"/>
      <c r="AN43" s="360"/>
      <c r="AO43" s="360"/>
      <c r="AP43" s="360"/>
      <c r="AQ43" s="360"/>
      <c r="AR43" s="360"/>
      <c r="AS43" s="360"/>
      <c r="AT43" s="360"/>
      <c r="AU43" s="360"/>
      <c r="AV43" s="360"/>
      <c r="AW43" s="360"/>
      <c r="AX43" s="360"/>
      <c r="AY43" s="360"/>
      <c r="AZ43" s="360"/>
      <c r="BA43" s="360"/>
      <c r="BB43" s="360"/>
      <c r="BC43" s="360"/>
      <c r="BD43" s="360"/>
      <c r="BE43" s="360"/>
      <c r="BF43" s="360"/>
      <c r="BG43" s="360"/>
      <c r="BH43" s="360"/>
      <c r="BI43" s="360"/>
      <c r="BJ43" s="360"/>
      <c r="BK43" s="360"/>
      <c r="BL43" s="360"/>
      <c r="BM43" s="360"/>
      <c r="BN43" s="360"/>
    </row>
    <row r="44" spans="1:66" ht="15">
      <c r="A44" s="353"/>
      <c r="B44" s="353"/>
      <c r="C44" s="356"/>
      <c r="D44" s="1190" t="str">
        <f>+D4</f>
        <v xml:space="preserve"> Utilizing RUS Form 7 Data</v>
      </c>
      <c r="E44" s="1190"/>
      <c r="F44" s="1190"/>
      <c r="G44" s="1190"/>
      <c r="H44" s="362"/>
      <c r="I44" s="362"/>
      <c r="J44" s="362"/>
      <c r="K44" s="362"/>
      <c r="L44" s="362"/>
      <c r="M44" s="362"/>
      <c r="N44" s="362"/>
      <c r="O44" s="362"/>
      <c r="P44" s="384"/>
      <c r="Q44" s="359"/>
      <c r="R44" s="385"/>
      <c r="S44" s="383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60"/>
      <c r="AI44" s="360"/>
      <c r="AJ44" s="360"/>
      <c r="AK44" s="360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0"/>
      <c r="AW44" s="360"/>
      <c r="AX44" s="360"/>
      <c r="AY44" s="360"/>
      <c r="AZ44" s="360"/>
      <c r="BA44" s="360"/>
      <c r="BB44" s="360"/>
      <c r="BC44" s="360"/>
      <c r="BD44" s="360"/>
      <c r="BE44" s="360"/>
      <c r="BF44" s="360"/>
      <c r="BG44" s="360"/>
      <c r="BH44" s="360"/>
      <c r="BI44" s="360"/>
      <c r="BJ44" s="360"/>
      <c r="BK44" s="360"/>
      <c r="BL44" s="360"/>
      <c r="BM44" s="360"/>
      <c r="BN44" s="360"/>
    </row>
    <row r="45" spans="1:66" ht="15">
      <c r="A45" s="353"/>
      <c r="B45" s="353"/>
      <c r="C45" s="356"/>
      <c r="D45" s="362" t="s">
        <v>665</v>
      </c>
      <c r="E45" s="362" t="s">
        <v>665</v>
      </c>
      <c r="F45" s="362"/>
      <c r="G45" s="362"/>
      <c r="H45" s="362" t="s">
        <v>665</v>
      </c>
      <c r="I45" s="362"/>
      <c r="J45" s="362"/>
      <c r="K45" s="362"/>
      <c r="L45" s="362"/>
      <c r="M45" s="362"/>
      <c r="N45" s="362"/>
      <c r="O45" s="362"/>
      <c r="P45" s="384"/>
      <c r="Q45" s="385"/>
      <c r="R45" s="385"/>
      <c r="S45" s="383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60"/>
      <c r="AI45" s="360"/>
      <c r="AJ45" s="360"/>
      <c r="AK45" s="360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60"/>
      <c r="AX45" s="360"/>
      <c r="AY45" s="360"/>
      <c r="AZ45" s="360"/>
      <c r="BA45" s="360"/>
      <c r="BB45" s="360"/>
      <c r="BC45" s="360"/>
      <c r="BD45" s="360"/>
      <c r="BE45" s="360"/>
      <c r="BF45" s="360"/>
      <c r="BG45" s="360"/>
      <c r="BH45" s="360"/>
      <c r="BI45" s="360"/>
      <c r="BJ45" s="360"/>
      <c r="BK45" s="360"/>
      <c r="BL45" s="360"/>
      <c r="BM45" s="360"/>
      <c r="BN45" s="360"/>
    </row>
    <row r="46" spans="1:66" ht="15">
      <c r="A46" s="353"/>
      <c r="B46" s="353"/>
      <c r="C46" s="356"/>
      <c r="D46" s="1194" t="str">
        <f>D6</f>
        <v>Powder River Energy Corporation</v>
      </c>
      <c r="E46" s="1194"/>
      <c r="F46" s="1194"/>
      <c r="G46" s="1194"/>
      <c r="H46" s="362"/>
      <c r="I46" s="362"/>
      <c r="J46" s="362"/>
      <c r="K46" s="362"/>
      <c r="L46" s="362"/>
      <c r="M46" s="362"/>
      <c r="N46" s="362"/>
      <c r="O46" s="362"/>
      <c r="P46" s="384"/>
      <c r="Q46" s="385"/>
      <c r="R46" s="385"/>
      <c r="S46" s="383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  <c r="BL46" s="360"/>
      <c r="BM46" s="360"/>
      <c r="BN46" s="360"/>
    </row>
    <row r="47" spans="1:66" ht="15">
      <c r="A47" s="353"/>
      <c r="B47" s="353"/>
      <c r="C47" s="356"/>
      <c r="D47" s="116"/>
      <c r="E47" s="116"/>
      <c r="F47" s="116"/>
      <c r="G47" s="116"/>
      <c r="H47" s="362"/>
      <c r="I47" s="362"/>
      <c r="J47" s="362"/>
      <c r="K47" s="362"/>
      <c r="L47" s="362"/>
      <c r="M47" s="362"/>
      <c r="N47" s="362"/>
      <c r="O47" s="362"/>
      <c r="P47" s="384"/>
      <c r="Q47" s="385"/>
      <c r="R47" s="385"/>
      <c r="S47" s="383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360"/>
      <c r="AK47" s="360"/>
      <c r="AL47" s="360"/>
      <c r="AM47" s="360"/>
      <c r="AN47" s="360"/>
      <c r="AO47" s="360"/>
      <c r="AP47" s="360"/>
      <c r="AQ47" s="360"/>
      <c r="AR47" s="360"/>
      <c r="AS47" s="360"/>
      <c r="AT47" s="360"/>
      <c r="AU47" s="360"/>
      <c r="AV47" s="360"/>
      <c r="AW47" s="360"/>
      <c r="AX47" s="360"/>
      <c r="AY47" s="360"/>
      <c r="AZ47" s="360"/>
      <c r="BA47" s="360"/>
      <c r="BB47" s="360"/>
      <c r="BC47" s="360"/>
      <c r="BD47" s="360"/>
      <c r="BE47" s="360"/>
      <c r="BF47" s="360"/>
      <c r="BG47" s="360"/>
      <c r="BH47" s="360"/>
      <c r="BI47" s="360"/>
      <c r="BJ47" s="360"/>
      <c r="BK47" s="360"/>
      <c r="BL47" s="360"/>
      <c r="BM47" s="360"/>
      <c r="BN47" s="360"/>
    </row>
    <row r="48" spans="1:66" ht="15">
      <c r="A48" s="353"/>
      <c r="B48" s="353"/>
      <c r="C48" s="355" t="s">
        <v>672</v>
      </c>
      <c r="D48" s="355" t="s">
        <v>673</v>
      </c>
      <c r="E48" s="355" t="s">
        <v>674</v>
      </c>
      <c r="F48" s="362" t="s">
        <v>665</v>
      </c>
      <c r="G48" s="386" t="s">
        <v>675</v>
      </c>
      <c r="I48" s="362"/>
      <c r="J48" s="386" t="s">
        <v>676</v>
      </c>
      <c r="K48" s="386"/>
      <c r="L48" s="386" t="s">
        <v>1012</v>
      </c>
      <c r="N48" s="362"/>
      <c r="O48" s="387" t="s">
        <v>1013</v>
      </c>
      <c r="P48" s="384"/>
      <c r="Q48" s="388"/>
      <c r="R48" s="385"/>
      <c r="S48" s="383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360"/>
      <c r="BL48" s="360"/>
      <c r="BM48" s="360"/>
      <c r="BN48" s="360"/>
    </row>
    <row r="49" spans="1:66" ht="15">
      <c r="A49" s="117" t="s">
        <v>667</v>
      </c>
      <c r="B49" s="353"/>
      <c r="C49" s="356"/>
      <c r="D49" s="116" t="s">
        <v>110</v>
      </c>
      <c r="E49" s="362"/>
      <c r="F49" s="362"/>
      <c r="H49" s="389"/>
      <c r="I49" s="362"/>
      <c r="J49" s="117" t="s">
        <v>669</v>
      </c>
      <c r="K49" s="117"/>
      <c r="M49" s="389"/>
      <c r="N49" s="362"/>
      <c r="O49" s="390" t="s">
        <v>1006</v>
      </c>
      <c r="P49" s="384"/>
      <c r="Q49" s="388"/>
      <c r="R49" s="388"/>
      <c r="S49" s="383"/>
      <c r="T49" s="360"/>
      <c r="U49" s="360"/>
      <c r="V49" s="360"/>
      <c r="W49" s="360"/>
      <c r="X49" s="360"/>
      <c r="Y49" s="360"/>
      <c r="Z49" s="360"/>
      <c r="AA49" s="360"/>
      <c r="AB49" s="360"/>
      <c r="AC49" s="360"/>
      <c r="AD49" s="360"/>
      <c r="AE49" s="360"/>
      <c r="AF49" s="360"/>
      <c r="AG49" s="360"/>
      <c r="AH49" s="360"/>
      <c r="AI49" s="360"/>
      <c r="AJ49" s="360"/>
      <c r="AK49" s="360"/>
      <c r="AL49" s="360"/>
      <c r="AM49" s="360"/>
      <c r="AN49" s="360"/>
      <c r="AO49" s="360"/>
      <c r="AP49" s="360"/>
      <c r="AQ49" s="360"/>
      <c r="AR49" s="360"/>
      <c r="AS49" s="360"/>
      <c r="AT49" s="360"/>
      <c r="AU49" s="360"/>
      <c r="AV49" s="360"/>
      <c r="AW49" s="360"/>
      <c r="AX49" s="360"/>
      <c r="AY49" s="360"/>
      <c r="AZ49" s="360"/>
      <c r="BA49" s="360"/>
      <c r="BB49" s="360"/>
      <c r="BC49" s="360"/>
      <c r="BD49" s="360"/>
      <c r="BE49" s="360"/>
      <c r="BF49" s="360"/>
      <c r="BG49" s="360"/>
      <c r="BH49" s="360"/>
      <c r="BI49" s="360"/>
      <c r="BJ49" s="360"/>
      <c r="BK49" s="360"/>
      <c r="BL49" s="360"/>
      <c r="BM49" s="360"/>
      <c r="BN49" s="360"/>
    </row>
    <row r="50" spans="1:66" ht="15">
      <c r="A50" s="391" t="s">
        <v>668</v>
      </c>
      <c r="B50" s="392"/>
      <c r="C50" s="393"/>
      <c r="D50" s="394" t="s">
        <v>13</v>
      </c>
      <c r="E50" s="391" t="s">
        <v>680</v>
      </c>
      <c r="F50" s="612"/>
      <c r="G50" s="613" t="s">
        <v>111</v>
      </c>
      <c r="H50" s="395"/>
      <c r="I50" s="612"/>
      <c r="J50" s="396" t="s">
        <v>678</v>
      </c>
      <c r="K50" s="396"/>
      <c r="L50" s="613" t="s">
        <v>111</v>
      </c>
      <c r="M50" s="395"/>
      <c r="N50" s="397"/>
      <c r="O50" s="395" t="s">
        <v>1007</v>
      </c>
      <c r="P50" s="358"/>
      <c r="Q50" s="388"/>
      <c r="R50" s="388"/>
      <c r="S50" s="383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  <c r="AO50" s="360"/>
      <c r="AP50" s="360"/>
      <c r="AQ50" s="360"/>
      <c r="AR50" s="360"/>
      <c r="AS50" s="360"/>
      <c r="AT50" s="360"/>
      <c r="AU50" s="360"/>
      <c r="AV50" s="360"/>
      <c r="AW50" s="360"/>
      <c r="AX50" s="360"/>
      <c r="AY50" s="360"/>
      <c r="AZ50" s="360"/>
      <c r="BA50" s="360"/>
      <c r="BB50" s="360"/>
      <c r="BC50" s="360"/>
      <c r="BD50" s="360"/>
      <c r="BE50" s="360"/>
      <c r="BF50" s="360"/>
      <c r="BG50" s="360"/>
      <c r="BH50" s="360"/>
      <c r="BI50" s="360"/>
      <c r="BJ50" s="360"/>
      <c r="BK50" s="360"/>
      <c r="BL50" s="360"/>
      <c r="BM50" s="360"/>
      <c r="BN50" s="360"/>
    </row>
    <row r="51" spans="1:66" ht="21.75" customHeight="1">
      <c r="A51" s="398"/>
      <c r="B51" s="353"/>
      <c r="C51" s="399" t="s">
        <v>682</v>
      </c>
      <c r="D51" s="362"/>
      <c r="E51" s="362"/>
      <c r="F51" s="362"/>
      <c r="G51" s="362"/>
      <c r="H51" s="362"/>
      <c r="I51" s="362"/>
      <c r="J51" s="362"/>
      <c r="K51" s="362"/>
      <c r="L51" s="362"/>
      <c r="M51" s="362"/>
      <c r="N51" s="362"/>
      <c r="O51" s="355"/>
      <c r="P51" s="358"/>
      <c r="Q51" s="385"/>
      <c r="R51" s="385"/>
      <c r="S51" s="383"/>
      <c r="T51" s="360"/>
      <c r="U51" s="360"/>
      <c r="V51" s="360"/>
      <c r="W51" s="360"/>
      <c r="X51" s="360"/>
      <c r="Y51" s="360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  <c r="AJ51" s="360"/>
      <c r="AK51" s="360"/>
      <c r="AL51" s="360"/>
      <c r="AM51" s="360"/>
      <c r="AN51" s="360"/>
      <c r="AO51" s="360"/>
      <c r="AP51" s="360"/>
      <c r="AQ51" s="360"/>
      <c r="AR51" s="360"/>
      <c r="AS51" s="360"/>
      <c r="AT51" s="360"/>
      <c r="AU51" s="360"/>
      <c r="AV51" s="360"/>
      <c r="AW51" s="360"/>
      <c r="AX51" s="360"/>
      <c r="AY51" s="360"/>
      <c r="AZ51" s="360"/>
      <c r="BA51" s="360"/>
      <c r="BB51" s="360"/>
      <c r="BC51" s="360"/>
      <c r="BD51" s="360"/>
      <c r="BE51" s="360"/>
      <c r="BF51" s="360"/>
      <c r="BG51" s="360"/>
      <c r="BH51" s="360"/>
      <c r="BI51" s="360"/>
      <c r="BJ51" s="360"/>
      <c r="BK51" s="360"/>
      <c r="BL51" s="360"/>
      <c r="BM51" s="360"/>
      <c r="BN51" s="360"/>
    </row>
    <row r="52" spans="1:66" ht="15">
      <c r="A52" s="363"/>
      <c r="B52" s="353"/>
      <c r="C52" s="356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58"/>
      <c r="Q52" s="385"/>
      <c r="R52" s="385"/>
      <c r="S52" s="383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0"/>
      <c r="AI52" s="360"/>
      <c r="AJ52" s="360"/>
      <c r="AK52" s="360"/>
      <c r="AL52" s="360"/>
      <c r="AM52" s="360"/>
      <c r="AN52" s="360"/>
      <c r="AO52" s="360"/>
      <c r="AP52" s="360"/>
      <c r="AQ52" s="360"/>
      <c r="AR52" s="360"/>
      <c r="AS52" s="360"/>
      <c r="AT52" s="360"/>
      <c r="AU52" s="360"/>
      <c r="AV52" s="360"/>
      <c r="AW52" s="360"/>
      <c r="AX52" s="360"/>
      <c r="AY52" s="360"/>
      <c r="AZ52" s="360"/>
      <c r="BA52" s="360"/>
      <c r="BB52" s="360"/>
      <c r="BC52" s="360"/>
      <c r="BD52" s="360"/>
      <c r="BE52" s="360"/>
      <c r="BF52" s="360"/>
      <c r="BG52" s="360"/>
      <c r="BH52" s="360"/>
      <c r="BI52" s="360"/>
      <c r="BJ52" s="360"/>
      <c r="BK52" s="360"/>
      <c r="BL52" s="360"/>
      <c r="BM52" s="360"/>
      <c r="BN52" s="360"/>
    </row>
    <row r="53" spans="1:66" ht="15">
      <c r="A53" s="363"/>
      <c r="B53" s="353"/>
      <c r="C53" s="356" t="s">
        <v>683</v>
      </c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58"/>
      <c r="Q53" s="385"/>
      <c r="R53" s="385"/>
      <c r="S53" s="383"/>
      <c r="T53" s="360"/>
      <c r="U53" s="360"/>
      <c r="V53" s="360"/>
      <c r="W53" s="360"/>
      <c r="X53" s="360"/>
      <c r="Y53" s="360"/>
      <c r="Z53" s="360"/>
      <c r="AA53" s="360"/>
      <c r="AB53" s="360"/>
      <c r="AC53" s="360"/>
      <c r="AD53" s="360"/>
      <c r="AE53" s="360"/>
      <c r="AF53" s="360"/>
      <c r="AG53" s="360"/>
      <c r="AH53" s="360"/>
      <c r="AI53" s="360"/>
      <c r="AJ53" s="360"/>
      <c r="AK53" s="360"/>
      <c r="AL53" s="360"/>
      <c r="AM53" s="360"/>
      <c r="AN53" s="360"/>
      <c r="AO53" s="360"/>
      <c r="AP53" s="360"/>
      <c r="AQ53" s="360"/>
      <c r="AR53" s="360"/>
      <c r="AS53" s="360"/>
      <c r="AT53" s="360"/>
      <c r="AU53" s="360"/>
      <c r="AV53" s="360"/>
      <c r="AW53" s="360"/>
      <c r="AX53" s="360"/>
      <c r="AY53" s="360"/>
      <c r="AZ53" s="360"/>
      <c r="BA53" s="360"/>
      <c r="BB53" s="360"/>
      <c r="BC53" s="360"/>
      <c r="BD53" s="360"/>
      <c r="BE53" s="360"/>
      <c r="BF53" s="360"/>
      <c r="BG53" s="360"/>
      <c r="BH53" s="360"/>
      <c r="BI53" s="360"/>
      <c r="BJ53" s="360"/>
      <c r="BK53" s="360"/>
      <c r="BL53" s="360"/>
      <c r="BM53" s="360"/>
      <c r="BN53" s="360"/>
    </row>
    <row r="54" spans="1:66" ht="15">
      <c r="A54" s="363">
        <v>1</v>
      </c>
      <c r="B54" s="353"/>
      <c r="C54" s="356" t="s">
        <v>684</v>
      </c>
      <c r="D54" s="400"/>
      <c r="E54" s="401">
        <v>0</v>
      </c>
      <c r="F54" s="362"/>
      <c r="G54" s="404" t="s">
        <v>685</v>
      </c>
      <c r="H54" s="615" t="s">
        <v>665</v>
      </c>
      <c r="I54" s="362"/>
      <c r="J54" s="403">
        <v>0</v>
      </c>
      <c r="K54" s="403"/>
      <c r="L54" s="403" t="s">
        <v>685</v>
      </c>
      <c r="M54" s="403"/>
      <c r="N54" s="403"/>
      <c r="O54" s="403">
        <v>0</v>
      </c>
      <c r="P54" s="358"/>
      <c r="R54" s="385"/>
      <c r="S54" s="383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0"/>
      <c r="AI54" s="360"/>
      <c r="AJ54" s="360"/>
      <c r="AK54" s="360"/>
      <c r="AL54" s="360"/>
      <c r="AM54" s="360"/>
      <c r="AN54" s="360"/>
      <c r="AO54" s="360"/>
      <c r="AP54" s="360"/>
      <c r="AQ54" s="360"/>
      <c r="AR54" s="360"/>
      <c r="AS54" s="360"/>
      <c r="AT54" s="360"/>
      <c r="AU54" s="360"/>
      <c r="AV54" s="360"/>
      <c r="AW54" s="360"/>
      <c r="AX54" s="360"/>
      <c r="AY54" s="360"/>
      <c r="AZ54" s="360"/>
      <c r="BA54" s="360"/>
      <c r="BB54" s="360"/>
      <c r="BC54" s="360"/>
      <c r="BD54" s="360"/>
      <c r="BE54" s="360"/>
      <c r="BF54" s="360"/>
      <c r="BG54" s="360"/>
      <c r="BH54" s="360"/>
      <c r="BI54" s="360"/>
      <c r="BJ54" s="360"/>
      <c r="BK54" s="360"/>
      <c r="BL54" s="360"/>
      <c r="BM54" s="360"/>
      <c r="BN54" s="360"/>
    </row>
    <row r="55" spans="1:66" ht="15">
      <c r="A55" s="363">
        <v>2</v>
      </c>
      <c r="B55" s="353"/>
      <c r="C55" s="356" t="s">
        <v>686</v>
      </c>
      <c r="D55" s="374" t="s">
        <v>112</v>
      </c>
      <c r="E55" s="401">
        <v>35862242</v>
      </c>
      <c r="F55" s="362"/>
      <c r="G55" s="404" t="s">
        <v>1022</v>
      </c>
      <c r="H55" s="451" t="s">
        <v>450</v>
      </c>
      <c r="I55" s="362"/>
      <c r="J55" s="403">
        <f>E55</f>
        <v>35862242</v>
      </c>
      <c r="K55" s="403"/>
      <c r="L55" s="403" t="s">
        <v>1022</v>
      </c>
      <c r="M55" s="630" t="s">
        <v>451</v>
      </c>
      <c r="N55" s="403"/>
      <c r="O55" s="403">
        <f>+'PREC Facilities'!D18</f>
        <v>11212559.069999998</v>
      </c>
      <c r="P55" s="358"/>
      <c r="R55" s="385"/>
      <c r="S55" s="383"/>
      <c r="T55" s="360"/>
      <c r="U55" s="360"/>
      <c r="V55" s="360"/>
      <c r="W55" s="360"/>
      <c r="X55" s="360"/>
      <c r="Y55" s="360"/>
      <c r="Z55" s="360"/>
      <c r="AA55" s="360"/>
      <c r="AB55" s="360"/>
      <c r="AC55" s="360"/>
      <c r="AD55" s="360"/>
      <c r="AE55" s="360"/>
      <c r="AF55" s="360"/>
      <c r="AG55" s="360"/>
      <c r="AH55" s="360"/>
      <c r="AI55" s="360"/>
      <c r="AJ55" s="360"/>
      <c r="AK55" s="360"/>
      <c r="AL55" s="360"/>
      <c r="AM55" s="360"/>
      <c r="AN55" s="360"/>
      <c r="AO55" s="360"/>
      <c r="AP55" s="360"/>
      <c r="AQ55" s="360"/>
      <c r="AR55" s="360"/>
      <c r="AS55" s="360"/>
      <c r="AT55" s="360"/>
      <c r="AU55" s="360"/>
      <c r="AV55" s="360"/>
      <c r="AW55" s="360"/>
      <c r="AX55" s="360"/>
      <c r="AY55" s="360"/>
      <c r="AZ55" s="360"/>
      <c r="BA55" s="360"/>
      <c r="BB55" s="360"/>
      <c r="BC55" s="360"/>
      <c r="BD55" s="360"/>
      <c r="BE55" s="360"/>
      <c r="BF55" s="360"/>
      <c r="BG55" s="360"/>
      <c r="BH55" s="360"/>
      <c r="BI55" s="360"/>
      <c r="BJ55" s="360"/>
      <c r="BK55" s="360"/>
      <c r="BL55" s="360"/>
      <c r="BM55" s="360"/>
      <c r="BN55" s="360"/>
    </row>
    <row r="56" spans="1:66" ht="15">
      <c r="A56" s="363">
        <v>3</v>
      </c>
      <c r="B56" s="353"/>
      <c r="C56" s="356" t="s">
        <v>687</v>
      </c>
      <c r="D56" s="374" t="s">
        <v>113</v>
      </c>
      <c r="E56" s="401">
        <v>105250489</v>
      </c>
      <c r="F56" s="362"/>
      <c r="G56" s="404" t="s">
        <v>685</v>
      </c>
      <c r="H56" s="615" t="s">
        <v>665</v>
      </c>
      <c r="I56" s="362"/>
      <c r="J56" s="403">
        <v>0</v>
      </c>
      <c r="K56" s="403"/>
      <c r="L56" s="403" t="s">
        <v>685</v>
      </c>
      <c r="M56" s="403"/>
      <c r="N56" s="403"/>
      <c r="O56" s="403">
        <v>0</v>
      </c>
      <c r="P56" s="358"/>
      <c r="R56" s="385"/>
      <c r="S56" s="383"/>
      <c r="T56" s="360"/>
      <c r="U56" s="360"/>
      <c r="V56" s="360"/>
      <c r="W56" s="360"/>
      <c r="X56" s="360"/>
      <c r="Y56" s="360"/>
      <c r="Z56" s="360"/>
      <c r="AA56" s="360"/>
      <c r="AB56" s="360"/>
      <c r="AC56" s="360"/>
      <c r="AD56" s="360"/>
      <c r="AE56" s="360"/>
      <c r="AF56" s="360"/>
      <c r="AG56" s="360"/>
      <c r="AH56" s="360"/>
      <c r="AI56" s="360"/>
      <c r="AJ56" s="360"/>
      <c r="AK56" s="360"/>
      <c r="AL56" s="360"/>
      <c r="AM56" s="360"/>
      <c r="AN56" s="360"/>
      <c r="AO56" s="360"/>
      <c r="AP56" s="360"/>
      <c r="AQ56" s="360"/>
      <c r="AR56" s="360"/>
      <c r="AS56" s="360"/>
      <c r="AT56" s="360"/>
      <c r="AU56" s="360"/>
      <c r="AV56" s="360"/>
      <c r="AW56" s="360"/>
      <c r="AX56" s="360"/>
      <c r="AY56" s="360"/>
      <c r="AZ56" s="360"/>
      <c r="BA56" s="360"/>
      <c r="BB56" s="360"/>
      <c r="BC56" s="360"/>
      <c r="BD56" s="360"/>
      <c r="BE56" s="360"/>
      <c r="BF56" s="360"/>
      <c r="BG56" s="360"/>
      <c r="BH56" s="360"/>
      <c r="BI56" s="360"/>
      <c r="BJ56" s="360"/>
      <c r="BK56" s="360"/>
      <c r="BL56" s="360"/>
      <c r="BM56" s="360"/>
      <c r="BN56" s="360"/>
    </row>
    <row r="57" spans="1:66" ht="15">
      <c r="A57" s="363">
        <v>4</v>
      </c>
      <c r="B57" s="353"/>
      <c r="C57" s="356" t="s">
        <v>716</v>
      </c>
      <c r="D57" s="374" t="s">
        <v>114</v>
      </c>
      <c r="E57" s="401">
        <v>12807679</v>
      </c>
      <c r="F57" s="362"/>
      <c r="G57" s="404"/>
      <c r="H57" s="615"/>
      <c r="I57" s="362"/>
      <c r="J57" s="403">
        <v>0</v>
      </c>
      <c r="K57" s="403"/>
      <c r="L57" s="403"/>
      <c r="M57" s="403"/>
      <c r="N57" s="403"/>
      <c r="O57" s="403">
        <v>0</v>
      </c>
      <c r="P57" s="384"/>
      <c r="R57" s="388"/>
      <c r="S57" s="383"/>
      <c r="T57" s="360"/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360"/>
      <c r="AF57" s="360"/>
      <c r="AG57" s="360"/>
      <c r="AH57" s="360"/>
      <c r="AI57" s="360"/>
      <c r="AJ57" s="360"/>
      <c r="AK57" s="360"/>
      <c r="AL57" s="360"/>
      <c r="AM57" s="360"/>
      <c r="AN57" s="360"/>
      <c r="AO57" s="360"/>
      <c r="AP57" s="360"/>
      <c r="AQ57" s="360"/>
      <c r="AR57" s="360"/>
      <c r="AS57" s="360"/>
      <c r="AT57" s="360"/>
      <c r="AU57" s="360"/>
      <c r="AV57" s="360"/>
      <c r="AW57" s="360"/>
      <c r="AX57" s="360"/>
      <c r="AY57" s="360"/>
      <c r="AZ57" s="360"/>
      <c r="BA57" s="360"/>
      <c r="BB57" s="360"/>
      <c r="BC57" s="360"/>
      <c r="BD57" s="360"/>
      <c r="BE57" s="360"/>
      <c r="BF57" s="360"/>
      <c r="BG57" s="360"/>
      <c r="BH57" s="360"/>
      <c r="BI57" s="360"/>
      <c r="BJ57" s="360"/>
      <c r="BK57" s="360"/>
      <c r="BL57" s="360"/>
      <c r="BM57" s="360"/>
      <c r="BN57" s="360"/>
    </row>
    <row r="58" spans="1:66" ht="15">
      <c r="A58" s="363">
        <v>5</v>
      </c>
      <c r="B58" s="353"/>
      <c r="C58" s="371" t="s">
        <v>115</v>
      </c>
      <c r="D58" s="404" t="s">
        <v>116</v>
      </c>
      <c r="E58" s="405">
        <v>0</v>
      </c>
      <c r="F58" s="362"/>
      <c r="G58" s="404" t="s">
        <v>1022</v>
      </c>
      <c r="H58" s="615">
        <v>1</v>
      </c>
      <c r="I58" s="362"/>
      <c r="J58" s="403">
        <f>E58</f>
        <v>0</v>
      </c>
      <c r="K58" s="403"/>
      <c r="L58" s="403" t="s">
        <v>685</v>
      </c>
      <c r="M58" s="403"/>
      <c r="N58" s="403"/>
      <c r="O58" s="403">
        <f>ROUND(E58*H58,0)</f>
        <v>0</v>
      </c>
      <c r="P58" s="384"/>
      <c r="R58" s="388"/>
      <c r="S58" s="383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60"/>
      <c r="AK58" s="360"/>
      <c r="AL58" s="360"/>
      <c r="AM58" s="360"/>
      <c r="AN58" s="360"/>
      <c r="AO58" s="360"/>
      <c r="AP58" s="360"/>
      <c r="AQ58" s="360"/>
      <c r="AR58" s="360"/>
      <c r="AS58" s="360"/>
      <c r="AT58" s="360"/>
      <c r="AU58" s="360"/>
      <c r="AV58" s="360"/>
      <c r="AW58" s="360"/>
      <c r="AX58" s="360"/>
      <c r="AY58" s="360"/>
      <c r="AZ58" s="360"/>
      <c r="BA58" s="360"/>
      <c r="BB58" s="360"/>
      <c r="BC58" s="360"/>
      <c r="BD58" s="360"/>
      <c r="BE58" s="360"/>
      <c r="BF58" s="360"/>
      <c r="BG58" s="360"/>
      <c r="BH58" s="360"/>
      <c r="BI58" s="360"/>
      <c r="BJ58" s="360"/>
      <c r="BK58" s="360"/>
      <c r="BL58" s="360"/>
      <c r="BM58" s="360"/>
      <c r="BN58" s="360"/>
    </row>
    <row r="59" spans="1:66" ht="15">
      <c r="A59" s="363">
        <v>6</v>
      </c>
      <c r="B59" s="353"/>
      <c r="C59" s="371" t="s">
        <v>117</v>
      </c>
      <c r="D59" s="404" t="s">
        <v>116</v>
      </c>
      <c r="E59" s="405">
        <v>0</v>
      </c>
      <c r="F59" s="362"/>
      <c r="G59" s="404" t="s">
        <v>685</v>
      </c>
      <c r="H59" s="616" t="s">
        <v>665</v>
      </c>
      <c r="I59" s="362"/>
      <c r="J59" s="403">
        <v>0</v>
      </c>
      <c r="K59" s="403"/>
      <c r="L59" s="403" t="s">
        <v>685</v>
      </c>
      <c r="N59" s="403"/>
      <c r="O59" s="403">
        <v>0</v>
      </c>
      <c r="P59" s="358"/>
      <c r="Q59" s="385"/>
      <c r="R59" s="385"/>
      <c r="S59" s="383"/>
      <c r="T59" s="360"/>
      <c r="U59" s="360"/>
      <c r="V59" s="360"/>
      <c r="W59" s="360"/>
      <c r="X59" s="360"/>
      <c r="Y59" s="360"/>
      <c r="Z59" s="360"/>
      <c r="AA59" s="360"/>
      <c r="AB59" s="360"/>
      <c r="AC59" s="360"/>
      <c r="AD59" s="360"/>
      <c r="AE59" s="360"/>
      <c r="AF59" s="360"/>
      <c r="AG59" s="360"/>
      <c r="AH59" s="360"/>
      <c r="AI59" s="360"/>
      <c r="AJ59" s="360"/>
      <c r="AK59" s="360"/>
      <c r="AL59" s="360"/>
      <c r="AM59" s="360"/>
      <c r="AN59" s="360"/>
      <c r="AO59" s="360"/>
      <c r="AP59" s="360"/>
      <c r="AQ59" s="360"/>
      <c r="AR59" s="360"/>
      <c r="AS59" s="360"/>
      <c r="AT59" s="360"/>
      <c r="AU59" s="360"/>
      <c r="AV59" s="360"/>
      <c r="AW59" s="360"/>
      <c r="AX59" s="360"/>
      <c r="AY59" s="360"/>
      <c r="AZ59" s="360"/>
      <c r="BA59" s="360"/>
      <c r="BB59" s="360"/>
      <c r="BC59" s="360"/>
      <c r="BD59" s="360"/>
      <c r="BE59" s="360"/>
      <c r="BF59" s="360"/>
      <c r="BG59" s="360"/>
      <c r="BH59" s="360"/>
      <c r="BI59" s="360"/>
      <c r="BJ59" s="360"/>
      <c r="BK59" s="360"/>
      <c r="BL59" s="360"/>
      <c r="BM59" s="360"/>
      <c r="BN59" s="360"/>
    </row>
    <row r="60" spans="1:66" ht="15">
      <c r="A60" s="363">
        <v>7</v>
      </c>
      <c r="B60" s="353"/>
      <c r="C60" s="371" t="s">
        <v>118</v>
      </c>
      <c r="D60" s="374" t="s">
        <v>114</v>
      </c>
      <c r="E60" s="405">
        <v>12807679</v>
      </c>
      <c r="F60" s="362"/>
      <c r="G60" s="404" t="s">
        <v>785</v>
      </c>
      <c r="H60" s="614">
        <f>+J172</f>
        <v>3.8064831255997841E-2</v>
      </c>
      <c r="I60" s="362"/>
      <c r="J60" s="405">
        <f>ROUND(E60*J172,0)</f>
        <v>487522</v>
      </c>
      <c r="K60" s="405"/>
      <c r="L60" s="405" t="s">
        <v>785</v>
      </c>
      <c r="M60" s="615">
        <f>O172</f>
        <v>1.1901212672299129E-2</v>
      </c>
      <c r="N60" s="403"/>
      <c r="O60" s="403">
        <f>ROUND(E60*M60,0)</f>
        <v>152427</v>
      </c>
      <c r="P60" s="358"/>
      <c r="Q60" s="385"/>
      <c r="R60" s="385"/>
      <c r="S60" s="383"/>
      <c r="T60" s="360"/>
      <c r="U60" s="360"/>
      <c r="V60" s="360"/>
      <c r="W60" s="360"/>
      <c r="X60" s="360"/>
      <c r="Y60" s="360"/>
      <c r="Z60" s="360"/>
      <c r="AA60" s="360"/>
      <c r="AB60" s="360"/>
      <c r="AC60" s="360"/>
      <c r="AD60" s="360"/>
      <c r="AE60" s="360"/>
      <c r="AF60" s="360"/>
      <c r="AG60" s="360"/>
      <c r="AH60" s="360"/>
      <c r="AI60" s="360"/>
      <c r="AJ60" s="360"/>
      <c r="AK60" s="360"/>
      <c r="AL60" s="360"/>
      <c r="AM60" s="360"/>
      <c r="AN60" s="360"/>
      <c r="AO60" s="360"/>
      <c r="AP60" s="360"/>
      <c r="AQ60" s="360"/>
      <c r="AR60" s="360"/>
      <c r="AS60" s="360"/>
      <c r="AT60" s="360"/>
      <c r="AU60" s="360"/>
      <c r="AV60" s="360"/>
      <c r="AW60" s="360"/>
      <c r="AX60" s="360"/>
      <c r="AY60" s="360"/>
      <c r="AZ60" s="360"/>
      <c r="BA60" s="360"/>
      <c r="BB60" s="360"/>
      <c r="BC60" s="360"/>
      <c r="BD60" s="360"/>
      <c r="BE60" s="360"/>
      <c r="BF60" s="360"/>
      <c r="BG60" s="360"/>
      <c r="BH60" s="360"/>
      <c r="BI60" s="360"/>
      <c r="BJ60" s="360"/>
      <c r="BK60" s="360"/>
      <c r="BL60" s="360"/>
      <c r="BM60" s="360"/>
      <c r="BN60" s="360"/>
    </row>
    <row r="61" spans="1:66" ht="15.75" thickBot="1">
      <c r="A61" s="363">
        <v>8</v>
      </c>
      <c r="B61" s="353"/>
      <c r="C61" s="356" t="s">
        <v>1034</v>
      </c>
      <c r="D61" s="374" t="s">
        <v>119</v>
      </c>
      <c r="E61" s="407">
        <v>120</v>
      </c>
      <c r="F61" s="362"/>
      <c r="G61" s="404" t="s">
        <v>685</v>
      </c>
      <c r="H61" s="404"/>
      <c r="I61" s="362"/>
      <c r="J61" s="408">
        <v>0</v>
      </c>
      <c r="K61" s="408"/>
      <c r="L61" s="408" t="s">
        <v>685</v>
      </c>
      <c r="M61" s="408"/>
      <c r="N61" s="409"/>
      <c r="O61" s="409">
        <v>0</v>
      </c>
      <c r="P61" s="358"/>
      <c r="Q61" s="385"/>
      <c r="R61" s="385"/>
      <c r="S61" s="383"/>
      <c r="T61" s="360"/>
      <c r="U61" s="360"/>
      <c r="V61" s="360"/>
      <c r="W61" s="360"/>
      <c r="X61" s="360"/>
      <c r="Y61" s="360"/>
      <c r="Z61" s="360"/>
      <c r="AA61" s="360"/>
      <c r="AB61" s="360"/>
      <c r="AC61" s="360"/>
      <c r="AD61" s="360"/>
      <c r="AE61" s="360"/>
      <c r="AF61" s="360"/>
      <c r="AG61" s="360"/>
      <c r="AH61" s="360"/>
      <c r="AI61" s="360"/>
      <c r="AJ61" s="360"/>
      <c r="AK61" s="360"/>
      <c r="AL61" s="360"/>
      <c r="AM61" s="360"/>
      <c r="AN61" s="360"/>
      <c r="AO61" s="360"/>
      <c r="AP61" s="360"/>
      <c r="AQ61" s="360"/>
      <c r="AR61" s="360"/>
      <c r="AS61" s="360"/>
      <c r="AT61" s="360"/>
      <c r="AU61" s="360"/>
      <c r="AV61" s="360"/>
      <c r="AW61" s="360"/>
      <c r="AX61" s="360"/>
      <c r="AY61" s="360"/>
      <c r="AZ61" s="360"/>
      <c r="BA61" s="360"/>
      <c r="BB61" s="360"/>
      <c r="BC61" s="360"/>
      <c r="BD61" s="360"/>
      <c r="BE61" s="360"/>
      <c r="BF61" s="360"/>
      <c r="BG61" s="360"/>
      <c r="BH61" s="360"/>
      <c r="BI61" s="360"/>
      <c r="BJ61" s="360"/>
      <c r="BK61" s="360"/>
      <c r="BL61" s="360"/>
      <c r="BM61" s="360"/>
      <c r="BN61" s="360"/>
    </row>
    <row r="62" spans="1:66" ht="15">
      <c r="A62" s="363">
        <f>A61+1</f>
        <v>9</v>
      </c>
      <c r="B62" s="353"/>
      <c r="C62" s="356" t="s">
        <v>539</v>
      </c>
      <c r="D62" s="404"/>
      <c r="E62" s="410">
        <f>E54+E55++E56+E57+E61</f>
        <v>153920530</v>
      </c>
      <c r="F62" s="362"/>
      <c r="G62" s="404" t="s">
        <v>693</v>
      </c>
      <c r="H62" s="615">
        <f>+J62/E62</f>
        <v>0.23615929596916019</v>
      </c>
      <c r="I62" s="362"/>
      <c r="J62" s="410">
        <f>SUM(J54:J61)</f>
        <v>36349764</v>
      </c>
      <c r="K62" s="410"/>
      <c r="L62" s="620" t="str">
        <f>+G62</f>
        <v>GP=</v>
      </c>
      <c r="M62" s="617">
        <f>+O62/E62</f>
        <v>7.3836713465058879E-2</v>
      </c>
      <c r="N62" s="410"/>
      <c r="O62" s="410">
        <f>SUM(O55:O61)</f>
        <v>11364986.069999998</v>
      </c>
      <c r="P62" s="358"/>
      <c r="Q62" s="385"/>
      <c r="R62" s="385"/>
      <c r="S62" s="383"/>
      <c r="T62" s="360"/>
      <c r="U62" s="360"/>
      <c r="V62" s="360"/>
      <c r="W62" s="360"/>
      <c r="X62" s="360"/>
      <c r="Y62" s="360"/>
      <c r="Z62" s="360"/>
      <c r="AA62" s="360"/>
      <c r="AB62" s="360"/>
      <c r="AC62" s="360"/>
      <c r="AD62" s="360"/>
      <c r="AE62" s="360"/>
      <c r="AF62" s="360"/>
      <c r="AG62" s="360"/>
      <c r="AH62" s="360"/>
      <c r="AI62" s="360"/>
      <c r="AJ62" s="360"/>
      <c r="AK62" s="360"/>
      <c r="AL62" s="360"/>
      <c r="AM62" s="360"/>
      <c r="AN62" s="360"/>
      <c r="AO62" s="360"/>
      <c r="AP62" s="360"/>
      <c r="AQ62" s="360"/>
      <c r="AR62" s="360"/>
      <c r="AS62" s="360"/>
      <c r="AT62" s="360"/>
      <c r="AU62" s="360"/>
      <c r="AV62" s="360"/>
      <c r="AW62" s="360"/>
      <c r="AX62" s="360"/>
      <c r="AY62" s="360"/>
      <c r="AZ62" s="360"/>
      <c r="BA62" s="360"/>
      <c r="BB62" s="360"/>
      <c r="BC62" s="360"/>
      <c r="BD62" s="360"/>
      <c r="BE62" s="360"/>
      <c r="BF62" s="360"/>
      <c r="BG62" s="360"/>
      <c r="BH62" s="360"/>
      <c r="BI62" s="360"/>
      <c r="BJ62" s="360"/>
      <c r="BK62" s="360"/>
      <c r="BL62" s="360"/>
      <c r="BM62" s="360"/>
      <c r="BN62" s="360"/>
    </row>
    <row r="63" spans="1:66" ht="15">
      <c r="A63" s="353"/>
      <c r="B63" s="353"/>
      <c r="C63" s="356"/>
      <c r="D63" s="404"/>
      <c r="E63" s="403"/>
      <c r="F63" s="362"/>
      <c r="G63" s="404" t="s">
        <v>665</v>
      </c>
      <c r="H63" s="615" t="s">
        <v>665</v>
      </c>
      <c r="I63" s="362"/>
      <c r="J63" s="362" t="s">
        <v>665</v>
      </c>
      <c r="K63" s="362"/>
      <c r="L63" s="362"/>
      <c r="M63" s="362"/>
      <c r="N63" s="362"/>
      <c r="O63" s="362"/>
      <c r="P63" s="358"/>
      <c r="Q63" s="385"/>
      <c r="R63" s="385"/>
      <c r="S63" s="383"/>
      <c r="T63" s="360"/>
      <c r="U63" s="360"/>
      <c r="V63" s="360"/>
      <c r="W63" s="360"/>
      <c r="X63" s="360"/>
      <c r="Y63" s="360"/>
      <c r="Z63" s="360"/>
      <c r="AA63" s="360"/>
      <c r="AB63" s="360"/>
      <c r="AC63" s="360"/>
      <c r="AD63" s="360"/>
      <c r="AE63" s="360"/>
      <c r="AF63" s="360"/>
      <c r="AG63" s="360"/>
      <c r="AH63" s="360"/>
      <c r="AI63" s="360"/>
      <c r="AJ63" s="360"/>
      <c r="AK63" s="360"/>
      <c r="AL63" s="360"/>
      <c r="AM63" s="360"/>
      <c r="AN63" s="360"/>
      <c r="AO63" s="360"/>
      <c r="AP63" s="360"/>
      <c r="AQ63" s="360"/>
      <c r="AR63" s="360"/>
      <c r="AS63" s="360"/>
      <c r="AT63" s="360"/>
      <c r="AU63" s="360"/>
      <c r="AV63" s="360"/>
      <c r="AW63" s="360"/>
      <c r="AX63" s="360"/>
      <c r="AY63" s="360"/>
      <c r="AZ63" s="360"/>
      <c r="BA63" s="360"/>
      <c r="BB63" s="360"/>
      <c r="BC63" s="360"/>
      <c r="BD63" s="360"/>
      <c r="BE63" s="360"/>
      <c r="BF63" s="360"/>
      <c r="BG63" s="360"/>
      <c r="BH63" s="360"/>
      <c r="BI63" s="360"/>
      <c r="BJ63" s="360"/>
      <c r="BK63" s="360"/>
      <c r="BL63" s="360"/>
      <c r="BM63" s="360"/>
      <c r="BN63" s="360"/>
    </row>
    <row r="64" spans="1:66" ht="15">
      <c r="A64" s="363">
        <f>A62+1</f>
        <v>10</v>
      </c>
      <c r="B64" s="353"/>
      <c r="C64" s="356" t="s">
        <v>694</v>
      </c>
      <c r="D64" s="404"/>
      <c r="E64" s="403"/>
      <c r="F64" s="362" t="s">
        <v>665</v>
      </c>
      <c r="G64" s="404" t="s">
        <v>665</v>
      </c>
      <c r="H64" s="615"/>
      <c r="I64" s="362"/>
      <c r="J64" s="362" t="s">
        <v>665</v>
      </c>
      <c r="K64" s="362"/>
      <c r="L64" s="362"/>
      <c r="M64" s="362"/>
      <c r="N64" s="362"/>
      <c r="O64" s="362"/>
      <c r="P64" s="358"/>
      <c r="Q64" s="385"/>
      <c r="R64" s="385"/>
      <c r="S64" s="383"/>
      <c r="T64" s="360"/>
      <c r="U64" s="360"/>
      <c r="V64" s="360"/>
      <c r="W64" s="360"/>
      <c r="X64" s="360"/>
      <c r="Y64" s="360"/>
      <c r="Z64" s="360"/>
      <c r="AA64" s="360"/>
      <c r="AB64" s="360"/>
      <c r="AC64" s="360"/>
      <c r="AD64" s="360"/>
      <c r="AE64" s="360"/>
      <c r="AF64" s="360"/>
      <c r="AG64" s="360"/>
      <c r="AH64" s="360"/>
      <c r="AI64" s="360"/>
      <c r="AJ64" s="360"/>
      <c r="AK64" s="360"/>
      <c r="AL64" s="360"/>
      <c r="AM64" s="360"/>
      <c r="AN64" s="360"/>
      <c r="AO64" s="360"/>
      <c r="AP64" s="360"/>
      <c r="AQ64" s="360"/>
      <c r="AR64" s="360"/>
      <c r="AS64" s="360"/>
      <c r="AT64" s="360"/>
      <c r="AU64" s="360"/>
      <c r="AV64" s="360"/>
      <c r="AW64" s="360"/>
      <c r="AX64" s="360"/>
      <c r="AY64" s="360"/>
      <c r="AZ64" s="360"/>
      <c r="BA64" s="360"/>
      <c r="BB64" s="360"/>
      <c r="BC64" s="360"/>
      <c r="BD64" s="360"/>
      <c r="BE64" s="360"/>
      <c r="BF64" s="360"/>
      <c r="BG64" s="360"/>
      <c r="BH64" s="360"/>
      <c r="BI64" s="360"/>
      <c r="BJ64" s="360"/>
      <c r="BK64" s="360"/>
      <c r="BL64" s="360"/>
      <c r="BM64" s="360"/>
      <c r="BN64" s="360"/>
    </row>
    <row r="65" spans="1:66" ht="15">
      <c r="A65" s="363">
        <f t="shared" ref="A65:A73" si="0">A64+1</f>
        <v>11</v>
      </c>
      <c r="B65" s="353"/>
      <c r="C65" s="356" t="str">
        <f>+C54</f>
        <v xml:space="preserve">  Production</v>
      </c>
      <c r="D65" s="404"/>
      <c r="E65" s="401">
        <v>0</v>
      </c>
      <c r="F65" s="362"/>
      <c r="G65" s="404" t="s">
        <v>685</v>
      </c>
      <c r="H65" s="615"/>
      <c r="I65" s="362"/>
      <c r="J65" s="403">
        <v>0</v>
      </c>
      <c r="K65" s="403"/>
      <c r="L65" s="403" t="s">
        <v>685</v>
      </c>
      <c r="M65" s="403"/>
      <c r="N65" s="403"/>
      <c r="O65" s="403">
        <v>0</v>
      </c>
      <c r="P65" s="358"/>
      <c r="Q65" s="385"/>
      <c r="R65" s="388"/>
      <c r="S65" s="383"/>
      <c r="T65" s="360"/>
      <c r="U65" s="360"/>
      <c r="V65" s="360"/>
      <c r="W65" s="360"/>
      <c r="X65" s="360"/>
      <c r="Y65" s="360"/>
      <c r="Z65" s="360"/>
      <c r="AA65" s="360"/>
      <c r="AB65" s="360"/>
      <c r="AC65" s="360"/>
      <c r="AD65" s="360"/>
      <c r="AE65" s="360"/>
      <c r="AF65" s="360"/>
      <c r="AG65" s="360"/>
      <c r="AH65" s="360"/>
      <c r="AI65" s="360"/>
      <c r="AJ65" s="360"/>
      <c r="AK65" s="360"/>
      <c r="AL65" s="360"/>
      <c r="AM65" s="360"/>
      <c r="AN65" s="360"/>
      <c r="AO65" s="360"/>
      <c r="AP65" s="360"/>
      <c r="AQ65" s="360"/>
      <c r="AR65" s="360"/>
      <c r="AS65" s="360"/>
      <c r="AT65" s="360"/>
      <c r="AU65" s="360"/>
      <c r="AV65" s="360"/>
      <c r="AW65" s="360"/>
      <c r="AX65" s="360"/>
      <c r="AY65" s="360"/>
      <c r="AZ65" s="360"/>
      <c r="BA65" s="360"/>
      <c r="BB65" s="360"/>
      <c r="BC65" s="360"/>
      <c r="BD65" s="360"/>
      <c r="BE65" s="360"/>
      <c r="BF65" s="360"/>
      <c r="BG65" s="360"/>
      <c r="BH65" s="360"/>
      <c r="BI65" s="360"/>
      <c r="BJ65" s="360"/>
      <c r="BK65" s="360"/>
      <c r="BL65" s="360"/>
      <c r="BM65" s="360"/>
      <c r="BN65" s="360"/>
    </row>
    <row r="66" spans="1:66" ht="15">
      <c r="A66" s="363">
        <f t="shared" si="0"/>
        <v>12</v>
      </c>
      <c r="B66" s="353"/>
      <c r="C66" s="356" t="s">
        <v>686</v>
      </c>
      <c r="D66" s="404" t="s">
        <v>116</v>
      </c>
      <c r="E66" s="401">
        <v>18024179</v>
      </c>
      <c r="F66" s="362"/>
      <c r="G66" s="404" t="str">
        <f>+G55</f>
        <v>DA</v>
      </c>
      <c r="H66" s="451" t="str">
        <f>+H55</f>
        <v>Workpaper  2</v>
      </c>
      <c r="I66" s="362"/>
      <c r="J66" s="403">
        <f>E66</f>
        <v>18024179</v>
      </c>
      <c r="K66" s="403"/>
      <c r="L66" s="403" t="str">
        <f>+L55</f>
        <v>DA</v>
      </c>
      <c r="M66" s="630" t="str">
        <f>+M55</f>
        <v>Workpaper 1</v>
      </c>
      <c r="N66" s="403"/>
      <c r="O66" s="403">
        <f>+'PREC Facilities'!E18</f>
        <v>4751727.26</v>
      </c>
      <c r="P66" s="358"/>
      <c r="Q66" s="385"/>
      <c r="R66" s="388"/>
      <c r="S66" s="383"/>
      <c r="T66" s="360"/>
      <c r="U66" s="360"/>
      <c r="V66" s="360"/>
      <c r="W66" s="360"/>
      <c r="X66" s="360"/>
      <c r="Y66" s="360"/>
      <c r="Z66" s="360"/>
      <c r="AA66" s="360"/>
      <c r="AB66" s="360"/>
      <c r="AC66" s="360"/>
      <c r="AD66" s="360"/>
      <c r="AE66" s="360"/>
      <c r="AF66" s="360"/>
      <c r="AG66" s="360"/>
      <c r="AH66" s="360"/>
      <c r="AI66" s="360"/>
      <c r="AJ66" s="360"/>
      <c r="AK66" s="360"/>
      <c r="AL66" s="360"/>
      <c r="AM66" s="360"/>
      <c r="AN66" s="360"/>
      <c r="AO66" s="360"/>
      <c r="AP66" s="360"/>
      <c r="AQ66" s="360"/>
      <c r="AR66" s="360"/>
      <c r="AS66" s="360"/>
      <c r="AT66" s="360"/>
      <c r="AU66" s="360"/>
      <c r="AV66" s="360"/>
      <c r="AW66" s="360"/>
      <c r="AX66" s="360"/>
      <c r="AY66" s="360"/>
      <c r="AZ66" s="360"/>
      <c r="BA66" s="360"/>
      <c r="BB66" s="360"/>
      <c r="BC66" s="360"/>
      <c r="BD66" s="360"/>
      <c r="BE66" s="360"/>
      <c r="BF66" s="360"/>
      <c r="BG66" s="360"/>
      <c r="BH66" s="360"/>
      <c r="BI66" s="360"/>
      <c r="BJ66" s="360"/>
      <c r="BK66" s="360"/>
      <c r="BL66" s="360"/>
      <c r="BM66" s="360"/>
      <c r="BN66" s="360"/>
    </row>
    <row r="67" spans="1:66" ht="15">
      <c r="A67" s="363">
        <f t="shared" si="0"/>
        <v>13</v>
      </c>
      <c r="B67" s="353"/>
      <c r="C67" s="356" t="str">
        <f t="shared" ref="C67:C72" si="1">+C56</f>
        <v xml:space="preserve">  Distribution</v>
      </c>
      <c r="D67" s="404" t="s">
        <v>116</v>
      </c>
      <c r="E67" s="401">
        <v>33308480</v>
      </c>
      <c r="F67" s="362"/>
      <c r="G67" s="404" t="s">
        <v>685</v>
      </c>
      <c r="H67" s="404"/>
      <c r="I67" s="362"/>
      <c r="J67" s="403">
        <v>0</v>
      </c>
      <c r="K67" s="403"/>
      <c r="L67" s="403" t="s">
        <v>685</v>
      </c>
      <c r="M67" s="403"/>
      <c r="N67" s="403"/>
      <c r="O67" s="403">
        <v>0</v>
      </c>
      <c r="P67" s="358"/>
      <c r="Q67" s="411"/>
      <c r="R67" s="385"/>
      <c r="S67" s="383"/>
      <c r="T67" s="360"/>
      <c r="U67" s="360"/>
      <c r="V67" s="360"/>
      <c r="W67" s="360"/>
      <c r="X67" s="360"/>
      <c r="Y67" s="360"/>
      <c r="Z67" s="360"/>
      <c r="AA67" s="360"/>
      <c r="AB67" s="360"/>
      <c r="AC67" s="360"/>
      <c r="AD67" s="360"/>
      <c r="AE67" s="360"/>
      <c r="AF67" s="360"/>
      <c r="AG67" s="360"/>
      <c r="AH67" s="360"/>
      <c r="AI67" s="360"/>
      <c r="AJ67" s="360"/>
      <c r="AK67" s="360"/>
      <c r="AL67" s="360"/>
      <c r="AM67" s="360"/>
      <c r="AN67" s="360"/>
      <c r="AO67" s="360"/>
      <c r="AP67" s="360"/>
      <c r="AQ67" s="360"/>
      <c r="AR67" s="360"/>
      <c r="AS67" s="360"/>
      <c r="AT67" s="360"/>
      <c r="AU67" s="360"/>
      <c r="AV67" s="360"/>
      <c r="AW67" s="360"/>
      <c r="AX67" s="360"/>
      <c r="AY67" s="360"/>
      <c r="AZ67" s="360"/>
      <c r="BA67" s="360"/>
      <c r="BB67" s="360"/>
      <c r="BC67" s="360"/>
      <c r="BD67" s="360"/>
      <c r="BE67" s="360"/>
      <c r="BF67" s="360"/>
      <c r="BG67" s="360"/>
      <c r="BH67" s="360"/>
      <c r="BI67" s="360"/>
      <c r="BJ67" s="360"/>
      <c r="BK67" s="360"/>
      <c r="BL67" s="360"/>
      <c r="BM67" s="360"/>
      <c r="BN67" s="360"/>
    </row>
    <row r="68" spans="1:66" ht="15">
      <c r="A68" s="363">
        <f t="shared" si="0"/>
        <v>14</v>
      </c>
      <c r="B68" s="353"/>
      <c r="C68" s="356" t="str">
        <f t="shared" si="1"/>
        <v xml:space="preserve">  General </v>
      </c>
      <c r="D68" s="404" t="s">
        <v>116</v>
      </c>
      <c r="E68" s="401">
        <v>6961280</v>
      </c>
      <c r="F68" s="362"/>
      <c r="G68" s="404"/>
      <c r="H68" s="616"/>
      <c r="I68" s="362"/>
      <c r="J68" s="403">
        <v>0</v>
      </c>
      <c r="K68" s="403"/>
      <c r="L68" s="403"/>
      <c r="M68" s="403"/>
      <c r="N68" s="403"/>
      <c r="O68" s="403">
        <v>0</v>
      </c>
      <c r="P68" s="358"/>
      <c r="Q68" s="385"/>
      <c r="R68" s="385"/>
      <c r="S68" s="383"/>
      <c r="T68" s="360"/>
      <c r="U68" s="360"/>
      <c r="V68" s="360"/>
      <c r="W68" s="360"/>
      <c r="X68" s="360"/>
      <c r="Y68" s="360"/>
      <c r="Z68" s="360"/>
      <c r="AA68" s="360"/>
      <c r="AB68" s="360"/>
      <c r="AC68" s="360"/>
      <c r="AD68" s="360"/>
      <c r="AE68" s="360"/>
      <c r="AF68" s="360"/>
      <c r="AG68" s="360"/>
      <c r="AH68" s="360"/>
      <c r="AI68" s="360"/>
      <c r="AJ68" s="360"/>
      <c r="AK68" s="360"/>
      <c r="AL68" s="360"/>
      <c r="AM68" s="360"/>
      <c r="AN68" s="360"/>
      <c r="AO68" s="360"/>
      <c r="AP68" s="360"/>
      <c r="AQ68" s="360"/>
      <c r="AR68" s="360"/>
      <c r="AS68" s="360"/>
      <c r="AT68" s="360"/>
      <c r="AU68" s="360"/>
      <c r="AV68" s="360"/>
      <c r="AW68" s="360"/>
      <c r="AX68" s="360"/>
      <c r="AY68" s="360"/>
      <c r="AZ68" s="360"/>
      <c r="BA68" s="360"/>
      <c r="BB68" s="360"/>
      <c r="BC68" s="360"/>
      <c r="BD68" s="360"/>
      <c r="BE68" s="360"/>
      <c r="BF68" s="360"/>
      <c r="BG68" s="360"/>
      <c r="BH68" s="360"/>
      <c r="BI68" s="360"/>
      <c r="BJ68" s="360"/>
      <c r="BK68" s="360"/>
      <c r="BL68" s="360"/>
      <c r="BM68" s="360"/>
      <c r="BN68" s="360"/>
    </row>
    <row r="69" spans="1:66" ht="15">
      <c r="A69" s="363">
        <f t="shared" si="0"/>
        <v>15</v>
      </c>
      <c r="B69" s="353"/>
      <c r="C69" s="356" t="str">
        <f t="shared" si="1"/>
        <v xml:space="preserve">      Direct Assign - Transmission</v>
      </c>
      <c r="D69" s="404" t="s">
        <v>116</v>
      </c>
      <c r="E69" s="405">
        <v>0</v>
      </c>
      <c r="F69" s="362"/>
      <c r="G69" s="404" t="s">
        <v>1022</v>
      </c>
      <c r="H69" s="615">
        <v>1</v>
      </c>
      <c r="I69" s="362"/>
      <c r="J69" s="403">
        <f>E69</f>
        <v>0</v>
      </c>
      <c r="K69" s="403"/>
      <c r="L69" s="403" t="s">
        <v>685</v>
      </c>
      <c r="M69" s="403"/>
      <c r="N69" s="403"/>
      <c r="O69" s="403">
        <f>ROUND(E69*H69,0)</f>
        <v>0</v>
      </c>
      <c r="P69" s="358"/>
      <c r="Q69" s="385"/>
      <c r="R69" s="385"/>
      <c r="S69" s="383"/>
      <c r="T69" s="360"/>
      <c r="U69" s="360"/>
      <c r="V69" s="360"/>
      <c r="W69" s="360"/>
      <c r="X69" s="360"/>
      <c r="Y69" s="360"/>
      <c r="Z69" s="360"/>
      <c r="AA69" s="360"/>
      <c r="AB69" s="360"/>
      <c r="AC69" s="360"/>
      <c r="AD69" s="360"/>
      <c r="AE69" s="360"/>
      <c r="AF69" s="360"/>
      <c r="AG69" s="360"/>
      <c r="AH69" s="360"/>
      <c r="AI69" s="360"/>
      <c r="AJ69" s="360"/>
      <c r="AK69" s="360"/>
      <c r="AL69" s="360"/>
      <c r="AM69" s="360"/>
      <c r="AN69" s="360"/>
      <c r="AO69" s="360"/>
      <c r="AP69" s="360"/>
      <c r="AQ69" s="360"/>
      <c r="AR69" s="360"/>
      <c r="AS69" s="360"/>
      <c r="AT69" s="360"/>
      <c r="AU69" s="360"/>
      <c r="AV69" s="360"/>
      <c r="AW69" s="360"/>
      <c r="AX69" s="360"/>
      <c r="AY69" s="360"/>
      <c r="AZ69" s="360"/>
      <c r="BA69" s="360"/>
      <c r="BB69" s="360"/>
      <c r="BC69" s="360"/>
      <c r="BD69" s="360"/>
      <c r="BE69" s="360"/>
      <c r="BF69" s="360"/>
      <c r="BG69" s="360"/>
      <c r="BH69" s="360"/>
      <c r="BI69" s="360"/>
      <c r="BJ69" s="360"/>
      <c r="BK69" s="360"/>
      <c r="BL69" s="360"/>
      <c r="BM69" s="360"/>
      <c r="BN69" s="360"/>
    </row>
    <row r="70" spans="1:66" ht="15">
      <c r="A70" s="363">
        <f t="shared" si="0"/>
        <v>16</v>
      </c>
      <c r="B70" s="353"/>
      <c r="C70" s="356" t="str">
        <f t="shared" si="1"/>
        <v xml:space="preserve">      Direct Assign - Distribution</v>
      </c>
      <c r="D70" s="404" t="s">
        <v>116</v>
      </c>
      <c r="E70" s="405">
        <v>0</v>
      </c>
      <c r="F70" s="362"/>
      <c r="G70" s="404" t="s">
        <v>685</v>
      </c>
      <c r="H70" s="616"/>
      <c r="I70" s="362"/>
      <c r="J70" s="403">
        <v>0</v>
      </c>
      <c r="K70" s="403"/>
      <c r="L70" s="403" t="s">
        <v>452</v>
      </c>
      <c r="M70" s="403"/>
      <c r="N70" s="403"/>
      <c r="O70" s="403">
        <v>0</v>
      </c>
      <c r="P70" s="358"/>
      <c r="Q70" s="385"/>
      <c r="R70" s="385"/>
      <c r="S70" s="383"/>
      <c r="T70" s="360"/>
      <c r="U70" s="360"/>
      <c r="V70" s="360"/>
      <c r="W70" s="360"/>
      <c r="X70" s="360"/>
      <c r="Y70" s="360"/>
      <c r="Z70" s="360"/>
      <c r="AA70" s="360"/>
      <c r="AB70" s="360"/>
      <c r="AC70" s="360"/>
      <c r="AD70" s="360"/>
      <c r="AE70" s="360"/>
      <c r="AF70" s="360"/>
      <c r="AG70" s="360"/>
      <c r="AH70" s="360"/>
      <c r="AI70" s="360"/>
      <c r="AJ70" s="360"/>
      <c r="AK70" s="360"/>
      <c r="AL70" s="360"/>
      <c r="AM70" s="360"/>
      <c r="AN70" s="360"/>
      <c r="AO70" s="360"/>
      <c r="AP70" s="360"/>
      <c r="AQ70" s="360"/>
      <c r="AR70" s="360"/>
      <c r="AS70" s="360"/>
      <c r="AT70" s="360"/>
      <c r="AU70" s="360"/>
      <c r="AV70" s="360"/>
      <c r="AW70" s="360"/>
      <c r="AX70" s="360"/>
      <c r="AY70" s="360"/>
      <c r="AZ70" s="360"/>
      <c r="BA70" s="360"/>
      <c r="BB70" s="360"/>
      <c r="BC70" s="360"/>
      <c r="BD70" s="360"/>
      <c r="BE70" s="360"/>
      <c r="BF70" s="360"/>
      <c r="BG70" s="360"/>
      <c r="BH70" s="360"/>
      <c r="BI70" s="360"/>
      <c r="BJ70" s="360"/>
      <c r="BK70" s="360"/>
      <c r="BL70" s="360"/>
      <c r="BM70" s="360"/>
      <c r="BN70" s="360"/>
    </row>
    <row r="71" spans="1:66" ht="15">
      <c r="A71" s="363">
        <f t="shared" si="0"/>
        <v>17</v>
      </c>
      <c r="B71" s="353"/>
      <c r="C71" s="356" t="str">
        <f t="shared" si="1"/>
        <v xml:space="preserve">      Other</v>
      </c>
      <c r="D71" s="404" t="s">
        <v>116</v>
      </c>
      <c r="E71" s="405">
        <v>6961280</v>
      </c>
      <c r="F71" s="362"/>
      <c r="G71" s="404" t="s">
        <v>785</v>
      </c>
      <c r="H71" s="615">
        <f>+H60</f>
        <v>3.8064831255997841E-2</v>
      </c>
      <c r="I71" s="362"/>
      <c r="J71" s="403">
        <f>ROUND(E71*J172,0)</f>
        <v>264980</v>
      </c>
      <c r="K71" s="403"/>
      <c r="L71" s="403" t="s">
        <v>785</v>
      </c>
      <c r="M71" s="623">
        <f>+M60</f>
        <v>1.1901212672299129E-2</v>
      </c>
      <c r="N71" s="403"/>
      <c r="O71" s="403">
        <f>ROUND(E71*M71,0)</f>
        <v>82848</v>
      </c>
      <c r="P71" s="358"/>
      <c r="Q71" s="385"/>
      <c r="R71" s="385"/>
      <c r="S71" s="383"/>
      <c r="T71" s="360"/>
      <c r="U71" s="360"/>
      <c r="V71" s="360"/>
      <c r="W71" s="360"/>
      <c r="X71" s="360"/>
      <c r="Y71" s="360"/>
      <c r="Z71" s="360"/>
      <c r="AA71" s="360"/>
      <c r="AB71" s="360"/>
      <c r="AC71" s="360"/>
      <c r="AD71" s="360"/>
      <c r="AE71" s="360"/>
      <c r="AF71" s="360"/>
      <c r="AG71" s="360"/>
      <c r="AH71" s="360"/>
      <c r="AI71" s="360"/>
      <c r="AJ71" s="360"/>
      <c r="AK71" s="360"/>
      <c r="AL71" s="360"/>
      <c r="AM71" s="360"/>
      <c r="AN71" s="360"/>
      <c r="AO71" s="360"/>
      <c r="AP71" s="360"/>
      <c r="AQ71" s="360"/>
      <c r="AR71" s="360"/>
      <c r="AS71" s="360"/>
      <c r="AT71" s="360"/>
      <c r="AU71" s="360"/>
      <c r="AV71" s="360"/>
      <c r="AW71" s="360"/>
      <c r="AX71" s="360"/>
      <c r="AY71" s="360"/>
      <c r="AZ71" s="360"/>
      <c r="BA71" s="360"/>
      <c r="BB71" s="360"/>
      <c r="BC71" s="360"/>
      <c r="BD71" s="360"/>
      <c r="BE71" s="360"/>
      <c r="BF71" s="360"/>
      <c r="BG71" s="360"/>
      <c r="BH71" s="360"/>
      <c r="BI71" s="360"/>
      <c r="BJ71" s="360"/>
      <c r="BK71" s="360"/>
      <c r="BL71" s="360"/>
      <c r="BM71" s="360"/>
      <c r="BN71" s="360"/>
    </row>
    <row r="72" spans="1:66" ht="15.75" thickBot="1">
      <c r="A72" s="363">
        <f t="shared" si="0"/>
        <v>18</v>
      </c>
      <c r="B72" s="353"/>
      <c r="C72" s="356" t="str">
        <f t="shared" si="1"/>
        <v xml:space="preserve">  Intangible</v>
      </c>
      <c r="D72" s="404" t="s">
        <v>116</v>
      </c>
      <c r="E72" s="407">
        <v>0</v>
      </c>
      <c r="F72" s="362"/>
      <c r="G72" s="404" t="s">
        <v>685</v>
      </c>
      <c r="H72" s="616"/>
      <c r="I72" s="362"/>
      <c r="J72" s="409">
        <v>0</v>
      </c>
      <c r="K72" s="420"/>
      <c r="L72" s="420" t="s">
        <v>685</v>
      </c>
      <c r="M72" s="420"/>
      <c r="N72" s="403"/>
      <c r="O72" s="409">
        <v>0</v>
      </c>
      <c r="P72" s="358"/>
      <c r="Q72" s="385"/>
      <c r="R72" s="385"/>
      <c r="S72" s="383"/>
      <c r="T72" s="360"/>
      <c r="U72" s="360"/>
      <c r="V72" s="360"/>
      <c r="W72" s="360"/>
      <c r="X72" s="360"/>
      <c r="Y72" s="360"/>
      <c r="Z72" s="360"/>
      <c r="AA72" s="360"/>
      <c r="AB72" s="360"/>
      <c r="AC72" s="360"/>
      <c r="AD72" s="360"/>
      <c r="AE72" s="360"/>
      <c r="AF72" s="360"/>
      <c r="AG72" s="360"/>
      <c r="AH72" s="360"/>
      <c r="AI72" s="360"/>
      <c r="AJ72" s="360"/>
      <c r="AK72" s="360"/>
      <c r="AL72" s="360"/>
      <c r="AM72" s="360"/>
      <c r="AN72" s="360"/>
      <c r="AO72" s="360"/>
      <c r="AP72" s="360"/>
      <c r="AQ72" s="360"/>
      <c r="AR72" s="360"/>
      <c r="AS72" s="360"/>
      <c r="AT72" s="360"/>
      <c r="AU72" s="360"/>
      <c r="AV72" s="360"/>
      <c r="AW72" s="360"/>
      <c r="AX72" s="360"/>
      <c r="AY72" s="360"/>
      <c r="AZ72" s="360"/>
      <c r="BA72" s="360"/>
      <c r="BB72" s="360"/>
      <c r="BC72" s="360"/>
      <c r="BD72" s="360"/>
      <c r="BE72" s="360"/>
      <c r="BF72" s="360"/>
      <c r="BG72" s="360"/>
      <c r="BH72" s="360"/>
      <c r="BI72" s="360"/>
      <c r="BJ72" s="360"/>
      <c r="BK72" s="360"/>
      <c r="BL72" s="360"/>
      <c r="BM72" s="360"/>
      <c r="BN72" s="360"/>
    </row>
    <row r="73" spans="1:66" ht="15">
      <c r="A73" s="363">
        <f t="shared" si="0"/>
        <v>19</v>
      </c>
      <c r="B73" s="353"/>
      <c r="C73" s="356" t="s">
        <v>541</v>
      </c>
      <c r="D73" s="362"/>
      <c r="E73" s="410">
        <f>E65+E66++E67+E68+E72</f>
        <v>58293939</v>
      </c>
      <c r="F73" s="362"/>
      <c r="G73" s="404"/>
      <c r="H73" s="616"/>
      <c r="I73" s="362"/>
      <c r="J73" s="410">
        <f>SUM(J65:J72)</f>
        <v>18289159</v>
      </c>
      <c r="K73" s="410"/>
      <c r="L73" s="410"/>
      <c r="M73" s="410"/>
      <c r="N73" s="410"/>
      <c r="O73" s="410">
        <f>SUM(O66:O72)</f>
        <v>4834575.26</v>
      </c>
      <c r="P73" s="358"/>
      <c r="Q73" s="385"/>
      <c r="R73" s="388"/>
      <c r="S73" s="383"/>
      <c r="T73" s="360"/>
      <c r="U73" s="360"/>
      <c r="V73" s="360"/>
      <c r="W73" s="360"/>
      <c r="X73" s="360"/>
      <c r="Y73" s="360"/>
      <c r="Z73" s="360"/>
      <c r="AA73" s="360"/>
      <c r="AB73" s="360"/>
      <c r="AC73" s="360"/>
      <c r="AD73" s="360"/>
      <c r="AE73" s="360"/>
      <c r="AF73" s="360"/>
      <c r="AG73" s="360"/>
      <c r="AH73" s="360"/>
      <c r="AI73" s="360"/>
      <c r="AJ73" s="360"/>
      <c r="AK73" s="360"/>
      <c r="AL73" s="360"/>
      <c r="AM73" s="360"/>
      <c r="AN73" s="360"/>
      <c r="AO73" s="360"/>
      <c r="AP73" s="360"/>
      <c r="AQ73" s="360"/>
      <c r="AR73" s="360"/>
      <c r="AS73" s="360"/>
      <c r="AT73" s="360"/>
      <c r="AU73" s="360"/>
      <c r="AV73" s="360"/>
      <c r="AW73" s="360"/>
      <c r="AX73" s="360"/>
      <c r="AY73" s="360"/>
      <c r="AZ73" s="360"/>
      <c r="BA73" s="360"/>
      <c r="BB73" s="360"/>
      <c r="BC73" s="360"/>
      <c r="BD73" s="360"/>
      <c r="BE73" s="360"/>
      <c r="BF73" s="360"/>
      <c r="BG73" s="360"/>
      <c r="BH73" s="360"/>
      <c r="BI73" s="360"/>
      <c r="BJ73" s="360"/>
      <c r="BK73" s="360"/>
      <c r="BL73" s="360"/>
      <c r="BM73" s="360"/>
      <c r="BN73" s="360"/>
    </row>
    <row r="74" spans="1:66" ht="15">
      <c r="A74" s="363" t="s">
        <v>665</v>
      </c>
      <c r="B74" s="353"/>
      <c r="C74" s="412"/>
      <c r="D74" s="362" t="s">
        <v>665</v>
      </c>
      <c r="E74" s="413"/>
      <c r="F74" s="362"/>
      <c r="G74" s="404"/>
      <c r="H74" s="616"/>
      <c r="I74" s="362"/>
      <c r="J74" s="403" t="s">
        <v>665</v>
      </c>
      <c r="K74" s="403"/>
      <c r="L74" s="403"/>
      <c r="M74" s="403"/>
      <c r="N74" s="403"/>
      <c r="O74" s="403"/>
      <c r="P74" s="358"/>
      <c r="Q74" s="385"/>
      <c r="R74" s="388"/>
      <c r="S74" s="383"/>
      <c r="T74" s="360"/>
      <c r="U74" s="360"/>
      <c r="V74" s="360"/>
      <c r="W74" s="360"/>
      <c r="X74" s="360"/>
      <c r="Y74" s="360"/>
      <c r="Z74" s="360"/>
      <c r="AA74" s="360"/>
      <c r="AB74" s="360"/>
      <c r="AC74" s="360"/>
      <c r="AD74" s="360"/>
      <c r="AE74" s="360"/>
      <c r="AF74" s="360"/>
      <c r="AG74" s="360"/>
      <c r="AH74" s="360"/>
      <c r="AI74" s="360"/>
      <c r="AJ74" s="360"/>
      <c r="AK74" s="360"/>
      <c r="AL74" s="360"/>
      <c r="AM74" s="360"/>
      <c r="AN74" s="360"/>
      <c r="AO74" s="360"/>
      <c r="AP74" s="360"/>
      <c r="AQ74" s="360"/>
      <c r="AR74" s="360"/>
      <c r="AS74" s="360"/>
      <c r="AT74" s="360"/>
      <c r="AU74" s="360"/>
      <c r="AV74" s="360"/>
      <c r="AW74" s="360"/>
      <c r="AX74" s="360"/>
      <c r="AY74" s="360"/>
      <c r="AZ74" s="360"/>
      <c r="BA74" s="360"/>
      <c r="BB74" s="360"/>
      <c r="BC74" s="360"/>
      <c r="BD74" s="360"/>
      <c r="BE74" s="360"/>
      <c r="BF74" s="360"/>
      <c r="BG74" s="360"/>
      <c r="BH74" s="360"/>
      <c r="BI74" s="360"/>
      <c r="BJ74" s="360"/>
      <c r="BK74" s="360"/>
      <c r="BL74" s="360"/>
      <c r="BM74" s="360"/>
      <c r="BN74" s="360"/>
    </row>
    <row r="75" spans="1:66" ht="15">
      <c r="A75" s="363">
        <f>A73+1</f>
        <v>20</v>
      </c>
      <c r="B75" s="353"/>
      <c r="C75" s="356" t="s">
        <v>696</v>
      </c>
      <c r="D75" s="362"/>
      <c r="E75" s="403" t="s">
        <v>665</v>
      </c>
      <c r="F75" s="362"/>
      <c r="G75" s="404" t="s">
        <v>665</v>
      </c>
      <c r="H75" s="616" t="s">
        <v>665</v>
      </c>
      <c r="I75" s="362"/>
      <c r="J75" s="362" t="s">
        <v>665</v>
      </c>
      <c r="K75" s="362"/>
      <c r="L75" s="362"/>
      <c r="M75" s="362"/>
      <c r="N75" s="362"/>
      <c r="O75" s="362"/>
      <c r="P75" s="358"/>
      <c r="Q75" s="414"/>
      <c r="R75" s="385"/>
      <c r="S75" s="383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F75" s="360"/>
      <c r="AG75" s="360"/>
      <c r="AH75" s="360"/>
      <c r="AI75" s="360"/>
      <c r="AJ75" s="360"/>
      <c r="AK75" s="360"/>
      <c r="AL75" s="360"/>
      <c r="AM75" s="360"/>
      <c r="AN75" s="360"/>
      <c r="AO75" s="360"/>
      <c r="AP75" s="360"/>
      <c r="AQ75" s="360"/>
      <c r="AR75" s="360"/>
      <c r="AS75" s="360"/>
      <c r="AT75" s="360"/>
      <c r="AU75" s="360"/>
      <c r="AV75" s="360"/>
      <c r="AW75" s="360"/>
      <c r="AX75" s="360"/>
      <c r="AY75" s="360"/>
      <c r="AZ75" s="360"/>
      <c r="BA75" s="360"/>
      <c r="BB75" s="360"/>
      <c r="BC75" s="360"/>
      <c r="BD75" s="360"/>
      <c r="BE75" s="360"/>
      <c r="BF75" s="360"/>
      <c r="BG75" s="360"/>
      <c r="BH75" s="360"/>
      <c r="BI75" s="360"/>
      <c r="BJ75" s="360"/>
      <c r="BK75" s="360"/>
      <c r="BL75" s="360"/>
      <c r="BM75" s="360"/>
      <c r="BN75" s="360"/>
    </row>
    <row r="76" spans="1:66" ht="15">
      <c r="A76" s="363">
        <f>A75+1</f>
        <v>21</v>
      </c>
      <c r="B76" s="353"/>
      <c r="C76" s="356" t="str">
        <f t="shared" ref="C76:C83" si="2">+C65</f>
        <v xml:space="preserve">  Production</v>
      </c>
      <c r="D76" s="404" t="s">
        <v>123</v>
      </c>
      <c r="E76" s="415">
        <f t="shared" ref="E76:E83" si="3">E54-E65</f>
        <v>0</v>
      </c>
      <c r="F76" s="362"/>
      <c r="G76" s="404"/>
      <c r="H76" s="370"/>
      <c r="I76" s="362"/>
      <c r="J76" s="416">
        <f t="shared" ref="J76:J83" si="4">J54-J65</f>
        <v>0</v>
      </c>
      <c r="K76" s="416"/>
      <c r="L76" s="416"/>
      <c r="M76" s="416"/>
      <c r="N76" s="403"/>
      <c r="O76" s="417">
        <f t="shared" ref="O76:O83" si="5">O54-O65</f>
        <v>0</v>
      </c>
      <c r="P76" s="418"/>
      <c r="Q76" s="385"/>
      <c r="R76" s="385"/>
      <c r="S76" s="383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F76" s="360"/>
      <c r="AG76" s="360"/>
      <c r="AH76" s="360"/>
      <c r="AI76" s="360"/>
      <c r="AJ76" s="360"/>
      <c r="AK76" s="360"/>
      <c r="AL76" s="360"/>
      <c r="AM76" s="360"/>
      <c r="AN76" s="360"/>
      <c r="AO76" s="360"/>
      <c r="AP76" s="360"/>
      <c r="AQ76" s="360"/>
      <c r="AR76" s="360"/>
      <c r="AS76" s="360"/>
      <c r="AT76" s="360"/>
      <c r="AU76" s="360"/>
      <c r="AV76" s="360"/>
      <c r="AW76" s="360"/>
      <c r="AX76" s="360"/>
      <c r="AY76" s="360"/>
      <c r="AZ76" s="360"/>
      <c r="BA76" s="360"/>
      <c r="BB76" s="360"/>
      <c r="BC76" s="360"/>
      <c r="BD76" s="360"/>
      <c r="BE76" s="360"/>
      <c r="BF76" s="360"/>
      <c r="BG76" s="360"/>
      <c r="BH76" s="360"/>
      <c r="BI76" s="360"/>
      <c r="BJ76" s="360"/>
      <c r="BK76" s="360"/>
      <c r="BL76" s="360"/>
      <c r="BM76" s="360"/>
      <c r="BN76" s="360"/>
    </row>
    <row r="77" spans="1:66" ht="15">
      <c r="A77" s="363">
        <f>A76+1</f>
        <v>22</v>
      </c>
      <c r="B77" s="353"/>
      <c r="C77" s="356" t="str">
        <f t="shared" si="2"/>
        <v xml:space="preserve">  Transmission</v>
      </c>
      <c r="D77" s="404" t="s">
        <v>124</v>
      </c>
      <c r="E77" s="415">
        <f t="shared" si="3"/>
        <v>17838063</v>
      </c>
      <c r="F77" s="362"/>
      <c r="G77" s="404"/>
      <c r="H77" s="404"/>
      <c r="I77" s="362"/>
      <c r="J77" s="403">
        <f t="shared" si="4"/>
        <v>17838063</v>
      </c>
      <c r="K77" s="403"/>
      <c r="L77" s="403"/>
      <c r="M77" s="403"/>
      <c r="N77" s="403"/>
      <c r="O77" s="403">
        <f t="shared" si="5"/>
        <v>6460831.8099999987</v>
      </c>
      <c r="P77" s="418"/>
      <c r="Q77" s="385" t="s">
        <v>665</v>
      </c>
      <c r="R77" s="385"/>
      <c r="S77" s="383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F77" s="360"/>
      <c r="AG77" s="360"/>
      <c r="AH77" s="360"/>
      <c r="AI77" s="360"/>
      <c r="AJ77" s="360"/>
      <c r="AK77" s="360"/>
      <c r="AL77" s="360"/>
      <c r="AM77" s="360"/>
      <c r="AN77" s="360"/>
      <c r="AO77" s="360"/>
      <c r="AP77" s="360"/>
      <c r="AQ77" s="360"/>
      <c r="AR77" s="360"/>
      <c r="AS77" s="360"/>
      <c r="AT77" s="360"/>
      <c r="AU77" s="360"/>
      <c r="AV77" s="360"/>
      <c r="AW77" s="360"/>
      <c r="AX77" s="360"/>
      <c r="AY77" s="360"/>
      <c r="AZ77" s="360"/>
      <c r="BA77" s="360"/>
      <c r="BB77" s="360"/>
      <c r="BC77" s="360"/>
      <c r="BD77" s="360"/>
      <c r="BE77" s="360"/>
      <c r="BF77" s="360"/>
      <c r="BG77" s="360"/>
      <c r="BH77" s="360"/>
      <c r="BI77" s="360"/>
      <c r="BJ77" s="360"/>
      <c r="BK77" s="360"/>
      <c r="BL77" s="360"/>
      <c r="BM77" s="360"/>
      <c r="BN77" s="360"/>
    </row>
    <row r="78" spans="1:66" ht="15">
      <c r="A78" s="363">
        <v>23</v>
      </c>
      <c r="B78" s="353"/>
      <c r="C78" s="356" t="str">
        <f t="shared" si="2"/>
        <v xml:space="preserve">  Distribution</v>
      </c>
      <c r="D78" s="404" t="s">
        <v>125</v>
      </c>
      <c r="E78" s="415">
        <f t="shared" si="3"/>
        <v>71942009</v>
      </c>
      <c r="F78" s="362"/>
      <c r="G78" s="404"/>
      <c r="H78" s="451" t="s">
        <v>665</v>
      </c>
      <c r="I78" s="362"/>
      <c r="J78" s="403">
        <f t="shared" si="4"/>
        <v>0</v>
      </c>
      <c r="K78" s="403"/>
      <c r="L78" s="403"/>
      <c r="M78" s="403"/>
      <c r="N78" s="403"/>
      <c r="O78" s="403">
        <f t="shared" si="5"/>
        <v>0</v>
      </c>
      <c r="P78" s="418"/>
      <c r="Q78" s="419"/>
      <c r="R78" s="388"/>
      <c r="S78" s="383"/>
      <c r="T78" s="360"/>
      <c r="U78" s="360"/>
      <c r="V78" s="360"/>
      <c r="W78" s="360"/>
      <c r="X78" s="360"/>
      <c r="Y78" s="360"/>
      <c r="Z78" s="360"/>
      <c r="AA78" s="360"/>
      <c r="AB78" s="360"/>
      <c r="AC78" s="360"/>
      <c r="AD78" s="360"/>
      <c r="AE78" s="360"/>
      <c r="AF78" s="360"/>
      <c r="AG78" s="360"/>
      <c r="AH78" s="360"/>
      <c r="AI78" s="360"/>
      <c r="AJ78" s="360"/>
      <c r="AK78" s="360"/>
      <c r="AL78" s="360"/>
      <c r="AM78" s="360"/>
      <c r="AN78" s="360"/>
      <c r="AO78" s="360"/>
      <c r="AP78" s="360"/>
      <c r="AQ78" s="360"/>
      <c r="AR78" s="360"/>
      <c r="AS78" s="360"/>
      <c r="AT78" s="360"/>
      <c r="AU78" s="360"/>
      <c r="AV78" s="360"/>
      <c r="AW78" s="360"/>
      <c r="AX78" s="360"/>
      <c r="AY78" s="360"/>
      <c r="AZ78" s="360"/>
      <c r="BA78" s="360"/>
      <c r="BB78" s="360"/>
      <c r="BC78" s="360"/>
      <c r="BD78" s="360"/>
      <c r="BE78" s="360"/>
      <c r="BF78" s="360"/>
      <c r="BG78" s="360"/>
      <c r="BH78" s="360"/>
      <c r="BI78" s="360"/>
      <c r="BJ78" s="360"/>
      <c r="BK78" s="360"/>
      <c r="BL78" s="360"/>
      <c r="BM78" s="360"/>
      <c r="BN78" s="360"/>
    </row>
    <row r="79" spans="1:66" ht="15">
      <c r="A79" s="363">
        <v>24</v>
      </c>
      <c r="B79" s="353"/>
      <c r="C79" s="356" t="str">
        <f t="shared" si="2"/>
        <v xml:space="preserve">  General </v>
      </c>
      <c r="D79" s="404" t="s">
        <v>126</v>
      </c>
      <c r="E79" s="415">
        <f t="shared" si="3"/>
        <v>5846399</v>
      </c>
      <c r="F79" s="362"/>
      <c r="G79" s="404"/>
      <c r="H79" s="615" t="str">
        <f>+H75</f>
        <v xml:space="preserve"> </v>
      </c>
      <c r="I79" s="362"/>
      <c r="J79" s="403">
        <f t="shared" si="4"/>
        <v>0</v>
      </c>
      <c r="K79" s="403"/>
      <c r="L79" s="403"/>
      <c r="M79" s="403"/>
      <c r="N79" s="403"/>
      <c r="O79" s="403">
        <f t="shared" si="5"/>
        <v>0</v>
      </c>
      <c r="P79" s="418"/>
      <c r="Q79" s="419"/>
      <c r="R79" s="388"/>
      <c r="S79" s="383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F79" s="360"/>
      <c r="AG79" s="360"/>
      <c r="AH79" s="360"/>
      <c r="AI79" s="360"/>
      <c r="AJ79" s="360"/>
      <c r="AK79" s="360"/>
      <c r="AL79" s="360"/>
      <c r="AM79" s="360"/>
      <c r="AN79" s="360"/>
      <c r="AO79" s="360"/>
      <c r="AP79" s="360"/>
      <c r="AQ79" s="360"/>
      <c r="AR79" s="360"/>
      <c r="AS79" s="360"/>
      <c r="AT79" s="360"/>
      <c r="AU79" s="360"/>
      <c r="AV79" s="360"/>
      <c r="AW79" s="360"/>
      <c r="AX79" s="360"/>
      <c r="AY79" s="360"/>
      <c r="AZ79" s="360"/>
      <c r="BA79" s="360"/>
      <c r="BB79" s="360"/>
      <c r="BC79" s="360"/>
      <c r="BD79" s="360"/>
      <c r="BE79" s="360"/>
      <c r="BF79" s="360"/>
      <c r="BG79" s="360"/>
      <c r="BH79" s="360"/>
      <c r="BI79" s="360"/>
      <c r="BJ79" s="360"/>
      <c r="BK79" s="360"/>
      <c r="BL79" s="360"/>
      <c r="BM79" s="360"/>
      <c r="BN79" s="360"/>
    </row>
    <row r="80" spans="1:66" ht="15">
      <c r="A80" s="363">
        <v>25</v>
      </c>
      <c r="B80" s="353"/>
      <c r="C80" s="356" t="str">
        <f t="shared" si="2"/>
        <v xml:space="preserve">      Direct Assign - Transmission</v>
      </c>
      <c r="D80" s="404" t="s">
        <v>127</v>
      </c>
      <c r="E80" s="403">
        <f t="shared" si="3"/>
        <v>0</v>
      </c>
      <c r="F80" s="362"/>
      <c r="G80" s="404"/>
      <c r="H80" s="615" t="str">
        <f>+H79</f>
        <v xml:space="preserve"> </v>
      </c>
      <c r="I80" s="362"/>
      <c r="J80" s="403">
        <f t="shared" si="4"/>
        <v>0</v>
      </c>
      <c r="K80" s="403"/>
      <c r="L80" s="403"/>
      <c r="M80" s="403"/>
      <c r="N80" s="403"/>
      <c r="O80" s="403">
        <f t="shared" si="5"/>
        <v>0</v>
      </c>
      <c r="P80" s="418"/>
      <c r="Q80" s="419"/>
      <c r="R80" s="388"/>
      <c r="S80" s="383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F80" s="360"/>
      <c r="AG80" s="360"/>
      <c r="AH80" s="360"/>
      <c r="AI80" s="360"/>
      <c r="AJ80" s="360"/>
      <c r="AK80" s="360"/>
      <c r="AL80" s="360"/>
      <c r="AM80" s="360"/>
      <c r="AN80" s="360"/>
      <c r="AO80" s="360"/>
      <c r="AP80" s="360"/>
      <c r="AQ80" s="360"/>
      <c r="AR80" s="360"/>
      <c r="AS80" s="360"/>
      <c r="AT80" s="360"/>
      <c r="AU80" s="360"/>
      <c r="AV80" s="360"/>
      <c r="AW80" s="360"/>
      <c r="AX80" s="360"/>
      <c r="AY80" s="360"/>
      <c r="AZ80" s="360"/>
      <c r="BA80" s="360"/>
      <c r="BB80" s="360"/>
      <c r="BC80" s="360"/>
      <c r="BD80" s="360"/>
      <c r="BE80" s="360"/>
      <c r="BF80" s="360"/>
      <c r="BG80" s="360"/>
      <c r="BH80" s="360"/>
      <c r="BI80" s="360"/>
      <c r="BJ80" s="360"/>
      <c r="BK80" s="360"/>
      <c r="BL80" s="360"/>
      <c r="BM80" s="360"/>
      <c r="BN80" s="360"/>
    </row>
    <row r="81" spans="1:66" ht="15">
      <c r="A81" s="363">
        <v>26</v>
      </c>
      <c r="B81" s="353"/>
      <c r="C81" s="356" t="str">
        <f t="shared" si="2"/>
        <v xml:space="preserve">      Direct Assign - Distribution</v>
      </c>
      <c r="D81" s="404" t="s">
        <v>128</v>
      </c>
      <c r="E81" s="403">
        <f t="shared" si="3"/>
        <v>0</v>
      </c>
      <c r="F81" s="362"/>
      <c r="G81" s="404"/>
      <c r="H81" s="615" t="str">
        <f>+H80</f>
        <v xml:space="preserve"> </v>
      </c>
      <c r="I81" s="362"/>
      <c r="J81" s="403">
        <f t="shared" si="4"/>
        <v>0</v>
      </c>
      <c r="K81" s="403"/>
      <c r="L81" s="403"/>
      <c r="M81" s="403"/>
      <c r="N81" s="403"/>
      <c r="O81" s="403">
        <f t="shared" si="5"/>
        <v>0</v>
      </c>
      <c r="P81" s="418"/>
      <c r="Q81" s="419"/>
      <c r="R81" s="388"/>
      <c r="S81" s="383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F81" s="360"/>
      <c r="AG81" s="360"/>
      <c r="AH81" s="360"/>
      <c r="AI81" s="360"/>
      <c r="AJ81" s="360"/>
      <c r="AK81" s="360"/>
      <c r="AL81" s="360"/>
      <c r="AM81" s="360"/>
      <c r="AN81" s="360"/>
      <c r="AO81" s="360"/>
      <c r="AP81" s="360"/>
      <c r="AQ81" s="360"/>
      <c r="AR81" s="360"/>
      <c r="AS81" s="360"/>
      <c r="AT81" s="360"/>
      <c r="AU81" s="360"/>
      <c r="AV81" s="360"/>
      <c r="AW81" s="360"/>
      <c r="AX81" s="360"/>
      <c r="AY81" s="360"/>
      <c r="AZ81" s="360"/>
      <c r="BA81" s="360"/>
      <c r="BB81" s="360"/>
      <c r="BC81" s="360"/>
      <c r="BD81" s="360"/>
      <c r="BE81" s="360"/>
      <c r="BF81" s="360"/>
      <c r="BG81" s="360"/>
      <c r="BH81" s="360"/>
      <c r="BI81" s="360"/>
      <c r="BJ81" s="360"/>
      <c r="BK81" s="360"/>
      <c r="BL81" s="360"/>
      <c r="BM81" s="360"/>
      <c r="BN81" s="360"/>
    </row>
    <row r="82" spans="1:66" ht="15">
      <c r="A82" s="363">
        <v>27</v>
      </c>
      <c r="B82" s="353"/>
      <c r="C82" s="356" t="str">
        <f t="shared" si="2"/>
        <v xml:space="preserve">      Other</v>
      </c>
      <c r="D82" s="404" t="s">
        <v>129</v>
      </c>
      <c r="E82" s="403">
        <f t="shared" si="3"/>
        <v>5846399</v>
      </c>
      <c r="F82" s="362"/>
      <c r="G82" s="404"/>
      <c r="H82" s="615" t="str">
        <f>+H80</f>
        <v xml:space="preserve"> </v>
      </c>
      <c r="I82" s="362"/>
      <c r="J82" s="403">
        <f t="shared" si="4"/>
        <v>222542</v>
      </c>
      <c r="K82" s="403"/>
      <c r="L82" s="403"/>
      <c r="M82" s="403"/>
      <c r="N82" s="420"/>
      <c r="O82" s="420">
        <f t="shared" si="5"/>
        <v>69579</v>
      </c>
      <c r="P82" s="418"/>
      <c r="Q82" s="411"/>
      <c r="R82" s="385"/>
      <c r="S82" s="383"/>
      <c r="T82" s="360"/>
      <c r="U82" s="360"/>
      <c r="V82" s="360"/>
      <c r="W82" s="360"/>
      <c r="X82" s="360"/>
      <c r="Y82" s="360"/>
      <c r="Z82" s="360"/>
      <c r="AA82" s="360"/>
      <c r="AB82" s="360"/>
      <c r="AC82" s="360"/>
      <c r="AD82" s="360"/>
      <c r="AE82" s="360"/>
      <c r="AF82" s="360"/>
      <c r="AG82" s="360"/>
      <c r="AH82" s="360"/>
      <c r="AI82" s="360"/>
      <c r="AJ82" s="360"/>
      <c r="AK82" s="360"/>
      <c r="AL82" s="360"/>
      <c r="AM82" s="360"/>
      <c r="AN82" s="360"/>
      <c r="AO82" s="360"/>
      <c r="AP82" s="360"/>
      <c r="AQ82" s="360"/>
      <c r="AR82" s="360"/>
      <c r="AS82" s="360"/>
      <c r="AT82" s="360"/>
      <c r="AU82" s="360"/>
      <c r="AV82" s="360"/>
      <c r="AW82" s="360"/>
      <c r="AX82" s="360"/>
      <c r="AY82" s="360"/>
      <c r="AZ82" s="360"/>
      <c r="BA82" s="360"/>
      <c r="BB82" s="360"/>
      <c r="BC82" s="360"/>
      <c r="BD82" s="360"/>
      <c r="BE82" s="360"/>
      <c r="BF82" s="360"/>
      <c r="BG82" s="360"/>
      <c r="BH82" s="360"/>
      <c r="BI82" s="360"/>
      <c r="BJ82" s="360"/>
      <c r="BK82" s="360"/>
      <c r="BL82" s="360"/>
      <c r="BM82" s="360"/>
      <c r="BN82" s="360"/>
    </row>
    <row r="83" spans="1:66" ht="15.75" thickBot="1">
      <c r="A83" s="363">
        <f>A82+1</f>
        <v>28</v>
      </c>
      <c r="B83" s="353"/>
      <c r="C83" s="356" t="str">
        <f t="shared" si="2"/>
        <v xml:space="preserve">  Intangible</v>
      </c>
      <c r="D83" s="404" t="s">
        <v>130</v>
      </c>
      <c r="E83" s="421">
        <f t="shared" si="3"/>
        <v>120</v>
      </c>
      <c r="F83" s="362"/>
      <c r="G83" s="404"/>
      <c r="H83" s="404"/>
      <c r="I83" s="362"/>
      <c r="J83" s="409">
        <f t="shared" si="4"/>
        <v>0</v>
      </c>
      <c r="K83" s="409"/>
      <c r="L83" s="409"/>
      <c r="M83" s="409"/>
      <c r="N83" s="409"/>
      <c r="O83" s="409">
        <f t="shared" si="5"/>
        <v>0</v>
      </c>
      <c r="P83" s="418"/>
      <c r="Q83" s="411"/>
      <c r="R83" s="385"/>
      <c r="S83" s="383"/>
      <c r="T83" s="360"/>
      <c r="U83" s="360"/>
      <c r="V83" s="360"/>
      <c r="W83" s="360"/>
      <c r="X83" s="360"/>
      <c r="Y83" s="360"/>
      <c r="Z83" s="360"/>
      <c r="AA83" s="360"/>
      <c r="AB83" s="360"/>
      <c r="AC83" s="360"/>
      <c r="AD83" s="360"/>
      <c r="AE83" s="360"/>
      <c r="AF83" s="360"/>
      <c r="AG83" s="360"/>
      <c r="AH83" s="360"/>
      <c r="AI83" s="360"/>
      <c r="AJ83" s="360"/>
      <c r="AK83" s="360"/>
      <c r="AL83" s="360"/>
      <c r="AM83" s="360"/>
      <c r="AN83" s="360"/>
      <c r="AO83" s="360"/>
      <c r="AP83" s="360"/>
      <c r="AQ83" s="360"/>
      <c r="AR83" s="360"/>
      <c r="AS83" s="360"/>
      <c r="AT83" s="360"/>
      <c r="AU83" s="360"/>
      <c r="AV83" s="360"/>
      <c r="AW83" s="360"/>
      <c r="AX83" s="360"/>
      <c r="AY83" s="360"/>
      <c r="AZ83" s="360"/>
      <c r="BA83" s="360"/>
      <c r="BB83" s="360"/>
      <c r="BC83" s="360"/>
      <c r="BD83" s="360"/>
      <c r="BE83" s="360"/>
      <c r="BF83" s="360"/>
      <c r="BG83" s="360"/>
      <c r="BH83" s="360"/>
      <c r="BI83" s="360"/>
      <c r="BJ83" s="360"/>
      <c r="BK83" s="360"/>
      <c r="BL83" s="360"/>
      <c r="BM83" s="360"/>
      <c r="BN83" s="360"/>
    </row>
    <row r="84" spans="1:66" ht="15">
      <c r="A84" s="363">
        <f>A83+1</f>
        <v>29</v>
      </c>
      <c r="B84" s="353"/>
      <c r="C84" s="356" t="s">
        <v>540</v>
      </c>
      <c r="D84" s="362"/>
      <c r="E84" s="422">
        <f>E76+E77+E78+E79+E83</f>
        <v>95626591</v>
      </c>
      <c r="F84" s="362"/>
      <c r="G84" s="404" t="s">
        <v>703</v>
      </c>
      <c r="H84" s="618">
        <f>+J84/E84</f>
        <v>0.18886592956137063</v>
      </c>
      <c r="I84" s="362"/>
      <c r="J84" s="410">
        <f>SUM(J76:J83)</f>
        <v>18060605</v>
      </c>
      <c r="K84" s="410"/>
      <c r="L84" s="410" t="str">
        <f>+G84</f>
        <v>NP=</v>
      </c>
      <c r="M84" s="619">
        <f>+O84/E84</f>
        <v>6.8290741536525118E-2</v>
      </c>
      <c r="N84" s="410"/>
      <c r="O84" s="410">
        <f>SUM(O76:O83)</f>
        <v>6530410.8099999987</v>
      </c>
      <c r="P84" s="418"/>
      <c r="Q84" s="385"/>
      <c r="R84" s="385"/>
      <c r="S84" s="383"/>
      <c r="T84" s="360"/>
      <c r="U84" s="360"/>
      <c r="V84" s="360"/>
      <c r="W84" s="360"/>
      <c r="X84" s="360"/>
      <c r="Y84" s="360"/>
      <c r="Z84" s="360"/>
      <c r="AA84" s="360"/>
      <c r="AB84" s="360"/>
      <c r="AC84" s="360"/>
      <c r="AD84" s="360"/>
      <c r="AE84" s="360"/>
      <c r="AF84" s="360"/>
      <c r="AG84" s="360"/>
      <c r="AH84" s="360"/>
      <c r="AI84" s="360"/>
      <c r="AJ84" s="360"/>
      <c r="AK84" s="360"/>
      <c r="AL84" s="360"/>
      <c r="AM84" s="360"/>
      <c r="AN84" s="360"/>
      <c r="AO84" s="360"/>
      <c r="AP84" s="360"/>
      <c r="AQ84" s="360"/>
      <c r="AR84" s="360"/>
      <c r="AS84" s="360"/>
      <c r="AT84" s="360"/>
      <c r="AU84" s="360"/>
      <c r="AV84" s="360"/>
      <c r="AW84" s="360"/>
      <c r="AX84" s="360"/>
      <c r="AY84" s="360"/>
      <c r="AZ84" s="360"/>
      <c r="BA84" s="360"/>
      <c r="BB84" s="360"/>
      <c r="BC84" s="360"/>
      <c r="BD84" s="360"/>
      <c r="BE84" s="360"/>
      <c r="BF84" s="360"/>
      <c r="BG84" s="360"/>
      <c r="BH84" s="360"/>
      <c r="BI84" s="360"/>
      <c r="BJ84" s="360"/>
      <c r="BK84" s="360"/>
      <c r="BL84" s="360"/>
      <c r="BM84" s="360"/>
      <c r="BN84" s="360"/>
    </row>
    <row r="85" spans="1:66" ht="15">
      <c r="A85" s="363" t="s">
        <v>665</v>
      </c>
      <c r="B85" s="353"/>
      <c r="C85" s="412"/>
      <c r="D85" s="412"/>
      <c r="E85" s="413" t="s">
        <v>665</v>
      </c>
      <c r="F85" s="362"/>
      <c r="G85" s="404" t="str">
        <f>+G63</f>
        <v xml:space="preserve"> </v>
      </c>
      <c r="H85" s="615" t="str">
        <f>+H63</f>
        <v xml:space="preserve"> </v>
      </c>
      <c r="I85" s="362"/>
      <c r="J85" s="403" t="s">
        <v>665</v>
      </c>
      <c r="K85" s="403"/>
      <c r="L85" s="403"/>
      <c r="M85" s="403"/>
      <c r="N85" s="403"/>
      <c r="O85" s="403" t="s">
        <v>665</v>
      </c>
      <c r="P85" s="418"/>
      <c r="Q85" s="385"/>
      <c r="R85" s="385"/>
      <c r="S85" s="383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F85" s="360"/>
      <c r="AG85" s="360"/>
      <c r="AH85" s="360"/>
      <c r="AI85" s="360"/>
      <c r="AJ85" s="360"/>
      <c r="AK85" s="360"/>
      <c r="AL85" s="360"/>
      <c r="AM85" s="360"/>
      <c r="AN85" s="360"/>
      <c r="AO85" s="360"/>
      <c r="AP85" s="360"/>
      <c r="AQ85" s="360"/>
      <c r="AR85" s="360"/>
      <c r="AS85" s="360"/>
      <c r="AT85" s="360"/>
      <c r="AU85" s="360"/>
      <c r="AV85" s="360"/>
      <c r="AW85" s="360"/>
      <c r="AX85" s="360"/>
      <c r="AY85" s="360"/>
      <c r="AZ85" s="360"/>
      <c r="BA85" s="360"/>
      <c r="BB85" s="360"/>
      <c r="BC85" s="360"/>
      <c r="BD85" s="360"/>
      <c r="BE85" s="360"/>
      <c r="BF85" s="360"/>
      <c r="BG85" s="360"/>
      <c r="BH85" s="360"/>
      <c r="BI85" s="360"/>
      <c r="BJ85" s="360"/>
      <c r="BK85" s="360"/>
      <c r="BL85" s="360"/>
      <c r="BM85" s="360"/>
      <c r="BN85" s="360"/>
    </row>
    <row r="86" spans="1:66" ht="15">
      <c r="A86" s="363"/>
      <c r="B86" s="353"/>
      <c r="C86" s="371" t="s">
        <v>131</v>
      </c>
      <c r="D86" s="353"/>
      <c r="E86" s="362"/>
      <c r="F86" s="362"/>
      <c r="G86" s="404"/>
      <c r="H86" s="404"/>
      <c r="I86" s="362"/>
      <c r="J86" s="362"/>
      <c r="K86" s="362"/>
      <c r="L86" s="362"/>
      <c r="M86" s="362"/>
      <c r="N86" s="362"/>
      <c r="O86" s="362" t="s">
        <v>665</v>
      </c>
      <c r="P86" s="358"/>
      <c r="Q86" s="385"/>
      <c r="R86" s="385"/>
      <c r="S86" s="383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F86" s="360"/>
      <c r="AG86" s="360"/>
      <c r="AH86" s="360"/>
      <c r="AI86" s="360"/>
      <c r="AJ86" s="360"/>
      <c r="AK86" s="360"/>
      <c r="AL86" s="360"/>
      <c r="AM86" s="360"/>
      <c r="AN86" s="360"/>
      <c r="AO86" s="360"/>
      <c r="AP86" s="360"/>
      <c r="AQ86" s="360"/>
      <c r="AR86" s="360"/>
      <c r="AS86" s="360"/>
      <c r="AT86" s="360"/>
      <c r="AU86" s="360"/>
      <c r="AV86" s="360"/>
      <c r="AW86" s="360"/>
      <c r="AX86" s="360"/>
      <c r="AY86" s="360"/>
      <c r="AZ86" s="360"/>
      <c r="BA86" s="360"/>
      <c r="BB86" s="360"/>
      <c r="BC86" s="360"/>
      <c r="BD86" s="360"/>
      <c r="BE86" s="360"/>
      <c r="BF86" s="360"/>
      <c r="BG86" s="360"/>
      <c r="BH86" s="360"/>
      <c r="BI86" s="360"/>
      <c r="BJ86" s="360"/>
      <c r="BK86" s="360"/>
      <c r="BL86" s="360"/>
      <c r="BM86" s="360"/>
      <c r="BN86" s="360"/>
    </row>
    <row r="87" spans="1:66" ht="15">
      <c r="A87" s="363">
        <v>30</v>
      </c>
      <c r="B87" s="353"/>
      <c r="C87" s="371" t="s">
        <v>132</v>
      </c>
      <c r="D87" s="404"/>
      <c r="E87" s="423">
        <f>+E114/8</f>
        <v>1215018.8402777778</v>
      </c>
      <c r="F87" s="362"/>
      <c r="G87" s="404" t="s">
        <v>446</v>
      </c>
      <c r="H87" s="624"/>
      <c r="I87" s="362"/>
      <c r="J87" s="420">
        <f>+J114/8</f>
        <v>122242.85225041327</v>
      </c>
      <c r="K87" s="420"/>
      <c r="L87" s="420" t="str">
        <f>+G87</f>
        <v>Auto</v>
      </c>
      <c r="M87" s="420"/>
      <c r="N87" s="420"/>
      <c r="O87" s="420">
        <f>+O114/8</f>
        <v>53634.129646024085</v>
      </c>
      <c r="P87" s="358"/>
      <c r="Q87" s="424"/>
      <c r="R87" s="388"/>
      <c r="S87" s="383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F87" s="360"/>
      <c r="AG87" s="360"/>
      <c r="AH87" s="360"/>
      <c r="AI87" s="360"/>
      <c r="AJ87" s="360"/>
      <c r="AK87" s="360"/>
      <c r="AL87" s="360"/>
      <c r="AM87" s="360"/>
      <c r="AN87" s="360"/>
      <c r="AO87" s="360"/>
      <c r="AP87" s="360"/>
      <c r="AQ87" s="360"/>
      <c r="AR87" s="360"/>
      <c r="AS87" s="360"/>
      <c r="AT87" s="360"/>
      <c r="AU87" s="360"/>
      <c r="AV87" s="360"/>
      <c r="AW87" s="360"/>
      <c r="AX87" s="360"/>
      <c r="AY87" s="360"/>
      <c r="AZ87" s="360"/>
      <c r="BA87" s="360"/>
      <c r="BB87" s="360"/>
      <c r="BC87" s="360"/>
      <c r="BD87" s="360"/>
      <c r="BE87" s="360"/>
      <c r="BF87" s="360"/>
      <c r="BG87" s="360"/>
      <c r="BH87" s="360"/>
      <c r="BI87" s="360"/>
      <c r="BJ87" s="360"/>
      <c r="BK87" s="360"/>
      <c r="BL87" s="360"/>
      <c r="BM87" s="360"/>
      <c r="BN87" s="360"/>
    </row>
    <row r="88" spans="1:66" ht="15">
      <c r="A88" s="363">
        <v>31</v>
      </c>
      <c r="B88" s="353"/>
      <c r="C88" s="371" t="s">
        <v>133</v>
      </c>
      <c r="D88" s="425" t="s">
        <v>116</v>
      </c>
      <c r="E88" s="426">
        <v>53516</v>
      </c>
      <c r="F88" s="362"/>
      <c r="G88" s="404" t="s">
        <v>1022</v>
      </c>
      <c r="H88" s="615" t="s">
        <v>453</v>
      </c>
      <c r="I88" s="362"/>
      <c r="J88" s="420">
        <f>E88</f>
        <v>53516</v>
      </c>
      <c r="K88" s="420"/>
      <c r="L88" s="420" t="s">
        <v>710</v>
      </c>
      <c r="M88" s="621">
        <f>+J163</f>
        <v>0.31265638857715589</v>
      </c>
      <c r="N88" s="420" t="s">
        <v>665</v>
      </c>
      <c r="O88" s="420">
        <f>+M88*E88</f>
        <v>16732.119291095074</v>
      </c>
      <c r="P88" s="358"/>
      <c r="Q88" s="424" t="s">
        <v>665</v>
      </c>
      <c r="R88" s="388"/>
      <c r="S88" s="383"/>
      <c r="T88" s="360"/>
      <c r="U88" s="360"/>
      <c r="V88" s="360"/>
      <c r="W88" s="360"/>
      <c r="X88" s="360"/>
      <c r="Y88" s="360"/>
      <c r="Z88" s="360"/>
      <c r="AA88" s="360"/>
      <c r="AB88" s="360"/>
      <c r="AC88" s="360"/>
      <c r="AD88" s="360"/>
      <c r="AE88" s="360"/>
      <c r="AF88" s="360"/>
      <c r="AG88" s="360"/>
      <c r="AH88" s="360"/>
      <c r="AI88" s="360"/>
      <c r="AJ88" s="360"/>
      <c r="AK88" s="360"/>
      <c r="AL88" s="360"/>
      <c r="AM88" s="360"/>
      <c r="AN88" s="360"/>
      <c r="AO88" s="360"/>
      <c r="AP88" s="360"/>
      <c r="AQ88" s="360"/>
      <c r="AR88" s="360"/>
      <c r="AS88" s="360"/>
      <c r="AT88" s="360"/>
      <c r="AU88" s="360"/>
      <c r="AV88" s="360"/>
      <c r="AW88" s="360"/>
      <c r="AX88" s="360"/>
      <c r="AY88" s="360"/>
      <c r="AZ88" s="360"/>
      <c r="BA88" s="360"/>
      <c r="BB88" s="360"/>
      <c r="BC88" s="360"/>
      <c r="BD88" s="360"/>
      <c r="BE88" s="360"/>
      <c r="BF88" s="360"/>
      <c r="BG88" s="360"/>
      <c r="BH88" s="360"/>
      <c r="BI88" s="360"/>
      <c r="BJ88" s="360"/>
      <c r="BK88" s="360"/>
      <c r="BL88" s="360"/>
      <c r="BM88" s="360"/>
      <c r="BN88" s="360"/>
    </row>
    <row r="89" spans="1:66" ht="15.75" thickBot="1">
      <c r="A89" s="363">
        <v>32</v>
      </c>
      <c r="B89" s="353"/>
      <c r="C89" s="356" t="s">
        <v>7</v>
      </c>
      <c r="D89" s="374" t="s">
        <v>134</v>
      </c>
      <c r="E89" s="427">
        <v>146375</v>
      </c>
      <c r="F89" s="362"/>
      <c r="G89" s="404" t="s">
        <v>685</v>
      </c>
      <c r="H89" s="615" t="str">
        <f>+H59</f>
        <v xml:space="preserve"> </v>
      </c>
      <c r="I89" s="362"/>
      <c r="J89" s="409">
        <v>0</v>
      </c>
      <c r="K89" s="420"/>
      <c r="L89" s="420" t="s">
        <v>685</v>
      </c>
      <c r="M89" s="420"/>
      <c r="N89" s="420"/>
      <c r="O89" s="409">
        <v>0</v>
      </c>
      <c r="P89" s="358"/>
      <c r="Q89" s="424"/>
      <c r="R89" s="388"/>
      <c r="S89" s="383"/>
      <c r="T89" s="360"/>
      <c r="U89" s="360"/>
      <c r="V89" s="360"/>
      <c r="W89" s="360"/>
      <c r="X89" s="360"/>
      <c r="Y89" s="360"/>
      <c r="Z89" s="360"/>
      <c r="AA89" s="360"/>
      <c r="AB89" s="360"/>
      <c r="AC89" s="360"/>
      <c r="AD89" s="360"/>
      <c r="AE89" s="360"/>
      <c r="AF89" s="360"/>
      <c r="AG89" s="360"/>
      <c r="AH89" s="360"/>
      <c r="AI89" s="360"/>
      <c r="AJ89" s="360"/>
      <c r="AK89" s="360"/>
      <c r="AL89" s="360"/>
      <c r="AM89" s="360"/>
      <c r="AN89" s="360"/>
      <c r="AO89" s="360"/>
      <c r="AP89" s="360"/>
      <c r="AQ89" s="360"/>
      <c r="AR89" s="360"/>
      <c r="AS89" s="360"/>
      <c r="AT89" s="360"/>
      <c r="AU89" s="360"/>
      <c r="AV89" s="360"/>
      <c r="AW89" s="360"/>
      <c r="AX89" s="360"/>
      <c r="AY89" s="360"/>
      <c r="AZ89" s="360"/>
      <c r="BA89" s="360"/>
      <c r="BB89" s="360"/>
      <c r="BC89" s="360"/>
      <c r="BD89" s="360"/>
      <c r="BE89" s="360"/>
      <c r="BF89" s="360"/>
      <c r="BG89" s="360"/>
      <c r="BH89" s="360"/>
      <c r="BI89" s="360"/>
      <c r="BJ89" s="360"/>
      <c r="BK89" s="360"/>
      <c r="BL89" s="360"/>
      <c r="BM89" s="360"/>
      <c r="BN89" s="360"/>
    </row>
    <row r="90" spans="1:66" ht="15">
      <c r="A90" s="363">
        <v>33</v>
      </c>
      <c r="B90" s="353"/>
      <c r="C90" s="356" t="s">
        <v>135</v>
      </c>
      <c r="D90" s="354"/>
      <c r="E90" s="422">
        <f>E87+E88+E89</f>
        <v>1414909.8402777778</v>
      </c>
      <c r="F90" s="354"/>
      <c r="G90" s="372"/>
      <c r="H90" s="372"/>
      <c r="I90" s="354"/>
      <c r="J90" s="422">
        <f>SUM(J87:J89)</f>
        <v>175758.85225041327</v>
      </c>
      <c r="K90" s="422"/>
      <c r="L90" s="422"/>
      <c r="M90" s="422"/>
      <c r="N90" s="422"/>
      <c r="O90" s="422">
        <f>SUM(O87:O89)</f>
        <v>70366.248937119162</v>
      </c>
      <c r="P90" s="358"/>
      <c r="Q90" s="411"/>
      <c r="R90" s="385"/>
      <c r="S90" s="383"/>
      <c r="T90" s="360"/>
      <c r="U90" s="360"/>
      <c r="V90" s="360"/>
      <c r="W90" s="360"/>
      <c r="X90" s="360"/>
      <c r="Y90" s="360"/>
      <c r="Z90" s="360"/>
      <c r="AA90" s="360"/>
      <c r="AB90" s="360"/>
      <c r="AC90" s="360"/>
      <c r="AD90" s="360"/>
      <c r="AE90" s="360"/>
      <c r="AF90" s="360"/>
      <c r="AG90" s="360"/>
      <c r="AH90" s="360"/>
      <c r="AI90" s="360"/>
      <c r="AJ90" s="360"/>
      <c r="AK90" s="360"/>
      <c r="AL90" s="360"/>
      <c r="AM90" s="360"/>
      <c r="AN90" s="360"/>
      <c r="AO90" s="360"/>
      <c r="AP90" s="360"/>
      <c r="AQ90" s="360"/>
      <c r="AR90" s="360"/>
      <c r="AS90" s="360"/>
      <c r="AT90" s="360"/>
      <c r="AU90" s="360"/>
      <c r="AV90" s="360"/>
      <c r="AW90" s="360"/>
      <c r="AX90" s="360"/>
      <c r="AY90" s="360"/>
      <c r="AZ90" s="360"/>
      <c r="BA90" s="360"/>
      <c r="BB90" s="360"/>
      <c r="BC90" s="360"/>
      <c r="BD90" s="360"/>
      <c r="BE90" s="360"/>
      <c r="BF90" s="360"/>
      <c r="BG90" s="360"/>
      <c r="BH90" s="360"/>
      <c r="BI90" s="360"/>
      <c r="BJ90" s="360"/>
      <c r="BK90" s="360"/>
      <c r="BL90" s="360"/>
      <c r="BM90" s="360"/>
      <c r="BN90" s="360"/>
    </row>
    <row r="91" spans="1:66" ht="15.75" thickBot="1">
      <c r="A91" s="353"/>
      <c r="B91" s="353"/>
      <c r="C91" s="353"/>
      <c r="D91" s="362"/>
      <c r="E91" s="428"/>
      <c r="F91" s="362"/>
      <c r="G91" s="404"/>
      <c r="H91" s="404"/>
      <c r="I91" s="362"/>
      <c r="J91" s="428"/>
      <c r="K91" s="606"/>
      <c r="L91" s="606"/>
      <c r="M91" s="606"/>
      <c r="N91" s="362"/>
      <c r="O91" s="429"/>
      <c r="P91" s="358"/>
      <c r="Q91" s="385"/>
      <c r="R91" s="385"/>
      <c r="S91" s="383"/>
      <c r="T91" s="360"/>
      <c r="U91" s="360"/>
      <c r="V91" s="360"/>
      <c r="W91" s="360"/>
      <c r="X91" s="360"/>
      <c r="Y91" s="360"/>
      <c r="Z91" s="360"/>
      <c r="AA91" s="360"/>
      <c r="AB91" s="360"/>
      <c r="AC91" s="360"/>
      <c r="AD91" s="360"/>
      <c r="AE91" s="360"/>
      <c r="AF91" s="360"/>
      <c r="AG91" s="360"/>
      <c r="AH91" s="360"/>
      <c r="AI91" s="360"/>
      <c r="AJ91" s="360"/>
      <c r="AK91" s="360"/>
      <c r="AL91" s="360"/>
      <c r="AM91" s="360"/>
      <c r="AN91" s="360"/>
      <c r="AO91" s="360"/>
      <c r="AP91" s="360"/>
      <c r="AQ91" s="360"/>
      <c r="AR91" s="360"/>
      <c r="AS91" s="360"/>
      <c r="AT91" s="360"/>
      <c r="AU91" s="360"/>
      <c r="AV91" s="360"/>
      <c r="AW91" s="360"/>
      <c r="AX91" s="360"/>
      <c r="AY91" s="360"/>
      <c r="AZ91" s="360"/>
      <c r="BA91" s="360"/>
      <c r="BB91" s="360"/>
      <c r="BC91" s="360"/>
      <c r="BD91" s="360"/>
      <c r="BE91" s="360"/>
      <c r="BF91" s="360"/>
      <c r="BG91" s="360"/>
      <c r="BH91" s="360"/>
      <c r="BI91" s="360"/>
      <c r="BJ91" s="360"/>
      <c r="BK91" s="360"/>
      <c r="BL91" s="360"/>
      <c r="BM91" s="360"/>
      <c r="BN91" s="360"/>
    </row>
    <row r="92" spans="1:66" ht="15.75" thickBot="1">
      <c r="A92" s="363">
        <v>34</v>
      </c>
      <c r="B92" s="353"/>
      <c r="C92" s="356" t="s">
        <v>136</v>
      </c>
      <c r="D92" s="362"/>
      <c r="E92" s="430">
        <f>E84+E90</f>
        <v>97041500.840277776</v>
      </c>
      <c r="F92" s="362"/>
      <c r="G92" s="404"/>
      <c r="H92" s="616"/>
      <c r="I92" s="362"/>
      <c r="J92" s="430">
        <f>J84+J90</f>
        <v>18236363.852250412</v>
      </c>
      <c r="K92" s="607"/>
      <c r="L92" s="607"/>
      <c r="M92" s="607"/>
      <c r="N92" s="362"/>
      <c r="O92" s="430">
        <f>O84+O90</f>
        <v>6600777.0589371175</v>
      </c>
      <c r="P92" s="384"/>
      <c r="Q92" s="385"/>
      <c r="R92" s="385"/>
      <c r="S92" s="383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360"/>
      <c r="AU92" s="360"/>
      <c r="AV92" s="360"/>
      <c r="AW92" s="360"/>
      <c r="AX92" s="360"/>
      <c r="AY92" s="360"/>
      <c r="AZ92" s="360"/>
      <c r="BA92" s="360"/>
      <c r="BB92" s="360"/>
      <c r="BC92" s="360"/>
      <c r="BD92" s="360"/>
      <c r="BE92" s="360"/>
      <c r="BF92" s="360"/>
      <c r="BG92" s="360"/>
      <c r="BH92" s="360"/>
      <c r="BI92" s="360"/>
      <c r="BJ92" s="360"/>
      <c r="BK92" s="360"/>
      <c r="BL92" s="360"/>
      <c r="BM92" s="360"/>
      <c r="BN92" s="360"/>
    </row>
    <row r="93" spans="1:66" ht="15.75" thickTop="1">
      <c r="A93" s="363"/>
      <c r="B93" s="353"/>
      <c r="C93" s="356"/>
      <c r="D93" s="362"/>
      <c r="E93" s="362"/>
      <c r="F93" s="362"/>
      <c r="G93" s="404"/>
      <c r="H93" s="404"/>
      <c r="I93" s="362"/>
      <c r="J93" s="362"/>
      <c r="K93" s="362"/>
      <c r="L93" s="362"/>
      <c r="M93" s="362"/>
      <c r="N93" s="362"/>
      <c r="O93" s="362"/>
      <c r="P93" s="384"/>
      <c r="Q93" s="385"/>
      <c r="R93" s="385"/>
      <c r="S93" s="383"/>
      <c r="T93" s="360"/>
      <c r="U93" s="360"/>
      <c r="V93" s="360"/>
      <c r="W93" s="360"/>
      <c r="X93" s="360"/>
      <c r="Y93" s="360"/>
      <c r="Z93" s="360"/>
      <c r="AA93" s="360"/>
      <c r="AB93" s="360"/>
      <c r="AC93" s="360"/>
      <c r="AD93" s="360"/>
      <c r="AE93" s="360"/>
      <c r="AF93" s="360"/>
      <c r="AG93" s="360"/>
      <c r="AH93" s="360"/>
      <c r="AI93" s="360"/>
      <c r="AJ93" s="360"/>
      <c r="AK93" s="360"/>
      <c r="AL93" s="360"/>
      <c r="AM93" s="360"/>
      <c r="AN93" s="360"/>
      <c r="AO93" s="360"/>
      <c r="AP93" s="360"/>
      <c r="AQ93" s="360"/>
      <c r="AR93" s="360"/>
      <c r="AS93" s="360"/>
      <c r="AT93" s="360"/>
      <c r="AU93" s="360"/>
      <c r="AV93" s="360"/>
      <c r="AW93" s="360"/>
      <c r="AX93" s="360"/>
      <c r="AY93" s="360"/>
      <c r="AZ93" s="360"/>
      <c r="BA93" s="360"/>
      <c r="BB93" s="360"/>
      <c r="BC93" s="360"/>
      <c r="BD93" s="360"/>
      <c r="BE93" s="360"/>
      <c r="BF93" s="360"/>
      <c r="BG93" s="360"/>
      <c r="BH93" s="360"/>
      <c r="BI93" s="360"/>
      <c r="BJ93" s="360"/>
      <c r="BK93" s="360"/>
      <c r="BL93" s="360"/>
      <c r="BM93" s="360"/>
      <c r="BN93" s="360"/>
    </row>
    <row r="94" spans="1:66" ht="15">
      <c r="A94" s="363"/>
      <c r="B94" s="431"/>
      <c r="C94" s="431"/>
      <c r="D94" s="431"/>
      <c r="E94" s="431"/>
      <c r="F94" s="431"/>
      <c r="G94" s="431"/>
      <c r="H94" s="368"/>
      <c r="I94" s="362"/>
      <c r="J94" s="362"/>
      <c r="K94" s="362"/>
      <c r="L94" s="362"/>
      <c r="M94" s="362"/>
      <c r="N94" s="362"/>
      <c r="O94" s="362"/>
      <c r="P94" s="384"/>
      <c r="Q94" s="385"/>
      <c r="R94" s="385"/>
      <c r="S94" s="383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F94" s="360"/>
      <c r="AG94" s="360"/>
      <c r="AH94" s="360"/>
      <c r="AI94" s="360"/>
      <c r="AJ94" s="360"/>
      <c r="AK94" s="360"/>
      <c r="AL94" s="360"/>
      <c r="AM94" s="360"/>
      <c r="AN94" s="360"/>
      <c r="AO94" s="360"/>
      <c r="AP94" s="360"/>
      <c r="AQ94" s="360"/>
      <c r="AR94" s="360"/>
      <c r="AS94" s="360"/>
      <c r="AT94" s="360"/>
      <c r="AU94" s="360"/>
      <c r="AV94" s="360"/>
      <c r="AW94" s="360"/>
      <c r="AX94" s="360"/>
      <c r="AY94" s="360"/>
      <c r="AZ94" s="360"/>
      <c r="BA94" s="360"/>
      <c r="BB94" s="360"/>
      <c r="BC94" s="360"/>
      <c r="BD94" s="360"/>
      <c r="BE94" s="360"/>
      <c r="BF94" s="360"/>
      <c r="BG94" s="360"/>
      <c r="BH94" s="360"/>
      <c r="BI94" s="360"/>
      <c r="BJ94" s="360"/>
      <c r="BK94" s="360"/>
      <c r="BL94" s="360"/>
      <c r="BM94" s="360"/>
      <c r="BN94" s="360"/>
    </row>
    <row r="95" spans="1:66" ht="15">
      <c r="A95" s="363"/>
      <c r="B95" s="353"/>
      <c r="C95" s="362" t="str">
        <f>C3</f>
        <v>For the 12 months ended 12/31/02</v>
      </c>
      <c r="D95" s="1190" t="str">
        <f>D3</f>
        <v>Cost of Service</v>
      </c>
      <c r="E95" s="1190"/>
      <c r="F95" s="1190"/>
      <c r="G95" s="1190"/>
      <c r="H95" s="362"/>
      <c r="I95" s="362"/>
      <c r="N95" s="362"/>
      <c r="O95" s="352" t="str">
        <f>+O41</f>
        <v>Powder River Energy Corporation</v>
      </c>
      <c r="P95" s="384"/>
      <c r="Q95" s="385"/>
      <c r="R95" s="385"/>
      <c r="S95" s="383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36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360"/>
      <c r="BE95" s="360"/>
      <c r="BF95" s="360"/>
      <c r="BG95" s="360"/>
      <c r="BH95" s="360"/>
      <c r="BI95" s="360"/>
      <c r="BJ95" s="360"/>
      <c r="BK95" s="360"/>
      <c r="BL95" s="360"/>
      <c r="BM95" s="360"/>
      <c r="BN95" s="360"/>
    </row>
    <row r="96" spans="1:66" ht="15">
      <c r="A96" s="363"/>
      <c r="B96" s="353"/>
      <c r="C96" s="356"/>
      <c r="D96" s="1190" t="str">
        <f>+D4</f>
        <v xml:space="preserve"> Utilizing RUS Form 7 Data</v>
      </c>
      <c r="E96" s="1190"/>
      <c r="F96" s="1190"/>
      <c r="G96" s="1190"/>
      <c r="H96" s="362"/>
      <c r="I96" s="362"/>
      <c r="J96" s="362"/>
      <c r="K96" s="362"/>
      <c r="L96" s="362"/>
      <c r="M96" s="362"/>
      <c r="N96" s="362"/>
      <c r="O96" s="357"/>
      <c r="P96" s="384"/>
      <c r="Q96" s="385"/>
      <c r="R96" s="385"/>
      <c r="S96" s="383"/>
      <c r="T96" s="360"/>
      <c r="U96" s="360"/>
      <c r="V96" s="360"/>
      <c r="W96" s="360"/>
      <c r="X96" s="360"/>
      <c r="Y96" s="360"/>
      <c r="Z96" s="360"/>
      <c r="AA96" s="360"/>
      <c r="AB96" s="360"/>
      <c r="AC96" s="360"/>
      <c r="AD96" s="360"/>
      <c r="AE96" s="360"/>
      <c r="AF96" s="360"/>
      <c r="AG96" s="360"/>
      <c r="AH96" s="360"/>
      <c r="AI96" s="360"/>
      <c r="AJ96" s="360"/>
      <c r="AK96" s="360"/>
      <c r="AL96" s="360"/>
      <c r="AM96" s="360"/>
      <c r="AN96" s="360"/>
      <c r="AO96" s="360"/>
      <c r="AP96" s="360"/>
      <c r="AQ96" s="360"/>
      <c r="AR96" s="360"/>
      <c r="AS96" s="360"/>
      <c r="AT96" s="360"/>
      <c r="AU96" s="360"/>
      <c r="AV96" s="360"/>
      <c r="AW96" s="360"/>
      <c r="AX96" s="360"/>
      <c r="AY96" s="360"/>
      <c r="AZ96" s="360"/>
      <c r="BA96" s="360"/>
      <c r="BB96" s="360"/>
      <c r="BC96" s="360"/>
      <c r="BD96" s="360"/>
      <c r="BE96" s="360"/>
      <c r="BF96" s="360"/>
      <c r="BG96" s="360"/>
      <c r="BH96" s="360"/>
      <c r="BI96" s="360"/>
      <c r="BJ96" s="360"/>
      <c r="BK96" s="360"/>
      <c r="BL96" s="360"/>
      <c r="BM96" s="360"/>
      <c r="BN96" s="360"/>
    </row>
    <row r="97" spans="1:66" ht="15">
      <c r="A97" s="363"/>
      <c r="B97" s="353"/>
      <c r="C97" s="353"/>
      <c r="D97" s="362"/>
      <c r="E97" s="361"/>
      <c r="F97" s="362"/>
      <c r="G97" s="362"/>
      <c r="H97" s="362"/>
      <c r="I97" s="362"/>
      <c r="J97" s="362"/>
      <c r="K97" s="362"/>
      <c r="L97" s="362"/>
      <c r="M97" s="362"/>
      <c r="N97" s="362"/>
      <c r="O97" s="362"/>
      <c r="P97" s="384"/>
      <c r="Q97" s="385"/>
      <c r="R97" s="385"/>
      <c r="S97" s="383"/>
      <c r="T97" s="360"/>
      <c r="U97" s="360"/>
      <c r="V97" s="360"/>
      <c r="W97" s="360"/>
      <c r="X97" s="360"/>
      <c r="Y97" s="360"/>
      <c r="Z97" s="360"/>
      <c r="AA97" s="360"/>
      <c r="AB97" s="360"/>
      <c r="AC97" s="360"/>
      <c r="AD97" s="360"/>
      <c r="AE97" s="360"/>
      <c r="AF97" s="360"/>
      <c r="AG97" s="360"/>
      <c r="AH97" s="360"/>
      <c r="AI97" s="360"/>
      <c r="AJ97" s="360"/>
      <c r="AK97" s="360"/>
      <c r="AL97" s="360"/>
      <c r="AM97" s="360"/>
      <c r="AN97" s="360"/>
      <c r="AO97" s="360"/>
      <c r="AP97" s="360"/>
      <c r="AQ97" s="360"/>
      <c r="AR97" s="360"/>
      <c r="AS97" s="360"/>
      <c r="AT97" s="360"/>
      <c r="AU97" s="360"/>
      <c r="AV97" s="360"/>
      <c r="AW97" s="360"/>
      <c r="AX97" s="360"/>
      <c r="AY97" s="360"/>
      <c r="AZ97" s="360"/>
      <c r="BA97" s="360"/>
      <c r="BB97" s="360"/>
      <c r="BC97" s="360"/>
      <c r="BD97" s="360"/>
      <c r="BE97" s="360"/>
      <c r="BF97" s="360"/>
      <c r="BG97" s="360"/>
      <c r="BH97" s="360"/>
      <c r="BI97" s="360"/>
      <c r="BJ97" s="360"/>
      <c r="BK97" s="360"/>
      <c r="BL97" s="360"/>
      <c r="BM97" s="360"/>
      <c r="BN97" s="360"/>
    </row>
    <row r="98" spans="1:66" ht="15">
      <c r="A98" s="363"/>
      <c r="B98" s="353"/>
      <c r="C98" s="353"/>
      <c r="D98" s="1191" t="str">
        <f>D6</f>
        <v>Powder River Energy Corporation</v>
      </c>
      <c r="E98" s="1191"/>
      <c r="F98" s="1191"/>
      <c r="G98" s="1191"/>
      <c r="H98" s="425"/>
      <c r="I98" s="425"/>
      <c r="J98" s="425"/>
      <c r="K98" s="425"/>
      <c r="L98" s="425"/>
      <c r="M98" s="425"/>
      <c r="N98" s="362"/>
      <c r="O98" s="362"/>
      <c r="P98" s="384"/>
      <c r="Q98" s="385"/>
      <c r="R98" s="385"/>
      <c r="S98" s="383"/>
      <c r="T98" s="360"/>
      <c r="U98" s="360"/>
      <c r="V98" s="360"/>
      <c r="W98" s="360"/>
      <c r="X98" s="360"/>
      <c r="Y98" s="360"/>
      <c r="Z98" s="360"/>
      <c r="AA98" s="360"/>
      <c r="AB98" s="360"/>
      <c r="AC98" s="360"/>
      <c r="AD98" s="360"/>
      <c r="AE98" s="360"/>
      <c r="AF98" s="360"/>
      <c r="AG98" s="360"/>
      <c r="AH98" s="360"/>
      <c r="AI98" s="360"/>
      <c r="AJ98" s="360"/>
      <c r="AK98" s="360"/>
      <c r="AL98" s="360"/>
      <c r="AM98" s="360"/>
      <c r="AN98" s="360"/>
      <c r="AO98" s="360"/>
      <c r="AP98" s="360"/>
      <c r="AQ98" s="360"/>
      <c r="AR98" s="360"/>
      <c r="AS98" s="360"/>
      <c r="AT98" s="360"/>
      <c r="AU98" s="360"/>
      <c r="AV98" s="360"/>
      <c r="AW98" s="360"/>
      <c r="AX98" s="360"/>
      <c r="AY98" s="360"/>
      <c r="AZ98" s="360"/>
      <c r="BA98" s="360"/>
      <c r="BB98" s="360"/>
      <c r="BC98" s="360"/>
      <c r="BD98" s="360"/>
      <c r="BE98" s="360"/>
      <c r="BF98" s="360"/>
      <c r="BG98" s="360"/>
      <c r="BH98" s="360"/>
      <c r="BI98" s="360"/>
      <c r="BJ98" s="360"/>
      <c r="BK98" s="360"/>
      <c r="BL98" s="360"/>
      <c r="BM98" s="360"/>
      <c r="BN98" s="360"/>
    </row>
    <row r="99" spans="1:66" ht="15">
      <c r="A99" s="363"/>
      <c r="B99" s="353"/>
      <c r="C99" s="353"/>
      <c r="D99" s="389"/>
      <c r="E99" s="389"/>
      <c r="F99" s="389"/>
      <c r="G99" s="389"/>
      <c r="H99" s="425"/>
      <c r="I99" s="425"/>
      <c r="J99" s="425"/>
      <c r="K99" s="425"/>
      <c r="L99" s="425"/>
      <c r="M99" s="425"/>
      <c r="N99" s="362"/>
      <c r="O99" s="362"/>
      <c r="P99" s="384"/>
      <c r="Q99" s="385"/>
      <c r="R99" s="385"/>
      <c r="S99" s="383"/>
      <c r="T99" s="360"/>
      <c r="U99" s="360"/>
      <c r="V99" s="360"/>
      <c r="W99" s="360"/>
      <c r="X99" s="360"/>
      <c r="Y99" s="360"/>
      <c r="Z99" s="360"/>
      <c r="AA99" s="360"/>
      <c r="AB99" s="360"/>
      <c r="AC99" s="360"/>
      <c r="AD99" s="360"/>
      <c r="AE99" s="360"/>
      <c r="AF99" s="360"/>
      <c r="AG99" s="360"/>
      <c r="AH99" s="360"/>
      <c r="AI99" s="360"/>
      <c r="AJ99" s="360"/>
      <c r="AK99" s="360"/>
      <c r="AL99" s="360"/>
      <c r="AM99" s="360"/>
      <c r="AN99" s="360"/>
      <c r="AO99" s="360"/>
      <c r="AP99" s="360"/>
      <c r="AQ99" s="360"/>
      <c r="AR99" s="360"/>
      <c r="AS99" s="360"/>
      <c r="AT99" s="360"/>
      <c r="AU99" s="360"/>
      <c r="AV99" s="360"/>
      <c r="AW99" s="360"/>
      <c r="AX99" s="360"/>
      <c r="AY99" s="360"/>
      <c r="AZ99" s="360"/>
      <c r="BA99" s="360"/>
      <c r="BB99" s="360"/>
      <c r="BC99" s="360"/>
      <c r="BD99" s="360"/>
      <c r="BE99" s="360"/>
      <c r="BF99" s="360"/>
      <c r="BG99" s="360"/>
      <c r="BH99" s="360"/>
      <c r="BI99" s="360"/>
      <c r="BJ99" s="360"/>
      <c r="BK99" s="360"/>
      <c r="BL99" s="360"/>
      <c r="BM99" s="360"/>
      <c r="BN99" s="360"/>
    </row>
    <row r="100" spans="1:66" ht="15">
      <c r="A100" s="363"/>
      <c r="B100" s="353"/>
      <c r="C100" s="355" t="s">
        <v>672</v>
      </c>
      <c r="D100" s="355" t="s">
        <v>673</v>
      </c>
      <c r="E100" s="355" t="s">
        <v>674</v>
      </c>
      <c r="F100" s="362" t="s">
        <v>665</v>
      </c>
      <c r="G100" s="386" t="s">
        <v>675</v>
      </c>
      <c r="I100" s="362"/>
      <c r="J100" s="386" t="s">
        <v>676</v>
      </c>
      <c r="K100" s="386"/>
      <c r="L100" s="386" t="s">
        <v>1012</v>
      </c>
      <c r="N100" s="362"/>
      <c r="O100" s="387" t="s">
        <v>1013</v>
      </c>
      <c r="P100" s="384"/>
      <c r="Q100" s="359"/>
      <c r="R100" s="385"/>
      <c r="S100" s="383"/>
      <c r="T100" s="360"/>
      <c r="U100" s="360"/>
      <c r="V100" s="360"/>
      <c r="W100" s="360"/>
      <c r="X100" s="360"/>
      <c r="Y100" s="360"/>
      <c r="Z100" s="360"/>
      <c r="AA100" s="360"/>
      <c r="AB100" s="360"/>
      <c r="AC100" s="360"/>
      <c r="AD100" s="360"/>
      <c r="AE100" s="360"/>
      <c r="AF100" s="360"/>
      <c r="AG100" s="360"/>
      <c r="AH100" s="360"/>
      <c r="AI100" s="360"/>
      <c r="AJ100" s="360"/>
      <c r="AK100" s="360"/>
      <c r="AL100" s="360"/>
      <c r="AM100" s="360"/>
      <c r="AN100" s="360"/>
      <c r="AO100" s="360"/>
      <c r="AP100" s="360"/>
      <c r="AQ100" s="360"/>
      <c r="AR100" s="360"/>
      <c r="AS100" s="360"/>
      <c r="AT100" s="360"/>
      <c r="AU100" s="360"/>
      <c r="AV100" s="360"/>
      <c r="AW100" s="360"/>
      <c r="AX100" s="360"/>
      <c r="AY100" s="360"/>
      <c r="AZ100" s="360"/>
      <c r="BA100" s="360"/>
      <c r="BB100" s="360"/>
      <c r="BC100" s="360"/>
      <c r="BD100" s="360"/>
      <c r="BE100" s="360"/>
      <c r="BF100" s="360"/>
      <c r="BG100" s="360"/>
      <c r="BH100" s="360"/>
      <c r="BI100" s="360"/>
      <c r="BJ100" s="360"/>
      <c r="BK100" s="360"/>
      <c r="BL100" s="360"/>
      <c r="BM100" s="360"/>
      <c r="BN100" s="360"/>
    </row>
    <row r="101" spans="1:66" ht="15">
      <c r="A101" s="117" t="s">
        <v>667</v>
      </c>
      <c r="B101" s="353"/>
      <c r="C101" s="356"/>
      <c r="D101" s="116" t="s">
        <v>110</v>
      </c>
      <c r="E101" s="362"/>
      <c r="F101" s="362"/>
      <c r="H101" s="389"/>
      <c r="I101" s="362"/>
      <c r="J101" s="117" t="s">
        <v>669</v>
      </c>
      <c r="K101" s="117"/>
      <c r="M101" s="389"/>
      <c r="N101" s="362"/>
      <c r="O101" s="390" t="s">
        <v>1006</v>
      </c>
      <c r="P101" s="362"/>
      <c r="Q101" s="432"/>
      <c r="R101" s="385"/>
      <c r="S101" s="383"/>
      <c r="T101" s="360"/>
      <c r="U101" s="360"/>
      <c r="V101" s="360"/>
      <c r="W101" s="360"/>
      <c r="X101" s="360"/>
      <c r="Y101" s="360"/>
      <c r="Z101" s="360"/>
      <c r="AA101" s="360"/>
      <c r="AB101" s="360"/>
      <c r="AC101" s="360"/>
      <c r="AD101" s="360"/>
      <c r="AE101" s="360"/>
      <c r="AF101" s="360"/>
      <c r="AG101" s="360"/>
      <c r="AH101" s="360"/>
      <c r="AI101" s="360"/>
      <c r="AJ101" s="360"/>
      <c r="AK101" s="360"/>
      <c r="AL101" s="360"/>
      <c r="AM101" s="360"/>
      <c r="AN101" s="360"/>
      <c r="AO101" s="360"/>
      <c r="AP101" s="360"/>
      <c r="AQ101" s="360"/>
      <c r="AR101" s="360"/>
      <c r="AS101" s="360"/>
      <c r="AT101" s="360"/>
      <c r="AU101" s="360"/>
      <c r="AV101" s="360"/>
      <c r="AW101" s="360"/>
      <c r="AX101" s="360"/>
      <c r="AY101" s="360"/>
      <c r="AZ101" s="360"/>
      <c r="BA101" s="360"/>
      <c r="BB101" s="360"/>
      <c r="BC101" s="360"/>
      <c r="BD101" s="360"/>
      <c r="BE101" s="360"/>
      <c r="BF101" s="360"/>
      <c r="BG101" s="360"/>
      <c r="BH101" s="360"/>
      <c r="BI101" s="360"/>
      <c r="BJ101" s="360"/>
      <c r="BK101" s="360"/>
      <c r="BL101" s="360"/>
      <c r="BM101" s="360"/>
      <c r="BN101" s="360"/>
    </row>
    <row r="102" spans="1:66" ht="15.75">
      <c r="A102" s="391" t="s">
        <v>668</v>
      </c>
      <c r="B102" s="392"/>
      <c r="C102" s="393"/>
      <c r="D102" s="394" t="s">
        <v>13</v>
      </c>
      <c r="E102" s="391" t="s">
        <v>680</v>
      </c>
      <c r="F102"/>
      <c r="G102" s="613" t="s">
        <v>111</v>
      </c>
      <c r="H102" s="395"/>
      <c r="I102" s="612"/>
      <c r="J102" s="396" t="s">
        <v>678</v>
      </c>
      <c r="K102" s="396"/>
      <c r="L102" s="613" t="s">
        <v>111</v>
      </c>
      <c r="M102" s="395"/>
      <c r="N102" s="397"/>
      <c r="O102" s="395" t="s">
        <v>1007</v>
      </c>
      <c r="P102" s="433"/>
      <c r="Q102" s="434"/>
      <c r="R102" s="385"/>
      <c r="S102" s="383"/>
      <c r="T102" s="360"/>
      <c r="U102" s="360"/>
      <c r="V102" s="360"/>
      <c r="W102" s="360"/>
      <c r="X102" s="360"/>
      <c r="Y102" s="360"/>
      <c r="Z102" s="360"/>
      <c r="AA102" s="360"/>
      <c r="AB102" s="360"/>
      <c r="AC102" s="360"/>
      <c r="AD102" s="360"/>
      <c r="AE102" s="360"/>
      <c r="AF102" s="360"/>
      <c r="AG102" s="360"/>
      <c r="AH102" s="360"/>
      <c r="AI102" s="360"/>
      <c r="AJ102" s="360"/>
      <c r="AK102" s="360"/>
      <c r="AL102" s="360"/>
      <c r="AM102" s="360"/>
      <c r="AN102" s="360"/>
      <c r="AO102" s="360"/>
      <c r="AP102" s="360"/>
      <c r="AQ102" s="360"/>
      <c r="AR102" s="360"/>
      <c r="AS102" s="360"/>
      <c r="AT102" s="360"/>
      <c r="AU102" s="360"/>
      <c r="AV102" s="360"/>
      <c r="AW102" s="360"/>
      <c r="AX102" s="360"/>
      <c r="AY102" s="360"/>
      <c r="AZ102" s="360"/>
      <c r="BA102" s="360"/>
      <c r="BB102" s="360"/>
      <c r="BC102" s="360"/>
      <c r="BD102" s="360"/>
      <c r="BE102" s="360"/>
      <c r="BF102" s="360"/>
      <c r="BG102" s="360"/>
      <c r="BH102" s="360"/>
      <c r="BI102" s="360"/>
      <c r="BJ102" s="360"/>
      <c r="BK102" s="360"/>
      <c r="BL102" s="360"/>
      <c r="BM102" s="360"/>
      <c r="BN102" s="360"/>
    </row>
    <row r="103" spans="1:66" ht="15">
      <c r="A103" s="353"/>
      <c r="B103" s="353"/>
      <c r="C103" s="356"/>
      <c r="D103" s="362"/>
      <c r="E103" s="435"/>
      <c r="F103" s="436"/>
      <c r="G103" s="117"/>
      <c r="H103" s="425"/>
      <c r="I103" s="436"/>
      <c r="J103" s="435"/>
      <c r="K103" s="435"/>
      <c r="L103" s="435"/>
      <c r="M103" s="435"/>
      <c r="N103" s="362"/>
      <c r="O103" s="362"/>
      <c r="P103" s="384"/>
      <c r="Q103" s="385"/>
      <c r="R103" s="385"/>
      <c r="S103" s="383"/>
      <c r="T103" s="360"/>
      <c r="U103" s="360"/>
      <c r="V103" s="360"/>
      <c r="W103" s="360"/>
      <c r="X103" s="360"/>
      <c r="Y103" s="360"/>
      <c r="Z103" s="360"/>
      <c r="AA103" s="360"/>
      <c r="AB103" s="360"/>
      <c r="AC103" s="360"/>
      <c r="AD103" s="360"/>
      <c r="AE103" s="360"/>
      <c r="AF103" s="360"/>
      <c r="AG103" s="360"/>
      <c r="AH103" s="360"/>
      <c r="AI103" s="36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  <c r="BJ103" s="360"/>
      <c r="BK103" s="360"/>
      <c r="BL103" s="360"/>
      <c r="BM103" s="360"/>
      <c r="BN103" s="360"/>
    </row>
    <row r="104" spans="1:66" ht="15">
      <c r="A104" s="363"/>
      <c r="B104" s="356" t="s">
        <v>712</v>
      </c>
      <c r="D104" s="362"/>
      <c r="E104" s="362"/>
      <c r="F104" s="362"/>
      <c r="G104" s="362"/>
      <c r="H104" s="362"/>
      <c r="I104" s="362"/>
      <c r="J104" s="362"/>
      <c r="K104" s="362"/>
      <c r="L104" s="362"/>
      <c r="M104" s="362"/>
      <c r="N104" s="362"/>
      <c r="O104" s="362"/>
      <c r="P104" s="384"/>
      <c r="Q104" s="385"/>
      <c r="R104" s="385"/>
      <c r="S104" s="383"/>
      <c r="T104" s="360"/>
      <c r="U104" s="360"/>
      <c r="V104" s="360"/>
      <c r="W104" s="360"/>
      <c r="X104" s="360"/>
      <c r="Y104" s="360"/>
      <c r="Z104" s="360"/>
      <c r="AA104" s="360"/>
      <c r="AB104" s="360"/>
      <c r="AC104" s="360"/>
      <c r="AD104" s="360"/>
      <c r="AE104" s="360"/>
      <c r="AF104" s="360"/>
      <c r="AG104" s="360"/>
      <c r="AH104" s="360"/>
      <c r="AI104" s="360"/>
      <c r="AJ104" s="360"/>
      <c r="AK104" s="360"/>
      <c r="AL104" s="360"/>
      <c r="AM104" s="360"/>
      <c r="AN104" s="360"/>
      <c r="AO104" s="360"/>
      <c r="AP104" s="360"/>
      <c r="AQ104" s="360"/>
      <c r="AR104" s="360"/>
      <c r="AS104" s="360"/>
      <c r="AT104" s="360"/>
      <c r="AU104" s="360"/>
      <c r="AV104" s="360"/>
      <c r="AW104" s="360"/>
      <c r="AX104" s="360"/>
      <c r="AY104" s="360"/>
      <c r="AZ104" s="360"/>
      <c r="BA104" s="360"/>
      <c r="BB104" s="360"/>
      <c r="BC104" s="360"/>
      <c r="BD104" s="360"/>
      <c r="BE104" s="360"/>
      <c r="BF104" s="360"/>
      <c r="BG104" s="360"/>
      <c r="BH104" s="360"/>
      <c r="BI104" s="360"/>
      <c r="BJ104" s="360"/>
      <c r="BK104" s="360"/>
      <c r="BL104" s="360"/>
      <c r="BM104" s="360"/>
      <c r="BN104" s="360"/>
    </row>
    <row r="105" spans="1:66" ht="15">
      <c r="A105" s="363">
        <v>1</v>
      </c>
      <c r="B105" s="353"/>
      <c r="C105" s="356" t="s">
        <v>543</v>
      </c>
      <c r="D105" s="425" t="s">
        <v>137</v>
      </c>
      <c r="E105" s="405">
        <v>783108</v>
      </c>
      <c r="F105" s="362"/>
      <c r="G105" s="404" t="s">
        <v>1022</v>
      </c>
      <c r="H105" s="615">
        <v>1</v>
      </c>
      <c r="I105" s="362"/>
      <c r="J105" s="403">
        <f>E105</f>
        <v>783108</v>
      </c>
      <c r="K105" s="403"/>
      <c r="L105" s="767" t="s">
        <v>710</v>
      </c>
      <c r="M105" s="622">
        <f>+J163</f>
        <v>0.31265638857715589</v>
      </c>
      <c r="N105" s="437"/>
      <c r="O105" s="403">
        <f>+M105*E105</f>
        <v>244843.71914587938</v>
      </c>
      <c r="P105" s="384"/>
      <c r="Q105" s="385"/>
      <c r="R105" s="388"/>
      <c r="S105" s="385" t="s">
        <v>665</v>
      </c>
      <c r="T105" s="360"/>
      <c r="U105" s="360"/>
      <c r="V105" s="360"/>
      <c r="W105" s="360"/>
      <c r="X105" s="360"/>
      <c r="Y105" s="360"/>
      <c r="Z105" s="360"/>
      <c r="AA105" s="360"/>
      <c r="AB105" s="360"/>
      <c r="AC105" s="360"/>
      <c r="AD105" s="360"/>
      <c r="AE105" s="360"/>
      <c r="AF105" s="360"/>
      <c r="AG105" s="360"/>
      <c r="AH105" s="360"/>
      <c r="AI105" s="360"/>
      <c r="AJ105" s="360"/>
      <c r="AK105" s="360"/>
      <c r="AL105" s="360"/>
      <c r="AM105" s="360"/>
      <c r="AN105" s="360"/>
      <c r="AO105" s="360"/>
      <c r="AP105" s="360"/>
      <c r="AQ105" s="360"/>
      <c r="AR105" s="360"/>
      <c r="AS105" s="360"/>
      <c r="AT105" s="360"/>
      <c r="AU105" s="360"/>
      <c r="AV105" s="360"/>
      <c r="AW105" s="360"/>
      <c r="AX105" s="360"/>
      <c r="AY105" s="360"/>
      <c r="AZ105" s="360"/>
      <c r="BA105" s="360"/>
      <c r="BB105" s="360"/>
      <c r="BC105" s="360"/>
      <c r="BD105" s="360"/>
      <c r="BE105" s="360"/>
      <c r="BF105" s="360"/>
      <c r="BG105" s="360"/>
      <c r="BH105" s="360"/>
      <c r="BI105" s="360"/>
      <c r="BJ105" s="360"/>
      <c r="BK105" s="360"/>
      <c r="BL105" s="360"/>
      <c r="BM105" s="360"/>
      <c r="BN105" s="360"/>
    </row>
    <row r="106" spans="1:66" ht="15">
      <c r="A106" s="355" t="s">
        <v>138</v>
      </c>
      <c r="B106" s="425"/>
      <c r="C106" s="356" t="s">
        <v>542</v>
      </c>
      <c r="D106" s="425" t="s">
        <v>116</v>
      </c>
      <c r="E106" s="405">
        <v>21225</v>
      </c>
      <c r="F106" s="362"/>
      <c r="G106" s="404" t="s">
        <v>1022</v>
      </c>
      <c r="H106" s="615">
        <v>1</v>
      </c>
      <c r="I106" s="362"/>
      <c r="J106" s="403">
        <f>E106</f>
        <v>21225</v>
      </c>
      <c r="K106" s="403"/>
      <c r="L106" s="767" t="s">
        <v>1022</v>
      </c>
      <c r="M106" s="622">
        <v>1</v>
      </c>
      <c r="N106" s="403"/>
      <c r="O106" s="403">
        <f>ROUND(E106*H106,0)</f>
        <v>21225</v>
      </c>
      <c r="P106" s="384"/>
      <c r="Q106" s="385"/>
      <c r="R106" s="388"/>
      <c r="S106" s="383"/>
      <c r="T106" s="360"/>
      <c r="U106" s="360"/>
      <c r="V106" s="360"/>
      <c r="W106" s="360"/>
      <c r="X106" s="360"/>
      <c r="Y106" s="360"/>
      <c r="Z106" s="360"/>
      <c r="AA106" s="360"/>
      <c r="AB106" s="360"/>
      <c r="AC106" s="360"/>
      <c r="AD106" s="360"/>
      <c r="AE106" s="360"/>
      <c r="AF106" s="360"/>
      <c r="AG106" s="360"/>
      <c r="AH106" s="360"/>
      <c r="AI106" s="360"/>
      <c r="AJ106" s="360"/>
      <c r="AK106" s="360"/>
      <c r="AL106" s="360"/>
      <c r="AM106" s="360"/>
      <c r="AN106" s="360"/>
      <c r="AO106" s="360"/>
      <c r="AP106" s="360"/>
      <c r="AQ106" s="360"/>
      <c r="AR106" s="360"/>
      <c r="AS106" s="360"/>
      <c r="AT106" s="360"/>
      <c r="AU106" s="360"/>
      <c r="AV106" s="360"/>
      <c r="AW106" s="360"/>
      <c r="AX106" s="360"/>
      <c r="AY106" s="360"/>
      <c r="AZ106" s="360"/>
      <c r="BA106" s="360"/>
      <c r="BB106" s="360"/>
      <c r="BC106" s="360"/>
      <c r="BD106" s="360"/>
      <c r="BE106" s="360"/>
      <c r="BF106" s="360"/>
      <c r="BG106" s="360"/>
      <c r="BH106" s="360"/>
      <c r="BI106" s="360"/>
      <c r="BJ106" s="360"/>
      <c r="BK106" s="360"/>
      <c r="BL106" s="360"/>
      <c r="BM106" s="360"/>
      <c r="BN106" s="360"/>
    </row>
    <row r="107" spans="1:66" ht="15">
      <c r="A107" s="355" t="s">
        <v>139</v>
      </c>
      <c r="B107" s="425"/>
      <c r="C107" s="356" t="s">
        <v>544</v>
      </c>
      <c r="D107" s="425" t="s">
        <v>140</v>
      </c>
      <c r="E107" s="405">
        <v>100000</v>
      </c>
      <c r="F107" s="362"/>
      <c r="G107" s="404" t="s">
        <v>1022</v>
      </c>
      <c r="H107" s="615">
        <v>1</v>
      </c>
      <c r="I107" s="362"/>
      <c r="J107" s="403">
        <f>E107</f>
        <v>100000</v>
      </c>
      <c r="K107" s="403"/>
      <c r="L107" s="767" t="str">
        <f>+L106</f>
        <v>DA</v>
      </c>
      <c r="M107" s="622">
        <f>+M106</f>
        <v>1</v>
      </c>
      <c r="N107" s="403"/>
      <c r="O107" s="403">
        <f>ROUND(E107*H107,0)</f>
        <v>100000</v>
      </c>
      <c r="P107" s="384"/>
      <c r="Q107" s="385"/>
      <c r="R107" s="388"/>
      <c r="S107" s="383"/>
      <c r="T107" s="360"/>
      <c r="U107" s="360"/>
      <c r="V107" s="360"/>
      <c r="W107" s="360"/>
      <c r="X107" s="360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360"/>
      <c r="AX107" s="360"/>
      <c r="AY107" s="360"/>
      <c r="AZ107" s="360"/>
      <c r="BA107" s="360"/>
      <c r="BB107" s="360"/>
      <c r="BC107" s="360"/>
      <c r="BD107" s="360"/>
      <c r="BE107" s="360"/>
      <c r="BF107" s="360"/>
      <c r="BG107" s="360"/>
      <c r="BH107" s="360"/>
      <c r="BI107" s="360"/>
      <c r="BJ107" s="360"/>
      <c r="BK107" s="360"/>
      <c r="BL107" s="360"/>
      <c r="BM107" s="360"/>
      <c r="BN107" s="360"/>
    </row>
    <row r="108" spans="1:66" ht="15">
      <c r="A108" s="363">
        <v>2</v>
      </c>
      <c r="B108" s="353"/>
      <c r="C108" s="356" t="s">
        <v>545</v>
      </c>
      <c r="D108" s="425" t="s">
        <v>116</v>
      </c>
      <c r="E108" s="405">
        <v>-80616</v>
      </c>
      <c r="F108" s="362"/>
      <c r="G108" s="404" t="s">
        <v>1022</v>
      </c>
      <c r="H108" s="615">
        <f>H105</f>
        <v>1</v>
      </c>
      <c r="I108" s="362"/>
      <c r="J108" s="403">
        <f>E108</f>
        <v>-80616</v>
      </c>
      <c r="K108" s="403"/>
      <c r="L108" s="767" t="s">
        <v>710</v>
      </c>
      <c r="M108" s="622">
        <f>+M105</f>
        <v>0.31265638857715589</v>
      </c>
      <c r="N108" s="437"/>
      <c r="O108" s="403">
        <f>+M108*E108</f>
        <v>-25205.107421535999</v>
      </c>
      <c r="P108" s="384"/>
      <c r="Q108" s="385" t="s">
        <v>665</v>
      </c>
      <c r="R108" s="388"/>
      <c r="S108" s="385"/>
      <c r="T108" s="360"/>
      <c r="U108" s="360"/>
      <c r="V108" s="360"/>
      <c r="W108" s="360"/>
      <c r="X108" s="360"/>
      <c r="Y108" s="360"/>
      <c r="Z108" s="360"/>
      <c r="AA108" s="360"/>
      <c r="AB108" s="360"/>
      <c r="AC108" s="360"/>
      <c r="AD108" s="360"/>
      <c r="AE108" s="360"/>
      <c r="AF108" s="360"/>
      <c r="AG108" s="360"/>
      <c r="AH108" s="360"/>
      <c r="AI108" s="360"/>
      <c r="AJ108" s="360"/>
      <c r="AK108" s="360"/>
      <c r="AL108" s="360"/>
      <c r="AM108" s="360"/>
      <c r="AN108" s="360"/>
      <c r="AO108" s="360"/>
      <c r="AP108" s="360"/>
      <c r="AQ108" s="360"/>
      <c r="AR108" s="360"/>
      <c r="AS108" s="360"/>
      <c r="AT108" s="360"/>
      <c r="AU108" s="360"/>
      <c r="AV108" s="360"/>
      <c r="AW108" s="360"/>
      <c r="AX108" s="360"/>
      <c r="AY108" s="360"/>
      <c r="AZ108" s="360"/>
      <c r="BA108" s="360"/>
      <c r="BB108" s="360"/>
      <c r="BC108" s="360"/>
      <c r="BD108" s="360"/>
      <c r="BE108" s="360"/>
      <c r="BF108" s="360"/>
      <c r="BG108" s="360"/>
      <c r="BH108" s="360"/>
      <c r="BI108" s="360"/>
      <c r="BJ108" s="360"/>
      <c r="BK108" s="360"/>
      <c r="BL108" s="360"/>
      <c r="BM108" s="360"/>
      <c r="BN108" s="360"/>
    </row>
    <row r="109" spans="1:66" ht="15">
      <c r="A109" s="355">
        <v>3</v>
      </c>
      <c r="B109" s="425"/>
      <c r="C109" s="356" t="s">
        <v>52</v>
      </c>
      <c r="D109" s="425" t="s">
        <v>116</v>
      </c>
      <c r="E109" s="405">
        <v>6315030</v>
      </c>
      <c r="F109" s="362"/>
      <c r="G109" s="404" t="s">
        <v>685</v>
      </c>
      <c r="H109" s="615"/>
      <c r="I109" s="362"/>
      <c r="J109" s="403">
        <v>0</v>
      </c>
      <c r="K109" s="403"/>
      <c r="L109" s="767" t="s">
        <v>685</v>
      </c>
      <c r="M109" s="403"/>
      <c r="N109" s="403"/>
      <c r="O109" s="417">
        <v>0</v>
      </c>
      <c r="P109" s="384"/>
      <c r="Q109" s="385"/>
      <c r="R109" s="388"/>
      <c r="S109" s="383"/>
      <c r="T109" s="360"/>
      <c r="U109" s="360"/>
      <c r="V109" s="360"/>
      <c r="W109" s="360"/>
      <c r="X109" s="360"/>
      <c r="Y109" s="360"/>
      <c r="Z109" s="360"/>
      <c r="AA109" s="360"/>
      <c r="AB109" s="360"/>
      <c r="AC109" s="360"/>
      <c r="AD109" s="360"/>
      <c r="AE109" s="360"/>
      <c r="AF109" s="360"/>
      <c r="AG109" s="360"/>
      <c r="AH109" s="360"/>
      <c r="AI109" s="360"/>
      <c r="AJ109" s="360"/>
      <c r="AK109" s="360"/>
      <c r="AL109" s="360"/>
      <c r="AM109" s="360"/>
      <c r="AN109" s="360"/>
      <c r="AO109" s="360"/>
      <c r="AP109" s="360"/>
      <c r="AQ109" s="360"/>
      <c r="AR109" s="360"/>
      <c r="AS109" s="360"/>
      <c r="AT109" s="360"/>
      <c r="AU109" s="360"/>
      <c r="AV109" s="360"/>
      <c r="AW109" s="360"/>
      <c r="AX109" s="360"/>
      <c r="AY109" s="360"/>
      <c r="AZ109" s="360"/>
      <c r="BA109" s="360"/>
      <c r="BB109" s="360"/>
      <c r="BC109" s="360"/>
      <c r="BD109" s="360"/>
      <c r="BE109" s="360"/>
      <c r="BF109" s="360"/>
      <c r="BG109" s="360"/>
      <c r="BH109" s="360"/>
      <c r="BI109" s="360"/>
      <c r="BJ109" s="360"/>
      <c r="BK109" s="360"/>
      <c r="BL109" s="360"/>
      <c r="BM109" s="360"/>
      <c r="BN109" s="360"/>
    </row>
    <row r="110" spans="1:66" ht="15">
      <c r="A110" s="355">
        <v>4</v>
      </c>
      <c r="B110" s="425"/>
      <c r="C110" s="356" t="s">
        <v>141</v>
      </c>
      <c r="D110" s="425" t="s">
        <v>142</v>
      </c>
      <c r="E110" s="405">
        <v>2523224</v>
      </c>
      <c r="F110" s="362"/>
      <c r="G110" s="404" t="s">
        <v>785</v>
      </c>
      <c r="H110" s="615">
        <f>+H71</f>
        <v>3.8064831255997841E-2</v>
      </c>
      <c r="I110" s="362"/>
      <c r="J110" s="403">
        <f>+H110*E110</f>
        <v>96046.095781083903</v>
      </c>
      <c r="K110" s="403"/>
      <c r="L110" s="767" t="str">
        <f>+G110</f>
        <v>WS</v>
      </c>
      <c r="M110" s="623">
        <f>+M60</f>
        <v>1.1901212672299129E-2</v>
      </c>
      <c r="N110" s="403"/>
      <c r="O110" s="403">
        <f>+M110*E110</f>
        <v>30029.425443849297</v>
      </c>
      <c r="P110" s="384"/>
      <c r="Q110" s="385"/>
      <c r="R110" s="388"/>
      <c r="S110" s="383"/>
      <c r="T110" s="360"/>
      <c r="U110" s="360"/>
      <c r="V110" s="360"/>
      <c r="W110" s="360"/>
      <c r="X110" s="360"/>
      <c r="Y110" s="360"/>
      <c r="Z110" s="360"/>
      <c r="AA110" s="360"/>
      <c r="AB110" s="360"/>
      <c r="AC110" s="360"/>
      <c r="AD110" s="360"/>
      <c r="AE110" s="360"/>
      <c r="AF110" s="360"/>
      <c r="AG110" s="360"/>
      <c r="AH110" s="360"/>
      <c r="AI110" s="360"/>
      <c r="AJ110" s="360"/>
      <c r="AK110" s="360"/>
      <c r="AL110" s="360"/>
      <c r="AM110" s="360"/>
      <c r="AN110" s="360"/>
      <c r="AO110" s="360"/>
      <c r="AP110" s="360"/>
      <c r="AQ110" s="360"/>
      <c r="AR110" s="360"/>
      <c r="AS110" s="360"/>
      <c r="AT110" s="360"/>
      <c r="AU110" s="360"/>
      <c r="AV110" s="360"/>
      <c r="AW110" s="360"/>
      <c r="AX110" s="360"/>
      <c r="AY110" s="360"/>
      <c r="AZ110" s="360"/>
      <c r="BA110" s="360"/>
      <c r="BB110" s="360"/>
      <c r="BC110" s="360"/>
      <c r="BD110" s="360"/>
      <c r="BE110" s="360"/>
      <c r="BF110" s="360"/>
      <c r="BG110" s="360"/>
      <c r="BH110" s="360"/>
      <c r="BI110" s="360"/>
      <c r="BJ110" s="360"/>
      <c r="BK110" s="360"/>
      <c r="BL110" s="360"/>
      <c r="BM110" s="360"/>
      <c r="BN110" s="360"/>
    </row>
    <row r="111" spans="1:66" ht="15">
      <c r="A111" s="355">
        <v>5</v>
      </c>
      <c r="B111" s="425"/>
      <c r="C111" s="371" t="s">
        <v>546</v>
      </c>
      <c r="D111" s="362" t="s">
        <v>491</v>
      </c>
      <c r="E111" s="405">
        <f>+'PREC Reg Exp'!C21</f>
        <v>51179.722222222226</v>
      </c>
      <c r="F111" s="362"/>
      <c r="G111" s="404" t="s">
        <v>1022</v>
      </c>
      <c r="H111" s="615">
        <v>1</v>
      </c>
      <c r="I111" s="362"/>
      <c r="J111" s="403">
        <f>E111</f>
        <v>51179.722222222226</v>
      </c>
      <c r="K111" s="403"/>
      <c r="L111" s="767" t="s">
        <v>1022</v>
      </c>
      <c r="M111" s="667">
        <f>+H111</f>
        <v>1</v>
      </c>
      <c r="N111" s="403"/>
      <c r="O111" s="403">
        <f>ROUND(E111*H111,0)</f>
        <v>51180</v>
      </c>
      <c r="P111" s="384"/>
      <c r="Q111" s="385"/>
      <c r="R111" s="388"/>
      <c r="S111" s="383"/>
      <c r="T111" s="360"/>
      <c r="U111" s="360"/>
      <c r="V111" s="360"/>
      <c r="W111" s="360"/>
      <c r="X111" s="360"/>
      <c r="Y111" s="360"/>
      <c r="Z111" s="360"/>
      <c r="AA111" s="360"/>
      <c r="AB111" s="360"/>
      <c r="AC111" s="360"/>
      <c r="AD111" s="360"/>
      <c r="AE111" s="360"/>
      <c r="AF111" s="360"/>
      <c r="AG111" s="360"/>
      <c r="AH111" s="360"/>
      <c r="AI111" s="360"/>
      <c r="AJ111" s="360"/>
      <c r="AK111" s="360"/>
      <c r="AL111" s="360"/>
      <c r="AM111" s="360"/>
      <c r="AN111" s="360"/>
      <c r="AO111" s="360"/>
      <c r="AP111" s="360"/>
      <c r="AQ111" s="360"/>
      <c r="AR111" s="360"/>
      <c r="AS111" s="360"/>
      <c r="AT111" s="360"/>
      <c r="AU111" s="360"/>
      <c r="AV111" s="360"/>
      <c r="AW111" s="360"/>
      <c r="AX111" s="360"/>
      <c r="AY111" s="360"/>
      <c r="AZ111" s="360"/>
      <c r="BA111" s="360"/>
      <c r="BB111" s="360"/>
      <c r="BC111" s="360"/>
      <c r="BD111" s="360"/>
      <c r="BE111" s="360"/>
      <c r="BF111" s="360"/>
      <c r="BG111" s="360"/>
      <c r="BH111" s="360"/>
      <c r="BI111" s="360"/>
      <c r="BJ111" s="360"/>
      <c r="BK111" s="360"/>
      <c r="BL111" s="360"/>
      <c r="BM111" s="360"/>
      <c r="BN111" s="360"/>
    </row>
    <row r="112" spans="1:66" ht="15">
      <c r="A112" s="355">
        <v>6</v>
      </c>
      <c r="B112" s="425"/>
      <c r="C112" s="371" t="str">
        <f>+Estimate!C89</f>
        <v xml:space="preserve">  Common</v>
      </c>
      <c r="E112" s="405"/>
      <c r="F112" s="362"/>
      <c r="G112" s="404" t="s">
        <v>685</v>
      </c>
      <c r="H112" s="615"/>
      <c r="I112" s="362"/>
      <c r="J112" s="403"/>
      <c r="K112" s="403"/>
      <c r="L112" s="767" t="s">
        <v>685</v>
      </c>
      <c r="M112" s="667"/>
      <c r="N112" s="403"/>
      <c r="O112" s="403"/>
      <c r="P112" s="384"/>
      <c r="Q112" s="385"/>
      <c r="R112" s="388"/>
      <c r="S112" s="383"/>
      <c r="T112" s="360"/>
      <c r="U112" s="360"/>
      <c r="V112" s="360"/>
      <c r="W112" s="360"/>
      <c r="X112" s="360"/>
      <c r="Y112" s="360"/>
      <c r="Z112" s="360"/>
      <c r="AA112" s="360"/>
      <c r="AB112" s="360"/>
      <c r="AC112" s="360"/>
      <c r="AD112" s="360"/>
      <c r="AE112" s="360"/>
      <c r="AF112" s="360"/>
      <c r="AG112" s="360"/>
      <c r="AH112" s="360"/>
      <c r="AI112" s="360"/>
      <c r="AJ112" s="360"/>
      <c r="AK112" s="360"/>
      <c r="AL112" s="360"/>
      <c r="AM112" s="360"/>
      <c r="AN112" s="360"/>
      <c r="AO112" s="360"/>
      <c r="AP112" s="360"/>
      <c r="AQ112" s="360"/>
      <c r="AR112" s="360"/>
      <c r="AS112" s="360"/>
      <c r="AT112" s="360"/>
      <c r="AU112" s="360"/>
      <c r="AV112" s="360"/>
      <c r="AW112" s="360"/>
      <c r="AX112" s="360"/>
      <c r="AY112" s="360"/>
      <c r="AZ112" s="360"/>
      <c r="BA112" s="360"/>
      <c r="BB112" s="360"/>
      <c r="BC112" s="360"/>
      <c r="BD112" s="360"/>
      <c r="BE112" s="360"/>
      <c r="BF112" s="360"/>
      <c r="BG112" s="360"/>
      <c r="BH112" s="360"/>
      <c r="BI112" s="360"/>
      <c r="BJ112" s="360"/>
      <c r="BK112" s="360"/>
      <c r="BL112" s="360"/>
      <c r="BM112" s="360"/>
      <c r="BN112" s="360"/>
    </row>
    <row r="113" spans="1:66" ht="15.75" thickBot="1">
      <c r="A113" s="355">
        <v>7</v>
      </c>
      <c r="B113" s="425"/>
      <c r="C113" s="356" t="str">
        <f>+'PREC Reg Exp'!A24</f>
        <v>Annual OASIS Fees To WAPA-RMR</v>
      </c>
      <c r="D113" s="362" t="s">
        <v>491</v>
      </c>
      <c r="E113" s="408">
        <f>+'PREC Reg Exp'!C28</f>
        <v>7000</v>
      </c>
      <c r="F113" s="362"/>
      <c r="G113" s="404" t="str">
        <f>+G111</f>
        <v>DA</v>
      </c>
      <c r="H113" s="615">
        <f>+H111</f>
        <v>1</v>
      </c>
      <c r="I113" s="362"/>
      <c r="J113" s="409">
        <f>+H113*E113</f>
        <v>7000</v>
      </c>
      <c r="K113" s="420"/>
      <c r="L113" s="767" t="s">
        <v>1022</v>
      </c>
      <c r="M113" s="617">
        <f>+M111</f>
        <v>1</v>
      </c>
      <c r="N113" s="403"/>
      <c r="O113" s="409">
        <f>+M113*J113</f>
        <v>7000</v>
      </c>
      <c r="P113" s="384"/>
      <c r="Q113" s="385"/>
      <c r="R113" s="388"/>
      <c r="S113" s="383"/>
      <c r="T113" s="360"/>
      <c r="U113" s="360"/>
      <c r="V113" s="360"/>
      <c r="W113" s="360"/>
      <c r="X113" s="360"/>
      <c r="Y113" s="360"/>
      <c r="Z113" s="360"/>
      <c r="AA113" s="360"/>
      <c r="AB113" s="360"/>
      <c r="AC113" s="360"/>
      <c r="AD113" s="360"/>
      <c r="AE113" s="360"/>
      <c r="AF113" s="360"/>
      <c r="AG113" s="360"/>
      <c r="AH113" s="360"/>
      <c r="AI113" s="360"/>
      <c r="AJ113" s="360"/>
      <c r="AK113" s="360"/>
      <c r="AL113" s="360"/>
      <c r="AM113" s="360"/>
      <c r="AN113" s="360"/>
      <c r="AO113" s="360"/>
      <c r="AP113" s="360"/>
      <c r="AQ113" s="360"/>
      <c r="AR113" s="360"/>
      <c r="AS113" s="360"/>
      <c r="AT113" s="360"/>
      <c r="AU113" s="360"/>
      <c r="AV113" s="360"/>
      <c r="AW113" s="360"/>
      <c r="AX113" s="360"/>
      <c r="AY113" s="360"/>
      <c r="AZ113" s="360"/>
      <c r="BA113" s="360"/>
      <c r="BB113" s="360"/>
      <c r="BC113" s="360"/>
      <c r="BD113" s="360"/>
      <c r="BE113" s="360"/>
      <c r="BF113" s="360"/>
      <c r="BG113" s="360"/>
      <c r="BH113" s="360"/>
      <c r="BI113" s="360"/>
      <c r="BJ113" s="360"/>
      <c r="BK113" s="360"/>
      <c r="BL113" s="360"/>
      <c r="BM113" s="360"/>
      <c r="BN113" s="360"/>
    </row>
    <row r="114" spans="1:66" ht="15">
      <c r="A114" s="355">
        <v>8</v>
      </c>
      <c r="B114" s="425"/>
      <c r="C114" s="356" t="s">
        <v>143</v>
      </c>
      <c r="D114" s="362"/>
      <c r="E114" s="422">
        <f>SUM(E105:E113)</f>
        <v>9720150.722222222</v>
      </c>
      <c r="F114" s="362"/>
      <c r="G114" s="404"/>
      <c r="H114" s="404"/>
      <c r="I114" s="362"/>
      <c r="J114" s="422">
        <f>SUM(J105:J113)</f>
        <v>977942.81800330617</v>
      </c>
      <c r="K114" s="422"/>
      <c r="L114" s="422"/>
      <c r="M114" s="422"/>
      <c r="N114" s="422"/>
      <c r="O114" s="422">
        <f>SUM(O105:O113)</f>
        <v>429073.03716819268</v>
      </c>
      <c r="P114" s="384"/>
      <c r="Q114" s="411"/>
      <c r="R114" s="385"/>
      <c r="S114" s="383"/>
      <c r="T114" s="360"/>
      <c r="U114" s="360"/>
      <c r="V114" s="360"/>
      <c r="W114" s="360"/>
      <c r="X114" s="360"/>
      <c r="Y114" s="360"/>
      <c r="Z114" s="360"/>
      <c r="AA114" s="360"/>
      <c r="AB114" s="360"/>
      <c r="AC114" s="360"/>
      <c r="AD114" s="360"/>
      <c r="AE114" s="360"/>
      <c r="AF114" s="360"/>
      <c r="AG114" s="360"/>
      <c r="AH114" s="360"/>
      <c r="AI114" s="360"/>
      <c r="AJ114" s="360"/>
      <c r="AK114" s="360"/>
      <c r="AL114" s="360"/>
      <c r="AM114" s="360"/>
      <c r="AN114" s="360"/>
      <c r="AO114" s="360"/>
      <c r="AP114" s="360"/>
      <c r="AQ114" s="360"/>
      <c r="AR114" s="360"/>
      <c r="AS114" s="360"/>
      <c r="AT114" s="360"/>
      <c r="AU114" s="360"/>
      <c r="AV114" s="360"/>
      <c r="AW114" s="360"/>
      <c r="AX114" s="360"/>
      <c r="AY114" s="360"/>
      <c r="AZ114" s="360"/>
      <c r="BA114" s="360"/>
      <c r="BB114" s="360"/>
      <c r="BC114" s="360"/>
      <c r="BD114" s="360"/>
      <c r="BE114" s="360"/>
      <c r="BF114" s="360"/>
      <c r="BG114" s="360"/>
      <c r="BH114" s="360"/>
      <c r="BI114" s="360"/>
      <c r="BJ114" s="360"/>
      <c r="BK114" s="360"/>
      <c r="BL114" s="360"/>
      <c r="BM114" s="360"/>
      <c r="BN114" s="360"/>
    </row>
    <row r="115" spans="1:66" ht="15">
      <c r="A115" s="363"/>
      <c r="B115" s="353"/>
      <c r="C115" s="353"/>
      <c r="D115" s="362"/>
      <c r="E115" s="416" t="s">
        <v>665</v>
      </c>
      <c r="F115" s="362"/>
      <c r="G115" s="404"/>
      <c r="H115" s="404"/>
      <c r="I115" s="362"/>
      <c r="J115" s="353"/>
      <c r="K115" s="353"/>
      <c r="L115" s="353"/>
      <c r="M115" s="353"/>
      <c r="N115" s="362"/>
      <c r="O115" s="362"/>
      <c r="P115" s="384"/>
      <c r="Q115" s="385"/>
      <c r="R115" s="385"/>
      <c r="S115" s="383"/>
      <c r="T115" s="360"/>
      <c r="U115" s="360"/>
      <c r="V115" s="360"/>
      <c r="W115" s="360"/>
      <c r="X115" s="360"/>
      <c r="Y115" s="360"/>
      <c r="Z115" s="360"/>
      <c r="AA115" s="360"/>
      <c r="AB115" s="360"/>
      <c r="AC115" s="360"/>
      <c r="AD115" s="360"/>
      <c r="AE115" s="360"/>
      <c r="AF115" s="360"/>
      <c r="AG115" s="360"/>
      <c r="AH115" s="360"/>
      <c r="AI115" s="360"/>
      <c r="AJ115" s="360"/>
      <c r="AK115" s="360"/>
      <c r="AL115" s="360"/>
      <c r="AM115" s="360"/>
      <c r="AN115" s="360"/>
      <c r="AO115" s="360"/>
      <c r="AP115" s="360"/>
      <c r="AQ115" s="360"/>
      <c r="AR115" s="360"/>
      <c r="AS115" s="360"/>
      <c r="AT115" s="360"/>
      <c r="AU115" s="360"/>
      <c r="AV115" s="360"/>
      <c r="AW115" s="360"/>
      <c r="AX115" s="360"/>
      <c r="AY115" s="360"/>
      <c r="AZ115" s="360"/>
      <c r="BA115" s="360"/>
      <c r="BB115" s="360"/>
      <c r="BC115" s="360"/>
      <c r="BD115" s="360"/>
      <c r="BE115" s="360"/>
      <c r="BF115" s="360"/>
      <c r="BG115" s="360"/>
      <c r="BH115" s="360"/>
      <c r="BI115" s="360"/>
      <c r="BJ115" s="360"/>
      <c r="BK115" s="360"/>
      <c r="BL115" s="360"/>
      <c r="BM115" s="360"/>
      <c r="BN115" s="360"/>
    </row>
    <row r="116" spans="1:66" ht="15">
      <c r="A116" s="363"/>
      <c r="B116" s="356" t="s">
        <v>715</v>
      </c>
      <c r="D116" s="362"/>
      <c r="E116" s="362"/>
      <c r="F116" s="362"/>
      <c r="G116" s="404"/>
      <c r="H116" s="404"/>
      <c r="I116" s="362"/>
      <c r="J116" s="362"/>
      <c r="K116" s="362"/>
      <c r="L116" s="362"/>
      <c r="M116" s="362"/>
      <c r="N116" s="362"/>
      <c r="O116" s="362"/>
      <c r="P116" s="384"/>
      <c r="Q116" s="385"/>
      <c r="R116" s="385"/>
      <c r="S116" s="383"/>
      <c r="T116" s="360"/>
      <c r="U116" s="360"/>
      <c r="V116" s="360"/>
      <c r="W116" s="360"/>
      <c r="X116" s="360"/>
      <c r="Y116" s="360"/>
      <c r="Z116" s="360"/>
      <c r="AA116" s="360"/>
      <c r="AB116" s="360"/>
      <c r="AC116" s="360"/>
      <c r="AD116" s="360"/>
      <c r="AE116" s="360"/>
      <c r="AF116" s="360"/>
      <c r="AG116" s="360"/>
      <c r="AH116" s="360"/>
      <c r="AI116" s="360"/>
      <c r="AJ116" s="360"/>
      <c r="AK116" s="360"/>
      <c r="AL116" s="360"/>
      <c r="AM116" s="360"/>
      <c r="AN116" s="360"/>
      <c r="AO116" s="360"/>
      <c r="AP116" s="360"/>
      <c r="AQ116" s="360"/>
      <c r="AR116" s="360"/>
      <c r="AS116" s="360"/>
      <c r="AT116" s="360"/>
      <c r="AU116" s="360"/>
      <c r="AV116" s="360"/>
      <c r="AW116" s="360"/>
      <c r="AX116" s="360"/>
      <c r="AY116" s="360"/>
      <c r="AZ116" s="360"/>
      <c r="BA116" s="360"/>
      <c r="BB116" s="360"/>
      <c r="BC116" s="360"/>
      <c r="BD116" s="360"/>
      <c r="BE116" s="360"/>
      <c r="BF116" s="360"/>
      <c r="BG116" s="360"/>
      <c r="BH116" s="360"/>
      <c r="BI116" s="360"/>
      <c r="BJ116" s="360"/>
      <c r="BK116" s="360"/>
      <c r="BL116" s="360"/>
      <c r="BM116" s="360"/>
      <c r="BN116" s="360"/>
    </row>
    <row r="117" spans="1:66" ht="15">
      <c r="A117" s="363">
        <v>9</v>
      </c>
      <c r="B117" s="353"/>
      <c r="C117" s="356" t="str">
        <f>+C66</f>
        <v xml:space="preserve">  Transmission</v>
      </c>
      <c r="D117" s="425" t="s">
        <v>116</v>
      </c>
      <c r="E117" s="405">
        <f>+'PREC Deprec System'!G31</f>
        <v>974233.08000000007</v>
      </c>
      <c r="F117" s="362"/>
      <c r="G117" s="404" t="str">
        <f>+G113</f>
        <v>DA</v>
      </c>
      <c r="H117" s="451">
        <f>+H113</f>
        <v>1</v>
      </c>
      <c r="I117" s="404"/>
      <c r="J117" s="405">
        <f>+E117</f>
        <v>974233.08000000007</v>
      </c>
      <c r="K117" s="405"/>
      <c r="L117" s="763" t="s">
        <v>1022</v>
      </c>
      <c r="M117" s="668" t="s">
        <v>454</v>
      </c>
      <c r="N117" s="403"/>
      <c r="O117" s="417">
        <f>'PREC Facilities'!G18</f>
        <v>304579.33295000001</v>
      </c>
      <c r="P117" s="384"/>
      <c r="Q117" s="385"/>
      <c r="R117" s="388"/>
      <c r="S117" s="385" t="s">
        <v>665</v>
      </c>
      <c r="T117" s="360"/>
      <c r="U117" s="360"/>
      <c r="V117" s="360"/>
      <c r="W117" s="360"/>
      <c r="X117" s="360"/>
      <c r="Y117" s="360"/>
      <c r="Z117" s="360"/>
      <c r="AA117" s="360"/>
      <c r="AB117" s="360"/>
      <c r="AC117" s="360"/>
      <c r="AD117" s="360"/>
      <c r="AE117" s="360"/>
      <c r="AF117" s="360"/>
      <c r="AG117" s="360"/>
      <c r="AH117" s="360"/>
      <c r="AI117" s="360"/>
      <c r="AJ117" s="360"/>
      <c r="AK117" s="360"/>
      <c r="AL117" s="360"/>
      <c r="AM117" s="360"/>
      <c r="AN117" s="360"/>
      <c r="AO117" s="360"/>
      <c r="AP117" s="360"/>
      <c r="AQ117" s="360"/>
      <c r="AR117" s="360"/>
      <c r="AS117" s="360"/>
      <c r="AT117" s="360"/>
      <c r="AU117" s="360"/>
      <c r="AV117" s="360"/>
      <c r="AW117" s="360"/>
      <c r="AX117" s="360"/>
      <c r="AY117" s="360"/>
      <c r="AZ117" s="360"/>
      <c r="BA117" s="360"/>
      <c r="BB117" s="360"/>
      <c r="BC117" s="360"/>
      <c r="BD117" s="360"/>
      <c r="BE117" s="360"/>
      <c r="BF117" s="360"/>
      <c r="BG117" s="360"/>
      <c r="BH117" s="360"/>
      <c r="BI117" s="360"/>
      <c r="BJ117" s="360"/>
      <c r="BK117" s="360"/>
      <c r="BL117" s="360"/>
      <c r="BM117" s="360"/>
      <c r="BN117" s="360"/>
    </row>
    <row r="118" spans="1:66" ht="15">
      <c r="A118" s="363">
        <v>10</v>
      </c>
      <c r="B118" s="353"/>
      <c r="C118" s="356" t="str">
        <f>+C67</f>
        <v xml:space="preserve">  Distribution</v>
      </c>
      <c r="D118" s="425" t="s">
        <v>116</v>
      </c>
      <c r="E118" s="405">
        <f>+'PREC Deprec System'!G32</f>
        <v>3363072.07</v>
      </c>
      <c r="F118" s="362"/>
      <c r="G118" s="404"/>
      <c r="H118" s="615"/>
      <c r="I118" s="404"/>
      <c r="J118" s="405">
        <v>0</v>
      </c>
      <c r="K118" s="405"/>
      <c r="L118" s="763"/>
      <c r="M118" s="405"/>
      <c r="N118" s="403"/>
      <c r="O118" s="417">
        <v>0</v>
      </c>
      <c r="P118" s="384"/>
      <c r="Q118" s="385"/>
      <c r="R118" s="388"/>
      <c r="S118" s="385" t="s">
        <v>665</v>
      </c>
      <c r="T118" s="360"/>
      <c r="U118" s="360"/>
      <c r="V118" s="360"/>
      <c r="W118" s="360"/>
      <c r="X118" s="360"/>
      <c r="Y118" s="360"/>
      <c r="Z118" s="360"/>
      <c r="AA118" s="360"/>
      <c r="AB118" s="360"/>
      <c r="AC118" s="360"/>
      <c r="AD118" s="360"/>
      <c r="AE118" s="360"/>
      <c r="AF118" s="360"/>
      <c r="AG118" s="360"/>
      <c r="AH118" s="360"/>
      <c r="AI118" s="360"/>
      <c r="AJ118" s="360"/>
      <c r="AK118" s="360"/>
      <c r="AL118" s="360"/>
      <c r="AM118" s="360"/>
      <c r="AN118" s="360"/>
      <c r="AO118" s="360"/>
      <c r="AP118" s="360"/>
      <c r="AQ118" s="360"/>
      <c r="AR118" s="360"/>
      <c r="AS118" s="360"/>
      <c r="AT118" s="360"/>
      <c r="AU118" s="360"/>
      <c r="AV118" s="360"/>
      <c r="AW118" s="360"/>
      <c r="AX118" s="360"/>
      <c r="AY118" s="360"/>
      <c r="AZ118" s="360"/>
      <c r="BA118" s="360"/>
      <c r="BB118" s="360"/>
      <c r="BC118" s="360"/>
      <c r="BD118" s="360"/>
      <c r="BE118" s="360"/>
      <c r="BF118" s="360"/>
      <c r="BG118" s="360"/>
      <c r="BH118" s="360"/>
      <c r="BI118" s="360"/>
      <c r="BJ118" s="360"/>
      <c r="BK118" s="360"/>
      <c r="BL118" s="360"/>
      <c r="BM118" s="360"/>
      <c r="BN118" s="360"/>
    </row>
    <row r="119" spans="1:66" ht="15.75" thickBot="1">
      <c r="A119" s="363">
        <v>11</v>
      </c>
      <c r="B119" s="353"/>
      <c r="C119" s="356" t="str">
        <f>+C68</f>
        <v xml:space="preserve">  General </v>
      </c>
      <c r="D119" s="425" t="s">
        <v>116</v>
      </c>
      <c r="E119" s="408">
        <f>+'PREC Deprec System'!G33</f>
        <v>403458.74999999994</v>
      </c>
      <c r="F119" s="362"/>
      <c r="G119" s="404" t="str">
        <f>+G124</f>
        <v>WS</v>
      </c>
      <c r="H119" s="615">
        <f>+H124</f>
        <v>3.8064831255997841E-2</v>
      </c>
      <c r="I119" s="404"/>
      <c r="J119" s="408">
        <f>+H119*E119</f>
        <v>15357.589237505817</v>
      </c>
      <c r="K119" s="609"/>
      <c r="L119" s="764" t="str">
        <f>+G119</f>
        <v>WS</v>
      </c>
      <c r="M119" s="625">
        <f>+M110</f>
        <v>1.1901212672299129E-2</v>
      </c>
      <c r="N119" s="403"/>
      <c r="O119" s="438">
        <f>+M119*E119</f>
        <v>4801.6483882499651</v>
      </c>
      <c r="P119" s="384"/>
      <c r="Q119" s="385"/>
      <c r="R119" s="388"/>
      <c r="S119" s="385" t="s">
        <v>665</v>
      </c>
      <c r="T119" s="360"/>
      <c r="U119" s="360"/>
      <c r="V119" s="360"/>
      <c r="W119" s="360"/>
      <c r="X119" s="360"/>
      <c r="Y119" s="360"/>
      <c r="Z119" s="360"/>
      <c r="AA119" s="360"/>
      <c r="AB119" s="360"/>
      <c r="AC119" s="360"/>
      <c r="AD119" s="360"/>
      <c r="AE119" s="360"/>
      <c r="AF119" s="360"/>
      <c r="AG119" s="360"/>
      <c r="AH119" s="360"/>
      <c r="AI119" s="360"/>
      <c r="AJ119" s="360"/>
      <c r="AK119" s="360"/>
      <c r="AL119" s="360"/>
      <c r="AM119" s="360"/>
      <c r="AN119" s="360"/>
      <c r="AO119" s="360"/>
      <c r="AP119" s="360"/>
      <c r="AQ119" s="360"/>
      <c r="AR119" s="360"/>
      <c r="AS119" s="360"/>
      <c r="AT119" s="360"/>
      <c r="AU119" s="360"/>
      <c r="AV119" s="360"/>
      <c r="AW119" s="360"/>
      <c r="AX119" s="360"/>
      <c r="AY119" s="360"/>
      <c r="AZ119" s="360"/>
      <c r="BA119" s="360"/>
      <c r="BB119" s="360"/>
      <c r="BC119" s="360"/>
      <c r="BD119" s="360"/>
      <c r="BE119" s="360"/>
      <c r="BF119" s="360"/>
      <c r="BG119" s="360"/>
      <c r="BH119" s="360"/>
      <c r="BI119" s="360"/>
      <c r="BJ119" s="360"/>
      <c r="BK119" s="360"/>
      <c r="BL119" s="360"/>
      <c r="BM119" s="360"/>
      <c r="BN119" s="360"/>
    </row>
    <row r="120" spans="1:66" ht="15">
      <c r="A120" s="363">
        <v>12</v>
      </c>
      <c r="B120" s="353"/>
      <c r="C120" s="356" t="s">
        <v>547</v>
      </c>
      <c r="D120" s="362"/>
      <c r="E120" s="422">
        <f>SUM(E117:E119)</f>
        <v>4740763.9000000004</v>
      </c>
      <c r="F120" s="362"/>
      <c r="G120" s="404"/>
      <c r="H120" s="404"/>
      <c r="I120" s="404"/>
      <c r="J120" s="410">
        <f>SUM(J117:J119)</f>
        <v>989590.66923750588</v>
      </c>
      <c r="K120" s="410"/>
      <c r="L120" s="765"/>
      <c r="M120" s="410"/>
      <c r="N120" s="422"/>
      <c r="O120" s="422">
        <f>SUM(O117:O119)</f>
        <v>309380.98133824999</v>
      </c>
      <c r="P120" s="384"/>
      <c r="Q120" s="411"/>
      <c r="R120" s="385"/>
      <c r="S120" s="383"/>
      <c r="T120" s="360"/>
      <c r="U120" s="360"/>
      <c r="V120" s="360"/>
      <c r="W120" s="360"/>
      <c r="X120" s="360"/>
      <c r="Y120" s="360"/>
      <c r="Z120" s="360"/>
      <c r="AA120" s="360"/>
      <c r="AB120" s="360"/>
      <c r="AC120" s="360"/>
      <c r="AD120" s="360"/>
      <c r="AE120" s="360"/>
      <c r="AF120" s="360"/>
      <c r="AG120" s="360"/>
      <c r="AH120" s="360"/>
      <c r="AI120" s="360"/>
      <c r="AJ120" s="360"/>
      <c r="AK120" s="360"/>
      <c r="AL120" s="360"/>
      <c r="AM120" s="360"/>
      <c r="AN120" s="360"/>
      <c r="AO120" s="360"/>
      <c r="AP120" s="360"/>
      <c r="AQ120" s="360"/>
      <c r="AR120" s="360"/>
      <c r="AS120" s="360"/>
      <c r="AT120" s="360"/>
      <c r="AU120" s="360"/>
      <c r="AV120" s="360"/>
      <c r="AW120" s="360"/>
      <c r="AX120" s="360"/>
      <c r="AY120" s="360"/>
      <c r="AZ120" s="360"/>
      <c r="BA120" s="360"/>
      <c r="BB120" s="360"/>
      <c r="BC120" s="360"/>
      <c r="BD120" s="360"/>
      <c r="BE120" s="360"/>
      <c r="BF120" s="360"/>
      <c r="BG120" s="360"/>
      <c r="BH120" s="360"/>
      <c r="BI120" s="360"/>
      <c r="BJ120" s="360"/>
      <c r="BK120" s="360"/>
      <c r="BL120" s="360"/>
      <c r="BM120" s="360"/>
      <c r="BN120" s="360"/>
    </row>
    <row r="121" spans="1:66" ht="15">
      <c r="A121" s="363"/>
      <c r="B121" s="353"/>
      <c r="C121" s="356"/>
      <c r="D121" s="362"/>
      <c r="E121" s="362"/>
      <c r="F121" s="362"/>
      <c r="G121" s="404"/>
      <c r="H121" s="404"/>
      <c r="I121" s="404"/>
      <c r="J121" s="405"/>
      <c r="K121" s="405"/>
      <c r="L121" s="763"/>
      <c r="M121" s="405"/>
      <c r="N121" s="403"/>
      <c r="O121" s="403"/>
      <c r="P121" s="384"/>
      <c r="Q121" s="385"/>
      <c r="R121" s="385"/>
      <c r="S121" s="383"/>
      <c r="T121" s="360"/>
      <c r="U121" s="360"/>
      <c r="V121" s="360"/>
      <c r="W121" s="360"/>
      <c r="X121" s="360"/>
      <c r="Y121" s="360"/>
      <c r="Z121" s="360"/>
      <c r="AA121" s="360"/>
      <c r="AB121" s="360"/>
      <c r="AC121" s="360"/>
      <c r="AD121" s="360"/>
      <c r="AE121" s="360"/>
      <c r="AF121" s="360"/>
      <c r="AG121" s="360"/>
      <c r="AH121" s="360"/>
      <c r="AI121" s="360"/>
      <c r="AJ121" s="360"/>
      <c r="AK121" s="360"/>
      <c r="AL121" s="360"/>
      <c r="AM121" s="360"/>
      <c r="AN121" s="360"/>
      <c r="AO121" s="360"/>
      <c r="AP121" s="360"/>
      <c r="AQ121" s="360"/>
      <c r="AR121" s="360"/>
      <c r="AS121" s="360"/>
      <c r="AT121" s="360"/>
      <c r="AU121" s="360"/>
      <c r="AV121" s="360"/>
      <c r="AW121" s="360"/>
      <c r="AX121" s="360"/>
      <c r="AY121" s="360"/>
      <c r="AZ121" s="360"/>
      <c r="BA121" s="360"/>
      <c r="BB121" s="360"/>
      <c r="BC121" s="360"/>
      <c r="BD121" s="360"/>
      <c r="BE121" s="360"/>
      <c r="BF121" s="360"/>
      <c r="BG121" s="360"/>
      <c r="BH121" s="360"/>
      <c r="BI121" s="360"/>
      <c r="BJ121" s="360"/>
      <c r="BK121" s="360"/>
      <c r="BL121" s="360"/>
      <c r="BM121" s="360"/>
      <c r="BN121" s="360"/>
    </row>
    <row r="122" spans="1:66" ht="15">
      <c r="A122" s="363" t="s">
        <v>665</v>
      </c>
      <c r="B122" s="356" t="s">
        <v>144</v>
      </c>
      <c r="D122" s="374"/>
      <c r="E122" s="362"/>
      <c r="F122" s="362"/>
      <c r="G122" s="404"/>
      <c r="H122" s="404"/>
      <c r="I122" s="404"/>
      <c r="J122" s="404"/>
      <c r="K122" s="404"/>
      <c r="L122" s="766"/>
      <c r="M122" s="404"/>
      <c r="N122" s="362"/>
      <c r="O122" s="362"/>
      <c r="P122" s="384"/>
      <c r="Q122" s="385"/>
      <c r="R122" s="385"/>
      <c r="S122" s="383"/>
      <c r="T122" s="360"/>
      <c r="U122" s="360"/>
      <c r="V122" s="360"/>
      <c r="W122" s="360"/>
      <c r="X122" s="360"/>
      <c r="Y122" s="360"/>
      <c r="Z122" s="360"/>
      <c r="AA122" s="360"/>
      <c r="AB122" s="360"/>
      <c r="AC122" s="360"/>
      <c r="AD122" s="360"/>
      <c r="AE122" s="360"/>
      <c r="AF122" s="360"/>
      <c r="AG122" s="360"/>
      <c r="AH122" s="360"/>
      <c r="AI122" s="360"/>
      <c r="AJ122" s="360"/>
      <c r="AK122" s="360"/>
      <c r="AL122" s="360"/>
      <c r="AM122" s="360"/>
      <c r="AN122" s="360"/>
      <c r="AO122" s="360"/>
      <c r="AP122" s="360"/>
      <c r="AQ122" s="360"/>
      <c r="AR122" s="360"/>
      <c r="AS122" s="360"/>
      <c r="AT122" s="360"/>
      <c r="AU122" s="360"/>
      <c r="AV122" s="360"/>
      <c r="AW122" s="360"/>
      <c r="AX122" s="360"/>
      <c r="AY122" s="360"/>
      <c r="AZ122" s="360"/>
      <c r="BA122" s="360"/>
      <c r="BB122" s="360"/>
      <c r="BC122" s="360"/>
      <c r="BD122" s="360"/>
      <c r="BE122" s="360"/>
      <c r="BF122" s="360"/>
      <c r="BG122" s="360"/>
      <c r="BH122" s="360"/>
      <c r="BI122" s="360"/>
      <c r="BJ122" s="360"/>
      <c r="BK122" s="360"/>
      <c r="BL122" s="360"/>
      <c r="BM122" s="360"/>
      <c r="BN122" s="360"/>
    </row>
    <row r="123" spans="1:66" ht="15">
      <c r="A123" s="363"/>
      <c r="B123" s="353"/>
      <c r="C123" s="356" t="s">
        <v>717</v>
      </c>
      <c r="D123" s="425"/>
      <c r="E123" s="374"/>
      <c r="F123" s="362"/>
      <c r="G123" s="404"/>
      <c r="H123" s="374"/>
      <c r="I123" s="404"/>
      <c r="J123" s="374"/>
      <c r="K123" s="374"/>
      <c r="L123" s="758"/>
      <c r="M123" s="374"/>
      <c r="N123" s="362"/>
      <c r="O123" s="406"/>
      <c r="P123" s="384"/>
      <c r="Q123" s="424"/>
      <c r="R123" s="388"/>
      <c r="S123" s="383"/>
      <c r="T123" s="360"/>
      <c r="U123" s="360"/>
      <c r="V123" s="360"/>
      <c r="W123" s="360"/>
      <c r="X123" s="360"/>
      <c r="Y123" s="360"/>
      <c r="Z123" s="360"/>
      <c r="AA123" s="360"/>
      <c r="AB123" s="360"/>
      <c r="AC123" s="360"/>
      <c r="AD123" s="360"/>
      <c r="AE123" s="360"/>
      <c r="AF123" s="360"/>
      <c r="AG123" s="360"/>
      <c r="AH123" s="360"/>
      <c r="AI123" s="360"/>
      <c r="AJ123" s="360"/>
      <c r="AK123" s="360"/>
      <c r="AL123" s="360"/>
      <c r="AM123" s="360"/>
      <c r="AN123" s="360"/>
      <c r="AO123" s="360"/>
      <c r="AP123" s="360"/>
      <c r="AQ123" s="360"/>
      <c r="AR123" s="360"/>
      <c r="AS123" s="360"/>
      <c r="AT123" s="360"/>
      <c r="AU123" s="360"/>
      <c r="AV123" s="360"/>
      <c r="AW123" s="360"/>
      <c r="AX123" s="360"/>
      <c r="AY123" s="360"/>
      <c r="AZ123" s="360"/>
      <c r="BA123" s="360"/>
      <c r="BB123" s="360"/>
      <c r="BC123" s="360"/>
      <c r="BD123" s="360"/>
      <c r="BE123" s="360"/>
      <c r="BF123" s="360"/>
      <c r="BG123" s="360"/>
      <c r="BH123" s="360"/>
      <c r="BI123" s="360"/>
      <c r="BJ123" s="360"/>
      <c r="BK123" s="360"/>
      <c r="BL123" s="360"/>
      <c r="BM123" s="360"/>
      <c r="BN123" s="360"/>
    </row>
    <row r="124" spans="1:66" ht="15">
      <c r="A124" s="363">
        <v>13</v>
      </c>
      <c r="B124" s="353"/>
      <c r="C124" s="356" t="s">
        <v>718</v>
      </c>
      <c r="D124" s="362"/>
      <c r="E124" s="405"/>
      <c r="F124" s="362"/>
      <c r="G124" s="404" t="s">
        <v>785</v>
      </c>
      <c r="H124" s="626">
        <f>+H110</f>
        <v>3.8064831255997841E-2</v>
      </c>
      <c r="I124" s="404"/>
      <c r="J124" s="405">
        <v>0</v>
      </c>
      <c r="K124" s="405"/>
      <c r="L124" s="764" t="str">
        <f>+G124</f>
        <v>WS</v>
      </c>
      <c r="M124" s="626">
        <f>+M110</f>
        <v>1.1901212672299129E-2</v>
      </c>
      <c r="N124" s="403"/>
      <c r="O124" s="417">
        <v>0</v>
      </c>
      <c r="P124" s="384"/>
      <c r="Q124" s="424"/>
      <c r="R124" s="388"/>
      <c r="S124" s="383"/>
      <c r="T124" s="360"/>
      <c r="U124" s="360"/>
      <c r="V124" s="360"/>
      <c r="W124" s="360"/>
      <c r="X124" s="360"/>
      <c r="Y124" s="360"/>
      <c r="Z124" s="360"/>
      <c r="AA124" s="360"/>
      <c r="AB124" s="360"/>
      <c r="AC124" s="360"/>
      <c r="AD124" s="360"/>
      <c r="AE124" s="360"/>
      <c r="AF124" s="360"/>
      <c r="AG124" s="360"/>
      <c r="AH124" s="360"/>
      <c r="AI124" s="360"/>
      <c r="AJ124" s="360"/>
      <c r="AK124" s="360"/>
      <c r="AL124" s="360"/>
      <c r="AM124" s="360"/>
      <c r="AN124" s="360"/>
      <c r="AO124" s="360"/>
      <c r="AP124" s="360"/>
      <c r="AQ124" s="360"/>
      <c r="AR124" s="360"/>
      <c r="AS124" s="360"/>
      <c r="AT124" s="360"/>
      <c r="AU124" s="360"/>
      <c r="AV124" s="360"/>
      <c r="AW124" s="360"/>
      <c r="AX124" s="360"/>
      <c r="AY124" s="360"/>
      <c r="AZ124" s="360"/>
      <c r="BA124" s="360"/>
      <c r="BB124" s="360"/>
      <c r="BC124" s="360"/>
      <c r="BD124" s="360"/>
      <c r="BE124" s="360"/>
      <c r="BF124" s="360"/>
      <c r="BG124" s="360"/>
      <c r="BH124" s="360"/>
      <c r="BI124" s="360"/>
      <c r="BJ124" s="360"/>
      <c r="BK124" s="360"/>
      <c r="BL124" s="360"/>
      <c r="BM124" s="360"/>
      <c r="BN124" s="360"/>
    </row>
    <row r="125" spans="1:66" ht="15">
      <c r="A125" s="363">
        <v>14</v>
      </c>
      <c r="B125" s="353"/>
      <c r="C125" s="356" t="s">
        <v>719</v>
      </c>
      <c r="D125" s="362"/>
      <c r="E125" s="405"/>
      <c r="F125" s="362"/>
      <c r="G125" s="404" t="str">
        <f>+G124</f>
        <v>WS</v>
      </c>
      <c r="H125" s="626">
        <f>+H124</f>
        <v>3.8064831255997841E-2</v>
      </c>
      <c r="I125" s="404"/>
      <c r="J125" s="405">
        <v>0</v>
      </c>
      <c r="K125" s="405"/>
      <c r="L125" s="764" t="str">
        <f>+G125</f>
        <v>WS</v>
      </c>
      <c r="M125" s="626">
        <f>+M124</f>
        <v>1.1901212672299129E-2</v>
      </c>
      <c r="N125" s="403"/>
      <c r="O125" s="417">
        <v>0</v>
      </c>
      <c r="P125" s="384"/>
      <c r="Q125" s="424"/>
      <c r="R125" s="388"/>
      <c r="S125" s="383"/>
      <c r="T125" s="360"/>
      <c r="U125" s="360"/>
      <c r="V125" s="360"/>
      <c r="W125" s="360"/>
      <c r="X125" s="360"/>
      <c r="Y125" s="360"/>
      <c r="Z125" s="360"/>
      <c r="AA125" s="360"/>
      <c r="AB125" s="360"/>
      <c r="AC125" s="360"/>
      <c r="AD125" s="360"/>
      <c r="AE125" s="360"/>
      <c r="AF125" s="360"/>
      <c r="AG125" s="360"/>
      <c r="AH125" s="360"/>
      <c r="AI125" s="360"/>
      <c r="AJ125" s="360"/>
      <c r="AK125" s="360"/>
      <c r="AL125" s="360"/>
      <c r="AM125" s="360"/>
      <c r="AN125" s="360"/>
      <c r="AO125" s="360"/>
      <c r="AP125" s="360"/>
      <c r="AQ125" s="360"/>
      <c r="AR125" s="360"/>
      <c r="AS125" s="360"/>
      <c r="AT125" s="360"/>
      <c r="AU125" s="360"/>
      <c r="AV125" s="360"/>
      <c r="AW125" s="360"/>
      <c r="AX125" s="360"/>
      <c r="AY125" s="360"/>
      <c r="AZ125" s="360"/>
      <c r="BA125" s="360"/>
      <c r="BB125" s="360"/>
      <c r="BC125" s="360"/>
      <c r="BD125" s="360"/>
      <c r="BE125" s="360"/>
      <c r="BF125" s="360"/>
      <c r="BG125" s="360"/>
      <c r="BH125" s="360"/>
      <c r="BI125" s="360"/>
      <c r="BJ125" s="360"/>
      <c r="BK125" s="360"/>
      <c r="BL125" s="360"/>
      <c r="BM125" s="360"/>
      <c r="BN125" s="360"/>
    </row>
    <row r="126" spans="1:66" ht="15">
      <c r="A126" s="363">
        <v>15</v>
      </c>
      <c r="B126" s="353"/>
      <c r="C126" s="356" t="s">
        <v>720</v>
      </c>
      <c r="D126" s="362"/>
      <c r="E126" s="405"/>
      <c r="F126" s="362"/>
      <c r="G126" s="404"/>
      <c r="H126" s="374"/>
      <c r="I126" s="404"/>
      <c r="J126" s="405"/>
      <c r="K126" s="405"/>
      <c r="L126" s="763"/>
      <c r="M126" s="405"/>
      <c r="N126" s="403"/>
      <c r="O126" s="417"/>
      <c r="P126" s="384"/>
      <c r="Q126" s="424"/>
      <c r="R126" s="388"/>
      <c r="S126" s="383"/>
      <c r="T126" s="360"/>
      <c r="U126" s="360"/>
      <c r="V126" s="360"/>
      <c r="W126" s="360"/>
      <c r="X126" s="360"/>
      <c r="Y126" s="360"/>
      <c r="Z126" s="360"/>
      <c r="AA126" s="360"/>
      <c r="AB126" s="360"/>
      <c r="AC126" s="360"/>
      <c r="AD126" s="360"/>
      <c r="AE126" s="360"/>
      <c r="AF126" s="360"/>
      <c r="AG126" s="360"/>
      <c r="AH126" s="360"/>
      <c r="AI126" s="360"/>
      <c r="AJ126" s="360"/>
      <c r="AK126" s="360"/>
      <c r="AL126" s="360"/>
      <c r="AM126" s="360"/>
      <c r="AN126" s="360"/>
      <c r="AO126" s="360"/>
      <c r="AP126" s="360"/>
      <c r="AQ126" s="360"/>
      <c r="AR126" s="360"/>
      <c r="AS126" s="360"/>
      <c r="AT126" s="360"/>
      <c r="AU126" s="360"/>
      <c r="AV126" s="360"/>
      <c r="AW126" s="360"/>
      <c r="AX126" s="360"/>
      <c r="AY126" s="360"/>
      <c r="AZ126" s="360"/>
      <c r="BA126" s="360"/>
      <c r="BB126" s="360"/>
      <c r="BC126" s="360"/>
      <c r="BD126" s="360"/>
      <c r="BE126" s="360"/>
      <c r="BF126" s="360"/>
      <c r="BG126" s="360"/>
      <c r="BH126" s="360"/>
      <c r="BI126" s="360"/>
      <c r="BJ126" s="360"/>
      <c r="BK126" s="360"/>
      <c r="BL126" s="360"/>
      <c r="BM126" s="360"/>
      <c r="BN126" s="360"/>
    </row>
    <row r="127" spans="1:66" ht="15">
      <c r="A127" s="363">
        <v>16</v>
      </c>
      <c r="B127" s="353"/>
      <c r="C127" s="356" t="s">
        <v>145</v>
      </c>
      <c r="D127" s="362"/>
      <c r="E127" s="401">
        <v>0</v>
      </c>
      <c r="F127" s="362"/>
      <c r="G127" s="404"/>
      <c r="H127" s="626" t="str">
        <f>+H59</f>
        <v xml:space="preserve"> </v>
      </c>
      <c r="I127" s="362"/>
      <c r="J127" s="403">
        <v>0</v>
      </c>
      <c r="K127" s="403"/>
      <c r="L127" s="767"/>
      <c r="M127" s="403"/>
      <c r="N127" s="403"/>
      <c r="O127" s="417">
        <v>0</v>
      </c>
      <c r="P127" s="384"/>
      <c r="Q127" s="424"/>
      <c r="R127" s="388"/>
      <c r="S127" s="383"/>
      <c r="T127" s="360"/>
      <c r="U127" s="360"/>
      <c r="V127" s="360"/>
      <c r="W127" s="360"/>
      <c r="X127" s="360"/>
      <c r="Y127" s="360"/>
      <c r="Z127" s="360"/>
      <c r="AA127" s="360"/>
      <c r="AB127" s="360"/>
      <c r="AC127" s="360"/>
      <c r="AD127" s="360"/>
      <c r="AE127" s="360"/>
      <c r="AF127" s="360"/>
      <c r="AG127" s="360"/>
      <c r="AH127" s="360"/>
      <c r="AI127" s="360"/>
      <c r="AJ127" s="360"/>
      <c r="AK127" s="360"/>
      <c r="AL127" s="360"/>
      <c r="AM127" s="360"/>
      <c r="AN127" s="360"/>
      <c r="AO127" s="360"/>
      <c r="AP127" s="360"/>
      <c r="AQ127" s="360"/>
      <c r="AR127" s="360"/>
      <c r="AS127" s="360"/>
      <c r="AT127" s="360"/>
      <c r="AU127" s="360"/>
      <c r="AV127" s="360"/>
      <c r="AW127" s="360"/>
      <c r="AX127" s="360"/>
      <c r="AY127" s="360"/>
      <c r="AZ127" s="360"/>
      <c r="BA127" s="360"/>
      <c r="BB127" s="360"/>
      <c r="BC127" s="360"/>
      <c r="BD127" s="360"/>
      <c r="BE127" s="360"/>
      <c r="BF127" s="360"/>
      <c r="BG127" s="360"/>
      <c r="BH127" s="360"/>
      <c r="BI127" s="360"/>
      <c r="BJ127" s="360"/>
      <c r="BK127" s="360"/>
      <c r="BL127" s="360"/>
      <c r="BM127" s="360"/>
      <c r="BN127" s="360"/>
    </row>
    <row r="128" spans="1:66" ht="15">
      <c r="A128" s="363">
        <v>17</v>
      </c>
      <c r="B128" s="353"/>
      <c r="C128" s="440" t="s">
        <v>36</v>
      </c>
      <c r="D128" s="362"/>
      <c r="E128" s="405">
        <v>0</v>
      </c>
      <c r="F128" s="404"/>
      <c r="G128" s="404" t="s">
        <v>711</v>
      </c>
      <c r="H128" s="627">
        <f>+H62</f>
        <v>0.23615929596916019</v>
      </c>
      <c r="I128" s="404"/>
      <c r="J128" s="405">
        <f>E128*(J62/E62)</f>
        <v>0</v>
      </c>
      <c r="K128" s="405"/>
      <c r="L128" s="766" t="s">
        <v>548</v>
      </c>
      <c r="M128" s="627">
        <f>+M62</f>
        <v>7.3836713465058879E-2</v>
      </c>
      <c r="N128" s="405"/>
      <c r="O128" s="668">
        <f>E128*H128</f>
        <v>0</v>
      </c>
      <c r="P128" s="384"/>
      <c r="Q128" s="424"/>
      <c r="R128" s="388"/>
      <c r="S128" s="383"/>
      <c r="T128" s="360"/>
      <c r="U128" s="360"/>
      <c r="V128" s="360"/>
      <c r="W128" s="360"/>
      <c r="X128" s="360"/>
      <c r="Y128" s="360"/>
      <c r="Z128" s="360"/>
      <c r="AA128" s="360"/>
      <c r="AB128" s="360"/>
      <c r="AC128" s="360"/>
      <c r="AD128" s="360"/>
      <c r="AE128" s="360"/>
      <c r="AF128" s="360"/>
      <c r="AG128" s="360"/>
      <c r="AH128" s="360"/>
      <c r="AI128" s="360"/>
      <c r="AJ128" s="360"/>
      <c r="AK128" s="360"/>
      <c r="AL128" s="360"/>
      <c r="AM128" s="360"/>
      <c r="AN128" s="360"/>
      <c r="AO128" s="360"/>
      <c r="AP128" s="360"/>
      <c r="AQ128" s="360"/>
      <c r="AR128" s="360"/>
      <c r="AS128" s="360"/>
      <c r="AT128" s="360"/>
      <c r="AU128" s="360"/>
      <c r="AV128" s="360"/>
      <c r="AW128" s="360"/>
      <c r="AX128" s="360"/>
      <c r="AY128" s="360"/>
      <c r="AZ128" s="360"/>
      <c r="BA128" s="360"/>
      <c r="BB128" s="360"/>
      <c r="BC128" s="360"/>
      <c r="BD128" s="360"/>
      <c r="BE128" s="360"/>
      <c r="BF128" s="360"/>
      <c r="BG128" s="360"/>
      <c r="BH128" s="360"/>
      <c r="BI128" s="360"/>
      <c r="BJ128" s="360"/>
      <c r="BK128" s="360"/>
      <c r="BL128" s="360"/>
      <c r="BM128" s="360"/>
      <c r="BN128" s="360"/>
    </row>
    <row r="129" spans="1:66" ht="15">
      <c r="A129" s="363">
        <v>18</v>
      </c>
      <c r="B129" s="353"/>
      <c r="C129" s="440" t="s">
        <v>38</v>
      </c>
      <c r="D129" s="362"/>
      <c r="E129" s="405">
        <v>0</v>
      </c>
      <c r="F129" s="404"/>
      <c r="G129" s="404" t="s">
        <v>1022</v>
      </c>
      <c r="H129" s="626" t="str">
        <f>+H127</f>
        <v xml:space="preserve"> </v>
      </c>
      <c r="I129" s="404"/>
      <c r="J129" s="405">
        <f>E129</f>
        <v>0</v>
      </c>
      <c r="K129" s="405"/>
      <c r="L129" s="405"/>
      <c r="M129" s="405"/>
      <c r="N129" s="405"/>
      <c r="O129" s="668">
        <v>0</v>
      </c>
      <c r="P129" s="384"/>
      <c r="Q129" s="424"/>
      <c r="R129" s="388"/>
      <c r="S129" s="383"/>
      <c r="T129" s="360"/>
      <c r="U129" s="360"/>
      <c r="V129" s="360"/>
      <c r="W129" s="360"/>
      <c r="X129" s="360"/>
      <c r="Y129" s="360"/>
      <c r="Z129" s="360"/>
      <c r="AA129" s="360"/>
      <c r="AB129" s="360"/>
      <c r="AC129" s="360"/>
      <c r="AD129" s="360"/>
      <c r="AE129" s="360"/>
      <c r="AF129" s="360"/>
      <c r="AG129" s="360"/>
      <c r="AH129" s="360"/>
      <c r="AI129" s="360"/>
      <c r="AJ129" s="360"/>
      <c r="AK129" s="360"/>
      <c r="AL129" s="360"/>
      <c r="AM129" s="360"/>
      <c r="AN129" s="360"/>
      <c r="AO129" s="360"/>
      <c r="AP129" s="360"/>
      <c r="AQ129" s="360"/>
      <c r="AR129" s="360"/>
      <c r="AS129" s="360"/>
      <c r="AT129" s="360"/>
      <c r="AU129" s="360"/>
      <c r="AV129" s="360"/>
      <c r="AW129" s="360"/>
      <c r="AX129" s="360"/>
      <c r="AY129" s="360"/>
      <c r="AZ129" s="360"/>
      <c r="BA129" s="360"/>
      <c r="BB129" s="360"/>
      <c r="BC129" s="360"/>
      <c r="BD129" s="360"/>
      <c r="BE129" s="360"/>
      <c r="BF129" s="360"/>
      <c r="BG129" s="360"/>
      <c r="BH129" s="360"/>
      <c r="BI129" s="360"/>
      <c r="BJ129" s="360"/>
      <c r="BK129" s="360"/>
      <c r="BL129" s="360"/>
      <c r="BM129" s="360"/>
      <c r="BN129" s="360"/>
    </row>
    <row r="130" spans="1:66" ht="15.75" thickBot="1">
      <c r="A130" s="363">
        <v>19</v>
      </c>
      <c r="B130" s="353"/>
      <c r="C130" s="440" t="s">
        <v>39</v>
      </c>
      <c r="D130" s="362"/>
      <c r="E130" s="408">
        <v>0</v>
      </c>
      <c r="F130" s="362"/>
      <c r="G130" s="404" t="s">
        <v>685</v>
      </c>
      <c r="H130" s="626" t="str">
        <f>+H129</f>
        <v xml:space="preserve"> </v>
      </c>
      <c r="I130" s="362"/>
      <c r="J130" s="409">
        <v>0</v>
      </c>
      <c r="K130" s="420"/>
      <c r="L130" s="420"/>
      <c r="M130" s="420"/>
      <c r="N130" s="403"/>
      <c r="O130" s="438">
        <v>0</v>
      </c>
      <c r="P130" s="384"/>
      <c r="Q130" s="424"/>
      <c r="R130" s="388"/>
      <c r="S130" s="383"/>
      <c r="T130" s="360"/>
      <c r="U130" s="360"/>
      <c r="V130" s="360"/>
      <c r="W130" s="360"/>
      <c r="X130" s="360"/>
      <c r="Y130" s="360"/>
      <c r="Z130" s="360"/>
      <c r="AA130" s="360"/>
      <c r="AB130" s="360"/>
      <c r="AC130" s="360"/>
      <c r="AD130" s="360"/>
      <c r="AE130" s="360"/>
      <c r="AF130" s="360"/>
      <c r="AG130" s="360"/>
      <c r="AH130" s="360"/>
      <c r="AI130" s="360"/>
      <c r="AJ130" s="360"/>
      <c r="AK130" s="360"/>
      <c r="AL130" s="360"/>
      <c r="AM130" s="360"/>
      <c r="AN130" s="360"/>
      <c r="AO130" s="360"/>
      <c r="AP130" s="360"/>
      <c r="AQ130" s="360"/>
      <c r="AR130" s="360"/>
      <c r="AS130" s="360"/>
      <c r="AT130" s="360"/>
      <c r="AU130" s="360"/>
      <c r="AV130" s="360"/>
      <c r="AW130" s="360"/>
      <c r="AX130" s="360"/>
      <c r="AY130" s="360"/>
      <c r="AZ130" s="360"/>
      <c r="BA130" s="360"/>
      <c r="BB130" s="360"/>
      <c r="BC130" s="360"/>
      <c r="BD130" s="360"/>
      <c r="BE130" s="360"/>
      <c r="BF130" s="360"/>
      <c r="BG130" s="360"/>
      <c r="BH130" s="360"/>
      <c r="BI130" s="360"/>
      <c r="BJ130" s="360"/>
      <c r="BK130" s="360"/>
      <c r="BL130" s="360"/>
      <c r="BM130" s="360"/>
      <c r="BN130" s="360"/>
    </row>
    <row r="131" spans="1:66" ht="15">
      <c r="A131" s="363">
        <v>20</v>
      </c>
      <c r="B131" s="353"/>
      <c r="C131" s="356" t="s">
        <v>724</v>
      </c>
      <c r="D131" s="362"/>
      <c r="E131" s="422">
        <f>SUM(E124:E130)</f>
        <v>0</v>
      </c>
      <c r="F131" s="362"/>
      <c r="G131" s="404"/>
      <c r="H131" s="626"/>
      <c r="I131" s="362"/>
      <c r="J131" s="422">
        <f>SUM(J124:J130)</f>
        <v>0</v>
      </c>
      <c r="K131" s="422"/>
      <c r="L131" s="422"/>
      <c r="M131" s="422"/>
      <c r="N131" s="422"/>
      <c r="O131" s="422">
        <f>SUM(O124:O130)</f>
        <v>0</v>
      </c>
      <c r="P131" s="384"/>
      <c r="Q131" s="411"/>
      <c r="R131" s="385"/>
      <c r="S131" s="383"/>
      <c r="T131" s="360"/>
      <c r="U131" s="360"/>
      <c r="V131" s="360"/>
      <c r="W131" s="360"/>
      <c r="X131" s="360"/>
      <c r="Y131" s="360"/>
      <c r="Z131" s="360"/>
      <c r="AA131" s="360"/>
      <c r="AB131" s="360"/>
      <c r="AC131" s="360"/>
      <c r="AD131" s="360"/>
      <c r="AE131" s="360"/>
      <c r="AF131" s="360"/>
      <c r="AG131" s="360"/>
      <c r="AH131" s="360"/>
      <c r="AI131" s="360"/>
      <c r="AJ131" s="360"/>
      <c r="AK131" s="360"/>
      <c r="AL131" s="360"/>
      <c r="AM131" s="360"/>
      <c r="AN131" s="360"/>
      <c r="AO131" s="360"/>
      <c r="AP131" s="360"/>
      <c r="AQ131" s="360"/>
      <c r="AR131" s="360"/>
      <c r="AS131" s="360"/>
      <c r="AT131" s="360"/>
      <c r="AU131" s="360"/>
      <c r="AV131" s="360"/>
      <c r="AW131" s="360"/>
      <c r="AX131" s="360"/>
      <c r="AY131" s="360"/>
      <c r="AZ131" s="360"/>
      <c r="BA131" s="360"/>
      <c r="BB131" s="360"/>
      <c r="BC131" s="360"/>
      <c r="BD131" s="360"/>
      <c r="BE131" s="360"/>
      <c r="BF131" s="360"/>
      <c r="BG131" s="360"/>
      <c r="BH131" s="360"/>
      <c r="BI131" s="360"/>
      <c r="BJ131" s="360"/>
      <c r="BK131" s="360"/>
      <c r="BL131" s="360"/>
      <c r="BM131" s="360"/>
      <c r="BN131" s="360"/>
    </row>
    <row r="132" spans="1:66" ht="15">
      <c r="A132" s="363"/>
      <c r="B132" s="353"/>
      <c r="C132" s="356"/>
      <c r="D132" s="362"/>
      <c r="E132" s="403"/>
      <c r="F132" s="362"/>
      <c r="G132" s="404"/>
      <c r="H132" s="626"/>
      <c r="I132" s="362"/>
      <c r="J132" s="362"/>
      <c r="K132" s="362"/>
      <c r="L132" s="362"/>
      <c r="M132" s="362"/>
      <c r="N132" s="362"/>
      <c r="O132" s="362"/>
      <c r="P132" s="384"/>
      <c r="Q132" s="411"/>
      <c r="R132" s="385"/>
      <c r="S132" s="383"/>
      <c r="T132" s="360"/>
      <c r="U132" s="360"/>
      <c r="V132" s="360"/>
      <c r="W132" s="360"/>
      <c r="X132" s="360"/>
      <c r="Y132" s="360"/>
      <c r="Z132" s="360"/>
      <c r="AA132" s="360"/>
      <c r="AB132" s="360"/>
      <c r="AC132" s="360"/>
      <c r="AD132" s="360"/>
      <c r="AE132" s="360"/>
      <c r="AF132" s="360"/>
      <c r="AG132" s="360"/>
      <c r="AH132" s="360"/>
      <c r="AI132" s="360"/>
      <c r="AJ132" s="360"/>
      <c r="AK132" s="360"/>
      <c r="AL132" s="360"/>
      <c r="AM132" s="360"/>
      <c r="AN132" s="360"/>
      <c r="AO132" s="360"/>
      <c r="AP132" s="360"/>
      <c r="AQ132" s="360"/>
      <c r="AR132" s="360"/>
      <c r="AS132" s="360"/>
      <c r="AT132" s="360"/>
      <c r="AU132" s="360"/>
      <c r="AV132" s="360"/>
      <c r="AW132" s="360"/>
      <c r="AX132" s="360"/>
      <c r="AY132" s="360"/>
      <c r="AZ132" s="360"/>
      <c r="BA132" s="360"/>
      <c r="BB132" s="360"/>
      <c r="BC132" s="360"/>
      <c r="BD132" s="360"/>
      <c r="BE132" s="360"/>
      <c r="BF132" s="360"/>
      <c r="BG132" s="360"/>
      <c r="BH132" s="360"/>
      <c r="BI132" s="360"/>
      <c r="BJ132" s="360"/>
      <c r="BK132" s="360"/>
      <c r="BL132" s="360"/>
      <c r="BM132" s="360"/>
      <c r="BN132" s="360"/>
    </row>
    <row r="133" spans="1:66" ht="15">
      <c r="A133" s="363">
        <v>21</v>
      </c>
      <c r="B133" s="356" t="s">
        <v>523</v>
      </c>
      <c r="D133" s="406"/>
      <c r="E133" s="441">
        <f>ROUND(E92*H133,0)</f>
        <v>8220327</v>
      </c>
      <c r="F133" s="362"/>
      <c r="G133" s="404"/>
      <c r="H133" s="675">
        <f>J187</f>
        <v>8.4709400107301117E-2</v>
      </c>
      <c r="I133" s="362"/>
      <c r="J133" s="415">
        <f>ROUND(J92*H133,0)</f>
        <v>1544791</v>
      </c>
      <c r="K133" s="415"/>
      <c r="L133" s="415"/>
      <c r="M133" s="666">
        <f>+H133</f>
        <v>8.4709400107301117E-2</v>
      </c>
      <c r="N133" s="403"/>
      <c r="O133" s="415">
        <f>ROUND(O92*H133,0)</f>
        <v>559148</v>
      </c>
      <c r="P133" s="384"/>
      <c r="Q133" s="385"/>
      <c r="R133" s="388"/>
      <c r="S133" s="385" t="s">
        <v>665</v>
      </c>
      <c r="T133" s="360"/>
      <c r="U133" s="360"/>
      <c r="V133" s="360"/>
      <c r="W133" s="360"/>
      <c r="X133" s="360"/>
      <c r="Y133" s="360"/>
      <c r="Z133" s="360"/>
      <c r="AA133" s="360"/>
      <c r="AB133" s="360"/>
      <c r="AC133" s="360"/>
      <c r="AD133" s="360"/>
      <c r="AE133" s="360"/>
      <c r="AF133" s="360"/>
      <c r="AG133" s="360"/>
      <c r="AH133" s="360"/>
      <c r="AI133" s="360"/>
      <c r="AJ133" s="360"/>
      <c r="AK133" s="360"/>
      <c r="AL133" s="360"/>
      <c r="AM133" s="360"/>
      <c r="AN133" s="360"/>
      <c r="AO133" s="360"/>
      <c r="AP133" s="360"/>
      <c r="AQ133" s="360"/>
      <c r="AR133" s="360"/>
      <c r="AS133" s="360"/>
      <c r="AT133" s="360"/>
      <c r="AU133" s="360"/>
      <c r="AV133" s="360"/>
      <c r="AW133" s="360"/>
      <c r="AX133" s="360"/>
      <c r="AY133" s="360"/>
      <c r="AZ133" s="360"/>
      <c r="BA133" s="360"/>
      <c r="BB133" s="360"/>
      <c r="BC133" s="360"/>
      <c r="BD133" s="360"/>
      <c r="BE133" s="360"/>
      <c r="BF133" s="360"/>
      <c r="BG133" s="360"/>
      <c r="BH133" s="360"/>
      <c r="BI133" s="360"/>
      <c r="BJ133" s="360"/>
      <c r="BK133" s="360"/>
      <c r="BL133" s="360"/>
      <c r="BM133" s="360"/>
      <c r="BN133" s="360"/>
    </row>
    <row r="134" spans="1:66" ht="15">
      <c r="A134" s="363"/>
      <c r="B134" s="353"/>
      <c r="C134" s="738" t="s">
        <v>524</v>
      </c>
      <c r="D134" s="374"/>
      <c r="E134" s="362"/>
      <c r="F134" s="362"/>
      <c r="G134" s="404"/>
      <c r="H134" s="628"/>
      <c r="I134" s="362"/>
      <c r="J134" s="403"/>
      <c r="K134" s="403"/>
      <c r="L134" s="403"/>
      <c r="M134" s="403"/>
      <c r="N134" s="403"/>
      <c r="O134" s="417"/>
      <c r="P134" s="384"/>
      <c r="Q134" s="385"/>
      <c r="R134" s="388"/>
      <c r="S134" s="385"/>
      <c r="T134" s="360"/>
      <c r="U134" s="360"/>
      <c r="V134" s="360"/>
      <c r="W134" s="360"/>
      <c r="X134" s="360"/>
      <c r="Y134" s="360"/>
      <c r="Z134" s="360"/>
      <c r="AA134" s="360"/>
      <c r="AB134" s="360"/>
      <c r="AC134" s="360"/>
      <c r="AD134" s="360"/>
      <c r="AE134" s="360"/>
      <c r="AF134" s="360"/>
      <c r="AG134" s="360"/>
      <c r="AH134" s="360"/>
      <c r="AI134" s="360"/>
      <c r="AJ134" s="360"/>
      <c r="AK134" s="360"/>
      <c r="AL134" s="360"/>
      <c r="AM134" s="360"/>
      <c r="AN134" s="360"/>
      <c r="AO134" s="360"/>
      <c r="AP134" s="360"/>
      <c r="AQ134" s="360"/>
      <c r="AR134" s="360"/>
      <c r="AS134" s="360"/>
      <c r="AT134" s="360"/>
      <c r="AU134" s="360"/>
      <c r="AV134" s="360"/>
      <c r="AW134" s="360"/>
      <c r="AX134" s="360"/>
      <c r="AY134" s="360"/>
      <c r="AZ134" s="360"/>
      <c r="BA134" s="360"/>
      <c r="BB134" s="360"/>
      <c r="BC134" s="360"/>
      <c r="BD134" s="360"/>
      <c r="BE134" s="360"/>
      <c r="BF134" s="360"/>
      <c r="BG134" s="360"/>
      <c r="BH134" s="360"/>
      <c r="BI134" s="360"/>
      <c r="BJ134" s="360"/>
      <c r="BK134" s="360"/>
      <c r="BL134" s="360"/>
      <c r="BM134" s="360"/>
      <c r="BN134" s="360"/>
    </row>
    <row r="135" spans="1:66" ht="15.75" thickBot="1">
      <c r="A135" s="363"/>
      <c r="B135" s="353"/>
      <c r="C135" s="356"/>
      <c r="D135" s="425"/>
      <c r="E135" s="429"/>
      <c r="F135" s="362"/>
      <c r="G135" s="404"/>
      <c r="H135" s="628"/>
      <c r="I135" s="362"/>
      <c r="J135" s="429"/>
      <c r="K135" s="608"/>
      <c r="L135" s="608"/>
      <c r="M135" s="608"/>
      <c r="N135" s="362"/>
      <c r="O135" s="443"/>
      <c r="P135" s="384"/>
      <c r="Q135" s="385"/>
      <c r="R135" s="388"/>
      <c r="S135" s="385"/>
      <c r="T135" s="360"/>
      <c r="U135" s="360"/>
      <c r="V135" s="360"/>
      <c r="W135" s="360"/>
      <c r="X135" s="360"/>
      <c r="Y135" s="360"/>
      <c r="Z135" s="360"/>
      <c r="AA135" s="360"/>
      <c r="AB135" s="360"/>
      <c r="AC135" s="360"/>
      <c r="AD135" s="360"/>
      <c r="AE135" s="360"/>
      <c r="AF135" s="360"/>
      <c r="AG135" s="360"/>
      <c r="AH135" s="360"/>
      <c r="AI135" s="360"/>
      <c r="AJ135" s="360"/>
      <c r="AK135" s="360"/>
      <c r="AL135" s="360"/>
      <c r="AM135" s="360"/>
      <c r="AN135" s="360"/>
      <c r="AO135" s="360"/>
      <c r="AP135" s="360"/>
      <c r="AQ135" s="360"/>
      <c r="AR135" s="360"/>
      <c r="AS135" s="360"/>
      <c r="AT135" s="360"/>
      <c r="AU135" s="360"/>
      <c r="AV135" s="360"/>
      <c r="AW135" s="360"/>
      <c r="AX135" s="360"/>
      <c r="AY135" s="360"/>
      <c r="AZ135" s="360"/>
      <c r="BA135" s="360"/>
      <c r="BB135" s="360"/>
      <c r="BC135" s="360"/>
      <c r="BD135" s="360"/>
      <c r="BE135" s="360"/>
      <c r="BF135" s="360"/>
      <c r="BG135" s="360"/>
      <c r="BH135" s="360"/>
      <c r="BI135" s="360"/>
      <c r="BJ135" s="360"/>
      <c r="BK135" s="360"/>
      <c r="BL135" s="360"/>
      <c r="BM135" s="360"/>
      <c r="BN135" s="360"/>
    </row>
    <row r="136" spans="1:66" ht="15.75" thickBot="1">
      <c r="A136" s="363">
        <v>22</v>
      </c>
      <c r="B136" s="356" t="s">
        <v>658</v>
      </c>
      <c r="D136" s="362"/>
      <c r="E136" s="444">
        <f>+E114+E120+E133</f>
        <v>22681241.622222222</v>
      </c>
      <c r="F136" s="362"/>
      <c r="G136" s="362"/>
      <c r="H136" s="362"/>
      <c r="I136" s="362"/>
      <c r="J136" s="444">
        <f>+J114+J120+J133</f>
        <v>3512324.4872408118</v>
      </c>
      <c r="K136" s="444"/>
      <c r="L136" s="444"/>
      <c r="M136" s="444"/>
      <c r="N136" s="444"/>
      <c r="O136" s="444">
        <f>+O114+O120+O133</f>
        <v>1297602.0185064427</v>
      </c>
      <c r="P136" s="358"/>
      <c r="Q136" s="359"/>
      <c r="R136" s="359"/>
      <c r="S136" s="383"/>
      <c r="T136" s="360"/>
      <c r="U136" s="360"/>
      <c r="V136" s="360"/>
      <c r="W136" s="360"/>
      <c r="X136" s="360"/>
      <c r="Y136" s="360"/>
      <c r="Z136" s="360"/>
      <c r="AA136" s="360"/>
      <c r="AB136" s="360"/>
      <c r="AC136" s="360"/>
      <c r="AD136" s="360"/>
      <c r="AE136" s="360"/>
      <c r="AF136" s="360"/>
      <c r="AG136" s="360"/>
      <c r="AH136" s="360"/>
      <c r="AI136" s="360"/>
      <c r="AJ136" s="360"/>
      <c r="AK136" s="360"/>
      <c r="AL136" s="360"/>
      <c r="AM136" s="360"/>
      <c r="AN136" s="360"/>
      <c r="AO136" s="360"/>
      <c r="AP136" s="360"/>
      <c r="AQ136" s="360"/>
      <c r="AR136" s="360"/>
      <c r="AS136" s="360"/>
      <c r="AT136" s="360"/>
      <c r="AU136" s="360"/>
      <c r="AV136" s="360"/>
      <c r="AW136" s="360"/>
      <c r="AX136" s="360"/>
      <c r="AY136" s="360"/>
      <c r="AZ136" s="360"/>
      <c r="BA136" s="360"/>
      <c r="BB136" s="360"/>
      <c r="BC136" s="360"/>
      <c r="BD136" s="360"/>
      <c r="BE136" s="360"/>
      <c r="BF136" s="360"/>
      <c r="BG136" s="360"/>
      <c r="BH136" s="360"/>
      <c r="BI136" s="360"/>
      <c r="BJ136" s="360"/>
      <c r="BK136" s="360"/>
      <c r="BL136" s="360"/>
      <c r="BM136" s="360"/>
      <c r="BN136" s="360"/>
    </row>
    <row r="137" spans="1:66" ht="15.75" thickTop="1">
      <c r="A137" s="363"/>
      <c r="B137" s="353"/>
      <c r="C137" s="425"/>
      <c r="D137" s="425"/>
      <c r="E137" s="425"/>
      <c r="F137" s="425"/>
      <c r="G137" s="425"/>
      <c r="H137" s="425"/>
      <c r="I137" s="425"/>
      <c r="J137" s="425"/>
      <c r="K137" s="425"/>
      <c r="L137" s="425"/>
      <c r="M137" s="425"/>
      <c r="N137" s="362"/>
      <c r="O137" s="362"/>
      <c r="P137" s="384"/>
      <c r="Q137" s="385"/>
      <c r="R137" s="388"/>
      <c r="S137" s="385" t="s">
        <v>665</v>
      </c>
      <c r="T137" s="360"/>
      <c r="U137" s="360"/>
      <c r="V137" s="360"/>
      <c r="W137" s="360"/>
      <c r="X137" s="360"/>
      <c r="Y137" s="360"/>
      <c r="Z137" s="360"/>
      <c r="AA137" s="360"/>
      <c r="AB137" s="360"/>
      <c r="AC137" s="360"/>
      <c r="AD137" s="360"/>
      <c r="AE137" s="360"/>
      <c r="AF137" s="360"/>
      <c r="AG137" s="360"/>
      <c r="AH137" s="360"/>
      <c r="AI137" s="360"/>
      <c r="AJ137" s="360"/>
      <c r="AK137" s="360"/>
      <c r="AL137" s="360"/>
      <c r="AM137" s="360"/>
      <c r="AN137" s="360"/>
      <c r="AO137" s="360"/>
      <c r="AP137" s="360"/>
      <c r="AQ137" s="360"/>
      <c r="AR137" s="360"/>
      <c r="AS137" s="360"/>
      <c r="AT137" s="360"/>
      <c r="AU137" s="360"/>
      <c r="AV137" s="360"/>
      <c r="AW137" s="360"/>
      <c r="AX137" s="360"/>
      <c r="AY137" s="360"/>
      <c r="AZ137" s="360"/>
      <c r="BA137" s="360"/>
      <c r="BB137" s="360"/>
      <c r="BC137" s="360"/>
      <c r="BD137" s="360"/>
      <c r="BE137" s="360"/>
      <c r="BF137" s="360"/>
      <c r="BG137" s="360"/>
      <c r="BH137" s="360"/>
      <c r="BI137" s="360"/>
      <c r="BJ137" s="360"/>
      <c r="BK137" s="360"/>
      <c r="BL137" s="360"/>
      <c r="BM137" s="360"/>
      <c r="BN137" s="360"/>
    </row>
    <row r="138" spans="1:66" ht="15">
      <c r="A138" s="363"/>
      <c r="B138" s="353"/>
      <c r="C138" s="425"/>
      <c r="D138" s="425"/>
      <c r="E138" s="425"/>
      <c r="F138" s="425"/>
      <c r="G138" s="425"/>
      <c r="H138" s="425"/>
      <c r="I138" s="425"/>
      <c r="J138" s="425"/>
      <c r="K138" s="425"/>
      <c r="L138" s="425"/>
      <c r="M138" s="425"/>
      <c r="N138" s="362"/>
      <c r="O138" s="362" t="s">
        <v>665</v>
      </c>
      <c r="P138" s="384"/>
      <c r="Q138" s="385"/>
      <c r="R138" s="388"/>
      <c r="S138" s="385" t="s">
        <v>665</v>
      </c>
      <c r="T138" s="360"/>
      <c r="U138" s="360"/>
      <c r="V138" s="360"/>
      <c r="W138" s="360"/>
      <c r="X138" s="360"/>
      <c r="Y138" s="360"/>
      <c r="Z138" s="360"/>
      <c r="AA138" s="360"/>
      <c r="AB138" s="360"/>
      <c r="AC138" s="360"/>
      <c r="AD138" s="360"/>
      <c r="AE138" s="360"/>
      <c r="AF138" s="360"/>
      <c r="AG138" s="360"/>
      <c r="AH138" s="360"/>
      <c r="AI138" s="360"/>
      <c r="AJ138" s="360"/>
      <c r="AK138" s="360"/>
      <c r="AL138" s="360"/>
      <c r="AM138" s="360"/>
      <c r="AN138" s="360"/>
      <c r="AO138" s="360"/>
      <c r="AP138" s="360"/>
      <c r="AQ138" s="360"/>
      <c r="AR138" s="360"/>
      <c r="AS138" s="360"/>
      <c r="AT138" s="360"/>
      <c r="AU138" s="360"/>
      <c r="AV138" s="360"/>
      <c r="AW138" s="360"/>
      <c r="AX138" s="360"/>
      <c r="AY138" s="360"/>
      <c r="AZ138" s="360"/>
      <c r="BA138" s="360"/>
      <c r="BB138" s="360"/>
      <c r="BC138" s="360"/>
      <c r="BD138" s="360"/>
      <c r="BE138" s="360"/>
      <c r="BF138" s="360"/>
      <c r="BG138" s="360"/>
      <c r="BH138" s="360"/>
      <c r="BI138" s="360"/>
      <c r="BJ138" s="360"/>
      <c r="BK138" s="360"/>
      <c r="BL138" s="360"/>
      <c r="BM138" s="360"/>
      <c r="BN138" s="360"/>
    </row>
    <row r="139" spans="1:66" ht="15">
      <c r="A139" s="363"/>
      <c r="B139" s="353"/>
      <c r="C139" s="425" t="str">
        <f>C3</f>
        <v>For the 12 months ended 12/31/02</v>
      </c>
      <c r="D139" s="1189" t="str">
        <f>D3</f>
        <v>Cost of Service</v>
      </c>
      <c r="E139" s="1189"/>
      <c r="F139" s="1189"/>
      <c r="G139" s="1189"/>
      <c r="H139" s="425"/>
      <c r="I139" s="425"/>
      <c r="N139" s="362"/>
      <c r="O139" s="352" t="str">
        <f>+O95</f>
        <v>Powder River Energy Corporation</v>
      </c>
      <c r="P139" s="384"/>
      <c r="Q139" s="385"/>
      <c r="R139" s="385"/>
      <c r="S139" s="383"/>
      <c r="T139" s="360"/>
      <c r="U139" s="360"/>
      <c r="V139" s="360"/>
      <c r="W139" s="360"/>
      <c r="X139" s="360"/>
      <c r="Y139" s="360"/>
      <c r="Z139" s="360"/>
      <c r="AA139" s="360"/>
      <c r="AB139" s="360"/>
      <c r="AC139" s="360"/>
      <c r="AD139" s="360"/>
      <c r="AE139" s="360"/>
      <c r="AF139" s="360"/>
      <c r="AG139" s="360"/>
      <c r="AH139" s="360"/>
      <c r="AI139" s="360"/>
      <c r="AJ139" s="360"/>
      <c r="AK139" s="360"/>
      <c r="AL139" s="360"/>
      <c r="AM139" s="360"/>
      <c r="AN139" s="360"/>
      <c r="AO139" s="360"/>
      <c r="AP139" s="360"/>
      <c r="AQ139" s="360"/>
      <c r="AR139" s="360"/>
      <c r="AS139" s="360"/>
      <c r="AT139" s="360"/>
      <c r="AU139" s="360"/>
      <c r="AV139" s="360"/>
      <c r="AW139" s="360"/>
      <c r="AX139" s="360"/>
      <c r="AY139" s="360"/>
      <c r="AZ139" s="360"/>
      <c r="BA139" s="360"/>
      <c r="BB139" s="360"/>
      <c r="BC139" s="360"/>
      <c r="BD139" s="360"/>
      <c r="BE139" s="360"/>
      <c r="BF139" s="360"/>
      <c r="BG139" s="360"/>
      <c r="BH139" s="360"/>
      <c r="BI139" s="360"/>
      <c r="BJ139" s="360"/>
      <c r="BK139" s="360"/>
      <c r="BL139" s="360"/>
      <c r="BM139" s="360"/>
      <c r="BN139" s="360"/>
    </row>
    <row r="140" spans="1:66" ht="15">
      <c r="A140" s="363"/>
      <c r="B140" s="353"/>
      <c r="C140" s="356"/>
      <c r="D140" s="1190" t="str">
        <f>+D4</f>
        <v xml:space="preserve"> Utilizing RUS Form 7 Data</v>
      </c>
      <c r="E140" s="1189"/>
      <c r="F140" s="1189"/>
      <c r="G140" s="1189"/>
      <c r="H140" s="425"/>
      <c r="I140" s="425"/>
      <c r="J140" s="425"/>
      <c r="K140" s="425"/>
      <c r="L140" s="425"/>
      <c r="M140" s="425"/>
      <c r="N140" s="362"/>
      <c r="O140" s="357"/>
      <c r="P140" s="384"/>
      <c r="Q140" s="385"/>
      <c r="R140" s="385"/>
      <c r="S140" s="383"/>
      <c r="T140" s="360"/>
      <c r="U140" s="360"/>
      <c r="V140" s="360"/>
      <c r="W140" s="360"/>
      <c r="X140" s="360"/>
      <c r="Y140" s="360"/>
      <c r="Z140" s="360"/>
      <c r="AA140" s="360"/>
      <c r="AB140" s="360"/>
      <c r="AC140" s="360"/>
      <c r="AD140" s="360"/>
      <c r="AE140" s="360"/>
      <c r="AF140" s="360"/>
      <c r="AG140" s="360"/>
      <c r="AH140" s="360"/>
      <c r="AI140" s="360"/>
      <c r="AJ140" s="360"/>
      <c r="AK140" s="360"/>
      <c r="AL140" s="360"/>
      <c r="AM140" s="360"/>
      <c r="AN140" s="360"/>
      <c r="AO140" s="360"/>
      <c r="AP140" s="360"/>
      <c r="AQ140" s="360"/>
      <c r="AR140" s="360"/>
      <c r="AS140" s="360"/>
      <c r="AT140" s="360"/>
      <c r="AU140" s="360"/>
      <c r="AV140" s="360"/>
      <c r="AW140" s="360"/>
      <c r="AX140" s="360"/>
      <c r="AY140" s="360"/>
      <c r="AZ140" s="360"/>
      <c r="BA140" s="360"/>
      <c r="BB140" s="360"/>
      <c r="BC140" s="360"/>
      <c r="BD140" s="360"/>
      <c r="BE140" s="360"/>
      <c r="BF140" s="360"/>
      <c r="BG140" s="360"/>
      <c r="BH140" s="360"/>
      <c r="BI140" s="360"/>
      <c r="BJ140" s="360"/>
      <c r="BK140" s="360"/>
      <c r="BL140" s="360"/>
      <c r="BM140" s="360"/>
      <c r="BN140" s="360"/>
    </row>
    <row r="141" spans="1:66" ht="15">
      <c r="A141" s="363"/>
      <c r="B141" s="353"/>
      <c r="C141" s="425"/>
      <c r="D141" s="425"/>
      <c r="E141" s="445"/>
      <c r="F141" s="425"/>
      <c r="G141" s="425"/>
      <c r="H141" s="425"/>
      <c r="I141" s="425"/>
      <c r="J141" s="425"/>
      <c r="K141" s="425"/>
      <c r="L141" s="425"/>
      <c r="M141" s="425"/>
      <c r="N141" s="362"/>
      <c r="O141" s="362"/>
      <c r="P141" s="384"/>
      <c r="Q141" s="385"/>
      <c r="R141" s="385"/>
      <c r="S141" s="383"/>
      <c r="T141" s="360"/>
      <c r="U141" s="360"/>
      <c r="V141" s="360"/>
      <c r="W141" s="360"/>
      <c r="X141" s="360"/>
      <c r="Y141" s="360"/>
      <c r="Z141" s="360"/>
      <c r="AA141" s="360"/>
      <c r="AB141" s="360"/>
      <c r="AC141" s="360"/>
      <c r="AD141" s="360"/>
      <c r="AE141" s="360"/>
      <c r="AF141" s="360"/>
      <c r="AG141" s="360"/>
      <c r="AH141" s="360"/>
      <c r="AI141" s="360"/>
      <c r="AJ141" s="360"/>
      <c r="AK141" s="360"/>
      <c r="AL141" s="360"/>
      <c r="AM141" s="360"/>
      <c r="AN141" s="360"/>
      <c r="AO141" s="360"/>
      <c r="AP141" s="360"/>
      <c r="AQ141" s="360"/>
      <c r="AR141" s="360"/>
      <c r="AS141" s="360"/>
      <c r="AT141" s="360"/>
      <c r="AU141" s="360"/>
      <c r="AV141" s="360"/>
      <c r="AW141" s="360"/>
      <c r="AX141" s="360"/>
      <c r="AY141" s="360"/>
      <c r="AZ141" s="360"/>
      <c r="BA141" s="360"/>
      <c r="BB141" s="360"/>
      <c r="BC141" s="360"/>
      <c r="BD141" s="360"/>
      <c r="BE141" s="360"/>
      <c r="BF141" s="360"/>
      <c r="BG141" s="360"/>
      <c r="BH141" s="360"/>
      <c r="BI141" s="360"/>
      <c r="BJ141" s="360"/>
      <c r="BK141" s="360"/>
      <c r="BL141" s="360"/>
      <c r="BM141" s="360"/>
      <c r="BN141" s="360"/>
    </row>
    <row r="142" spans="1:66" ht="15">
      <c r="A142" s="363"/>
      <c r="B142" s="353"/>
      <c r="C142" s="353"/>
      <c r="D142" s="1191" t="str">
        <f>D6</f>
        <v>Powder River Energy Corporation</v>
      </c>
      <c r="E142" s="1191"/>
      <c r="F142" s="1191"/>
      <c r="G142" s="1191"/>
      <c r="H142" s="425"/>
      <c r="I142" s="425"/>
      <c r="J142" s="425"/>
      <c r="K142" s="425"/>
      <c r="L142" s="425"/>
      <c r="M142" s="425"/>
      <c r="N142" s="362"/>
      <c r="O142" s="362"/>
      <c r="P142" s="384"/>
      <c r="Q142" s="385"/>
      <c r="R142" s="385"/>
      <c r="S142" s="383"/>
      <c r="T142" s="360"/>
      <c r="U142" s="360"/>
      <c r="V142" s="360"/>
      <c r="W142" s="360"/>
      <c r="X142" s="360"/>
      <c r="Y142" s="360"/>
      <c r="Z142" s="360"/>
      <c r="AA142" s="360"/>
      <c r="AB142" s="360"/>
      <c r="AC142" s="360"/>
      <c r="AD142" s="360"/>
      <c r="AE142" s="360"/>
      <c r="AF142" s="360"/>
      <c r="AG142" s="360"/>
      <c r="AH142" s="360"/>
      <c r="AI142" s="360"/>
      <c r="AJ142" s="360"/>
      <c r="AK142" s="360"/>
      <c r="AL142" s="360"/>
      <c r="AM142" s="360"/>
      <c r="AN142" s="360"/>
      <c r="AO142" s="360"/>
      <c r="AP142" s="360"/>
      <c r="AQ142" s="360"/>
      <c r="AR142" s="360"/>
      <c r="AS142" s="360"/>
      <c r="AT142" s="360"/>
      <c r="AU142" s="360"/>
      <c r="AV142" s="360"/>
      <c r="AW142" s="360"/>
      <c r="AX142" s="360"/>
      <c r="AY142" s="360"/>
      <c r="AZ142" s="360"/>
      <c r="BA142" s="360"/>
      <c r="BB142" s="360"/>
      <c r="BC142" s="360"/>
      <c r="BD142" s="360"/>
      <c r="BE142" s="360"/>
      <c r="BF142" s="360"/>
      <c r="BG142" s="360"/>
      <c r="BH142" s="360"/>
      <c r="BI142" s="360"/>
      <c r="BJ142" s="360"/>
      <c r="BK142" s="360"/>
      <c r="BL142" s="360"/>
      <c r="BM142" s="360"/>
      <c r="BN142" s="360"/>
    </row>
    <row r="143" spans="1:66" ht="15">
      <c r="A143" s="363" t="s">
        <v>667</v>
      </c>
      <c r="B143" s="353"/>
      <c r="C143" s="353"/>
      <c r="D143" s="356"/>
      <c r="E143" s="356"/>
      <c r="F143" s="356"/>
      <c r="G143" s="356"/>
      <c r="H143" s="356"/>
      <c r="I143" s="356"/>
      <c r="J143" s="356"/>
      <c r="K143" s="356"/>
      <c r="L143" s="356"/>
      <c r="M143" s="356"/>
      <c r="N143" s="356"/>
      <c r="O143" s="356"/>
      <c r="P143" s="382"/>
      <c r="Q143" s="383"/>
      <c r="R143" s="383"/>
      <c r="S143" s="383"/>
      <c r="T143" s="360"/>
      <c r="U143" s="360"/>
      <c r="V143" s="360"/>
      <c r="W143" s="360"/>
      <c r="X143" s="360"/>
      <c r="Y143" s="360"/>
      <c r="Z143" s="360"/>
      <c r="AA143" s="360"/>
      <c r="AB143" s="360"/>
      <c r="AC143" s="360"/>
      <c r="AD143" s="360"/>
      <c r="AE143" s="360"/>
      <c r="AF143" s="360"/>
      <c r="AG143" s="360"/>
      <c r="AH143" s="360"/>
      <c r="AI143" s="360"/>
      <c r="AJ143" s="360"/>
      <c r="AK143" s="360"/>
      <c r="AL143" s="360"/>
      <c r="AM143" s="360"/>
      <c r="AN143" s="360"/>
      <c r="AO143" s="360"/>
      <c r="AP143" s="360"/>
      <c r="AQ143" s="360"/>
      <c r="AR143" s="360"/>
      <c r="AS143" s="360"/>
      <c r="AT143" s="360"/>
      <c r="AU143" s="360"/>
      <c r="AV143" s="360"/>
      <c r="AW143" s="360"/>
      <c r="AX143" s="360"/>
      <c r="AY143" s="360"/>
      <c r="AZ143" s="360"/>
      <c r="BA143" s="360"/>
      <c r="BB143" s="360"/>
      <c r="BC143" s="360"/>
      <c r="BD143" s="360"/>
      <c r="BE143" s="360"/>
      <c r="BF143" s="360"/>
      <c r="BG143" s="360"/>
      <c r="BH143" s="360"/>
      <c r="BI143" s="360"/>
      <c r="BJ143" s="360"/>
      <c r="BK143" s="360"/>
      <c r="BL143" s="360"/>
      <c r="BM143" s="360"/>
      <c r="BN143" s="360"/>
    </row>
    <row r="144" spans="1:66" ht="15.75" thickBot="1">
      <c r="A144" s="365" t="s">
        <v>668</v>
      </c>
      <c r="B144" s="353"/>
      <c r="C144" s="425"/>
      <c r="D144" s="1195" t="s">
        <v>146</v>
      </c>
      <c r="E144" s="1195"/>
      <c r="F144" s="1195"/>
      <c r="G144" s="1195"/>
      <c r="H144" s="354"/>
      <c r="I144" s="354"/>
      <c r="J144" s="354"/>
      <c r="K144" s="354"/>
      <c r="L144" s="354"/>
      <c r="M144" s="354"/>
      <c r="N144" s="362"/>
      <c r="O144" s="362"/>
      <c r="P144" s="384"/>
      <c r="Q144" s="359"/>
      <c r="R144" s="385"/>
      <c r="S144" s="383"/>
      <c r="T144" s="360"/>
      <c r="U144" s="360"/>
      <c r="V144" s="360"/>
      <c r="W144" s="360"/>
      <c r="X144" s="360"/>
      <c r="Y144" s="360"/>
      <c r="Z144" s="360"/>
      <c r="AA144" s="360"/>
      <c r="AB144" s="360"/>
      <c r="AC144" s="360"/>
      <c r="AD144" s="360"/>
      <c r="AE144" s="360"/>
      <c r="AF144" s="360"/>
      <c r="AG144" s="360"/>
      <c r="AH144" s="360"/>
      <c r="AI144" s="360"/>
      <c r="AJ144" s="360"/>
      <c r="AK144" s="360"/>
      <c r="AL144" s="360"/>
      <c r="AM144" s="360"/>
      <c r="AN144" s="360"/>
      <c r="AO144" s="360"/>
      <c r="AP144" s="360"/>
      <c r="AQ144" s="360"/>
      <c r="AR144" s="360"/>
      <c r="AS144" s="360"/>
      <c r="AT144" s="360"/>
      <c r="AU144" s="360"/>
      <c r="AV144" s="360"/>
      <c r="AW144" s="360"/>
      <c r="AX144" s="360"/>
      <c r="AY144" s="360"/>
      <c r="AZ144" s="360"/>
      <c r="BA144" s="360"/>
      <c r="BB144" s="360"/>
      <c r="BC144" s="360"/>
      <c r="BD144" s="360"/>
      <c r="BE144" s="360"/>
      <c r="BF144" s="360"/>
      <c r="BG144" s="360"/>
      <c r="BH144" s="360"/>
      <c r="BI144" s="360"/>
      <c r="BJ144" s="360"/>
      <c r="BK144" s="360"/>
      <c r="BL144" s="360"/>
      <c r="BM144" s="360"/>
      <c r="BN144" s="360"/>
    </row>
    <row r="145" spans="1:66" ht="15">
      <c r="A145" s="363"/>
      <c r="B145" s="353"/>
      <c r="C145" s="399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62"/>
      <c r="O145" s="362"/>
      <c r="P145" s="384"/>
      <c r="Q145" s="359"/>
      <c r="R145" s="385"/>
      <c r="S145" s="383"/>
      <c r="T145" s="360"/>
      <c r="U145" s="360"/>
      <c r="V145" s="360"/>
      <c r="W145" s="360"/>
      <c r="X145" s="360"/>
      <c r="Y145" s="360"/>
      <c r="Z145" s="360"/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0"/>
      <c r="AK145" s="360"/>
      <c r="AL145" s="360"/>
      <c r="AM145" s="360"/>
      <c r="AN145" s="360"/>
      <c r="AO145" s="360"/>
      <c r="AP145" s="360"/>
      <c r="AQ145" s="360"/>
      <c r="AR145" s="360"/>
      <c r="AS145" s="360"/>
      <c r="AT145" s="360"/>
      <c r="AU145" s="360"/>
      <c r="AV145" s="360"/>
      <c r="AW145" s="360"/>
      <c r="AX145" s="360"/>
      <c r="AY145" s="360"/>
      <c r="AZ145" s="360"/>
      <c r="BA145" s="360"/>
      <c r="BB145" s="360"/>
      <c r="BC145" s="360"/>
      <c r="BD145" s="360"/>
      <c r="BE145" s="360"/>
      <c r="BF145" s="360"/>
      <c r="BG145" s="360"/>
      <c r="BH145" s="360"/>
      <c r="BI145" s="360"/>
      <c r="BJ145" s="360"/>
      <c r="BK145" s="360"/>
      <c r="BL145" s="360"/>
      <c r="BM145" s="360"/>
      <c r="BN145" s="360"/>
    </row>
    <row r="146" spans="1:66" ht="15">
      <c r="A146" s="363"/>
      <c r="B146" s="353"/>
      <c r="C146" s="46" t="s">
        <v>533</v>
      </c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62"/>
      <c r="O146" s="362"/>
      <c r="P146" s="384"/>
      <c r="Q146" s="359"/>
      <c r="R146" s="385"/>
      <c r="S146" s="383"/>
      <c r="T146" s="360"/>
      <c r="U146" s="360"/>
      <c r="V146" s="360"/>
      <c r="W146" s="360"/>
      <c r="X146" s="360"/>
      <c r="Y146" s="360"/>
      <c r="Z146" s="360"/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0"/>
      <c r="AK146" s="360"/>
      <c r="AL146" s="360"/>
      <c r="AM146" s="360"/>
      <c r="AN146" s="360"/>
      <c r="AO146" s="360"/>
      <c r="AP146" s="360"/>
      <c r="AQ146" s="360"/>
      <c r="AR146" s="360"/>
      <c r="AS146" s="360"/>
      <c r="AT146" s="360"/>
      <c r="AU146" s="360"/>
      <c r="AV146" s="360"/>
      <c r="AW146" s="360"/>
      <c r="AX146" s="360"/>
      <c r="AY146" s="360"/>
      <c r="AZ146" s="360"/>
      <c r="BA146" s="360"/>
      <c r="BB146" s="360"/>
      <c r="BC146" s="360"/>
      <c r="BD146" s="360"/>
      <c r="BE146" s="360"/>
      <c r="BF146" s="360"/>
      <c r="BG146" s="360"/>
      <c r="BH146" s="360"/>
      <c r="BI146" s="360"/>
      <c r="BJ146" s="360"/>
      <c r="BK146" s="360"/>
      <c r="BL146" s="360"/>
      <c r="BM146" s="360"/>
      <c r="BN146" s="360"/>
    </row>
    <row r="147" spans="1:66" ht="15">
      <c r="A147" s="363"/>
      <c r="B147" s="353"/>
      <c r="C147" s="356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62"/>
      <c r="O147" s="362"/>
      <c r="P147" s="384"/>
      <c r="Q147" s="359"/>
      <c r="R147" s="385"/>
      <c r="S147" s="383"/>
      <c r="T147" s="360"/>
      <c r="U147" s="360"/>
      <c r="V147" s="360"/>
      <c r="W147" s="360"/>
      <c r="X147" s="360"/>
      <c r="Y147" s="360"/>
      <c r="Z147" s="360"/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0"/>
      <c r="AK147" s="360"/>
      <c r="AL147" s="360"/>
      <c r="AM147" s="360"/>
      <c r="AN147" s="360"/>
      <c r="AO147" s="360"/>
      <c r="AP147" s="360"/>
      <c r="AQ147" s="360"/>
      <c r="AR147" s="360"/>
      <c r="AS147" s="360"/>
      <c r="AT147" s="360"/>
      <c r="AU147" s="360"/>
      <c r="AV147" s="360"/>
      <c r="AW147" s="360"/>
      <c r="AX147" s="360"/>
      <c r="AY147" s="360"/>
      <c r="AZ147" s="360"/>
      <c r="BA147" s="360"/>
      <c r="BB147" s="360"/>
      <c r="BC147" s="360"/>
      <c r="BD147" s="360"/>
      <c r="BE147" s="360"/>
      <c r="BF147" s="360"/>
      <c r="BG147" s="360"/>
      <c r="BH147" s="360"/>
      <c r="BI147" s="360"/>
      <c r="BJ147" s="360"/>
      <c r="BK147" s="360"/>
      <c r="BL147" s="360"/>
      <c r="BM147" s="360"/>
      <c r="BN147" s="360"/>
    </row>
    <row r="148" spans="1:66" ht="15">
      <c r="A148" s="363">
        <v>1</v>
      </c>
      <c r="B148" s="353"/>
      <c r="C148" s="372" t="s">
        <v>525</v>
      </c>
      <c r="D148" s="354"/>
      <c r="E148" s="362"/>
      <c r="F148" s="362"/>
      <c r="G148" s="362"/>
      <c r="H148" s="362"/>
      <c r="I148" s="362"/>
      <c r="J148" s="405">
        <f>+E55</f>
        <v>35862242</v>
      </c>
      <c r="K148" s="405"/>
      <c r="L148" s="405"/>
      <c r="M148" s="405"/>
      <c r="N148" s="362"/>
      <c r="O148" s="362"/>
      <c r="P148" s="384"/>
      <c r="Q148" s="359"/>
      <c r="R148" s="385"/>
      <c r="S148" s="383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0"/>
      <c r="AO148" s="360"/>
      <c r="AP148" s="360"/>
      <c r="AQ148" s="360"/>
      <c r="AR148" s="360"/>
      <c r="AS148" s="360"/>
      <c r="AT148" s="360"/>
      <c r="AU148" s="360"/>
      <c r="AV148" s="360"/>
      <c r="AW148" s="360"/>
      <c r="AX148" s="360"/>
      <c r="AY148" s="360"/>
      <c r="AZ148" s="360"/>
      <c r="BA148" s="360"/>
      <c r="BB148" s="360"/>
      <c r="BC148" s="360"/>
      <c r="BD148" s="360"/>
      <c r="BE148" s="360"/>
      <c r="BF148" s="360"/>
      <c r="BG148" s="360"/>
      <c r="BH148" s="360"/>
      <c r="BI148" s="360"/>
      <c r="BJ148" s="360"/>
      <c r="BK148" s="360"/>
      <c r="BL148" s="360"/>
      <c r="BM148" s="360"/>
      <c r="BN148" s="360"/>
    </row>
    <row r="149" spans="1:66" ht="15">
      <c r="A149" s="363">
        <v>2</v>
      </c>
      <c r="B149" s="353"/>
      <c r="C149" s="372" t="s">
        <v>888</v>
      </c>
      <c r="D149" s="374"/>
      <c r="E149" s="374"/>
      <c r="F149" s="425"/>
      <c r="G149" s="425"/>
      <c r="H149" s="425"/>
      <c r="I149" s="425"/>
      <c r="J149" s="405">
        <f>+J148-O55</f>
        <v>24649682.93</v>
      </c>
      <c r="K149" s="405"/>
      <c r="L149" s="405"/>
      <c r="M149" s="405"/>
      <c r="N149" s="362"/>
      <c r="O149" s="362"/>
      <c r="P149" s="384"/>
      <c r="Q149" s="359"/>
      <c r="R149" s="385"/>
      <c r="S149" s="383"/>
      <c r="T149" s="360"/>
      <c r="U149" s="360"/>
      <c r="V149" s="360"/>
      <c r="W149" s="360"/>
      <c r="X149" s="360"/>
      <c r="Y149" s="360"/>
      <c r="Z149" s="360"/>
      <c r="AA149" s="360"/>
      <c r="AB149" s="360"/>
      <c r="AC149" s="360"/>
      <c r="AD149" s="360"/>
      <c r="AE149" s="360"/>
      <c r="AF149" s="360"/>
      <c r="AG149" s="360"/>
      <c r="AH149" s="360"/>
      <c r="AI149" s="360"/>
      <c r="AJ149" s="360"/>
      <c r="AK149" s="360"/>
      <c r="AL149" s="360"/>
      <c r="AM149" s="360"/>
      <c r="AN149" s="360"/>
      <c r="AO149" s="360"/>
      <c r="AP149" s="360"/>
      <c r="AQ149" s="360"/>
      <c r="AR149" s="360"/>
      <c r="AS149" s="360"/>
      <c r="AT149" s="360"/>
      <c r="AU149" s="360"/>
      <c r="AV149" s="360"/>
      <c r="AW149" s="360"/>
      <c r="AX149" s="360"/>
      <c r="AY149" s="360"/>
      <c r="AZ149" s="360"/>
      <c r="BA149" s="360"/>
      <c r="BB149" s="360"/>
      <c r="BC149" s="360"/>
      <c r="BD149" s="360"/>
      <c r="BE149" s="360"/>
      <c r="BF149" s="360"/>
      <c r="BG149" s="360"/>
      <c r="BH149" s="360"/>
      <c r="BI149" s="360"/>
      <c r="BJ149" s="360"/>
      <c r="BK149" s="360"/>
      <c r="BL149" s="360"/>
      <c r="BM149" s="360"/>
      <c r="BN149" s="360"/>
    </row>
    <row r="150" spans="1:66" ht="15.75" thickBot="1">
      <c r="A150" s="363">
        <v>3</v>
      </c>
      <c r="B150" s="353"/>
      <c r="C150" s="446" t="s">
        <v>923</v>
      </c>
      <c r="D150" s="446"/>
      <c r="E150" s="447"/>
      <c r="F150" s="362"/>
      <c r="G150" s="362"/>
      <c r="H150" s="361"/>
      <c r="I150" s="362"/>
      <c r="J150" s="408">
        <v>0</v>
      </c>
      <c r="K150" s="609"/>
      <c r="L150" s="609"/>
      <c r="M150" s="609"/>
      <c r="N150" s="362"/>
      <c r="O150" s="362"/>
      <c r="P150" s="384"/>
      <c r="Q150" s="359"/>
      <c r="R150" s="385"/>
      <c r="S150" s="383"/>
      <c r="T150" s="360"/>
      <c r="U150" s="360"/>
      <c r="V150" s="360"/>
      <c r="W150" s="360"/>
      <c r="X150" s="360"/>
      <c r="Y150" s="360"/>
      <c r="Z150" s="360"/>
      <c r="AA150" s="360"/>
      <c r="AB150" s="360"/>
      <c r="AC150" s="360"/>
      <c r="AD150" s="360"/>
      <c r="AE150" s="360"/>
      <c r="AF150" s="360"/>
      <c r="AG150" s="360"/>
      <c r="AH150" s="360"/>
      <c r="AI150" s="360"/>
      <c r="AJ150" s="360"/>
      <c r="AK150" s="360"/>
      <c r="AL150" s="360"/>
      <c r="AM150" s="360"/>
      <c r="AN150" s="360"/>
      <c r="AO150" s="360"/>
      <c r="AP150" s="360"/>
      <c r="AQ150" s="360"/>
      <c r="AR150" s="360"/>
      <c r="AS150" s="360"/>
      <c r="AT150" s="360"/>
      <c r="AU150" s="360"/>
      <c r="AV150" s="360"/>
      <c r="AW150" s="360"/>
      <c r="AX150" s="360"/>
      <c r="AY150" s="360"/>
      <c r="AZ150" s="360"/>
      <c r="BA150" s="360"/>
      <c r="BB150" s="360"/>
      <c r="BC150" s="360"/>
      <c r="BD150" s="360"/>
      <c r="BE150" s="360"/>
      <c r="BF150" s="360"/>
      <c r="BG150" s="360"/>
      <c r="BH150" s="360"/>
      <c r="BI150" s="360"/>
      <c r="BJ150" s="360"/>
      <c r="BK150" s="360"/>
      <c r="BL150" s="360"/>
      <c r="BM150" s="360"/>
      <c r="BN150" s="360"/>
    </row>
    <row r="151" spans="1:66" ht="15">
      <c r="A151" s="363">
        <v>4</v>
      </c>
      <c r="B151" s="353"/>
      <c r="C151" s="372" t="s">
        <v>924</v>
      </c>
      <c r="D151" s="372"/>
      <c r="E151" s="404"/>
      <c r="F151" s="362"/>
      <c r="G151" s="362"/>
      <c r="H151" s="361"/>
      <c r="I151" s="362"/>
      <c r="J151" s="410">
        <f>J148-J149-J150</f>
        <v>11212559.07</v>
      </c>
      <c r="K151" s="410"/>
      <c r="L151" s="410"/>
      <c r="M151" s="410"/>
      <c r="N151" s="362"/>
      <c r="O151" s="362"/>
      <c r="P151" s="384"/>
      <c r="Q151" s="359"/>
      <c r="R151" s="385"/>
      <c r="S151" s="383"/>
      <c r="T151" s="360"/>
      <c r="U151" s="360"/>
      <c r="V151" s="360"/>
      <c r="W151" s="360"/>
      <c r="X151" s="360"/>
      <c r="Y151" s="360"/>
      <c r="Z151" s="360"/>
      <c r="AA151" s="360"/>
      <c r="AB151" s="360"/>
      <c r="AC151" s="360"/>
      <c r="AD151" s="360"/>
      <c r="AE151" s="360"/>
      <c r="AF151" s="360"/>
      <c r="AG151" s="360"/>
      <c r="AH151" s="360"/>
      <c r="AI151" s="360"/>
      <c r="AJ151" s="360"/>
      <c r="AK151" s="360"/>
      <c r="AL151" s="360"/>
      <c r="AM151" s="360"/>
      <c r="AN151" s="360"/>
      <c r="AO151" s="360"/>
      <c r="AP151" s="360"/>
      <c r="AQ151" s="360"/>
      <c r="AR151" s="360"/>
      <c r="AS151" s="360"/>
      <c r="AT151" s="360"/>
      <c r="AU151" s="360"/>
      <c r="AV151" s="360"/>
      <c r="AW151" s="360"/>
      <c r="AX151" s="360"/>
      <c r="AY151" s="360"/>
      <c r="AZ151" s="360"/>
      <c r="BA151" s="360"/>
      <c r="BB151" s="360"/>
      <c r="BC151" s="360"/>
      <c r="BD151" s="360"/>
      <c r="BE151" s="360"/>
      <c r="BF151" s="360"/>
      <c r="BG151" s="360"/>
      <c r="BH151" s="360"/>
      <c r="BI151" s="360"/>
      <c r="BJ151" s="360"/>
      <c r="BK151" s="360"/>
      <c r="BL151" s="360"/>
      <c r="BM151" s="360"/>
      <c r="BN151" s="360"/>
    </row>
    <row r="152" spans="1:66" ht="15">
      <c r="A152" s="363"/>
      <c r="B152" s="353"/>
      <c r="C152" s="374"/>
      <c r="D152" s="372"/>
      <c r="E152" s="404"/>
      <c r="F152" s="362"/>
      <c r="G152" s="362"/>
      <c r="H152" s="361"/>
      <c r="I152" s="362"/>
      <c r="J152" s="370"/>
      <c r="K152" s="370"/>
      <c r="L152" s="370"/>
      <c r="M152" s="370"/>
      <c r="N152" s="362"/>
      <c r="O152" s="362"/>
      <c r="P152" s="384"/>
      <c r="Q152" s="359"/>
      <c r="R152" s="385"/>
      <c r="S152" s="383"/>
      <c r="T152" s="360"/>
      <c r="U152" s="360"/>
      <c r="V152" s="360"/>
      <c r="W152" s="360"/>
      <c r="X152" s="360"/>
      <c r="Y152" s="360"/>
      <c r="Z152" s="360"/>
      <c r="AA152" s="360"/>
      <c r="AB152" s="360"/>
      <c r="AC152" s="360"/>
      <c r="AD152" s="360"/>
      <c r="AE152" s="360"/>
      <c r="AF152" s="360"/>
      <c r="AG152" s="360"/>
      <c r="AH152" s="360"/>
      <c r="AI152" s="360"/>
      <c r="AJ152" s="360"/>
      <c r="AK152" s="360"/>
      <c r="AL152" s="360"/>
      <c r="AM152" s="360"/>
      <c r="AN152" s="360"/>
      <c r="AO152" s="360"/>
      <c r="AP152" s="360"/>
      <c r="AQ152" s="360"/>
      <c r="AR152" s="360"/>
      <c r="AS152" s="360"/>
      <c r="AT152" s="360"/>
      <c r="AU152" s="360"/>
      <c r="AV152" s="360"/>
      <c r="AW152" s="360"/>
      <c r="AX152" s="360"/>
      <c r="AY152" s="360"/>
      <c r="AZ152" s="360"/>
      <c r="BA152" s="360"/>
      <c r="BB152" s="360"/>
      <c r="BC152" s="360"/>
      <c r="BD152" s="360"/>
      <c r="BE152" s="360"/>
      <c r="BF152" s="360"/>
      <c r="BG152" s="360"/>
      <c r="BH152" s="360"/>
      <c r="BI152" s="360"/>
      <c r="BJ152" s="360"/>
      <c r="BK152" s="360"/>
      <c r="BL152" s="360"/>
      <c r="BM152" s="360"/>
      <c r="BN152" s="360"/>
    </row>
    <row r="153" spans="1:66" ht="15">
      <c r="A153" s="363">
        <v>5</v>
      </c>
      <c r="B153" s="353"/>
      <c r="C153" s="372" t="s">
        <v>925</v>
      </c>
      <c r="D153" s="448"/>
      <c r="E153" s="449"/>
      <c r="F153" s="450"/>
      <c r="G153" s="450"/>
      <c r="H153" s="756" t="s">
        <v>730</v>
      </c>
      <c r="J153" s="451">
        <f>IF(J148&gt;0,J151/J148,0)</f>
        <v>0.31265638857715589</v>
      </c>
      <c r="K153" s="451"/>
      <c r="L153" s="451"/>
      <c r="M153" s="451"/>
      <c r="N153" s="362"/>
      <c r="O153" s="362"/>
      <c r="P153" s="384"/>
      <c r="Q153" s="359"/>
      <c r="R153" s="385"/>
      <c r="S153" s="383"/>
      <c r="T153" s="360"/>
      <c r="U153" s="360"/>
      <c r="V153" s="360"/>
      <c r="W153" s="360"/>
      <c r="X153" s="360"/>
      <c r="Y153" s="360"/>
      <c r="Z153" s="360"/>
      <c r="AA153" s="360"/>
      <c r="AB153" s="360"/>
      <c r="AC153" s="360"/>
      <c r="AD153" s="360"/>
      <c r="AE153" s="360"/>
      <c r="AF153" s="360"/>
      <c r="AG153" s="360"/>
      <c r="AH153" s="360"/>
      <c r="AI153" s="360"/>
      <c r="AJ153" s="360"/>
      <c r="AK153" s="360"/>
      <c r="AL153" s="360"/>
      <c r="AM153" s="360"/>
      <c r="AN153" s="360"/>
      <c r="AO153" s="360"/>
      <c r="AP153" s="360"/>
      <c r="AQ153" s="360"/>
      <c r="AR153" s="360"/>
      <c r="AS153" s="360"/>
      <c r="AT153" s="360"/>
      <c r="AU153" s="360"/>
      <c r="AV153" s="360"/>
      <c r="AW153" s="360"/>
      <c r="AX153" s="360"/>
      <c r="AY153" s="360"/>
      <c r="AZ153" s="360"/>
      <c r="BA153" s="360"/>
      <c r="BB153" s="360"/>
      <c r="BC153" s="360"/>
      <c r="BD153" s="360"/>
      <c r="BE153" s="360"/>
      <c r="BF153" s="360"/>
      <c r="BG153" s="360"/>
      <c r="BH153" s="360"/>
      <c r="BI153" s="360"/>
      <c r="BJ153" s="360"/>
      <c r="BK153" s="360"/>
      <c r="BL153" s="360"/>
      <c r="BM153" s="360"/>
      <c r="BN153" s="360"/>
    </row>
    <row r="154" spans="1:66" ht="15">
      <c r="A154" s="353"/>
      <c r="B154" s="353"/>
      <c r="C154" s="374"/>
      <c r="D154" s="374"/>
      <c r="E154" s="374"/>
      <c r="F154" s="353"/>
      <c r="G154" s="353"/>
      <c r="H154" s="353"/>
      <c r="I154" s="353"/>
      <c r="J154" s="370"/>
      <c r="K154" s="370"/>
      <c r="L154" s="370"/>
      <c r="M154" s="370"/>
      <c r="N154" s="362"/>
      <c r="O154" s="362"/>
      <c r="P154" s="384"/>
      <c r="Q154" s="359"/>
      <c r="R154" s="385"/>
      <c r="S154" s="383"/>
      <c r="T154" s="360"/>
      <c r="U154" s="360"/>
      <c r="V154" s="360"/>
      <c r="W154" s="360"/>
      <c r="X154" s="360"/>
      <c r="Y154" s="360"/>
      <c r="Z154" s="360"/>
      <c r="AA154" s="360"/>
      <c r="AB154" s="360"/>
      <c r="AC154" s="360"/>
      <c r="AD154" s="360"/>
      <c r="AE154" s="360"/>
      <c r="AF154" s="360"/>
      <c r="AG154" s="360"/>
      <c r="AH154" s="360"/>
      <c r="AI154" s="360"/>
      <c r="AJ154" s="360"/>
      <c r="AK154" s="360"/>
      <c r="AL154" s="360"/>
      <c r="AM154" s="360"/>
      <c r="AN154" s="360"/>
      <c r="AO154" s="360"/>
      <c r="AP154" s="360"/>
      <c r="AQ154" s="360"/>
      <c r="AR154" s="360"/>
      <c r="AS154" s="360"/>
      <c r="AT154" s="360"/>
      <c r="AU154" s="360"/>
      <c r="AV154" s="360"/>
      <c r="AW154" s="360"/>
      <c r="AX154" s="360"/>
      <c r="AY154" s="360"/>
      <c r="AZ154" s="360"/>
      <c r="BA154" s="360"/>
      <c r="BB154" s="360"/>
      <c r="BC154" s="360"/>
      <c r="BD154" s="360"/>
      <c r="BE154" s="360"/>
      <c r="BF154" s="360"/>
      <c r="BG154" s="360"/>
      <c r="BH154" s="360"/>
      <c r="BI154" s="360"/>
      <c r="BJ154" s="360"/>
      <c r="BK154" s="360"/>
      <c r="BL154" s="360"/>
      <c r="BM154" s="360"/>
      <c r="BN154" s="360"/>
    </row>
    <row r="155" spans="1:66" ht="15">
      <c r="A155" s="353"/>
      <c r="B155" s="353"/>
      <c r="C155" s="371" t="s">
        <v>728</v>
      </c>
      <c r="D155" s="374"/>
      <c r="E155" s="374"/>
      <c r="F155" s="353"/>
      <c r="G155" s="353"/>
      <c r="H155" s="353"/>
      <c r="I155" s="353"/>
      <c r="J155" s="370"/>
      <c r="K155" s="370"/>
      <c r="L155" s="370"/>
      <c r="M155" s="370"/>
      <c r="N155" s="362"/>
      <c r="O155" s="362"/>
      <c r="P155" s="384"/>
      <c r="Q155" s="359"/>
      <c r="R155" s="385"/>
      <c r="S155" s="383"/>
      <c r="T155" s="360"/>
      <c r="U155" s="360"/>
      <c r="V155" s="360"/>
      <c r="W155" s="360"/>
      <c r="X155" s="360"/>
      <c r="Y155" s="360"/>
      <c r="Z155" s="360"/>
      <c r="AA155" s="360"/>
      <c r="AB155" s="360"/>
      <c r="AC155" s="360"/>
      <c r="AD155" s="360"/>
      <c r="AE155" s="360"/>
      <c r="AF155" s="360"/>
      <c r="AG155" s="360"/>
      <c r="AH155" s="360"/>
      <c r="AI155" s="360"/>
      <c r="AJ155" s="360"/>
      <c r="AK155" s="360"/>
      <c r="AL155" s="360"/>
      <c r="AM155" s="360"/>
      <c r="AN155" s="360"/>
      <c r="AO155" s="360"/>
      <c r="AP155" s="360"/>
      <c r="AQ155" s="360"/>
      <c r="AR155" s="360"/>
      <c r="AS155" s="360"/>
      <c r="AT155" s="360"/>
      <c r="AU155" s="360"/>
      <c r="AV155" s="360"/>
      <c r="AW155" s="360"/>
      <c r="AX155" s="360"/>
      <c r="AY155" s="360"/>
      <c r="AZ155" s="360"/>
      <c r="BA155" s="360"/>
      <c r="BB155" s="360"/>
      <c r="BC155" s="360"/>
      <c r="BD155" s="360"/>
      <c r="BE155" s="360"/>
      <c r="BF155" s="360"/>
      <c r="BG155" s="360"/>
      <c r="BH155" s="360"/>
      <c r="BI155" s="360"/>
      <c r="BJ155" s="360"/>
      <c r="BK155" s="360"/>
      <c r="BL155" s="360"/>
      <c r="BM155" s="360"/>
      <c r="BN155" s="360"/>
    </row>
    <row r="156" spans="1:66" ht="15">
      <c r="A156" s="353"/>
      <c r="B156" s="353"/>
      <c r="C156" s="374"/>
      <c r="D156" s="374"/>
      <c r="E156" s="374"/>
      <c r="F156" s="353"/>
      <c r="G156" s="353"/>
      <c r="H156" s="353"/>
      <c r="I156" s="353"/>
      <c r="J156" s="370"/>
      <c r="K156" s="370"/>
      <c r="L156" s="370"/>
      <c r="M156" s="370"/>
      <c r="N156" s="362"/>
      <c r="O156" s="362"/>
      <c r="P156" s="384"/>
      <c r="Q156" s="359"/>
      <c r="R156" s="385"/>
      <c r="S156" s="383"/>
      <c r="T156" s="360"/>
      <c r="U156" s="360"/>
      <c r="V156" s="360"/>
      <c r="W156" s="360"/>
      <c r="X156" s="360"/>
      <c r="Y156" s="360"/>
      <c r="Z156" s="360"/>
      <c r="AA156" s="360"/>
      <c r="AB156" s="360"/>
      <c r="AC156" s="360"/>
      <c r="AD156" s="360"/>
      <c r="AE156" s="360"/>
      <c r="AF156" s="360"/>
      <c r="AG156" s="360"/>
      <c r="AH156" s="360"/>
      <c r="AI156" s="360"/>
      <c r="AJ156" s="360"/>
      <c r="AK156" s="360"/>
      <c r="AL156" s="360"/>
      <c r="AM156" s="360"/>
      <c r="AN156" s="360"/>
      <c r="AO156" s="360"/>
      <c r="AP156" s="360"/>
      <c r="AQ156" s="360"/>
      <c r="AR156" s="360"/>
      <c r="AS156" s="360"/>
      <c r="AT156" s="360"/>
      <c r="AU156" s="360"/>
      <c r="AV156" s="360"/>
      <c r="AW156" s="360"/>
      <c r="AX156" s="360"/>
      <c r="AY156" s="360"/>
      <c r="AZ156" s="360"/>
      <c r="BA156" s="360"/>
      <c r="BB156" s="360"/>
      <c r="BC156" s="360"/>
      <c r="BD156" s="360"/>
      <c r="BE156" s="360"/>
      <c r="BF156" s="360"/>
      <c r="BG156" s="360"/>
      <c r="BH156" s="360"/>
      <c r="BI156" s="360"/>
      <c r="BJ156" s="360"/>
      <c r="BK156" s="360"/>
      <c r="BL156" s="360"/>
      <c r="BM156" s="360"/>
      <c r="BN156" s="360"/>
    </row>
    <row r="157" spans="1:66" ht="15">
      <c r="A157" s="363">
        <v>6</v>
      </c>
      <c r="B157" s="353"/>
      <c r="C157" s="374" t="s">
        <v>526</v>
      </c>
      <c r="D157" s="374"/>
      <c r="E157" s="372"/>
      <c r="F157" s="354"/>
      <c r="G157" s="354"/>
      <c r="H157" s="355"/>
      <c r="I157" s="354"/>
      <c r="J157" s="405">
        <f>E105+E106+E107+E108</f>
        <v>823717</v>
      </c>
      <c r="K157" s="405"/>
      <c r="L157" s="405"/>
      <c r="M157" s="405"/>
      <c r="N157" s="362"/>
      <c r="O157" s="362"/>
      <c r="P157" s="384"/>
      <c r="Q157" s="359"/>
      <c r="R157" s="385"/>
      <c r="S157" s="383"/>
      <c r="T157" s="360"/>
      <c r="U157" s="360"/>
      <c r="V157" s="360"/>
      <c r="W157" s="360"/>
      <c r="X157" s="360"/>
      <c r="Y157" s="360"/>
      <c r="Z157" s="360"/>
      <c r="AA157" s="360"/>
      <c r="AB157" s="360"/>
      <c r="AC157" s="360"/>
      <c r="AD157" s="360"/>
      <c r="AE157" s="360"/>
      <c r="AF157" s="360"/>
      <c r="AG157" s="360"/>
      <c r="AH157" s="360"/>
      <c r="AI157" s="360"/>
      <c r="AJ157" s="360"/>
      <c r="AK157" s="360"/>
      <c r="AL157" s="360"/>
      <c r="AM157" s="360"/>
      <c r="AN157" s="360"/>
      <c r="AO157" s="360"/>
      <c r="AP157" s="360"/>
      <c r="AQ157" s="360"/>
      <c r="AR157" s="360"/>
      <c r="AS157" s="360"/>
      <c r="AT157" s="360"/>
      <c r="AU157" s="360"/>
      <c r="AV157" s="360"/>
      <c r="AW157" s="360"/>
      <c r="AX157" s="360"/>
      <c r="AY157" s="360"/>
      <c r="AZ157" s="360"/>
      <c r="BA157" s="360"/>
      <c r="BB157" s="360"/>
      <c r="BC157" s="360"/>
      <c r="BD157" s="360"/>
      <c r="BE157" s="360"/>
      <c r="BF157" s="360"/>
      <c r="BG157" s="360"/>
      <c r="BH157" s="360"/>
      <c r="BI157" s="360"/>
      <c r="BJ157" s="360"/>
      <c r="BK157" s="360"/>
      <c r="BL157" s="360"/>
      <c r="BM157" s="360"/>
      <c r="BN157" s="360"/>
    </row>
    <row r="158" spans="1:66" ht="15.75" thickBot="1">
      <c r="A158" s="363">
        <v>7</v>
      </c>
      <c r="B158" s="353"/>
      <c r="C158" s="446" t="s">
        <v>926</v>
      </c>
      <c r="D158" s="446"/>
      <c r="E158" s="447"/>
      <c r="F158" s="429"/>
      <c r="G158" s="362"/>
      <c r="H158" s="362"/>
      <c r="I158" s="362"/>
      <c r="J158" s="408">
        <v>0</v>
      </c>
      <c r="K158" s="609"/>
      <c r="L158" s="609"/>
      <c r="M158" s="609"/>
      <c r="N158" s="362"/>
      <c r="O158" s="362"/>
      <c r="P158" s="384"/>
      <c r="Q158" s="359"/>
      <c r="R158" s="385"/>
      <c r="S158" s="383"/>
      <c r="T158" s="360"/>
      <c r="U158" s="360"/>
      <c r="V158" s="360"/>
      <c r="W158" s="360"/>
      <c r="X158" s="360"/>
      <c r="Y158" s="360"/>
      <c r="Z158" s="360"/>
      <c r="AA158" s="360"/>
      <c r="AB158" s="360"/>
      <c r="AC158" s="360"/>
      <c r="AD158" s="360"/>
      <c r="AE158" s="360"/>
      <c r="AF158" s="360"/>
      <c r="AG158" s="360"/>
      <c r="AH158" s="360"/>
      <c r="AI158" s="360"/>
      <c r="AJ158" s="360"/>
      <c r="AK158" s="360"/>
      <c r="AL158" s="360"/>
      <c r="AM158" s="360"/>
      <c r="AN158" s="360"/>
      <c r="AO158" s="360"/>
      <c r="AP158" s="360"/>
      <c r="AQ158" s="360"/>
      <c r="AR158" s="360"/>
      <c r="AS158" s="360"/>
      <c r="AT158" s="360"/>
      <c r="AU158" s="360"/>
      <c r="AV158" s="360"/>
      <c r="AW158" s="360"/>
      <c r="AX158" s="360"/>
      <c r="AY158" s="360"/>
      <c r="AZ158" s="360"/>
      <c r="BA158" s="360"/>
      <c r="BB158" s="360"/>
      <c r="BC158" s="360"/>
      <c r="BD158" s="360"/>
      <c r="BE158" s="360"/>
      <c r="BF158" s="360"/>
      <c r="BG158" s="360"/>
      <c r="BH158" s="360"/>
      <c r="BI158" s="360"/>
      <c r="BJ158" s="360"/>
      <c r="BK158" s="360"/>
      <c r="BL158" s="360"/>
      <c r="BM158" s="360"/>
      <c r="BN158" s="360"/>
    </row>
    <row r="159" spans="1:66" ht="15">
      <c r="A159" s="363">
        <v>8</v>
      </c>
      <c r="B159" s="353"/>
      <c r="C159" s="372" t="s">
        <v>927</v>
      </c>
      <c r="D159" s="448"/>
      <c r="E159" s="449"/>
      <c r="F159" s="450"/>
      <c r="G159" s="450"/>
      <c r="H159" s="386"/>
      <c r="I159" s="450"/>
      <c r="J159" s="410">
        <f>+J157-J158</f>
        <v>823717</v>
      </c>
      <c r="K159" s="410"/>
      <c r="L159" s="410"/>
      <c r="M159" s="410"/>
      <c r="N159" s="362"/>
      <c r="O159" s="362"/>
      <c r="P159" s="384"/>
      <c r="Q159" s="385"/>
      <c r="R159" s="385"/>
      <c r="S159" s="383"/>
      <c r="T159" s="360"/>
      <c r="U159" s="360"/>
      <c r="V159" s="360"/>
      <c r="W159" s="360"/>
      <c r="X159" s="360"/>
      <c r="Y159" s="360"/>
      <c r="Z159" s="360"/>
      <c r="AA159" s="360"/>
      <c r="AB159" s="360"/>
      <c r="AC159" s="360"/>
      <c r="AD159" s="360"/>
      <c r="AE159" s="360"/>
      <c r="AF159" s="360"/>
      <c r="AG159" s="360"/>
      <c r="AH159" s="360"/>
      <c r="AI159" s="360"/>
      <c r="AJ159" s="360"/>
      <c r="AK159" s="360"/>
      <c r="AL159" s="360"/>
      <c r="AM159" s="360"/>
      <c r="AN159" s="360"/>
      <c r="AO159" s="360"/>
      <c r="AP159" s="360"/>
      <c r="AQ159" s="360"/>
      <c r="AR159" s="360"/>
      <c r="AS159" s="360"/>
      <c r="AT159" s="360"/>
      <c r="AU159" s="360"/>
      <c r="AV159" s="360"/>
      <c r="AW159" s="360"/>
      <c r="AX159" s="360"/>
      <c r="AY159" s="360"/>
      <c r="AZ159" s="360"/>
      <c r="BA159" s="360"/>
      <c r="BB159" s="360"/>
      <c r="BC159" s="360"/>
      <c r="BD159" s="360"/>
      <c r="BE159" s="360"/>
      <c r="BF159" s="360"/>
      <c r="BG159" s="360"/>
      <c r="BH159" s="360"/>
      <c r="BI159" s="360"/>
      <c r="BJ159" s="360"/>
      <c r="BK159" s="360"/>
      <c r="BL159" s="360"/>
      <c r="BM159" s="360"/>
      <c r="BN159" s="360"/>
    </row>
    <row r="160" spans="1:66" ht="15">
      <c r="A160" s="363"/>
      <c r="B160" s="353"/>
      <c r="C160" s="354"/>
      <c r="D160" s="354"/>
      <c r="E160" s="362"/>
      <c r="F160" s="362"/>
      <c r="G160" s="362"/>
      <c r="H160" s="362"/>
      <c r="I160" s="425"/>
      <c r="J160" s="370"/>
      <c r="K160" s="370"/>
      <c r="L160" s="370"/>
      <c r="M160" s="370"/>
      <c r="N160" s="362"/>
      <c r="O160" s="362"/>
      <c r="P160" s="384"/>
      <c r="Q160" s="385"/>
      <c r="R160" s="385"/>
      <c r="S160" s="383"/>
      <c r="T160" s="360"/>
      <c r="U160" s="360"/>
      <c r="V160" s="360"/>
      <c r="W160" s="360"/>
      <c r="X160" s="360"/>
      <c r="Y160" s="360"/>
      <c r="Z160" s="360"/>
      <c r="AA160" s="360"/>
      <c r="AB160" s="360"/>
      <c r="AC160" s="360"/>
      <c r="AD160" s="360"/>
      <c r="AE160" s="360"/>
      <c r="AF160" s="360"/>
      <c r="AG160" s="360"/>
      <c r="AH160" s="360"/>
      <c r="AI160" s="360"/>
      <c r="AJ160" s="360"/>
      <c r="AK160" s="360"/>
      <c r="AL160" s="360"/>
      <c r="AM160" s="360"/>
      <c r="AN160" s="360"/>
      <c r="AO160" s="360"/>
      <c r="AP160" s="360"/>
      <c r="AQ160" s="360"/>
      <c r="AR160" s="360"/>
      <c r="AS160" s="360"/>
      <c r="AT160" s="360"/>
      <c r="AU160" s="360"/>
      <c r="AV160" s="360"/>
      <c r="AW160" s="360"/>
      <c r="AX160" s="360"/>
      <c r="AY160" s="360"/>
      <c r="AZ160" s="360"/>
      <c r="BA160" s="360"/>
      <c r="BB160" s="360"/>
      <c r="BC160" s="360"/>
      <c r="BD160" s="360"/>
      <c r="BE160" s="360"/>
      <c r="BF160" s="360"/>
      <c r="BG160" s="360"/>
      <c r="BH160" s="360"/>
      <c r="BI160" s="360"/>
      <c r="BJ160" s="360"/>
      <c r="BK160" s="360"/>
      <c r="BL160" s="360"/>
      <c r="BM160" s="360"/>
      <c r="BN160" s="360"/>
    </row>
    <row r="161" spans="1:66" ht="15">
      <c r="A161" s="363">
        <v>9</v>
      </c>
      <c r="B161" s="353"/>
      <c r="C161" s="354" t="s">
        <v>791</v>
      </c>
      <c r="D161" s="354"/>
      <c r="E161" s="362"/>
      <c r="F161" s="362"/>
      <c r="G161" s="362"/>
      <c r="H161" s="362"/>
      <c r="I161" s="362"/>
      <c r="J161" s="402">
        <f>IF(J157&gt;0,J159/J157,0)</f>
        <v>1</v>
      </c>
      <c r="K161" s="402"/>
      <c r="L161" s="402"/>
      <c r="M161" s="402"/>
      <c r="N161" s="425"/>
      <c r="O161" s="425"/>
      <c r="P161" s="384"/>
      <c r="Q161" s="385"/>
      <c r="R161" s="385"/>
      <c r="S161" s="383"/>
      <c r="T161" s="360"/>
      <c r="U161" s="360"/>
      <c r="V161" s="360"/>
      <c r="W161" s="360"/>
      <c r="X161" s="360"/>
      <c r="Y161" s="36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360"/>
      <c r="AJ161" s="360"/>
      <c r="AK161" s="360"/>
      <c r="AL161" s="360"/>
      <c r="AM161" s="360"/>
      <c r="AN161" s="360"/>
      <c r="AO161" s="360"/>
      <c r="AP161" s="360"/>
      <c r="AQ161" s="360"/>
      <c r="AR161" s="360"/>
      <c r="AS161" s="360"/>
      <c r="AT161" s="360"/>
      <c r="AU161" s="360"/>
      <c r="AV161" s="360"/>
      <c r="AW161" s="360"/>
      <c r="AX161" s="360"/>
      <c r="AY161" s="360"/>
      <c r="AZ161" s="360"/>
      <c r="BA161" s="360"/>
      <c r="BB161" s="360"/>
      <c r="BC161" s="360"/>
      <c r="BD161" s="360"/>
      <c r="BE161" s="360"/>
      <c r="BF161" s="360"/>
      <c r="BG161" s="360"/>
      <c r="BH161" s="360"/>
      <c r="BI161" s="360"/>
      <c r="BJ161" s="360"/>
      <c r="BK161" s="360"/>
      <c r="BL161" s="360"/>
      <c r="BM161" s="360"/>
      <c r="BN161" s="360"/>
    </row>
    <row r="162" spans="1:66" ht="15">
      <c r="A162" s="363">
        <v>10</v>
      </c>
      <c r="B162" s="353"/>
      <c r="C162" s="354" t="s">
        <v>928</v>
      </c>
      <c r="D162" s="354"/>
      <c r="E162" s="362"/>
      <c r="F162" s="362"/>
      <c r="G162" s="362"/>
      <c r="H162" s="651" t="s">
        <v>461</v>
      </c>
      <c r="J162" s="452">
        <f>J153</f>
        <v>0.31265638857715589</v>
      </c>
      <c r="K162" s="452"/>
      <c r="L162" s="452"/>
      <c r="M162" s="452"/>
      <c r="N162" s="425"/>
      <c r="O162" s="425"/>
      <c r="P162" s="384"/>
      <c r="Q162" s="385"/>
      <c r="R162" s="385"/>
      <c r="S162" s="383"/>
      <c r="T162" s="360"/>
      <c r="U162" s="360"/>
      <c r="V162" s="360"/>
      <c r="W162" s="360"/>
      <c r="X162" s="360"/>
      <c r="Y162" s="360"/>
      <c r="Z162" s="360"/>
      <c r="AA162" s="360"/>
      <c r="AB162" s="360"/>
      <c r="AC162" s="360"/>
      <c r="AD162" s="360"/>
      <c r="AE162" s="360"/>
      <c r="AF162" s="360"/>
      <c r="AG162" s="360"/>
      <c r="AH162" s="360"/>
      <c r="AI162" s="360"/>
      <c r="AJ162" s="360"/>
      <c r="AK162" s="360"/>
      <c r="AL162" s="360"/>
      <c r="AM162" s="360"/>
      <c r="AN162" s="360"/>
      <c r="AO162" s="360"/>
      <c r="AP162" s="360"/>
      <c r="AQ162" s="360"/>
      <c r="AR162" s="360"/>
      <c r="AS162" s="360"/>
      <c r="AT162" s="360"/>
      <c r="AU162" s="360"/>
      <c r="AV162" s="360"/>
      <c r="AW162" s="360"/>
      <c r="AX162" s="360"/>
      <c r="AY162" s="360"/>
      <c r="AZ162" s="360"/>
      <c r="BA162" s="360"/>
      <c r="BB162" s="360"/>
      <c r="BC162" s="360"/>
      <c r="BD162" s="360"/>
      <c r="BE162" s="360"/>
      <c r="BF162" s="360"/>
      <c r="BG162" s="360"/>
      <c r="BH162" s="360"/>
      <c r="BI162" s="360"/>
      <c r="BJ162" s="360"/>
      <c r="BK162" s="360"/>
      <c r="BL162" s="360"/>
      <c r="BM162" s="360"/>
      <c r="BN162" s="360"/>
    </row>
    <row r="163" spans="1:66" ht="15">
      <c r="A163" s="363">
        <v>11</v>
      </c>
      <c r="B163" s="353"/>
      <c r="C163" s="354" t="s">
        <v>929</v>
      </c>
      <c r="D163" s="354"/>
      <c r="E163" s="354"/>
      <c r="F163" s="354"/>
      <c r="G163" s="354"/>
      <c r="H163" s="651" t="s">
        <v>729</v>
      </c>
      <c r="J163" s="453">
        <f>+J162*J161</f>
        <v>0.31265638857715589</v>
      </c>
      <c r="K163" s="453"/>
      <c r="L163" s="453"/>
      <c r="M163" s="453"/>
      <c r="N163" s="425"/>
      <c r="O163" s="425"/>
      <c r="P163" s="384"/>
      <c r="Q163" s="385"/>
      <c r="R163" s="385"/>
      <c r="S163" s="383"/>
      <c r="T163" s="360"/>
      <c r="U163" s="360"/>
      <c r="V163" s="360"/>
      <c r="W163" s="360"/>
      <c r="X163" s="360"/>
      <c r="Y163" s="360"/>
      <c r="Z163" s="360"/>
      <c r="AA163" s="360"/>
      <c r="AB163" s="360"/>
      <c r="AC163" s="360"/>
      <c r="AD163" s="360"/>
      <c r="AE163" s="360"/>
      <c r="AF163" s="360"/>
      <c r="AG163" s="360"/>
      <c r="AH163" s="360"/>
      <c r="AI163" s="360"/>
      <c r="AJ163" s="360"/>
      <c r="AK163" s="360"/>
      <c r="AL163" s="360"/>
      <c r="AM163" s="360"/>
      <c r="AN163" s="360"/>
      <c r="AO163" s="360"/>
      <c r="AP163" s="360"/>
      <c r="AQ163" s="360"/>
      <c r="AR163" s="360"/>
      <c r="AS163" s="360"/>
      <c r="AT163" s="360"/>
      <c r="AU163" s="360"/>
      <c r="AV163" s="360"/>
      <c r="AW163" s="360"/>
      <c r="AX163" s="360"/>
      <c r="AY163" s="360"/>
      <c r="AZ163" s="360"/>
      <c r="BA163" s="360"/>
      <c r="BB163" s="360"/>
      <c r="BC163" s="360"/>
      <c r="BD163" s="360"/>
      <c r="BE163" s="360"/>
      <c r="BF163" s="360"/>
      <c r="BG163" s="360"/>
      <c r="BH163" s="360"/>
      <c r="BI163" s="360"/>
      <c r="BJ163" s="360"/>
      <c r="BK163" s="360"/>
      <c r="BL163" s="360"/>
      <c r="BM163" s="360"/>
      <c r="BN163" s="360"/>
    </row>
    <row r="164" spans="1:66" ht="15">
      <c r="A164" s="353"/>
      <c r="B164" s="353"/>
      <c r="C164" s="353"/>
      <c r="D164" s="353"/>
      <c r="E164" s="353"/>
      <c r="F164" s="353"/>
      <c r="G164" s="353"/>
      <c r="H164" s="353"/>
      <c r="I164" s="353"/>
      <c r="J164" s="353"/>
      <c r="K164" s="353"/>
      <c r="L164" s="353"/>
      <c r="M164" s="353"/>
      <c r="N164" s="425"/>
      <c r="O164" s="425"/>
      <c r="P164" s="384"/>
      <c r="Q164" s="385"/>
      <c r="R164" s="385"/>
      <c r="S164" s="383"/>
      <c r="T164" s="360"/>
      <c r="U164" s="360"/>
      <c r="V164" s="360"/>
      <c r="W164" s="360"/>
      <c r="X164" s="360"/>
      <c r="Y164" s="360"/>
      <c r="Z164" s="360"/>
      <c r="AA164" s="360"/>
      <c r="AB164" s="360"/>
      <c r="AC164" s="360"/>
      <c r="AD164" s="360"/>
      <c r="AE164" s="360"/>
      <c r="AF164" s="360"/>
      <c r="AG164" s="360"/>
      <c r="AH164" s="360"/>
      <c r="AI164" s="360"/>
      <c r="AJ164" s="360"/>
      <c r="AK164" s="360"/>
      <c r="AL164" s="360"/>
      <c r="AM164" s="360"/>
      <c r="AN164" s="360"/>
      <c r="AO164" s="360"/>
      <c r="AP164" s="360"/>
      <c r="AQ164" s="360"/>
      <c r="AR164" s="360"/>
      <c r="AS164" s="360"/>
      <c r="AT164" s="360"/>
      <c r="AU164" s="360"/>
      <c r="AV164" s="360"/>
      <c r="AW164" s="360"/>
      <c r="AX164" s="360"/>
      <c r="AY164" s="360"/>
      <c r="AZ164" s="360"/>
      <c r="BA164" s="360"/>
      <c r="BB164" s="360"/>
      <c r="BC164" s="360"/>
      <c r="BD164" s="360"/>
      <c r="BE164" s="360"/>
      <c r="BF164" s="360"/>
      <c r="BG164" s="360"/>
      <c r="BH164" s="360"/>
      <c r="BI164" s="360"/>
      <c r="BJ164" s="360"/>
      <c r="BK164" s="360"/>
      <c r="BL164" s="360"/>
      <c r="BM164" s="360"/>
      <c r="BN164" s="360"/>
    </row>
    <row r="165" spans="1:66" ht="15">
      <c r="A165" s="363"/>
      <c r="B165" s="353"/>
      <c r="C165" s="425"/>
      <c r="D165" s="354"/>
      <c r="E165" s="362"/>
      <c r="F165" s="362"/>
      <c r="G165" s="362"/>
      <c r="H165" s="361"/>
      <c r="I165" s="362"/>
      <c r="J165" s="353"/>
      <c r="K165" s="353"/>
      <c r="L165" s="353"/>
      <c r="M165" s="353"/>
      <c r="N165" s="425"/>
      <c r="O165" s="425"/>
      <c r="P165" s="384"/>
      <c r="Q165" s="385"/>
      <c r="R165" s="385"/>
      <c r="S165" s="383"/>
      <c r="T165" s="360"/>
      <c r="U165" s="360"/>
      <c r="V165" s="360"/>
      <c r="W165" s="360"/>
      <c r="X165" s="360"/>
      <c r="Y165" s="360"/>
      <c r="Z165" s="360"/>
      <c r="AA165" s="360"/>
      <c r="AB165" s="360"/>
      <c r="AC165" s="360"/>
      <c r="AD165" s="360"/>
      <c r="AE165" s="360"/>
      <c r="AF165" s="360"/>
      <c r="AG165" s="360"/>
      <c r="AH165" s="360"/>
      <c r="AI165" s="360"/>
      <c r="AJ165" s="360"/>
      <c r="AK165" s="360"/>
      <c r="AL165" s="360"/>
      <c r="AM165" s="360"/>
      <c r="AN165" s="360"/>
      <c r="AO165" s="360"/>
      <c r="AP165" s="360"/>
      <c r="AQ165" s="360"/>
      <c r="AR165" s="360"/>
      <c r="AS165" s="360"/>
      <c r="AT165" s="360"/>
      <c r="AU165" s="360"/>
      <c r="AV165" s="360"/>
      <c r="AW165" s="360"/>
      <c r="AX165" s="360"/>
      <c r="AY165" s="360"/>
      <c r="AZ165" s="360"/>
      <c r="BA165" s="360"/>
      <c r="BB165" s="360"/>
      <c r="BC165" s="360"/>
      <c r="BD165" s="360"/>
      <c r="BE165" s="360"/>
      <c r="BF165" s="360"/>
      <c r="BG165" s="360"/>
      <c r="BH165" s="360"/>
      <c r="BI165" s="360"/>
      <c r="BJ165" s="360"/>
      <c r="BK165" s="360"/>
      <c r="BL165" s="360"/>
      <c r="BM165" s="360"/>
      <c r="BN165" s="360"/>
    </row>
    <row r="166" spans="1:66" ht="15">
      <c r="A166" s="363" t="s">
        <v>665</v>
      </c>
      <c r="B166" s="353"/>
      <c r="C166" s="356" t="s">
        <v>731</v>
      </c>
      <c r="D166" s="362"/>
      <c r="E166" s="362"/>
      <c r="F166" s="362"/>
      <c r="G166" s="362"/>
      <c r="H166" s="362"/>
      <c r="I166" s="362"/>
      <c r="J166" s="362"/>
      <c r="K166" s="362"/>
      <c r="L166" s="362"/>
      <c r="M166" s="362"/>
      <c r="N166" s="362"/>
      <c r="O166" s="362"/>
      <c r="P166" s="384"/>
      <c r="Q166" s="385"/>
      <c r="R166" s="385"/>
      <c r="S166" s="383"/>
      <c r="T166" s="360"/>
      <c r="U166" s="360"/>
      <c r="V166" s="360"/>
      <c r="W166" s="360"/>
      <c r="X166" s="360"/>
      <c r="Y166" s="360"/>
      <c r="Z166" s="360"/>
      <c r="AA166" s="360"/>
      <c r="AB166" s="360"/>
      <c r="AC166" s="360"/>
      <c r="AD166" s="360"/>
      <c r="AE166" s="360"/>
      <c r="AF166" s="360"/>
      <c r="AG166" s="360"/>
      <c r="AH166" s="360"/>
      <c r="AI166" s="360"/>
      <c r="AJ166" s="360"/>
      <c r="AK166" s="360"/>
      <c r="AL166" s="360"/>
      <c r="AM166" s="360"/>
      <c r="AN166" s="360"/>
      <c r="AO166" s="360"/>
      <c r="AP166" s="360"/>
      <c r="AQ166" s="360"/>
      <c r="AR166" s="360"/>
      <c r="AS166" s="360"/>
      <c r="AT166" s="360"/>
      <c r="AU166" s="360"/>
      <c r="AV166" s="360"/>
      <c r="AW166" s="360"/>
      <c r="AX166" s="360"/>
      <c r="AY166" s="360"/>
      <c r="AZ166" s="360"/>
      <c r="BA166" s="360"/>
      <c r="BB166" s="360"/>
      <c r="BC166" s="360"/>
      <c r="BD166" s="360"/>
      <c r="BE166" s="360"/>
      <c r="BF166" s="360"/>
      <c r="BG166" s="360"/>
      <c r="BH166" s="360"/>
      <c r="BI166" s="360"/>
      <c r="BJ166" s="360"/>
      <c r="BK166" s="360"/>
      <c r="BL166" s="360"/>
      <c r="BM166" s="360"/>
      <c r="BN166" s="360"/>
    </row>
    <row r="167" spans="1:66" ht="15.75" thickBot="1">
      <c r="A167" s="363" t="s">
        <v>665</v>
      </c>
      <c r="B167" s="353"/>
      <c r="C167" s="356"/>
      <c r="D167" s="429"/>
      <c r="E167" s="454" t="s">
        <v>733</v>
      </c>
      <c r="F167" s="454"/>
      <c r="G167" s="429"/>
      <c r="H167" s="454" t="s">
        <v>734</v>
      </c>
      <c r="I167" s="362"/>
      <c r="J167" s="362"/>
      <c r="K167" s="362"/>
      <c r="L167" s="429" t="s">
        <v>671</v>
      </c>
      <c r="M167" s="454" t="s">
        <v>734</v>
      </c>
      <c r="N167" s="362"/>
      <c r="O167" s="362"/>
      <c r="P167" s="384"/>
      <c r="Q167" s="385"/>
      <c r="R167" s="385"/>
      <c r="S167" s="383"/>
      <c r="T167" s="360"/>
      <c r="U167" s="360"/>
      <c r="V167" s="360"/>
      <c r="W167" s="360"/>
      <c r="X167" s="360"/>
      <c r="Y167" s="360"/>
      <c r="Z167" s="360"/>
      <c r="AA167" s="360"/>
      <c r="AB167" s="360"/>
      <c r="AC167" s="360"/>
      <c r="AD167" s="360"/>
      <c r="AE167" s="360"/>
      <c r="AF167" s="360"/>
      <c r="AG167" s="360"/>
      <c r="AH167" s="360"/>
      <c r="AI167" s="360"/>
      <c r="AJ167" s="360"/>
      <c r="AK167" s="360"/>
      <c r="AL167" s="360"/>
      <c r="AM167" s="360"/>
      <c r="AN167" s="360"/>
      <c r="AO167" s="360"/>
      <c r="AP167" s="360"/>
      <c r="AQ167" s="360"/>
      <c r="AR167" s="360"/>
      <c r="AS167" s="360"/>
      <c r="AT167" s="360"/>
      <c r="AU167" s="360"/>
      <c r="AV167" s="360"/>
      <c r="AW167" s="360"/>
      <c r="AX167" s="360"/>
      <c r="AY167" s="360"/>
      <c r="AZ167" s="360"/>
      <c r="BA167" s="360"/>
      <c r="BB167" s="360"/>
      <c r="BC167" s="360"/>
      <c r="BD167" s="360"/>
      <c r="BE167" s="360"/>
      <c r="BF167" s="360"/>
      <c r="BG167" s="360"/>
      <c r="BH167" s="360"/>
      <c r="BI167" s="360"/>
      <c r="BJ167" s="360"/>
      <c r="BK167" s="360"/>
      <c r="BL167" s="360"/>
      <c r="BM167" s="360"/>
      <c r="BN167" s="360"/>
    </row>
    <row r="168" spans="1:66" ht="15">
      <c r="A168" s="363">
        <v>12</v>
      </c>
      <c r="B168" s="353"/>
      <c r="C168" s="356" t="s">
        <v>684</v>
      </c>
      <c r="D168" s="362"/>
      <c r="E168" s="404">
        <v>0</v>
      </c>
      <c r="G168" s="455">
        <v>0</v>
      </c>
      <c r="H168" s="362">
        <f>E168*G168</f>
        <v>0</v>
      </c>
      <c r="I168" s="362"/>
      <c r="K168" s="362"/>
      <c r="L168" s="362"/>
      <c r="M168" s="362"/>
      <c r="N168" s="362"/>
      <c r="O168" s="362"/>
      <c r="P168" s="384"/>
      <c r="Q168" s="385"/>
      <c r="R168" s="385"/>
      <c r="S168" s="383"/>
      <c r="T168" s="360"/>
      <c r="U168" s="360"/>
      <c r="V168" s="360"/>
      <c r="W168" s="360"/>
      <c r="X168" s="360"/>
      <c r="Y168" s="360"/>
      <c r="Z168" s="360"/>
      <c r="AA168" s="360"/>
      <c r="AB168" s="360"/>
      <c r="AC168" s="360"/>
      <c r="AD168" s="360"/>
      <c r="AE168" s="360"/>
      <c r="AF168" s="360"/>
      <c r="AG168" s="360"/>
      <c r="AH168" s="360"/>
      <c r="AI168" s="360"/>
      <c r="AJ168" s="360"/>
      <c r="AK168" s="360"/>
      <c r="AL168" s="360"/>
      <c r="AM168" s="360"/>
      <c r="AN168" s="360"/>
      <c r="AO168" s="360"/>
      <c r="AP168" s="360"/>
      <c r="AQ168" s="360"/>
      <c r="AR168" s="360"/>
      <c r="AS168" s="360"/>
      <c r="AT168" s="360"/>
      <c r="AU168" s="360"/>
      <c r="AV168" s="360"/>
      <c r="AW168" s="360"/>
      <c r="AX168" s="360"/>
      <c r="AY168" s="360"/>
      <c r="AZ168" s="360"/>
      <c r="BA168" s="360"/>
      <c r="BB168" s="360"/>
      <c r="BC168" s="360"/>
      <c r="BD168" s="360"/>
      <c r="BE168" s="360"/>
      <c r="BF168" s="360"/>
      <c r="BG168" s="360"/>
      <c r="BH168" s="360"/>
      <c r="BI168" s="360"/>
      <c r="BJ168" s="360"/>
      <c r="BK168" s="360"/>
      <c r="BL168" s="360"/>
      <c r="BM168" s="360"/>
      <c r="BN168" s="360"/>
    </row>
    <row r="169" spans="1:66" ht="15">
      <c r="A169" s="363">
        <v>13</v>
      </c>
      <c r="B169" s="353"/>
      <c r="C169" s="356" t="s">
        <v>686</v>
      </c>
      <c r="D169" s="362"/>
      <c r="E169" s="404">
        <v>165602</v>
      </c>
      <c r="G169" s="467">
        <v>1</v>
      </c>
      <c r="H169" s="362">
        <f>E169*G169</f>
        <v>165602</v>
      </c>
      <c r="I169" s="362"/>
      <c r="J169" s="456" t="s">
        <v>735</v>
      </c>
      <c r="K169" s="456"/>
      <c r="L169" s="647">
        <f>+J162</f>
        <v>0.31265638857715589</v>
      </c>
      <c r="M169" s="649">
        <f>+L169*E169</f>
        <v>51776.523261154172</v>
      </c>
      <c r="N169" s="362"/>
      <c r="O169" s="456" t="s">
        <v>735</v>
      </c>
      <c r="P169" s="358"/>
      <c r="Q169" s="385"/>
      <c r="R169" s="385"/>
      <c r="S169" s="383"/>
      <c r="T169" s="360"/>
      <c r="U169" s="360"/>
      <c r="V169" s="360"/>
      <c r="W169" s="360"/>
      <c r="X169" s="360"/>
      <c r="Y169" s="360"/>
      <c r="Z169" s="360"/>
      <c r="AA169" s="360"/>
      <c r="AB169" s="360"/>
      <c r="AC169" s="360"/>
      <c r="AD169" s="360"/>
      <c r="AE169" s="360"/>
      <c r="AF169" s="360"/>
      <c r="AG169" s="360"/>
      <c r="AH169" s="360"/>
      <c r="AI169" s="360"/>
      <c r="AJ169" s="360"/>
      <c r="AK169" s="360"/>
      <c r="AL169" s="360"/>
      <c r="AM169" s="360"/>
      <c r="AN169" s="360"/>
      <c r="AO169" s="360"/>
      <c r="AP169" s="360"/>
      <c r="AQ169" s="360"/>
      <c r="AR169" s="360"/>
      <c r="AS169" s="360"/>
      <c r="AT169" s="360"/>
      <c r="AU169" s="360"/>
      <c r="AV169" s="360"/>
      <c r="AW169" s="360"/>
      <c r="AX169" s="360"/>
      <c r="AY169" s="360"/>
      <c r="AZ169" s="360"/>
      <c r="BA169" s="360"/>
      <c r="BB169" s="360"/>
      <c r="BC169" s="360"/>
      <c r="BD169" s="360"/>
      <c r="BE169" s="360"/>
      <c r="BF169" s="360"/>
      <c r="BG169" s="360"/>
      <c r="BH169" s="360"/>
      <c r="BI169" s="360"/>
      <c r="BJ169" s="360"/>
      <c r="BK169" s="360"/>
      <c r="BL169" s="360"/>
      <c r="BM169" s="360"/>
      <c r="BN169" s="360"/>
    </row>
    <row r="170" spans="1:66" ht="15">
      <c r="A170" s="363">
        <v>14</v>
      </c>
      <c r="B170" s="353"/>
      <c r="C170" s="356" t="s">
        <v>687</v>
      </c>
      <c r="D170" s="362"/>
      <c r="E170" s="404">
        <v>2498067</v>
      </c>
      <c r="G170" s="455">
        <v>0</v>
      </c>
      <c r="H170" s="362">
        <f>E170*G170</f>
        <v>0</v>
      </c>
      <c r="I170" s="362"/>
      <c r="J170" s="456" t="s">
        <v>147</v>
      </c>
      <c r="K170" s="456"/>
      <c r="L170" s="456"/>
      <c r="N170" s="362"/>
      <c r="O170" s="456" t="s">
        <v>1006</v>
      </c>
      <c r="P170" s="384"/>
      <c r="Q170" s="385"/>
      <c r="R170" s="385"/>
      <c r="S170" s="383"/>
      <c r="T170" s="360"/>
      <c r="U170" s="360"/>
      <c r="V170" s="360"/>
      <c r="W170" s="360"/>
      <c r="X170" s="360"/>
      <c r="Y170" s="360"/>
      <c r="Z170" s="360"/>
      <c r="AA170" s="360"/>
      <c r="AB170" s="360"/>
      <c r="AC170" s="360"/>
      <c r="AD170" s="360"/>
      <c r="AE170" s="360"/>
      <c r="AF170" s="360"/>
      <c r="AG170" s="360"/>
      <c r="AH170" s="360"/>
      <c r="AI170" s="360"/>
      <c r="AJ170" s="360"/>
      <c r="AK170" s="360"/>
      <c r="AL170" s="360"/>
      <c r="AM170" s="360"/>
      <c r="AN170" s="360"/>
      <c r="AO170" s="360"/>
      <c r="AP170" s="360"/>
      <c r="AQ170" s="360"/>
      <c r="AR170" s="360"/>
      <c r="AS170" s="360"/>
      <c r="AT170" s="360"/>
      <c r="AU170" s="360"/>
      <c r="AV170" s="360"/>
      <c r="AW170" s="360"/>
      <c r="AX170" s="360"/>
      <c r="AY170" s="360"/>
      <c r="AZ170" s="360"/>
      <c r="BA170" s="360"/>
      <c r="BB170" s="360"/>
      <c r="BC170" s="360"/>
      <c r="BD170" s="360"/>
      <c r="BE170" s="360"/>
      <c r="BF170" s="360"/>
      <c r="BG170" s="360"/>
      <c r="BH170" s="360"/>
      <c r="BI170" s="360"/>
      <c r="BJ170" s="360"/>
      <c r="BK170" s="360"/>
      <c r="BL170" s="360"/>
      <c r="BM170" s="360"/>
      <c r="BN170" s="360"/>
    </row>
    <row r="171" spans="1:66" ht="15.75" thickBot="1">
      <c r="A171" s="363">
        <v>15</v>
      </c>
      <c r="B171" s="353"/>
      <c r="C171" s="356" t="s">
        <v>736</v>
      </c>
      <c r="D171" s="362"/>
      <c r="E171" s="447">
        <v>1686856</v>
      </c>
      <c r="G171" s="455">
        <v>0</v>
      </c>
      <c r="H171" s="429">
        <f>E171*G171</f>
        <v>0</v>
      </c>
      <c r="I171" s="362"/>
      <c r="J171" s="365" t="s">
        <v>737</v>
      </c>
      <c r="K171" s="398"/>
      <c r="L171" s="398"/>
      <c r="M171" s="646"/>
      <c r="N171" s="362"/>
      <c r="O171" s="365" t="s">
        <v>737</v>
      </c>
      <c r="P171" s="384"/>
      <c r="Q171" s="385"/>
      <c r="R171" s="385"/>
      <c r="S171" s="383"/>
      <c r="T171" s="360"/>
      <c r="U171" s="360"/>
      <c r="V171" s="360"/>
      <c r="W171" s="360"/>
      <c r="X171" s="360"/>
      <c r="Y171" s="360"/>
      <c r="Z171" s="360"/>
      <c r="AA171" s="360"/>
      <c r="AB171" s="360"/>
      <c r="AC171" s="360"/>
      <c r="AD171" s="360"/>
      <c r="AE171" s="360"/>
      <c r="AF171" s="360"/>
      <c r="AG171" s="360"/>
      <c r="AH171" s="360"/>
      <c r="AI171" s="360"/>
      <c r="AJ171" s="360"/>
      <c r="AK171" s="360"/>
      <c r="AL171" s="360"/>
      <c r="AM171" s="360"/>
      <c r="AN171" s="360"/>
      <c r="AO171" s="360"/>
      <c r="AP171" s="360"/>
      <c r="AQ171" s="360"/>
      <c r="AR171" s="360"/>
      <c r="AS171" s="360"/>
      <c r="AT171" s="360"/>
      <c r="AU171" s="360"/>
      <c r="AV171" s="360"/>
      <c r="AW171" s="360"/>
      <c r="AX171" s="360"/>
      <c r="AY171" s="360"/>
      <c r="AZ171" s="360"/>
      <c r="BA171" s="360"/>
      <c r="BB171" s="360"/>
      <c r="BC171" s="360"/>
      <c r="BD171" s="360"/>
      <c r="BE171" s="360"/>
      <c r="BF171" s="360"/>
      <c r="BG171" s="360"/>
      <c r="BH171" s="360"/>
      <c r="BI171" s="360"/>
      <c r="BJ171" s="360"/>
      <c r="BK171" s="360"/>
      <c r="BL171" s="360"/>
      <c r="BM171" s="360"/>
      <c r="BN171" s="360"/>
    </row>
    <row r="172" spans="1:66" ht="15">
      <c r="A172" s="363">
        <v>16</v>
      </c>
      <c r="B172" s="353"/>
      <c r="C172" s="356" t="s">
        <v>787</v>
      </c>
      <c r="D172" s="362"/>
      <c r="E172" s="404">
        <f>SUM(E168:E171)</f>
        <v>4350525</v>
      </c>
      <c r="F172" s="362"/>
      <c r="G172" s="362"/>
      <c r="H172" s="362">
        <f>SUM(H168:H171)</f>
        <v>165602</v>
      </c>
      <c r="I172" s="355" t="s">
        <v>738</v>
      </c>
      <c r="J172" s="402">
        <f>+H172/E172</f>
        <v>3.8064831255997841E-2</v>
      </c>
      <c r="K172" s="402"/>
      <c r="L172" s="402"/>
      <c r="M172" s="650">
        <f>+M169</f>
        <v>51776.523261154172</v>
      </c>
      <c r="N172" s="362"/>
      <c r="O172" s="402">
        <f>+M169/E172</f>
        <v>1.1901212672299129E-2</v>
      </c>
      <c r="P172" s="384"/>
      <c r="Q172" s="385"/>
      <c r="R172" s="385"/>
      <c r="S172" s="383"/>
      <c r="T172" s="360"/>
      <c r="U172" s="360"/>
      <c r="V172" s="360"/>
      <c r="W172" s="360"/>
      <c r="X172" s="360"/>
      <c r="Y172" s="360"/>
      <c r="Z172" s="360"/>
      <c r="AA172" s="360"/>
      <c r="AB172" s="360"/>
      <c r="AC172" s="360"/>
      <c r="AD172" s="360"/>
      <c r="AE172" s="360"/>
      <c r="AF172" s="360"/>
      <c r="AG172" s="360"/>
      <c r="AH172" s="360"/>
      <c r="AI172" s="360"/>
      <c r="AJ172" s="360"/>
      <c r="AK172" s="360"/>
      <c r="AL172" s="360"/>
      <c r="AM172" s="360"/>
      <c r="AN172" s="360"/>
      <c r="AO172" s="360"/>
      <c r="AP172" s="360"/>
      <c r="AQ172" s="360"/>
      <c r="AR172" s="360"/>
      <c r="AS172" s="360"/>
      <c r="AT172" s="360"/>
      <c r="AU172" s="360"/>
      <c r="AV172" s="360"/>
      <c r="AW172" s="360"/>
      <c r="AX172" s="360"/>
      <c r="AY172" s="360"/>
      <c r="AZ172" s="360"/>
      <c r="BA172" s="360"/>
      <c r="BB172" s="360"/>
      <c r="BC172" s="360"/>
      <c r="BD172" s="360"/>
      <c r="BE172" s="360"/>
      <c r="BF172" s="360"/>
      <c r="BG172" s="360"/>
      <c r="BH172" s="360"/>
      <c r="BI172" s="360"/>
      <c r="BJ172" s="360"/>
      <c r="BK172" s="360"/>
      <c r="BL172" s="360"/>
      <c r="BM172" s="360"/>
      <c r="BN172" s="360"/>
    </row>
    <row r="173" spans="1:66" ht="15">
      <c r="A173" s="363" t="s">
        <v>665</v>
      </c>
      <c r="B173" s="353"/>
      <c r="C173" s="356" t="s">
        <v>665</v>
      </c>
      <c r="D173" s="362" t="s">
        <v>665</v>
      </c>
      <c r="E173" s="370"/>
      <c r="F173" s="362"/>
      <c r="G173" s="362"/>
      <c r="H173" s="353"/>
      <c r="I173" s="353"/>
      <c r="J173" s="353"/>
      <c r="K173" s="353"/>
      <c r="L173" s="353"/>
      <c r="M173" s="353"/>
      <c r="N173" s="425"/>
      <c r="O173" s="362"/>
      <c r="P173" s="384"/>
      <c r="Q173" s="385"/>
      <c r="R173" s="385"/>
      <c r="S173" s="383"/>
      <c r="T173" s="360"/>
      <c r="U173" s="360"/>
      <c r="V173" s="360"/>
      <c r="W173" s="360"/>
      <c r="X173" s="360"/>
      <c r="Y173" s="360"/>
      <c r="Z173" s="360"/>
      <c r="AA173" s="360"/>
      <c r="AB173" s="360"/>
      <c r="AC173" s="360"/>
      <c r="AD173" s="360"/>
      <c r="AE173" s="360"/>
      <c r="AF173" s="360"/>
      <c r="AG173" s="360"/>
      <c r="AH173" s="360"/>
      <c r="AI173" s="360"/>
      <c r="AJ173" s="360"/>
      <c r="AK173" s="360"/>
      <c r="AL173" s="360"/>
      <c r="AM173" s="360"/>
      <c r="AN173" s="360"/>
      <c r="AO173" s="360"/>
      <c r="AP173" s="360"/>
      <c r="AQ173" s="360"/>
      <c r="AR173" s="360"/>
      <c r="AS173" s="360"/>
      <c r="AT173" s="360"/>
      <c r="AU173" s="360"/>
      <c r="AV173" s="360"/>
      <c r="AW173" s="360"/>
      <c r="AX173" s="360"/>
      <c r="AY173" s="360"/>
      <c r="AZ173" s="360"/>
      <c r="BA173" s="360"/>
      <c r="BB173" s="360"/>
      <c r="BC173" s="360"/>
      <c r="BD173" s="360"/>
      <c r="BE173" s="360"/>
      <c r="BF173" s="360"/>
      <c r="BG173" s="360"/>
      <c r="BH173" s="360"/>
      <c r="BI173" s="360"/>
      <c r="BJ173" s="360"/>
      <c r="BK173" s="360"/>
      <c r="BL173" s="360"/>
      <c r="BM173" s="360"/>
      <c r="BN173" s="360"/>
    </row>
    <row r="174" spans="1:66" ht="15">
      <c r="A174" s="363"/>
      <c r="B174" s="353"/>
      <c r="C174" s="356"/>
      <c r="D174" s="362"/>
      <c r="E174" s="404"/>
      <c r="F174" s="362"/>
      <c r="G174" s="362"/>
      <c r="H174" s="362"/>
      <c r="I174" s="362"/>
      <c r="J174" s="362"/>
      <c r="K174" s="362"/>
      <c r="L174" s="362"/>
      <c r="M174" s="362"/>
      <c r="N174" s="362"/>
      <c r="O174" s="362"/>
      <c r="P174" s="384" t="s">
        <v>665</v>
      </c>
      <c r="Q174" s="385"/>
      <c r="R174" s="385"/>
      <c r="S174" s="383"/>
      <c r="T174" s="360"/>
      <c r="U174" s="360"/>
      <c r="V174" s="360"/>
      <c r="W174" s="360"/>
      <c r="X174" s="360"/>
      <c r="Y174" s="360"/>
      <c r="Z174" s="360"/>
      <c r="AA174" s="360"/>
      <c r="AB174" s="360"/>
      <c r="AC174" s="360"/>
      <c r="AD174" s="360"/>
      <c r="AE174" s="360"/>
      <c r="AF174" s="360"/>
      <c r="AG174" s="360"/>
      <c r="AH174" s="360"/>
      <c r="AI174" s="360"/>
      <c r="AJ174" s="360"/>
      <c r="AK174" s="360"/>
      <c r="AL174" s="360"/>
      <c r="AM174" s="360"/>
      <c r="AN174" s="360"/>
      <c r="AO174" s="360"/>
      <c r="AP174" s="360"/>
      <c r="AQ174" s="360"/>
      <c r="AR174" s="360"/>
      <c r="AS174" s="360"/>
      <c r="AT174" s="360"/>
      <c r="AU174" s="360"/>
      <c r="AV174" s="360"/>
      <c r="AW174" s="360"/>
      <c r="AX174" s="360"/>
      <c r="AY174" s="360"/>
      <c r="AZ174" s="360"/>
      <c r="BA174" s="360"/>
      <c r="BB174" s="360"/>
      <c r="BC174" s="360"/>
      <c r="BD174" s="360"/>
      <c r="BE174" s="360"/>
      <c r="BF174" s="360"/>
      <c r="BG174" s="360"/>
      <c r="BH174" s="360"/>
      <c r="BI174" s="360"/>
      <c r="BJ174" s="360"/>
      <c r="BK174" s="360"/>
      <c r="BL174" s="360"/>
      <c r="BM174" s="360"/>
      <c r="BN174" s="360"/>
    </row>
    <row r="175" spans="1:66" ht="15">
      <c r="A175" s="363"/>
      <c r="B175" s="353"/>
      <c r="C175" s="356" t="s">
        <v>148</v>
      </c>
      <c r="D175" s="362"/>
      <c r="E175" s="404"/>
      <c r="F175" s="362"/>
      <c r="G175" s="362"/>
      <c r="H175" s="362"/>
      <c r="I175" s="362"/>
      <c r="J175" s="362"/>
      <c r="K175" s="362"/>
      <c r="L175" s="362"/>
      <c r="M175" s="362"/>
      <c r="N175" s="362"/>
      <c r="O175" s="362"/>
      <c r="P175" s="384"/>
      <c r="Q175" s="385"/>
      <c r="R175" s="385"/>
      <c r="S175" s="383"/>
      <c r="T175" s="360"/>
      <c r="U175" s="360"/>
      <c r="V175" s="360"/>
      <c r="W175" s="360"/>
      <c r="X175" s="360"/>
      <c r="Y175" s="360"/>
      <c r="Z175" s="360"/>
      <c r="AA175" s="360"/>
      <c r="AB175" s="360"/>
      <c r="AC175" s="360"/>
      <c r="AD175" s="360"/>
      <c r="AE175" s="360"/>
      <c r="AF175" s="360"/>
      <c r="AG175" s="360"/>
      <c r="AH175" s="360"/>
      <c r="AI175" s="360"/>
      <c r="AJ175" s="360"/>
      <c r="AK175" s="360"/>
      <c r="AL175" s="360"/>
      <c r="AM175" s="360"/>
      <c r="AN175" s="360"/>
      <c r="AO175" s="360"/>
      <c r="AP175" s="360"/>
      <c r="AQ175" s="360"/>
      <c r="AR175" s="360"/>
      <c r="AS175" s="360"/>
      <c r="AT175" s="360"/>
      <c r="AU175" s="360"/>
      <c r="AV175" s="360"/>
      <c r="AW175" s="360"/>
      <c r="AX175" s="360"/>
      <c r="AY175" s="360"/>
      <c r="AZ175" s="360"/>
      <c r="BA175" s="360"/>
      <c r="BB175" s="360"/>
      <c r="BC175" s="360"/>
      <c r="BD175" s="360"/>
      <c r="BE175" s="360"/>
      <c r="BF175" s="360"/>
      <c r="BG175" s="360"/>
      <c r="BH175" s="360"/>
      <c r="BI175" s="360"/>
      <c r="BJ175" s="360"/>
      <c r="BK175" s="360"/>
      <c r="BL175" s="360"/>
      <c r="BM175" s="360"/>
      <c r="BN175" s="360"/>
    </row>
    <row r="176" spans="1:66" ht="15">
      <c r="A176" s="363"/>
      <c r="B176" s="353"/>
      <c r="C176" s="356"/>
      <c r="D176" s="362"/>
      <c r="E176" s="457" t="s">
        <v>733</v>
      </c>
      <c r="F176" s="362"/>
      <c r="G176" s="362"/>
      <c r="H176" s="361" t="s">
        <v>739</v>
      </c>
      <c r="I176" s="442" t="s">
        <v>665</v>
      </c>
      <c r="J176" s="406" t="s">
        <v>149</v>
      </c>
      <c r="K176" s="406"/>
      <c r="L176" s="406"/>
      <c r="M176" s="406"/>
      <c r="N176" s="425"/>
      <c r="O176" s="425"/>
      <c r="P176" s="384"/>
      <c r="Q176" s="385"/>
      <c r="R176" s="385"/>
      <c r="S176" s="383"/>
      <c r="T176" s="360"/>
      <c r="U176" s="360"/>
      <c r="V176" s="360"/>
      <c r="W176" s="360"/>
      <c r="X176" s="360"/>
      <c r="Y176" s="360"/>
      <c r="Z176" s="360"/>
      <c r="AA176" s="360"/>
      <c r="AB176" s="360"/>
      <c r="AC176" s="360"/>
      <c r="AD176" s="360"/>
      <c r="AE176" s="360"/>
      <c r="AF176" s="360"/>
      <c r="AG176" s="360"/>
      <c r="AH176" s="360"/>
      <c r="AI176" s="360"/>
      <c r="AJ176" s="360"/>
      <c r="AK176" s="360"/>
      <c r="AL176" s="360"/>
      <c r="AM176" s="360"/>
      <c r="AN176" s="360"/>
      <c r="AO176" s="360"/>
      <c r="AP176" s="360"/>
      <c r="AQ176" s="360"/>
      <c r="AR176" s="360"/>
      <c r="AS176" s="360"/>
      <c r="AT176" s="360"/>
      <c r="AU176" s="360"/>
      <c r="AV176" s="360"/>
      <c r="AW176" s="360"/>
      <c r="AX176" s="360"/>
      <c r="AY176" s="360"/>
      <c r="AZ176" s="360"/>
      <c r="BA176" s="360"/>
      <c r="BB176" s="360"/>
      <c r="BC176" s="360"/>
      <c r="BD176" s="360"/>
      <c r="BE176" s="360"/>
      <c r="BF176" s="360"/>
      <c r="BG176" s="360"/>
      <c r="BH176" s="360"/>
      <c r="BI176" s="360"/>
      <c r="BJ176" s="360"/>
      <c r="BK176" s="360"/>
      <c r="BL176" s="360"/>
      <c r="BM176" s="360"/>
      <c r="BN176" s="360"/>
    </row>
    <row r="177" spans="1:66" ht="15">
      <c r="A177" s="363">
        <v>17</v>
      </c>
      <c r="B177" s="353"/>
      <c r="C177" s="356" t="s">
        <v>740</v>
      </c>
      <c r="D177" s="362"/>
      <c r="E177" s="404">
        <v>0</v>
      </c>
      <c r="F177" s="362"/>
      <c r="G177" s="425"/>
      <c r="H177" s="363" t="s">
        <v>741</v>
      </c>
      <c r="I177" s="442"/>
      <c r="J177" s="363" t="s">
        <v>742</v>
      </c>
      <c r="K177" s="363"/>
      <c r="L177" s="363"/>
      <c r="M177" s="363"/>
      <c r="N177" s="362"/>
      <c r="O177" s="355" t="s">
        <v>743</v>
      </c>
      <c r="P177" s="384"/>
      <c r="Q177" s="385"/>
      <c r="R177" s="385"/>
      <c r="S177" s="383"/>
      <c r="T177" s="360"/>
      <c r="U177" s="360"/>
      <c r="V177" s="360"/>
      <c r="W177" s="360"/>
      <c r="X177" s="360"/>
      <c r="Y177" s="360"/>
      <c r="Z177" s="360"/>
      <c r="AA177" s="360"/>
      <c r="AB177" s="360"/>
      <c r="AC177" s="360"/>
      <c r="AD177" s="360"/>
      <c r="AE177" s="360"/>
      <c r="AF177" s="360"/>
      <c r="AG177" s="360"/>
      <c r="AH177" s="360"/>
      <c r="AI177" s="360"/>
      <c r="AJ177" s="360"/>
      <c r="AK177" s="360"/>
      <c r="AL177" s="360"/>
      <c r="AM177" s="360"/>
      <c r="AN177" s="360"/>
      <c r="AO177" s="360"/>
      <c r="AP177" s="360"/>
      <c r="AQ177" s="360"/>
      <c r="AR177" s="360"/>
      <c r="AS177" s="360"/>
      <c r="AT177" s="360"/>
      <c r="AU177" s="360"/>
      <c r="AV177" s="360"/>
      <c r="AW177" s="360"/>
      <c r="AX177" s="360"/>
      <c r="AY177" s="360"/>
      <c r="AZ177" s="360"/>
      <c r="BA177" s="360"/>
      <c r="BB177" s="360"/>
      <c r="BC177" s="360"/>
      <c r="BD177" s="360"/>
      <c r="BE177" s="360"/>
      <c r="BF177" s="360"/>
      <c r="BG177" s="360"/>
      <c r="BH177" s="360"/>
      <c r="BI177" s="360"/>
      <c r="BJ177" s="360"/>
      <c r="BK177" s="360"/>
      <c r="BL177" s="360"/>
      <c r="BM177" s="360"/>
      <c r="BN177" s="360"/>
    </row>
    <row r="178" spans="1:66" ht="15">
      <c r="A178" s="363">
        <v>18</v>
      </c>
      <c r="B178" s="353"/>
      <c r="C178" s="356" t="s">
        <v>744</v>
      </c>
      <c r="D178" s="362"/>
      <c r="E178" s="404">
        <v>0</v>
      </c>
      <c r="F178" s="362"/>
      <c r="G178" s="425"/>
      <c r="H178" s="439">
        <f>IF(E180&gt;0,E177/E180,0)</f>
        <v>0</v>
      </c>
      <c r="I178" s="361" t="s">
        <v>745</v>
      </c>
      <c r="J178" s="439">
        <f>O172</f>
        <v>1.1901212672299129E-2</v>
      </c>
      <c r="K178" s="439"/>
      <c r="L178" s="439"/>
      <c r="M178" s="439"/>
      <c r="N178" s="442" t="s">
        <v>738</v>
      </c>
      <c r="O178" s="439">
        <f>J178*H178</f>
        <v>0</v>
      </c>
      <c r="P178" s="384"/>
      <c r="Q178" s="385"/>
      <c r="R178" s="385"/>
      <c r="S178" s="383"/>
      <c r="T178" s="360"/>
      <c r="U178" s="360"/>
      <c r="V178" s="360"/>
      <c r="W178" s="360"/>
      <c r="X178" s="360"/>
      <c r="Y178" s="360"/>
      <c r="Z178" s="360"/>
      <c r="AA178" s="360"/>
      <c r="AB178" s="360"/>
      <c r="AC178" s="360"/>
      <c r="AD178" s="360"/>
      <c r="AE178" s="360"/>
      <c r="AF178" s="360"/>
      <c r="AG178" s="360"/>
      <c r="AH178" s="360"/>
      <c r="AI178" s="360"/>
      <c r="AJ178" s="360"/>
      <c r="AK178" s="360"/>
      <c r="AL178" s="360"/>
      <c r="AM178" s="360"/>
      <c r="AN178" s="360"/>
      <c r="AO178" s="360"/>
      <c r="AP178" s="360"/>
      <c r="AQ178" s="360"/>
      <c r="AR178" s="360"/>
      <c r="AS178" s="360"/>
      <c r="AT178" s="360"/>
      <c r="AU178" s="360"/>
      <c r="AV178" s="360"/>
      <c r="AW178" s="360"/>
      <c r="AX178" s="360"/>
      <c r="AY178" s="360"/>
      <c r="AZ178" s="360"/>
      <c r="BA178" s="360"/>
      <c r="BB178" s="360"/>
      <c r="BC178" s="360"/>
      <c r="BD178" s="360"/>
      <c r="BE178" s="360"/>
      <c r="BF178" s="360"/>
      <c r="BG178" s="360"/>
      <c r="BH178" s="360"/>
      <c r="BI178" s="360"/>
      <c r="BJ178" s="360"/>
      <c r="BK178" s="360"/>
      <c r="BL178" s="360"/>
      <c r="BM178" s="360"/>
      <c r="BN178" s="360"/>
    </row>
    <row r="179" spans="1:66" ht="15.75" thickBot="1">
      <c r="A179" s="363">
        <v>19</v>
      </c>
      <c r="B179" s="353"/>
      <c r="C179" s="458" t="s">
        <v>746</v>
      </c>
      <c r="D179" s="429"/>
      <c r="E179" s="447">
        <v>0</v>
      </c>
      <c r="F179" s="362"/>
      <c r="G179" s="362"/>
      <c r="H179" s="362" t="s">
        <v>665</v>
      </c>
      <c r="I179" s="362"/>
      <c r="J179" s="362"/>
      <c r="K179" s="362"/>
      <c r="L179" s="362"/>
      <c r="M179" s="362"/>
      <c r="N179" s="362"/>
      <c r="O179" s="362"/>
      <c r="P179" s="384"/>
      <c r="Q179" s="385"/>
      <c r="R179" s="385"/>
      <c r="S179" s="383"/>
      <c r="T179" s="360"/>
      <c r="U179" s="360"/>
      <c r="V179" s="360"/>
      <c r="W179" s="360"/>
      <c r="X179" s="360"/>
      <c r="Y179" s="360"/>
      <c r="Z179" s="360"/>
      <c r="AA179" s="360"/>
      <c r="AB179" s="360"/>
      <c r="AC179" s="360"/>
      <c r="AD179" s="360"/>
      <c r="AE179" s="360"/>
      <c r="AF179" s="360"/>
      <c r="AG179" s="360"/>
      <c r="AH179" s="360"/>
      <c r="AI179" s="360"/>
      <c r="AJ179" s="360"/>
      <c r="AK179" s="360"/>
      <c r="AL179" s="360"/>
      <c r="AM179" s="360"/>
      <c r="AN179" s="360"/>
      <c r="AO179" s="360"/>
      <c r="AP179" s="360"/>
      <c r="AQ179" s="360"/>
      <c r="AR179" s="360"/>
      <c r="AS179" s="360"/>
      <c r="AT179" s="360"/>
      <c r="AU179" s="360"/>
      <c r="AV179" s="360"/>
      <c r="AW179" s="360"/>
      <c r="AX179" s="360"/>
      <c r="AY179" s="360"/>
      <c r="AZ179" s="360"/>
      <c r="BA179" s="360"/>
      <c r="BB179" s="360"/>
      <c r="BC179" s="360"/>
      <c r="BD179" s="360"/>
      <c r="BE179" s="360"/>
      <c r="BF179" s="360"/>
      <c r="BG179" s="360"/>
      <c r="BH179" s="360"/>
      <c r="BI179" s="360"/>
      <c r="BJ179" s="360"/>
      <c r="BK179" s="360"/>
      <c r="BL179" s="360"/>
      <c r="BM179" s="360"/>
      <c r="BN179" s="360"/>
    </row>
    <row r="180" spans="1:66" ht="15">
      <c r="A180" s="363">
        <v>20</v>
      </c>
      <c r="B180" s="353"/>
      <c r="C180" s="356" t="s">
        <v>150</v>
      </c>
      <c r="D180" s="362"/>
      <c r="E180" s="404">
        <f>E177+E178+E179</f>
        <v>0</v>
      </c>
      <c r="F180" s="362"/>
      <c r="G180" s="362"/>
      <c r="H180" s="362"/>
      <c r="I180" s="362"/>
      <c r="J180" s="362"/>
      <c r="K180" s="362"/>
      <c r="L180" s="362"/>
      <c r="M180" s="362"/>
      <c r="N180" s="362"/>
      <c r="O180" s="362"/>
      <c r="P180" s="384"/>
      <c r="Q180" s="385"/>
      <c r="R180" s="385"/>
      <c r="S180" s="383"/>
      <c r="T180" s="360"/>
      <c r="U180" s="360"/>
      <c r="V180" s="360"/>
      <c r="W180" s="360"/>
      <c r="X180" s="360"/>
      <c r="Y180" s="360"/>
      <c r="Z180" s="360"/>
      <c r="AA180" s="360"/>
      <c r="AB180" s="360"/>
      <c r="AC180" s="360"/>
      <c r="AD180" s="360"/>
      <c r="AE180" s="360"/>
      <c r="AF180" s="360"/>
      <c r="AG180" s="360"/>
      <c r="AH180" s="360"/>
      <c r="AI180" s="360"/>
      <c r="AJ180" s="360"/>
      <c r="AK180" s="360"/>
      <c r="AL180" s="360"/>
      <c r="AM180" s="360"/>
      <c r="AN180" s="360"/>
      <c r="AO180" s="360"/>
      <c r="AP180" s="360"/>
      <c r="AQ180" s="360"/>
      <c r="AR180" s="360"/>
      <c r="AS180" s="360"/>
      <c r="AT180" s="360"/>
      <c r="AU180" s="360"/>
      <c r="AV180" s="360"/>
      <c r="AW180" s="360"/>
      <c r="AX180" s="360"/>
      <c r="AY180" s="360"/>
      <c r="AZ180" s="360"/>
      <c r="BA180" s="360"/>
      <c r="BB180" s="360"/>
      <c r="BC180" s="360"/>
      <c r="BD180" s="360"/>
      <c r="BE180" s="360"/>
      <c r="BF180" s="360"/>
      <c r="BG180" s="360"/>
      <c r="BH180" s="360"/>
      <c r="BI180" s="360"/>
      <c r="BJ180" s="360"/>
      <c r="BK180" s="360"/>
      <c r="BL180" s="360"/>
      <c r="BM180" s="360"/>
      <c r="BN180" s="360"/>
    </row>
    <row r="181" spans="1:66" ht="15">
      <c r="A181" s="363"/>
      <c r="B181" s="353"/>
      <c r="C181" s="356" t="s">
        <v>665</v>
      </c>
      <c r="D181" s="362"/>
      <c r="E181" s="370"/>
      <c r="F181" s="362"/>
      <c r="G181" s="362"/>
      <c r="H181" s="362"/>
      <c r="I181" s="362"/>
      <c r="J181" s="362" t="s">
        <v>665</v>
      </c>
      <c r="K181" s="362"/>
      <c r="L181" s="362"/>
      <c r="M181" s="362"/>
      <c r="N181" s="362" t="s">
        <v>665</v>
      </c>
      <c r="O181" s="362"/>
      <c r="P181" s="384"/>
      <c r="Q181" s="385"/>
      <c r="R181" s="385"/>
      <c r="S181" s="383"/>
      <c r="T181" s="360"/>
      <c r="U181" s="360"/>
      <c r="V181" s="360"/>
      <c r="W181" s="360"/>
      <c r="X181" s="360"/>
      <c r="Y181" s="360"/>
      <c r="Z181" s="360"/>
      <c r="AA181" s="360"/>
      <c r="AB181" s="360"/>
      <c r="AC181" s="360"/>
      <c r="AD181" s="360"/>
      <c r="AE181" s="360"/>
      <c r="AF181" s="360"/>
      <c r="AG181" s="360"/>
      <c r="AH181" s="360"/>
      <c r="AI181" s="360"/>
      <c r="AJ181" s="360"/>
      <c r="AK181" s="360"/>
      <c r="AL181" s="360"/>
      <c r="AM181" s="360"/>
      <c r="AN181" s="360"/>
      <c r="AO181" s="360"/>
      <c r="AP181" s="360"/>
      <c r="AQ181" s="360"/>
      <c r="AR181" s="360"/>
      <c r="AS181" s="360"/>
      <c r="AT181" s="360"/>
      <c r="AU181" s="360"/>
      <c r="AV181" s="360"/>
      <c r="AW181" s="360"/>
      <c r="AX181" s="360"/>
      <c r="AY181" s="360"/>
      <c r="AZ181" s="360"/>
      <c r="BA181" s="360"/>
      <c r="BB181" s="360"/>
      <c r="BC181" s="360"/>
      <c r="BD181" s="360"/>
      <c r="BE181" s="360"/>
      <c r="BF181" s="360"/>
      <c r="BG181" s="360"/>
      <c r="BH181" s="360"/>
      <c r="BI181" s="360"/>
      <c r="BJ181" s="360"/>
      <c r="BK181" s="360"/>
      <c r="BL181" s="360"/>
      <c r="BM181" s="360"/>
      <c r="BN181" s="360"/>
    </row>
    <row r="182" spans="1:66" ht="15">
      <c r="A182" s="363"/>
      <c r="B182" s="353"/>
      <c r="C182" s="356"/>
      <c r="D182" s="362"/>
      <c r="E182" s="370"/>
      <c r="F182" s="362"/>
      <c r="G182" s="362"/>
      <c r="H182" s="362"/>
      <c r="I182" s="362"/>
      <c r="J182" s="362"/>
      <c r="K182" s="362"/>
      <c r="L182" s="362"/>
      <c r="M182" s="362"/>
      <c r="N182" s="362"/>
      <c r="O182" s="362"/>
      <c r="P182" s="384"/>
      <c r="Q182" s="385"/>
      <c r="R182" s="385"/>
      <c r="S182" s="383"/>
      <c r="T182" s="360"/>
      <c r="U182" s="360"/>
      <c r="V182" s="360"/>
      <c r="W182" s="360"/>
      <c r="X182" s="360"/>
      <c r="Y182" s="360"/>
      <c r="Z182" s="360"/>
      <c r="AA182" s="360"/>
      <c r="AB182" s="360"/>
      <c r="AC182" s="360"/>
      <c r="AD182" s="360"/>
      <c r="AE182" s="360"/>
      <c r="AF182" s="360"/>
      <c r="AG182" s="360"/>
      <c r="AH182" s="360"/>
      <c r="AI182" s="360"/>
      <c r="AJ182" s="360"/>
      <c r="AK182" s="360"/>
      <c r="AL182" s="360"/>
      <c r="AM182" s="360"/>
      <c r="AN182" s="360"/>
      <c r="AO182" s="360"/>
      <c r="AP182" s="360"/>
      <c r="AQ182" s="360"/>
      <c r="AR182" s="360"/>
      <c r="AS182" s="360"/>
      <c r="AT182" s="360"/>
      <c r="AU182" s="360"/>
      <c r="AV182" s="360"/>
      <c r="AW182" s="360"/>
      <c r="AX182" s="360"/>
      <c r="AY182" s="360"/>
      <c r="AZ182" s="360"/>
      <c r="BA182" s="360"/>
      <c r="BB182" s="360"/>
      <c r="BC182" s="360"/>
      <c r="BD182" s="360"/>
      <c r="BE182" s="360"/>
      <c r="BF182" s="360"/>
      <c r="BG182" s="360"/>
      <c r="BH182" s="360"/>
      <c r="BI182" s="360"/>
      <c r="BJ182" s="360"/>
      <c r="BK182" s="360"/>
      <c r="BL182" s="360"/>
      <c r="BM182" s="360"/>
      <c r="BN182" s="360"/>
    </row>
    <row r="183" spans="1:66" ht="15">
      <c r="A183" s="363"/>
      <c r="B183" s="353"/>
      <c r="C183" s="356" t="s">
        <v>747</v>
      </c>
      <c r="D183" s="362"/>
      <c r="E183" s="370"/>
      <c r="F183" s="362"/>
      <c r="G183" s="362"/>
      <c r="I183" s="362"/>
      <c r="J183" s="362"/>
      <c r="K183" s="362"/>
      <c r="L183" s="362"/>
      <c r="M183" s="362"/>
      <c r="N183" s="362"/>
      <c r="O183" s="362"/>
      <c r="P183" s="384"/>
      <c r="Q183" s="385"/>
      <c r="R183" s="385"/>
      <c r="S183" s="383"/>
      <c r="T183" s="360"/>
      <c r="U183" s="360"/>
      <c r="V183" s="360"/>
      <c r="W183" s="360"/>
      <c r="X183" s="360"/>
      <c r="Y183" s="360"/>
      <c r="Z183" s="360"/>
      <c r="AA183" s="360"/>
      <c r="AB183" s="360"/>
      <c r="AC183" s="360"/>
      <c r="AD183" s="360"/>
      <c r="AE183" s="360"/>
      <c r="AF183" s="360"/>
      <c r="AG183" s="360"/>
      <c r="AH183" s="360"/>
      <c r="AI183" s="360"/>
      <c r="AJ183" s="360"/>
      <c r="AK183" s="360"/>
      <c r="AL183" s="360"/>
      <c r="AM183" s="360"/>
      <c r="AN183" s="360"/>
      <c r="AO183" s="360"/>
      <c r="AP183" s="360"/>
      <c r="AQ183" s="360"/>
      <c r="AR183" s="360"/>
      <c r="AS183" s="360"/>
      <c r="AT183" s="360"/>
      <c r="AU183" s="360"/>
      <c r="AV183" s="360"/>
      <c r="AW183" s="360"/>
      <c r="AX183" s="360"/>
      <c r="AY183" s="360"/>
      <c r="AZ183" s="360"/>
      <c r="BA183" s="360"/>
      <c r="BB183" s="360"/>
      <c r="BC183" s="360"/>
      <c r="BD183" s="360"/>
      <c r="BE183" s="360"/>
      <c r="BF183" s="360"/>
      <c r="BG183" s="360"/>
      <c r="BH183" s="360"/>
      <c r="BI183" s="360"/>
      <c r="BJ183" s="360"/>
      <c r="BK183" s="360"/>
      <c r="BL183" s="360"/>
      <c r="BM183" s="360"/>
      <c r="BN183" s="360"/>
    </row>
    <row r="184" spans="1:66" ht="15.75" thickBot="1">
      <c r="A184" s="363"/>
      <c r="B184" s="353"/>
      <c r="D184" s="363" t="s">
        <v>492</v>
      </c>
      <c r="E184" s="460" t="s">
        <v>887</v>
      </c>
      <c r="F184" s="646"/>
      <c r="G184" s="461" t="s">
        <v>749</v>
      </c>
      <c r="H184" s="454" t="s">
        <v>748</v>
      </c>
      <c r="I184" s="429"/>
      <c r="J184" s="461" t="s">
        <v>750</v>
      </c>
      <c r="K184" s="610"/>
      <c r="L184" s="610"/>
      <c r="M184" s="610"/>
      <c r="N184" s="362"/>
      <c r="O184" s="362"/>
      <c r="P184" s="384"/>
      <c r="Q184" s="385"/>
      <c r="R184" s="385"/>
      <c r="S184" s="383"/>
      <c r="T184" s="360"/>
      <c r="U184" s="360"/>
      <c r="V184" s="360"/>
      <c r="W184" s="360"/>
      <c r="X184" s="360"/>
      <c r="Y184" s="360"/>
      <c r="Z184" s="360"/>
      <c r="AA184" s="360"/>
      <c r="AB184" s="360"/>
      <c r="AC184" s="360"/>
      <c r="AD184" s="360"/>
      <c r="AE184" s="360"/>
      <c r="AF184" s="360"/>
      <c r="AG184" s="360"/>
      <c r="AH184" s="360"/>
      <c r="AI184" s="360"/>
      <c r="AJ184" s="360"/>
      <c r="AK184" s="360"/>
      <c r="AL184" s="360"/>
      <c r="AM184" s="360"/>
      <c r="AN184" s="360"/>
      <c r="AO184" s="360"/>
      <c r="AP184" s="360"/>
      <c r="AQ184" s="360"/>
      <c r="AR184" s="360"/>
      <c r="AS184" s="360"/>
      <c r="AT184" s="360"/>
      <c r="AU184" s="360"/>
      <c r="AV184" s="360"/>
      <c r="AW184" s="360"/>
      <c r="AX184" s="360"/>
      <c r="AY184" s="360"/>
      <c r="AZ184" s="360"/>
      <c r="BA184" s="360"/>
      <c r="BB184" s="360"/>
      <c r="BC184" s="360"/>
      <c r="BD184" s="360"/>
      <c r="BE184" s="360"/>
      <c r="BF184" s="360"/>
      <c r="BG184" s="360"/>
      <c r="BH184" s="360"/>
      <c r="BI184" s="360"/>
      <c r="BJ184" s="360"/>
      <c r="BK184" s="360"/>
      <c r="BL184" s="360"/>
      <c r="BM184" s="360"/>
      <c r="BN184" s="360"/>
    </row>
    <row r="185" spans="1:66" ht="15">
      <c r="A185" s="363">
        <v>21</v>
      </c>
      <c r="B185" s="353"/>
      <c r="C185" s="356" t="s">
        <v>500</v>
      </c>
      <c r="D185" s="376" t="s">
        <v>532</v>
      </c>
      <c r="E185" s="404">
        <v>54921</v>
      </c>
      <c r="G185" s="462">
        <f>IF($E$187&gt;0,E185/$E$187,0)</f>
        <v>0.36377064056114505</v>
      </c>
      <c r="H185" s="739">
        <v>4.3099999999999999E-2</v>
      </c>
      <c r="I185" s="353"/>
      <c r="J185" s="462">
        <f>H185*G185</f>
        <v>1.567851460818535E-2</v>
      </c>
      <c r="K185" s="462"/>
      <c r="L185" s="462"/>
      <c r="M185" s="462"/>
      <c r="N185" s="464"/>
      <c r="O185" s="353"/>
      <c r="P185" s="384"/>
      <c r="Q185" s="385"/>
      <c r="R185" s="385"/>
      <c r="S185" s="383"/>
      <c r="T185" s="360"/>
      <c r="U185" s="360"/>
      <c r="V185" s="360"/>
      <c r="W185" s="360"/>
      <c r="X185" s="360"/>
      <c r="Y185" s="360"/>
      <c r="Z185" s="360"/>
      <c r="AA185" s="360"/>
      <c r="AB185" s="360"/>
      <c r="AC185" s="360"/>
      <c r="AD185" s="360"/>
      <c r="AE185" s="360"/>
      <c r="AF185" s="360"/>
      <c r="AG185" s="360"/>
      <c r="AH185" s="360"/>
      <c r="AI185" s="360"/>
      <c r="AJ185" s="360"/>
      <c r="AK185" s="360"/>
      <c r="AL185" s="360"/>
      <c r="AM185" s="360"/>
      <c r="AN185" s="360"/>
      <c r="AO185" s="360"/>
      <c r="AP185" s="360"/>
      <c r="AQ185" s="360"/>
      <c r="AR185" s="360"/>
      <c r="AS185" s="360"/>
      <c r="AT185" s="360"/>
      <c r="AU185" s="360"/>
      <c r="AV185" s="360"/>
      <c r="AW185" s="360"/>
      <c r="AX185" s="360"/>
      <c r="AY185" s="360"/>
      <c r="AZ185" s="360"/>
      <c r="BA185" s="360"/>
      <c r="BB185" s="360"/>
      <c r="BC185" s="360"/>
      <c r="BD185" s="360"/>
      <c r="BE185" s="360"/>
      <c r="BF185" s="360"/>
      <c r="BG185" s="360"/>
      <c r="BH185" s="360"/>
      <c r="BI185" s="360"/>
      <c r="BJ185" s="360"/>
      <c r="BK185" s="360"/>
      <c r="BL185" s="360"/>
      <c r="BM185" s="360"/>
      <c r="BN185" s="360"/>
    </row>
    <row r="186" spans="1:66" ht="15.75" thickBot="1">
      <c r="A186" s="363">
        <v>22</v>
      </c>
      <c r="B186" s="353"/>
      <c r="C186" s="356" t="s">
        <v>84</v>
      </c>
      <c r="D186" s="376" t="str">
        <f>+D185</f>
        <v>Exhibit No. BBP-10, Sch. 21</v>
      </c>
      <c r="E186" s="447">
        <v>96056</v>
      </c>
      <c r="G186" s="462">
        <f>IF($E$187&gt;0,E186/$E$187,0)</f>
        <v>0.63622935943885495</v>
      </c>
      <c r="H186" s="462">
        <v>0.1085</v>
      </c>
      <c r="I186" s="353"/>
      <c r="J186" s="465">
        <f>H186*G186</f>
        <v>6.9030885499115763E-2</v>
      </c>
      <c r="K186" s="611"/>
      <c r="L186" s="611"/>
      <c r="M186" s="611"/>
      <c r="N186" s="362"/>
      <c r="O186" s="353"/>
      <c r="P186" s="384"/>
      <c r="Q186" s="385"/>
      <c r="R186" s="385"/>
      <c r="S186" s="383"/>
      <c r="T186" s="360"/>
      <c r="U186" s="360"/>
      <c r="V186" s="360"/>
      <c r="W186" s="360"/>
      <c r="X186" s="360"/>
      <c r="Y186" s="360"/>
      <c r="Z186" s="360"/>
      <c r="AA186" s="360"/>
      <c r="AB186" s="360"/>
      <c r="AC186" s="360"/>
      <c r="AD186" s="360"/>
      <c r="AE186" s="360"/>
      <c r="AF186" s="360"/>
      <c r="AG186" s="360"/>
      <c r="AH186" s="360"/>
      <c r="AI186" s="360"/>
      <c r="AJ186" s="360"/>
      <c r="AK186" s="360"/>
      <c r="AL186" s="360"/>
      <c r="AM186" s="360"/>
      <c r="AN186" s="360"/>
      <c r="AO186" s="360"/>
      <c r="AP186" s="360"/>
      <c r="AQ186" s="360"/>
      <c r="AR186" s="360"/>
      <c r="AS186" s="360"/>
      <c r="AT186" s="360"/>
      <c r="AU186" s="360"/>
      <c r="AV186" s="360"/>
      <c r="AW186" s="360"/>
      <c r="AX186" s="360"/>
      <c r="AY186" s="360"/>
      <c r="AZ186" s="360"/>
      <c r="BA186" s="360"/>
      <c r="BB186" s="360"/>
      <c r="BC186" s="360"/>
      <c r="BD186" s="360"/>
      <c r="BE186" s="360"/>
      <c r="BF186" s="360"/>
      <c r="BG186" s="360"/>
      <c r="BH186" s="360"/>
      <c r="BI186" s="360"/>
      <c r="BJ186" s="360"/>
      <c r="BK186" s="360"/>
      <c r="BL186" s="360"/>
      <c r="BM186" s="360"/>
      <c r="BN186" s="360"/>
    </row>
    <row r="187" spans="1:66" ht="15">
      <c r="A187" s="363">
        <v>23</v>
      </c>
      <c r="B187" s="353"/>
      <c r="C187" s="356" t="s">
        <v>151</v>
      </c>
      <c r="D187" s="459"/>
      <c r="E187" s="404">
        <f>SUM(E185:E186)</f>
        <v>150977</v>
      </c>
      <c r="G187" s="648">
        <f>IF($E$187&gt;0,E187/$E$187,0)</f>
        <v>1</v>
      </c>
      <c r="H187" s="463"/>
      <c r="I187" s="353"/>
      <c r="J187" s="462">
        <f>SUM(J185:J186)</f>
        <v>8.4709400107301117E-2</v>
      </c>
      <c r="K187" s="462"/>
      <c r="L187" s="462"/>
      <c r="M187" s="462"/>
      <c r="N187" s="464"/>
      <c r="O187" s="353"/>
      <c r="P187" s="384"/>
      <c r="Q187" s="385"/>
      <c r="R187" s="385"/>
      <c r="S187" s="383"/>
      <c r="T187" s="360"/>
      <c r="U187" s="360"/>
      <c r="V187" s="360"/>
      <c r="W187" s="360"/>
      <c r="X187" s="360"/>
      <c r="Y187" s="360"/>
      <c r="Z187" s="360"/>
      <c r="AA187" s="360"/>
      <c r="AB187" s="360"/>
      <c r="AC187" s="360"/>
      <c r="AD187" s="360"/>
      <c r="AE187" s="360"/>
      <c r="AF187" s="360"/>
      <c r="AG187" s="360"/>
      <c r="AH187" s="360"/>
      <c r="AI187" s="360"/>
      <c r="AJ187" s="360"/>
      <c r="AK187" s="360"/>
      <c r="AL187" s="360"/>
      <c r="AM187" s="360"/>
      <c r="AN187" s="360"/>
      <c r="AO187" s="360"/>
      <c r="AP187" s="360"/>
      <c r="AQ187" s="360"/>
      <c r="AR187" s="360"/>
      <c r="AS187" s="360"/>
      <c r="AT187" s="360"/>
      <c r="AU187" s="360"/>
      <c r="AV187" s="360"/>
      <c r="AW187" s="360"/>
      <c r="AX187" s="360"/>
      <c r="AY187" s="360"/>
      <c r="AZ187" s="360"/>
      <c r="BA187" s="360"/>
      <c r="BB187" s="360"/>
      <c r="BC187" s="360"/>
      <c r="BD187" s="360"/>
      <c r="BE187" s="360"/>
      <c r="BF187" s="360"/>
      <c r="BG187" s="360"/>
      <c r="BH187" s="360"/>
      <c r="BI187" s="360"/>
      <c r="BJ187" s="360"/>
      <c r="BK187" s="360"/>
      <c r="BL187" s="360"/>
      <c r="BM187" s="360"/>
      <c r="BN187" s="360"/>
    </row>
    <row r="188" spans="1:66" ht="15">
      <c r="A188" s="363" t="s">
        <v>665</v>
      </c>
      <c r="B188" s="353"/>
      <c r="C188" s="356"/>
      <c r="D188" s="353"/>
      <c r="E188" s="404"/>
      <c r="F188" s="362" t="s">
        <v>665</v>
      </c>
      <c r="G188" s="362"/>
      <c r="H188" s="362"/>
      <c r="I188" s="362"/>
      <c r="J188" s="463"/>
      <c r="K188" s="463"/>
      <c r="L188" s="463"/>
      <c r="M188" s="463"/>
      <c r="N188" s="353"/>
      <c r="O188" s="353"/>
      <c r="P188" s="384"/>
      <c r="Q188" s="385"/>
      <c r="R188" s="385"/>
      <c r="S188" s="383"/>
      <c r="T188" s="360"/>
      <c r="U188" s="360"/>
      <c r="V188" s="360"/>
      <c r="W188" s="360"/>
      <c r="X188" s="360"/>
      <c r="Y188" s="360"/>
      <c r="Z188" s="360"/>
      <c r="AA188" s="360"/>
      <c r="AB188" s="360"/>
      <c r="AC188" s="360"/>
      <c r="AD188" s="360"/>
      <c r="AE188" s="360"/>
      <c r="AF188" s="360"/>
      <c r="AG188" s="360"/>
      <c r="AH188" s="360"/>
      <c r="AI188" s="360"/>
      <c r="AJ188" s="360"/>
      <c r="AK188" s="360"/>
      <c r="AL188" s="360"/>
      <c r="AM188" s="360"/>
      <c r="AN188" s="360"/>
      <c r="AO188" s="360"/>
      <c r="AP188" s="360"/>
      <c r="AQ188" s="360"/>
      <c r="AR188" s="360"/>
      <c r="AS188" s="360"/>
      <c r="AT188" s="360"/>
      <c r="AU188" s="360"/>
      <c r="AV188" s="360"/>
      <c r="AW188" s="360"/>
      <c r="AX188" s="360"/>
      <c r="AY188" s="360"/>
      <c r="AZ188" s="360"/>
      <c r="BA188" s="360"/>
      <c r="BB188" s="360"/>
      <c r="BC188" s="360"/>
      <c r="BD188" s="360"/>
      <c r="BE188" s="360"/>
      <c r="BF188" s="360"/>
      <c r="BG188" s="360"/>
      <c r="BH188" s="360"/>
      <c r="BI188" s="360"/>
      <c r="BJ188" s="360"/>
      <c r="BK188" s="360"/>
      <c r="BL188" s="360"/>
      <c r="BM188" s="360"/>
      <c r="BN188" s="360"/>
    </row>
    <row r="189" spans="1:66" ht="15">
      <c r="A189" s="363"/>
      <c r="B189" s="353"/>
      <c r="C189" s="353"/>
      <c r="D189" s="353"/>
      <c r="E189" s="353"/>
      <c r="F189" s="362"/>
      <c r="G189" s="362"/>
      <c r="H189" s="362"/>
      <c r="I189" s="362"/>
      <c r="J189" s="466"/>
      <c r="K189" s="466"/>
      <c r="L189" s="466"/>
      <c r="M189" s="466"/>
      <c r="N189" s="353"/>
      <c r="O189" s="353"/>
      <c r="P189" s="384"/>
      <c r="Q189" s="385"/>
      <c r="R189" s="385"/>
      <c r="S189" s="383"/>
      <c r="T189" s="360"/>
      <c r="U189" s="360"/>
      <c r="V189" s="360"/>
      <c r="W189" s="360"/>
      <c r="X189" s="360"/>
      <c r="Y189" s="360"/>
      <c r="Z189" s="360"/>
      <c r="AA189" s="360"/>
      <c r="AB189" s="360"/>
      <c r="AC189" s="360"/>
      <c r="AD189" s="360"/>
      <c r="AE189" s="360"/>
      <c r="AF189" s="360"/>
      <c r="AG189" s="360"/>
      <c r="AH189" s="360"/>
      <c r="AI189" s="360"/>
      <c r="AJ189" s="360"/>
      <c r="AK189" s="360"/>
      <c r="AL189" s="360"/>
      <c r="AM189" s="360"/>
      <c r="AN189" s="360"/>
      <c r="AO189" s="360"/>
      <c r="AP189" s="360"/>
      <c r="AQ189" s="360"/>
      <c r="AR189" s="360"/>
      <c r="AS189" s="360"/>
      <c r="AT189" s="360"/>
      <c r="AU189" s="360"/>
      <c r="AV189" s="360"/>
      <c r="AW189" s="360"/>
      <c r="AX189" s="360"/>
      <c r="AY189" s="360"/>
      <c r="AZ189" s="360"/>
      <c r="BA189" s="360"/>
      <c r="BB189" s="360"/>
      <c r="BC189" s="360"/>
      <c r="BD189" s="360"/>
      <c r="BE189" s="360"/>
      <c r="BF189" s="360"/>
      <c r="BG189" s="360"/>
      <c r="BH189" s="360"/>
      <c r="BI189" s="360"/>
      <c r="BJ189" s="360"/>
      <c r="BK189" s="360"/>
      <c r="BL189" s="360"/>
      <c r="BM189" s="360"/>
      <c r="BN189" s="360"/>
    </row>
    <row r="190" spans="1:66" ht="15">
      <c r="A190" s="363"/>
      <c r="B190" s="353"/>
      <c r="C190" s="425"/>
      <c r="D190" s="353"/>
      <c r="E190" s="425"/>
      <c r="F190" s="425"/>
      <c r="G190" s="425"/>
      <c r="H190" s="425"/>
      <c r="I190" s="425"/>
      <c r="J190" s="467"/>
      <c r="K190" s="467"/>
      <c r="L190" s="467"/>
      <c r="M190" s="467"/>
      <c r="N190" s="425"/>
      <c r="O190" s="362"/>
      <c r="P190" s="384"/>
      <c r="Q190" s="385"/>
      <c r="R190" s="385"/>
      <c r="S190" s="383"/>
      <c r="T190" s="360"/>
      <c r="U190" s="360"/>
      <c r="V190" s="360"/>
      <c r="W190" s="360"/>
      <c r="X190" s="360"/>
      <c r="Y190" s="360"/>
      <c r="Z190" s="360"/>
      <c r="AA190" s="360"/>
      <c r="AB190" s="360"/>
      <c r="AC190" s="360"/>
      <c r="AD190" s="360"/>
      <c r="AE190" s="360"/>
      <c r="AF190" s="360"/>
      <c r="AG190" s="360"/>
      <c r="AH190" s="360"/>
      <c r="AI190" s="360"/>
      <c r="AJ190" s="360"/>
      <c r="AK190" s="360"/>
      <c r="AL190" s="360"/>
      <c r="AM190" s="360"/>
      <c r="AN190" s="360"/>
      <c r="AO190" s="360"/>
      <c r="AP190" s="360"/>
      <c r="AQ190" s="360"/>
      <c r="AR190" s="360"/>
      <c r="AS190" s="360"/>
      <c r="AT190" s="360"/>
      <c r="AU190" s="360"/>
      <c r="AV190" s="360"/>
      <c r="AW190" s="360"/>
      <c r="AX190" s="360"/>
      <c r="AY190" s="360"/>
      <c r="AZ190" s="360"/>
      <c r="BA190" s="360"/>
      <c r="BB190" s="360"/>
      <c r="BC190" s="360"/>
      <c r="BD190" s="360"/>
      <c r="BE190" s="360"/>
      <c r="BF190" s="360"/>
      <c r="BG190" s="360"/>
      <c r="BH190" s="360"/>
      <c r="BI190" s="360"/>
      <c r="BJ190" s="360"/>
      <c r="BK190" s="360"/>
      <c r="BL190" s="360"/>
      <c r="BM190" s="360"/>
      <c r="BN190" s="360"/>
    </row>
    <row r="191" spans="1:66" ht="15.75">
      <c r="A191" s="363"/>
      <c r="B191" s="353"/>
      <c r="C191" s="382"/>
      <c r="D191" s="468"/>
      <c r="E191" s="384"/>
      <c r="F191" s="384"/>
      <c r="G191" s="384"/>
      <c r="H191" s="384"/>
      <c r="I191" s="459"/>
      <c r="J191" s="384"/>
      <c r="K191" s="384"/>
      <c r="L191" s="384"/>
      <c r="M191" s="384"/>
      <c r="N191" s="459"/>
      <c r="O191" s="384"/>
      <c r="P191" s="459"/>
      <c r="Q191" s="469"/>
      <c r="R191" s="359"/>
      <c r="S191" s="383"/>
      <c r="T191" s="360"/>
      <c r="U191" s="360"/>
      <c r="V191" s="360"/>
      <c r="W191" s="360"/>
      <c r="X191" s="360"/>
      <c r="Y191" s="360"/>
      <c r="Z191" s="360"/>
      <c r="AA191" s="360"/>
      <c r="AB191" s="360"/>
      <c r="AC191" s="360"/>
      <c r="AD191" s="360"/>
      <c r="AE191" s="360"/>
      <c r="AF191" s="360"/>
      <c r="AG191" s="360"/>
      <c r="AH191" s="360"/>
      <c r="AI191" s="360"/>
      <c r="AJ191" s="360"/>
      <c r="AK191" s="360"/>
      <c r="AL191" s="360"/>
      <c r="AM191" s="360"/>
      <c r="AN191" s="360"/>
      <c r="AO191" s="360"/>
      <c r="AP191" s="360"/>
      <c r="AQ191" s="360"/>
      <c r="AR191" s="360"/>
      <c r="AS191" s="360"/>
      <c r="AT191" s="360"/>
      <c r="AU191" s="360"/>
      <c r="AV191" s="360"/>
      <c r="AW191" s="360"/>
      <c r="AX191" s="360"/>
      <c r="AY191" s="360"/>
      <c r="AZ191" s="360"/>
      <c r="BA191" s="360"/>
      <c r="BB191" s="360"/>
      <c r="BC191" s="360"/>
      <c r="BD191" s="360"/>
      <c r="BE191" s="360"/>
      <c r="BF191" s="360"/>
      <c r="BG191" s="360"/>
      <c r="BH191" s="360"/>
      <c r="BI191" s="360"/>
      <c r="BJ191" s="360"/>
      <c r="BK191" s="360"/>
      <c r="BL191" s="360"/>
      <c r="BM191" s="360"/>
      <c r="BN191" s="360"/>
    </row>
    <row r="192" spans="1:66" ht="15">
      <c r="A192" s="363"/>
      <c r="B192" s="353"/>
      <c r="C192" s="382"/>
      <c r="D192" s="358"/>
      <c r="E192" s="384"/>
      <c r="F192" s="384"/>
      <c r="G192" s="384"/>
      <c r="H192" s="384"/>
      <c r="I192" s="358"/>
      <c r="J192" s="384"/>
      <c r="K192" s="384"/>
      <c r="L192" s="384"/>
      <c r="M192" s="384"/>
      <c r="N192" s="358"/>
      <c r="O192" s="384"/>
      <c r="P192" s="358"/>
      <c r="Q192" s="359"/>
      <c r="R192" s="359"/>
      <c r="S192" s="383"/>
      <c r="T192" s="360"/>
      <c r="U192" s="360"/>
      <c r="V192" s="360"/>
      <c r="W192" s="360"/>
      <c r="X192" s="360"/>
      <c r="Y192" s="360"/>
      <c r="Z192" s="360"/>
      <c r="AA192" s="360"/>
      <c r="AB192" s="360"/>
      <c r="AC192" s="360"/>
      <c r="AD192" s="360"/>
      <c r="AE192" s="360"/>
      <c r="AF192" s="360"/>
      <c r="AG192" s="360"/>
      <c r="AH192" s="360"/>
      <c r="AI192" s="360"/>
      <c r="AJ192" s="360"/>
      <c r="AK192" s="360"/>
      <c r="AL192" s="360"/>
      <c r="AM192" s="360"/>
      <c r="AN192" s="360"/>
      <c r="AO192" s="360"/>
      <c r="AP192" s="360"/>
      <c r="AQ192" s="360"/>
      <c r="AR192" s="360"/>
      <c r="AS192" s="360"/>
      <c r="AT192" s="360"/>
      <c r="AU192" s="360"/>
      <c r="AV192" s="360"/>
      <c r="AW192" s="360"/>
      <c r="AX192" s="360"/>
      <c r="AY192" s="360"/>
      <c r="AZ192" s="360"/>
      <c r="BA192" s="360"/>
      <c r="BB192" s="360"/>
      <c r="BC192" s="360"/>
      <c r="BD192" s="360"/>
      <c r="BE192" s="360"/>
      <c r="BF192" s="360"/>
      <c r="BG192" s="360"/>
      <c r="BH192" s="360"/>
      <c r="BI192" s="360"/>
      <c r="BJ192" s="360"/>
      <c r="BK192" s="360"/>
      <c r="BL192" s="360"/>
      <c r="BM192" s="360"/>
      <c r="BN192" s="360"/>
    </row>
    <row r="193" spans="1:66" ht="15">
      <c r="A193" s="363"/>
      <c r="B193" s="353"/>
      <c r="C193" s="382"/>
      <c r="D193" s="358"/>
      <c r="E193" s="384"/>
      <c r="F193" s="384"/>
      <c r="G193" s="384"/>
      <c r="H193" s="384"/>
      <c r="I193" s="358"/>
      <c r="J193" s="384"/>
      <c r="K193" s="384"/>
      <c r="L193" s="384"/>
      <c r="M193" s="384"/>
      <c r="N193" s="358"/>
      <c r="O193" s="384"/>
      <c r="P193" s="358"/>
      <c r="Q193" s="359"/>
      <c r="R193" s="359"/>
      <c r="S193" s="383"/>
      <c r="T193" s="360"/>
      <c r="U193" s="360"/>
      <c r="V193" s="360"/>
      <c r="W193" s="360"/>
      <c r="X193" s="360"/>
      <c r="Y193" s="360"/>
      <c r="Z193" s="360"/>
      <c r="AA193" s="360"/>
      <c r="AB193" s="360"/>
      <c r="AC193" s="360"/>
      <c r="AD193" s="360"/>
      <c r="AE193" s="360"/>
      <c r="AF193" s="360"/>
      <c r="AG193" s="360"/>
      <c r="AH193" s="360"/>
      <c r="AI193" s="360"/>
      <c r="AJ193" s="360"/>
      <c r="AK193" s="360"/>
      <c r="AL193" s="360"/>
      <c r="AM193" s="360"/>
      <c r="AN193" s="360"/>
      <c r="AO193" s="360"/>
      <c r="AP193" s="360"/>
      <c r="AQ193" s="360"/>
      <c r="AR193" s="360"/>
      <c r="AS193" s="360"/>
      <c r="AT193" s="360"/>
      <c r="AU193" s="360"/>
      <c r="AV193" s="360"/>
      <c r="AW193" s="360"/>
      <c r="AX193" s="360"/>
      <c r="AY193" s="360"/>
      <c r="AZ193" s="360"/>
      <c r="BA193" s="360"/>
      <c r="BB193" s="360"/>
      <c r="BC193" s="360"/>
      <c r="BD193" s="360"/>
      <c r="BE193" s="360"/>
      <c r="BF193" s="360"/>
      <c r="BG193" s="360"/>
      <c r="BH193" s="360"/>
      <c r="BI193" s="360"/>
      <c r="BJ193" s="360"/>
      <c r="BK193" s="360"/>
      <c r="BL193" s="360"/>
      <c r="BM193" s="360"/>
      <c r="BN193" s="360"/>
    </row>
    <row r="194" spans="1:66" ht="15.75">
      <c r="A194" s="363"/>
      <c r="B194" s="459"/>
      <c r="C194" s="470" t="str">
        <f>C3</f>
        <v>For the 12 months ended 12/31/02</v>
      </c>
      <c r="D194" s="1190" t="str">
        <f>D3</f>
        <v>Cost of Service</v>
      </c>
      <c r="E194" s="1190"/>
      <c r="F194" s="1190"/>
      <c r="G194" s="1190"/>
      <c r="H194" s="362"/>
      <c r="I194" s="354"/>
      <c r="N194" s="471"/>
      <c r="O194" s="352" t="str">
        <f>+O139</f>
        <v>Powder River Energy Corporation</v>
      </c>
      <c r="P194" s="459"/>
      <c r="Q194" s="469"/>
      <c r="R194" s="359"/>
      <c r="S194" s="383"/>
      <c r="T194" s="360"/>
      <c r="U194" s="360"/>
      <c r="V194" s="360"/>
      <c r="W194" s="360"/>
      <c r="X194" s="360"/>
      <c r="Y194" s="360"/>
      <c r="Z194" s="360"/>
      <c r="AA194" s="360"/>
      <c r="AB194" s="360"/>
      <c r="AC194" s="360"/>
      <c r="AD194" s="360"/>
      <c r="AE194" s="360"/>
      <c r="AF194" s="360"/>
      <c r="AG194" s="360"/>
      <c r="AH194" s="360"/>
      <c r="AI194" s="360"/>
      <c r="AJ194" s="360"/>
      <c r="AK194" s="360"/>
      <c r="AL194" s="360"/>
      <c r="AM194" s="360"/>
      <c r="AN194" s="360"/>
      <c r="AO194" s="360"/>
      <c r="AP194" s="360"/>
      <c r="AQ194" s="360"/>
      <c r="AR194" s="360"/>
      <c r="AS194" s="360"/>
      <c r="AT194" s="360"/>
      <c r="AU194" s="360"/>
      <c r="AV194" s="360"/>
      <c r="AW194" s="360"/>
      <c r="AX194" s="360"/>
      <c r="AY194" s="360"/>
      <c r="AZ194" s="360"/>
      <c r="BA194" s="360"/>
      <c r="BB194" s="360"/>
      <c r="BC194" s="360"/>
      <c r="BD194" s="360"/>
      <c r="BE194" s="360"/>
      <c r="BF194" s="360"/>
      <c r="BG194" s="360"/>
      <c r="BH194" s="360"/>
      <c r="BI194" s="360"/>
      <c r="BJ194" s="360"/>
      <c r="BK194" s="360"/>
      <c r="BL194" s="360"/>
      <c r="BM194" s="360"/>
      <c r="BN194" s="360"/>
    </row>
    <row r="195" spans="1:66" ht="15.75">
      <c r="A195" s="363"/>
      <c r="B195" s="459"/>
      <c r="C195" s="472"/>
      <c r="D195" s="1190" t="str">
        <f>+D4</f>
        <v xml:space="preserve"> Utilizing RUS Form 7 Data</v>
      </c>
      <c r="E195" s="1192"/>
      <c r="F195" s="1192"/>
      <c r="G195" s="1192"/>
      <c r="H195" s="362"/>
      <c r="I195" s="354"/>
      <c r="J195" s="470"/>
      <c r="K195" s="470"/>
      <c r="L195" s="470"/>
      <c r="M195" s="470"/>
      <c r="N195" s="471"/>
      <c r="O195" s="357"/>
      <c r="P195" s="459"/>
      <c r="Q195" s="469"/>
      <c r="R195" s="359"/>
      <c r="S195" s="383"/>
      <c r="T195" s="360"/>
      <c r="U195" s="360"/>
      <c r="V195" s="360"/>
      <c r="W195" s="360"/>
      <c r="X195" s="360"/>
      <c r="Y195" s="360"/>
      <c r="Z195" s="360"/>
      <c r="AA195" s="360"/>
      <c r="AB195" s="360"/>
      <c r="AC195" s="360"/>
      <c r="AD195" s="360"/>
      <c r="AE195" s="360"/>
      <c r="AF195" s="360"/>
      <c r="AG195" s="360"/>
      <c r="AH195" s="360"/>
      <c r="AI195" s="360"/>
      <c r="AJ195" s="360"/>
      <c r="AK195" s="360"/>
      <c r="AL195" s="360"/>
      <c r="AM195" s="360"/>
      <c r="AN195" s="360"/>
      <c r="AO195" s="360"/>
      <c r="AP195" s="360"/>
      <c r="AQ195" s="360"/>
      <c r="AR195" s="360"/>
      <c r="AS195" s="360"/>
      <c r="AT195" s="360"/>
      <c r="AU195" s="360"/>
      <c r="AV195" s="360"/>
      <c r="AW195" s="360"/>
      <c r="AX195" s="360"/>
      <c r="AY195" s="360"/>
      <c r="AZ195" s="360"/>
      <c r="BA195" s="360"/>
      <c r="BB195" s="360"/>
      <c r="BC195" s="360"/>
      <c r="BD195" s="360"/>
      <c r="BE195" s="360"/>
      <c r="BF195" s="360"/>
      <c r="BG195" s="360"/>
      <c r="BH195" s="360"/>
      <c r="BI195" s="360"/>
      <c r="BJ195" s="360"/>
      <c r="BK195" s="360"/>
      <c r="BL195" s="360"/>
      <c r="BM195" s="360"/>
      <c r="BN195" s="360"/>
    </row>
    <row r="196" spans="1:66" ht="15.75">
      <c r="A196" s="363"/>
      <c r="B196" s="459"/>
      <c r="C196" s="472"/>
      <c r="D196" s="355"/>
      <c r="E196" s="362"/>
      <c r="F196" s="362"/>
      <c r="G196" s="362"/>
      <c r="H196" s="362"/>
      <c r="I196" s="354"/>
      <c r="J196" s="470"/>
      <c r="K196" s="470"/>
      <c r="L196" s="470"/>
      <c r="M196" s="470"/>
      <c r="N196" s="471"/>
      <c r="O196" s="473"/>
      <c r="P196" s="459"/>
      <c r="Q196" s="469"/>
      <c r="R196" s="359"/>
      <c r="S196" s="359"/>
      <c r="T196" s="360"/>
      <c r="U196" s="360"/>
      <c r="V196" s="360"/>
      <c r="W196" s="360"/>
      <c r="X196" s="360"/>
      <c r="Y196" s="360"/>
      <c r="Z196" s="360"/>
      <c r="AA196" s="360"/>
      <c r="AB196" s="360"/>
      <c r="AC196" s="360"/>
      <c r="AD196" s="360"/>
      <c r="AE196" s="360"/>
      <c r="AF196" s="360"/>
      <c r="AG196" s="360"/>
      <c r="AH196" s="360"/>
      <c r="AI196" s="360"/>
      <c r="AJ196" s="360"/>
      <c r="AK196" s="360"/>
      <c r="AL196" s="360"/>
      <c r="AM196" s="360"/>
      <c r="AN196" s="360"/>
      <c r="AO196" s="360"/>
      <c r="AP196" s="360"/>
      <c r="AQ196" s="360"/>
      <c r="AR196" s="360"/>
      <c r="AS196" s="360"/>
      <c r="AT196" s="360"/>
      <c r="AU196" s="360"/>
      <c r="AV196" s="360"/>
      <c r="AW196" s="360"/>
      <c r="AX196" s="360"/>
      <c r="AY196" s="360"/>
      <c r="AZ196" s="360"/>
      <c r="BA196" s="360"/>
      <c r="BB196" s="360"/>
      <c r="BC196" s="360"/>
      <c r="BD196" s="360"/>
      <c r="BE196" s="360"/>
      <c r="BF196" s="360"/>
      <c r="BG196" s="360"/>
      <c r="BH196" s="360"/>
      <c r="BI196" s="360"/>
      <c r="BJ196" s="360"/>
      <c r="BK196" s="360"/>
      <c r="BL196" s="360"/>
      <c r="BM196" s="360"/>
      <c r="BN196" s="360"/>
    </row>
    <row r="197" spans="1:66" ht="15.75">
      <c r="A197" s="363"/>
      <c r="B197" s="459"/>
      <c r="C197" s="472"/>
      <c r="D197" s="1194" t="str">
        <f>D6</f>
        <v>Powder River Energy Corporation</v>
      </c>
      <c r="E197" s="1194"/>
      <c r="F197" s="1194"/>
      <c r="G197" s="1194"/>
      <c r="H197" s="362"/>
      <c r="I197" s="354"/>
      <c r="J197" s="470"/>
      <c r="K197" s="470"/>
      <c r="L197" s="470"/>
      <c r="M197" s="470"/>
      <c r="N197" s="471"/>
      <c r="O197" s="473"/>
      <c r="P197" s="459"/>
      <c r="Q197" s="469"/>
      <c r="R197" s="359"/>
      <c r="S197" s="359"/>
      <c r="T197" s="360"/>
      <c r="U197" s="360"/>
      <c r="V197" s="360"/>
      <c r="W197" s="360"/>
      <c r="X197" s="360"/>
      <c r="Y197" s="360"/>
      <c r="Z197" s="360"/>
      <c r="AA197" s="360"/>
      <c r="AB197" s="360"/>
      <c r="AC197" s="360"/>
      <c r="AD197" s="360"/>
      <c r="AE197" s="360"/>
      <c r="AF197" s="360"/>
      <c r="AG197" s="360"/>
      <c r="AH197" s="360"/>
      <c r="AI197" s="360"/>
      <c r="AJ197" s="360"/>
      <c r="AK197" s="360"/>
      <c r="AL197" s="360"/>
      <c r="AM197" s="360"/>
      <c r="AN197" s="360"/>
      <c r="AO197" s="360"/>
      <c r="AP197" s="360"/>
      <c r="AQ197" s="360"/>
      <c r="AR197" s="360"/>
      <c r="AS197" s="360"/>
      <c r="AT197" s="360"/>
      <c r="AU197" s="360"/>
      <c r="AV197" s="360"/>
      <c r="AW197" s="360"/>
      <c r="AX197" s="360"/>
      <c r="AY197" s="360"/>
      <c r="AZ197" s="360"/>
      <c r="BA197" s="360"/>
      <c r="BB197" s="360"/>
      <c r="BC197" s="360"/>
      <c r="BD197" s="360"/>
      <c r="BE197" s="360"/>
      <c r="BF197" s="360"/>
      <c r="BG197" s="360"/>
      <c r="BH197" s="360"/>
      <c r="BI197" s="360"/>
      <c r="BJ197" s="360"/>
      <c r="BK197" s="360"/>
      <c r="BL197" s="360"/>
      <c r="BM197" s="360"/>
      <c r="BN197" s="360"/>
    </row>
    <row r="198" spans="1:66" ht="15.75">
      <c r="A198" s="363"/>
      <c r="B198" s="459"/>
      <c r="C198" s="472"/>
      <c r="D198" s="355"/>
      <c r="E198" s="362"/>
      <c r="F198" s="362"/>
      <c r="G198" s="362"/>
      <c r="H198" s="362"/>
      <c r="I198" s="354"/>
      <c r="J198" s="470"/>
      <c r="K198" s="470"/>
      <c r="L198" s="470"/>
      <c r="M198" s="470"/>
      <c r="N198" s="471"/>
      <c r="O198" s="473"/>
      <c r="P198" s="459"/>
      <c r="Q198" s="469"/>
      <c r="R198" s="359"/>
      <c r="S198" s="359"/>
      <c r="T198" s="360"/>
      <c r="U198" s="360"/>
      <c r="V198" s="360"/>
      <c r="W198" s="360"/>
      <c r="X198" s="360"/>
      <c r="Y198" s="360"/>
      <c r="Z198" s="360"/>
      <c r="AA198" s="360"/>
      <c r="AB198" s="360"/>
      <c r="AC198" s="360"/>
      <c r="AD198" s="360"/>
      <c r="AE198" s="360"/>
      <c r="AF198" s="360"/>
      <c r="AG198" s="360"/>
      <c r="AH198" s="360"/>
      <c r="AI198" s="360"/>
      <c r="AJ198" s="360"/>
      <c r="AK198" s="360"/>
      <c r="AL198" s="360"/>
      <c r="AM198" s="360"/>
      <c r="AN198" s="360"/>
      <c r="AO198" s="360"/>
      <c r="AP198" s="360"/>
      <c r="AQ198" s="360"/>
      <c r="AR198" s="360"/>
      <c r="AS198" s="360"/>
      <c r="AT198" s="360"/>
      <c r="AU198" s="360"/>
      <c r="AV198" s="360"/>
      <c r="AW198" s="360"/>
      <c r="AX198" s="360"/>
      <c r="AY198" s="360"/>
      <c r="AZ198" s="360"/>
      <c r="BA198" s="360"/>
      <c r="BB198" s="360"/>
      <c r="BC198" s="360"/>
      <c r="BD198" s="360"/>
      <c r="BE198" s="360"/>
      <c r="BF198" s="360"/>
      <c r="BG198" s="360"/>
      <c r="BH198" s="360"/>
      <c r="BI198" s="360"/>
      <c r="BJ198" s="360"/>
      <c r="BK198" s="360"/>
      <c r="BL198" s="360"/>
      <c r="BM198" s="360"/>
      <c r="BN198" s="360"/>
    </row>
    <row r="199" spans="1:66" ht="15.75">
      <c r="A199" s="353"/>
      <c r="B199" s="459"/>
      <c r="C199" s="382"/>
      <c r="D199" s="468"/>
      <c r="E199" s="384"/>
      <c r="F199" s="384"/>
      <c r="G199" s="384"/>
      <c r="H199" s="384"/>
      <c r="I199" s="459"/>
      <c r="J199" s="384"/>
      <c r="K199" s="384"/>
      <c r="L199" s="384"/>
      <c r="M199" s="384"/>
      <c r="N199" s="459"/>
      <c r="O199" s="384"/>
      <c r="P199" s="459"/>
      <c r="Q199" s="469"/>
      <c r="R199" s="359"/>
      <c r="S199" s="359"/>
      <c r="T199" s="360"/>
      <c r="U199" s="360"/>
      <c r="V199" s="360"/>
      <c r="W199" s="360"/>
      <c r="X199" s="360"/>
      <c r="Y199" s="360"/>
      <c r="Z199" s="360"/>
      <c r="AA199" s="360"/>
      <c r="AB199" s="360"/>
      <c r="AC199" s="360"/>
      <c r="AD199" s="360"/>
      <c r="AE199" s="360"/>
      <c r="AF199" s="360"/>
      <c r="AG199" s="360"/>
      <c r="AH199" s="360"/>
      <c r="AI199" s="360"/>
      <c r="AJ199" s="360"/>
      <c r="AK199" s="360"/>
      <c r="AL199" s="360"/>
      <c r="AM199" s="360"/>
      <c r="AN199" s="360"/>
      <c r="AO199" s="360"/>
      <c r="AP199" s="360"/>
      <c r="AQ199" s="360"/>
      <c r="AR199" s="360"/>
      <c r="AS199" s="360"/>
      <c r="AT199" s="360"/>
      <c r="AU199" s="360"/>
      <c r="AV199" s="360"/>
      <c r="AW199" s="360"/>
      <c r="AX199" s="360"/>
      <c r="AY199" s="360"/>
      <c r="AZ199" s="360"/>
      <c r="BA199" s="360"/>
      <c r="BB199" s="360"/>
      <c r="BC199" s="360"/>
      <c r="BD199" s="360"/>
      <c r="BE199" s="360"/>
      <c r="BF199" s="360"/>
      <c r="BG199" s="360"/>
      <c r="BH199" s="360"/>
      <c r="BI199" s="360"/>
      <c r="BJ199" s="360"/>
      <c r="BK199" s="360"/>
      <c r="BL199" s="360"/>
      <c r="BM199" s="360"/>
      <c r="BN199" s="360"/>
    </row>
    <row r="200" spans="1:66" ht="18.75">
      <c r="A200" s="468"/>
      <c r="B200" s="358"/>
      <c r="C200" s="382"/>
      <c r="D200" s="468"/>
      <c r="E200" s="384"/>
      <c r="F200" s="384"/>
      <c r="G200" s="384"/>
      <c r="H200" s="384"/>
      <c r="I200" s="358"/>
      <c r="J200" s="384"/>
      <c r="K200" s="384"/>
      <c r="L200" s="384"/>
      <c r="M200" s="384"/>
      <c r="N200" s="358"/>
      <c r="O200" s="384"/>
      <c r="P200" s="358"/>
      <c r="Q200" s="474"/>
      <c r="R200" s="359"/>
      <c r="S200" s="359"/>
      <c r="T200" s="360"/>
      <c r="U200" s="360"/>
      <c r="V200" s="360"/>
      <c r="W200" s="360"/>
      <c r="X200" s="360"/>
      <c r="Y200" s="360"/>
      <c r="Z200" s="360"/>
      <c r="AA200" s="360"/>
      <c r="AB200" s="360"/>
      <c r="AC200" s="360"/>
      <c r="AD200" s="360"/>
      <c r="AE200" s="360"/>
      <c r="AF200" s="360"/>
      <c r="AG200" s="360"/>
      <c r="AH200" s="360"/>
      <c r="AI200" s="360"/>
      <c r="AJ200" s="360"/>
      <c r="AK200" s="360"/>
      <c r="AL200" s="360"/>
      <c r="AM200" s="360"/>
      <c r="AN200" s="360"/>
      <c r="AO200" s="360"/>
      <c r="AP200" s="360"/>
      <c r="AQ200" s="360"/>
      <c r="AR200" s="360"/>
      <c r="AS200" s="360"/>
      <c r="AT200" s="360"/>
      <c r="AU200" s="360"/>
      <c r="AV200" s="360"/>
      <c r="AW200" s="360"/>
      <c r="AX200" s="360"/>
      <c r="AY200" s="360"/>
      <c r="AZ200" s="360"/>
      <c r="BA200" s="360"/>
      <c r="BB200" s="360"/>
      <c r="BC200" s="360"/>
      <c r="BD200" s="360"/>
      <c r="BE200" s="360"/>
      <c r="BF200" s="360"/>
      <c r="BG200" s="360"/>
      <c r="BH200" s="360"/>
      <c r="BI200" s="360"/>
      <c r="BJ200" s="360"/>
      <c r="BK200" s="360"/>
      <c r="BL200" s="360"/>
      <c r="BM200" s="360"/>
      <c r="BN200" s="360"/>
    </row>
    <row r="201" spans="1:66" ht="19.5" thickBot="1">
      <c r="A201" s="475" t="s">
        <v>649</v>
      </c>
      <c r="B201" s="358"/>
      <c r="C201" s="382"/>
      <c r="D201" s="468"/>
      <c r="E201" s="384"/>
      <c r="F201" s="384"/>
      <c r="G201" s="384"/>
      <c r="H201" s="384"/>
      <c r="I201" s="358"/>
      <c r="J201" s="384"/>
      <c r="K201" s="384"/>
      <c r="L201" s="384"/>
      <c r="M201" s="384"/>
      <c r="N201" s="358"/>
      <c r="O201" s="384"/>
      <c r="P201" s="358"/>
      <c r="Q201" s="474"/>
      <c r="R201" s="359"/>
      <c r="S201" s="359"/>
      <c r="T201" s="360"/>
      <c r="U201" s="360"/>
      <c r="V201" s="360"/>
      <c r="W201" s="360"/>
      <c r="X201" s="360"/>
      <c r="Y201" s="360"/>
      <c r="Z201" s="360"/>
      <c r="AA201" s="360"/>
      <c r="AB201" s="360"/>
      <c r="AC201" s="360"/>
      <c r="AD201" s="360"/>
      <c r="AE201" s="360"/>
      <c r="AF201" s="360"/>
      <c r="AG201" s="360"/>
      <c r="AH201" s="360"/>
      <c r="AI201" s="360"/>
      <c r="AJ201" s="360"/>
      <c r="AK201" s="360"/>
      <c r="AL201" s="360"/>
      <c r="AM201" s="360"/>
      <c r="AN201" s="360"/>
      <c r="AO201" s="360"/>
      <c r="AP201" s="360"/>
      <c r="AQ201" s="360"/>
      <c r="AR201" s="360"/>
      <c r="AS201" s="360"/>
      <c r="AT201" s="360"/>
      <c r="AU201" s="360"/>
      <c r="AV201" s="360"/>
      <c r="AW201" s="360"/>
      <c r="AX201" s="360"/>
      <c r="AY201" s="360"/>
      <c r="AZ201" s="360"/>
      <c r="BA201" s="360"/>
      <c r="BB201" s="360"/>
      <c r="BC201" s="360"/>
      <c r="BD201" s="360"/>
      <c r="BE201" s="360"/>
      <c r="BF201" s="360"/>
      <c r="BG201" s="360"/>
      <c r="BH201" s="360"/>
      <c r="BI201" s="360"/>
      <c r="BJ201" s="360"/>
      <c r="BK201" s="360"/>
      <c r="BL201" s="360"/>
      <c r="BM201" s="360"/>
      <c r="BN201" s="360"/>
    </row>
    <row r="202" spans="1:66" s="353" customFormat="1" ht="18.75">
      <c r="A202" s="468" t="s">
        <v>753</v>
      </c>
      <c r="B202" s="358"/>
      <c r="C202" s="476" t="s">
        <v>530</v>
      </c>
      <c r="D202" s="358"/>
      <c r="E202" s="358"/>
      <c r="F202" s="358"/>
      <c r="G202" s="476"/>
      <c r="H202" s="476"/>
      <c r="I202" s="476"/>
      <c r="J202" s="384"/>
      <c r="K202" s="384"/>
      <c r="L202" s="384"/>
      <c r="M202" s="384"/>
      <c r="N202" s="358"/>
      <c r="O202" s="384"/>
      <c r="P202" s="358"/>
      <c r="Q202" s="474"/>
      <c r="R202" s="359"/>
      <c r="S202" s="359"/>
      <c r="T202" s="360"/>
      <c r="U202" s="360"/>
      <c r="V202" s="360"/>
      <c r="W202" s="360"/>
      <c r="X202" s="360"/>
      <c r="Y202" s="360"/>
      <c r="Z202" s="360"/>
      <c r="AA202" s="360"/>
      <c r="AB202" s="360"/>
      <c r="AC202" s="360"/>
      <c r="AD202" s="360"/>
      <c r="AE202" s="360"/>
      <c r="AF202" s="360"/>
      <c r="AG202" s="360"/>
      <c r="AH202" s="360"/>
      <c r="AI202" s="360"/>
      <c r="AJ202" s="360"/>
      <c r="AK202" s="360"/>
      <c r="AL202" s="360"/>
      <c r="AM202" s="360"/>
      <c r="AN202" s="360"/>
      <c r="AO202" s="360"/>
      <c r="AP202" s="360"/>
      <c r="AQ202" s="360"/>
      <c r="AR202" s="360"/>
      <c r="AS202" s="360"/>
      <c r="AT202" s="360"/>
      <c r="AU202" s="360"/>
      <c r="AV202" s="360"/>
      <c r="AW202" s="360"/>
      <c r="AX202" s="360"/>
      <c r="AY202" s="360"/>
      <c r="AZ202" s="360"/>
      <c r="BA202" s="360"/>
      <c r="BB202" s="360"/>
      <c r="BC202" s="360"/>
      <c r="BD202" s="360"/>
      <c r="BE202" s="360"/>
      <c r="BF202" s="360"/>
      <c r="BG202" s="360"/>
      <c r="BH202" s="360"/>
      <c r="BI202" s="360"/>
      <c r="BJ202" s="360"/>
      <c r="BK202" s="360"/>
      <c r="BL202" s="360"/>
      <c r="BM202" s="360"/>
      <c r="BN202" s="360"/>
    </row>
    <row r="203" spans="1:66" s="483" customFormat="1" ht="18.75">
      <c r="A203" s="468" t="s">
        <v>754</v>
      </c>
      <c r="B203" s="358"/>
      <c r="C203" s="476" t="s">
        <v>152</v>
      </c>
      <c r="D203" s="477"/>
      <c r="E203" s="477"/>
      <c r="F203" s="477"/>
      <c r="G203" s="477"/>
      <c r="H203" s="477"/>
      <c r="I203" s="478"/>
      <c r="J203" s="479"/>
      <c r="K203" s="479"/>
      <c r="L203" s="479"/>
      <c r="M203" s="479"/>
      <c r="N203" s="478"/>
      <c r="O203" s="479"/>
      <c r="P203" s="478"/>
      <c r="Q203" s="480"/>
      <c r="R203" s="481"/>
      <c r="S203" s="481"/>
      <c r="T203" s="482"/>
      <c r="U203" s="482"/>
      <c r="V203" s="482"/>
      <c r="W203" s="482"/>
      <c r="X203" s="482"/>
      <c r="Y203" s="482"/>
      <c r="Z203" s="482"/>
      <c r="AA203" s="482"/>
      <c r="AB203" s="482"/>
      <c r="AC203" s="482"/>
      <c r="AD203" s="482"/>
      <c r="AE203" s="482"/>
      <c r="AF203" s="482"/>
      <c r="AG203" s="482"/>
      <c r="AH203" s="482"/>
      <c r="AI203" s="482"/>
      <c r="AJ203" s="482"/>
      <c r="AK203" s="482"/>
      <c r="AL203" s="482"/>
      <c r="AM203" s="482"/>
      <c r="AN203" s="482"/>
      <c r="AO203" s="482"/>
      <c r="AP203" s="482"/>
      <c r="AQ203" s="482"/>
      <c r="AR203" s="482"/>
      <c r="AS203" s="482"/>
      <c r="AT203" s="482"/>
      <c r="AU203" s="482"/>
      <c r="AV203" s="482"/>
      <c r="AW203" s="482"/>
      <c r="AX203" s="482"/>
      <c r="AY203" s="482"/>
      <c r="AZ203" s="482"/>
      <c r="BA203" s="482"/>
      <c r="BB203" s="482"/>
      <c r="BC203" s="482"/>
      <c r="BD203" s="482"/>
      <c r="BE203" s="482"/>
      <c r="BF203" s="482"/>
      <c r="BG203" s="482"/>
      <c r="BH203" s="482"/>
      <c r="BI203" s="482"/>
      <c r="BJ203" s="482"/>
      <c r="BK203" s="482"/>
      <c r="BL203" s="482"/>
      <c r="BM203" s="482"/>
      <c r="BN203" s="482"/>
    </row>
    <row r="204" spans="1:66" s="353" customFormat="1" ht="18.75">
      <c r="A204" s="468" t="s">
        <v>755</v>
      </c>
      <c r="B204" s="358"/>
      <c r="C204" s="476" t="s">
        <v>531</v>
      </c>
      <c r="D204" s="358"/>
      <c r="E204" s="358"/>
      <c r="F204" s="358"/>
      <c r="G204" s="358"/>
      <c r="H204" s="358"/>
      <c r="I204" s="358"/>
      <c r="J204" s="384"/>
      <c r="K204" s="384"/>
      <c r="L204" s="384"/>
      <c r="M204" s="384"/>
      <c r="N204" s="358"/>
      <c r="O204" s="384"/>
      <c r="P204" s="358"/>
      <c r="Q204" s="474"/>
      <c r="R204" s="359"/>
      <c r="S204" s="359"/>
      <c r="T204" s="360"/>
      <c r="U204" s="360"/>
      <c r="V204" s="360"/>
      <c r="W204" s="360"/>
      <c r="X204" s="360"/>
      <c r="Y204" s="360"/>
      <c r="Z204" s="360"/>
      <c r="AA204" s="360"/>
      <c r="AB204" s="360"/>
      <c r="AC204" s="360"/>
      <c r="AD204" s="360"/>
      <c r="AE204" s="360"/>
      <c r="AF204" s="360"/>
      <c r="AG204" s="360"/>
      <c r="AH204" s="360"/>
      <c r="AI204" s="360"/>
      <c r="AJ204" s="360"/>
      <c r="AK204" s="360"/>
      <c r="AL204" s="360"/>
      <c r="AM204" s="360"/>
      <c r="AN204" s="360"/>
      <c r="AO204" s="360"/>
      <c r="AP204" s="360"/>
      <c r="AQ204" s="360"/>
      <c r="AR204" s="360"/>
      <c r="AS204" s="360"/>
      <c r="AT204" s="360"/>
      <c r="AU204" s="360"/>
      <c r="AV204" s="360"/>
      <c r="AW204" s="360"/>
      <c r="AX204" s="360"/>
      <c r="AY204" s="360"/>
      <c r="AZ204" s="360"/>
      <c r="BA204" s="360"/>
      <c r="BB204" s="360"/>
      <c r="BC204" s="360"/>
      <c r="BD204" s="360"/>
      <c r="BE204" s="360"/>
      <c r="BF204" s="360"/>
      <c r="BG204" s="360"/>
      <c r="BH204" s="360"/>
      <c r="BI204" s="360"/>
      <c r="BJ204" s="360"/>
      <c r="BK204" s="360"/>
      <c r="BL204" s="360"/>
      <c r="BM204" s="360"/>
      <c r="BN204" s="360"/>
    </row>
    <row r="205" spans="1:66" s="353" customFormat="1" ht="18.75">
      <c r="A205" s="468"/>
      <c r="B205" s="358"/>
      <c r="C205" s="412" t="s">
        <v>153</v>
      </c>
      <c r="D205" s="358"/>
      <c r="E205" s="358"/>
      <c r="F205" s="358"/>
      <c r="G205" s="358"/>
      <c r="H205" s="358"/>
      <c r="I205" s="358"/>
      <c r="J205" s="384"/>
      <c r="K205" s="384"/>
      <c r="L205" s="384"/>
      <c r="M205" s="384"/>
      <c r="N205" s="358"/>
      <c r="O205" s="384"/>
      <c r="P205" s="358"/>
      <c r="Q205" s="474"/>
      <c r="R205" s="359"/>
      <c r="S205" s="359"/>
      <c r="T205" s="360"/>
      <c r="U205" s="360"/>
      <c r="V205" s="360"/>
      <c r="W205" s="360"/>
      <c r="X205" s="360"/>
      <c r="Y205" s="360"/>
      <c r="Z205" s="360"/>
      <c r="AA205" s="360"/>
      <c r="AB205" s="360"/>
      <c r="AC205" s="360"/>
      <c r="AD205" s="360"/>
      <c r="AE205" s="360"/>
      <c r="AF205" s="360"/>
      <c r="AG205" s="360"/>
      <c r="AH205" s="360"/>
      <c r="AI205" s="360"/>
      <c r="AJ205" s="360"/>
      <c r="AK205" s="360"/>
      <c r="AL205" s="360"/>
      <c r="AM205" s="360"/>
      <c r="AN205" s="360"/>
      <c r="AO205" s="360"/>
      <c r="AP205" s="360"/>
      <c r="AQ205" s="360"/>
      <c r="AR205" s="360"/>
      <c r="AS205" s="360"/>
      <c r="AT205" s="360"/>
      <c r="AU205" s="360"/>
      <c r="AV205" s="360"/>
      <c r="AW205" s="360"/>
      <c r="AX205" s="360"/>
      <c r="AY205" s="360"/>
      <c r="AZ205" s="360"/>
      <c r="BA205" s="360"/>
      <c r="BB205" s="360"/>
      <c r="BC205" s="360"/>
      <c r="BD205" s="360"/>
      <c r="BE205" s="360"/>
      <c r="BF205" s="360"/>
      <c r="BG205" s="360"/>
      <c r="BH205" s="360"/>
      <c r="BI205" s="360"/>
      <c r="BJ205" s="360"/>
      <c r="BK205" s="360"/>
      <c r="BL205" s="360"/>
      <c r="BM205" s="360"/>
      <c r="BN205" s="360"/>
    </row>
    <row r="206" spans="1:66" s="353" customFormat="1" ht="18.75">
      <c r="A206" s="468" t="s">
        <v>756</v>
      </c>
      <c r="B206" s="358"/>
      <c r="C206" s="476" t="s">
        <v>154</v>
      </c>
      <c r="D206" s="476"/>
      <c r="E206" s="476"/>
      <c r="F206" s="476"/>
      <c r="G206" s="358"/>
      <c r="H206" s="358"/>
      <c r="I206" s="358"/>
      <c r="J206" s="384"/>
      <c r="K206" s="384"/>
      <c r="L206" s="384"/>
      <c r="M206" s="384"/>
      <c r="N206" s="358"/>
      <c r="O206" s="384"/>
      <c r="P206" s="358"/>
      <c r="Q206" s="474"/>
      <c r="R206" s="359"/>
      <c r="S206" s="359"/>
      <c r="T206" s="360"/>
      <c r="U206" s="360"/>
      <c r="V206" s="360"/>
      <c r="W206" s="360"/>
      <c r="X206" s="360"/>
      <c r="Y206" s="360"/>
      <c r="Z206" s="360"/>
      <c r="AA206" s="360"/>
      <c r="AB206" s="360"/>
      <c r="AC206" s="360"/>
      <c r="AD206" s="360"/>
      <c r="AE206" s="360"/>
      <c r="AF206" s="360"/>
      <c r="AG206" s="360"/>
      <c r="AH206" s="360"/>
      <c r="AI206" s="360"/>
      <c r="AJ206" s="360"/>
      <c r="AK206" s="360"/>
      <c r="AL206" s="360"/>
      <c r="AM206" s="360"/>
      <c r="AN206" s="360"/>
      <c r="AO206" s="360"/>
      <c r="AP206" s="360"/>
      <c r="AQ206" s="360"/>
      <c r="AR206" s="360"/>
      <c r="AS206" s="360"/>
      <c r="AT206" s="360"/>
      <c r="AU206" s="360"/>
      <c r="AV206" s="360"/>
      <c r="AW206" s="360"/>
      <c r="AX206" s="360"/>
      <c r="AY206" s="360"/>
      <c r="AZ206" s="360"/>
      <c r="BA206" s="360"/>
      <c r="BB206" s="360"/>
      <c r="BC206" s="360"/>
      <c r="BD206" s="360"/>
      <c r="BE206" s="360"/>
      <c r="BF206" s="360"/>
      <c r="BG206" s="360"/>
      <c r="BH206" s="360"/>
      <c r="BI206" s="360"/>
      <c r="BJ206" s="360"/>
      <c r="BK206" s="360"/>
      <c r="BL206" s="360"/>
      <c r="BM206" s="360"/>
      <c r="BN206" s="360"/>
    </row>
    <row r="207" spans="1:66" s="353" customFormat="1" ht="18.75">
      <c r="A207" s="468"/>
      <c r="B207" s="358"/>
      <c r="C207" s="476" t="s">
        <v>155</v>
      </c>
      <c r="D207" s="476"/>
      <c r="E207" s="476"/>
      <c r="F207" s="476"/>
      <c r="G207" s="384"/>
      <c r="H207" s="384"/>
      <c r="I207" s="358"/>
      <c r="J207" s="384"/>
      <c r="K207" s="384"/>
      <c r="L207" s="384"/>
      <c r="M207" s="384"/>
      <c r="N207" s="358"/>
      <c r="O207" s="384"/>
      <c r="P207" s="358"/>
      <c r="Q207" s="474"/>
      <c r="R207" s="359"/>
      <c r="S207" s="359"/>
      <c r="T207" s="360"/>
      <c r="U207" s="360"/>
      <c r="V207" s="360"/>
      <c r="W207" s="360"/>
      <c r="X207" s="360"/>
      <c r="Y207" s="360"/>
      <c r="Z207" s="360"/>
      <c r="AA207" s="360"/>
      <c r="AB207" s="360"/>
      <c r="AC207" s="360"/>
      <c r="AD207" s="360"/>
      <c r="AE207" s="360"/>
      <c r="AF207" s="360"/>
      <c r="AG207" s="360"/>
      <c r="AH207" s="360"/>
      <c r="AI207" s="360"/>
      <c r="AJ207" s="360"/>
      <c r="AK207" s="360"/>
      <c r="AL207" s="360"/>
      <c r="AM207" s="360"/>
      <c r="AN207" s="360"/>
      <c r="AO207" s="360"/>
      <c r="AP207" s="360"/>
      <c r="AQ207" s="360"/>
      <c r="AR207" s="360"/>
      <c r="AS207" s="360"/>
      <c r="AT207" s="360"/>
      <c r="AU207" s="360"/>
      <c r="AV207" s="360"/>
      <c r="AW207" s="360"/>
      <c r="AX207" s="360"/>
      <c r="AY207" s="360"/>
      <c r="AZ207" s="360"/>
      <c r="BA207" s="360"/>
      <c r="BB207" s="360"/>
      <c r="BC207" s="360"/>
      <c r="BD207" s="360"/>
      <c r="BE207" s="360"/>
      <c r="BF207" s="360"/>
      <c r="BG207" s="360"/>
      <c r="BH207" s="360"/>
      <c r="BI207" s="360"/>
      <c r="BJ207" s="360"/>
      <c r="BK207" s="360"/>
      <c r="BL207" s="360"/>
      <c r="BM207" s="360"/>
      <c r="BN207" s="360"/>
    </row>
    <row r="208" spans="1:66" s="353" customFormat="1" ht="18.75">
      <c r="A208" s="468" t="s">
        <v>757</v>
      </c>
      <c r="B208" s="358"/>
      <c r="C208" s="476" t="s">
        <v>156</v>
      </c>
      <c r="D208" s="476"/>
      <c r="E208" s="476"/>
      <c r="F208" s="476"/>
      <c r="G208" s="384"/>
      <c r="H208" s="384"/>
      <c r="I208" s="358"/>
      <c r="J208" s="384"/>
      <c r="K208" s="384"/>
      <c r="L208" s="384"/>
      <c r="M208" s="384"/>
      <c r="N208" s="358"/>
      <c r="O208" s="384"/>
      <c r="P208" s="358"/>
      <c r="Q208" s="474"/>
      <c r="R208" s="359"/>
      <c r="S208" s="359"/>
      <c r="T208" s="360"/>
      <c r="U208" s="360"/>
      <c r="V208" s="360"/>
      <c r="W208" s="360"/>
      <c r="X208" s="360"/>
      <c r="Y208" s="360"/>
      <c r="Z208" s="360"/>
      <c r="AA208" s="360"/>
      <c r="AB208" s="360"/>
      <c r="AC208" s="360"/>
      <c r="AD208" s="360"/>
      <c r="AE208" s="360"/>
      <c r="AF208" s="360"/>
      <c r="AG208" s="360"/>
      <c r="AH208" s="360"/>
      <c r="AI208" s="360"/>
      <c r="AJ208" s="360"/>
      <c r="AK208" s="360"/>
      <c r="AL208" s="360"/>
      <c r="AM208" s="360"/>
      <c r="AN208" s="360"/>
      <c r="AO208" s="360"/>
      <c r="AP208" s="360"/>
      <c r="AQ208" s="360"/>
      <c r="AR208" s="360"/>
      <c r="AS208" s="360"/>
      <c r="AT208" s="360"/>
      <c r="AU208" s="360"/>
      <c r="AV208" s="360"/>
      <c r="AW208" s="360"/>
      <c r="AX208" s="360"/>
      <c r="AY208" s="360"/>
      <c r="AZ208" s="360"/>
      <c r="BA208" s="360"/>
      <c r="BB208" s="360"/>
      <c r="BC208" s="360"/>
      <c r="BD208" s="360"/>
      <c r="BE208" s="360"/>
      <c r="BF208" s="360"/>
      <c r="BG208" s="360"/>
      <c r="BH208" s="360"/>
      <c r="BI208" s="360"/>
      <c r="BJ208" s="360"/>
      <c r="BK208" s="360"/>
      <c r="BL208" s="360"/>
      <c r="BM208" s="360"/>
      <c r="BN208" s="360"/>
    </row>
    <row r="209" spans="1:66" s="353" customFormat="1" ht="18.75">
      <c r="A209" s="468" t="s">
        <v>758</v>
      </c>
      <c r="B209" s="358"/>
      <c r="C209" s="476" t="s">
        <v>157</v>
      </c>
      <c r="D209" s="476"/>
      <c r="E209" s="476"/>
      <c r="F209" s="476"/>
      <c r="G209" s="384"/>
      <c r="H209" s="384"/>
      <c r="I209" s="358"/>
      <c r="J209" s="384"/>
      <c r="K209" s="384"/>
      <c r="L209" s="384"/>
      <c r="M209" s="384"/>
      <c r="N209" s="358"/>
      <c r="O209" s="384"/>
      <c r="P209" s="358"/>
      <c r="Q209" s="474"/>
      <c r="R209" s="359"/>
      <c r="S209" s="359"/>
      <c r="T209" s="360"/>
      <c r="U209" s="360"/>
      <c r="V209" s="360"/>
      <c r="W209" s="360"/>
      <c r="X209" s="360"/>
      <c r="Y209" s="360"/>
      <c r="Z209" s="360"/>
      <c r="AA209" s="360"/>
      <c r="AB209" s="360"/>
      <c r="AC209" s="360"/>
      <c r="AD209" s="360"/>
      <c r="AE209" s="360"/>
      <c r="AF209" s="360"/>
      <c r="AG209" s="360"/>
      <c r="AH209" s="360"/>
      <c r="AI209" s="360"/>
      <c r="AJ209" s="360"/>
      <c r="AK209" s="360"/>
      <c r="AL209" s="360"/>
      <c r="AM209" s="360"/>
      <c r="AN209" s="360"/>
      <c r="AO209" s="360"/>
      <c r="AP209" s="360"/>
      <c r="AQ209" s="360"/>
      <c r="AR209" s="360"/>
      <c r="AS209" s="360"/>
      <c r="AT209" s="360"/>
      <c r="AU209" s="360"/>
      <c r="AV209" s="360"/>
      <c r="AW209" s="360"/>
      <c r="AX209" s="360"/>
      <c r="AY209" s="360"/>
      <c r="AZ209" s="360"/>
      <c r="BA209" s="360"/>
      <c r="BB209" s="360"/>
      <c r="BC209" s="360"/>
      <c r="BD209" s="360"/>
      <c r="BE209" s="360"/>
      <c r="BF209" s="360"/>
      <c r="BG209" s="360"/>
      <c r="BH209" s="360"/>
      <c r="BI209" s="360"/>
      <c r="BJ209" s="360"/>
      <c r="BK209" s="360"/>
      <c r="BL209" s="360"/>
      <c r="BM209" s="360"/>
      <c r="BN209" s="360"/>
    </row>
    <row r="210" spans="1:66" s="353" customFormat="1" ht="18.75">
      <c r="A210" s="468" t="s">
        <v>759</v>
      </c>
      <c r="B210" s="358"/>
      <c r="C210" s="476" t="s">
        <v>788</v>
      </c>
      <c r="D210" s="476"/>
      <c r="E210" s="476"/>
      <c r="F210" s="476"/>
      <c r="G210" s="384"/>
      <c r="H210" s="384"/>
      <c r="I210" s="358"/>
      <c r="J210" s="384"/>
      <c r="K210" s="384"/>
      <c r="L210" s="384"/>
      <c r="M210" s="384"/>
      <c r="N210" s="358"/>
      <c r="O210" s="384"/>
      <c r="P210" s="358"/>
      <c r="Q210" s="474"/>
      <c r="R210" s="359"/>
      <c r="S210" s="359"/>
      <c r="T210" s="360"/>
      <c r="U210" s="360"/>
      <c r="V210" s="360"/>
      <c r="W210" s="360"/>
      <c r="X210" s="360"/>
      <c r="Y210" s="360"/>
      <c r="Z210" s="360"/>
      <c r="AA210" s="360"/>
      <c r="AB210" s="360"/>
      <c r="AC210" s="360"/>
      <c r="AD210" s="360"/>
      <c r="AE210" s="360"/>
      <c r="AF210" s="360"/>
      <c r="AG210" s="360"/>
      <c r="AH210" s="360"/>
      <c r="AI210" s="360"/>
      <c r="AJ210" s="360"/>
      <c r="AK210" s="360"/>
      <c r="AL210" s="360"/>
      <c r="AM210" s="360"/>
      <c r="AN210" s="360"/>
      <c r="AO210" s="360"/>
      <c r="AP210" s="360"/>
      <c r="AQ210" s="360"/>
      <c r="AR210" s="360"/>
      <c r="AS210" s="360"/>
      <c r="AT210" s="360"/>
      <c r="AU210" s="360"/>
      <c r="AV210" s="360"/>
      <c r="AW210" s="360"/>
      <c r="AX210" s="360"/>
      <c r="AY210" s="360"/>
      <c r="AZ210" s="360"/>
      <c r="BA210" s="360"/>
      <c r="BB210" s="360"/>
      <c r="BC210" s="360"/>
      <c r="BD210" s="360"/>
      <c r="BE210" s="360"/>
      <c r="BF210" s="360"/>
      <c r="BG210" s="360"/>
      <c r="BH210" s="360"/>
      <c r="BI210" s="360"/>
      <c r="BJ210" s="360"/>
      <c r="BK210" s="360"/>
      <c r="BL210" s="360"/>
      <c r="BM210" s="360"/>
      <c r="BN210" s="360"/>
    </row>
    <row r="211" spans="1:66" s="353" customFormat="1" ht="18.75">
      <c r="A211" s="468"/>
      <c r="B211" s="358"/>
      <c r="C211" s="476" t="s">
        <v>793</v>
      </c>
      <c r="D211" s="476"/>
      <c r="E211" s="476"/>
      <c r="F211" s="476"/>
      <c r="G211" s="384"/>
      <c r="H211" s="384"/>
      <c r="I211" s="358"/>
      <c r="J211" s="384"/>
      <c r="K211" s="384"/>
      <c r="L211" s="384"/>
      <c r="M211" s="384"/>
      <c r="N211" s="358"/>
      <c r="O211" s="384"/>
      <c r="P211" s="358"/>
      <c r="Q211" s="474"/>
      <c r="R211" s="359"/>
      <c r="S211" s="359"/>
      <c r="T211" s="360"/>
      <c r="U211" s="360"/>
      <c r="V211" s="360"/>
      <c r="W211" s="360"/>
      <c r="X211" s="360"/>
      <c r="Y211" s="360"/>
      <c r="Z211" s="360"/>
      <c r="AA211" s="360"/>
      <c r="AB211" s="360"/>
      <c r="AC211" s="360"/>
      <c r="AD211" s="360"/>
      <c r="AE211" s="360"/>
      <c r="AF211" s="360"/>
      <c r="AG211" s="360"/>
      <c r="AH211" s="360"/>
      <c r="AI211" s="360"/>
      <c r="AJ211" s="360"/>
      <c r="AK211" s="360"/>
      <c r="AL211" s="360"/>
      <c r="AM211" s="360"/>
      <c r="AN211" s="360"/>
      <c r="AO211" s="360"/>
      <c r="AP211" s="360"/>
      <c r="AQ211" s="360"/>
      <c r="AR211" s="360"/>
      <c r="AS211" s="360"/>
      <c r="AT211" s="360"/>
      <c r="AU211" s="360"/>
      <c r="AV211" s="360"/>
      <c r="AW211" s="360"/>
      <c r="AX211" s="360"/>
      <c r="AY211" s="360"/>
      <c r="AZ211" s="360"/>
      <c r="BA211" s="360"/>
      <c r="BB211" s="360"/>
      <c r="BC211" s="360"/>
      <c r="BD211" s="360"/>
      <c r="BE211" s="360"/>
      <c r="BF211" s="360"/>
      <c r="BG211" s="360"/>
      <c r="BH211" s="360"/>
      <c r="BI211" s="360"/>
      <c r="BJ211" s="360"/>
      <c r="BK211" s="360"/>
      <c r="BL211" s="360"/>
      <c r="BM211" s="360"/>
      <c r="BN211" s="360"/>
    </row>
    <row r="212" spans="1:66" s="353" customFormat="1" ht="18.75">
      <c r="B212" s="358"/>
      <c r="C212" s="476" t="s">
        <v>794</v>
      </c>
      <c r="D212" s="476"/>
      <c r="E212" s="476"/>
      <c r="F212" s="476"/>
      <c r="G212" s="384"/>
      <c r="H212" s="384"/>
      <c r="I212" s="358"/>
      <c r="J212" s="384"/>
      <c r="K212" s="384"/>
      <c r="L212" s="384"/>
      <c r="M212" s="384"/>
      <c r="N212" s="358"/>
      <c r="O212" s="384"/>
      <c r="P212" s="358"/>
      <c r="Q212" s="474"/>
      <c r="R212" s="359"/>
      <c r="S212" s="359"/>
      <c r="T212" s="360"/>
      <c r="U212" s="360"/>
      <c r="V212" s="360"/>
      <c r="W212" s="360"/>
      <c r="X212" s="360"/>
      <c r="Y212" s="360"/>
      <c r="Z212" s="360"/>
      <c r="AA212" s="360"/>
      <c r="AB212" s="360"/>
      <c r="AC212" s="360"/>
      <c r="AD212" s="360"/>
      <c r="AE212" s="360"/>
      <c r="AF212" s="360"/>
      <c r="AG212" s="360"/>
      <c r="AH212" s="360"/>
      <c r="AI212" s="360"/>
      <c r="AJ212" s="360"/>
      <c r="AK212" s="360"/>
      <c r="AL212" s="360"/>
      <c r="AM212" s="360"/>
      <c r="AN212" s="360"/>
      <c r="AO212" s="360"/>
      <c r="AP212" s="360"/>
      <c r="AQ212" s="360"/>
      <c r="AR212" s="360"/>
      <c r="AS212" s="360"/>
      <c r="AT212" s="360"/>
      <c r="AU212" s="360"/>
      <c r="AV212" s="360"/>
      <c r="AW212" s="360"/>
      <c r="AX212" s="360"/>
      <c r="AY212" s="360"/>
      <c r="AZ212" s="360"/>
      <c r="BA212" s="360"/>
      <c r="BB212" s="360"/>
      <c r="BC212" s="360"/>
      <c r="BD212" s="360"/>
      <c r="BE212" s="360"/>
      <c r="BF212" s="360"/>
      <c r="BG212" s="360"/>
      <c r="BH212" s="360"/>
      <c r="BI212" s="360"/>
      <c r="BJ212" s="360"/>
      <c r="BK212" s="360"/>
      <c r="BL212" s="360"/>
      <c r="BM212" s="360"/>
      <c r="BN212" s="360"/>
    </row>
    <row r="213" spans="1:66" s="353" customFormat="1" ht="18.75">
      <c r="A213" s="468" t="s">
        <v>761</v>
      </c>
      <c r="B213" s="358"/>
      <c r="C213" s="476" t="s">
        <v>158</v>
      </c>
      <c r="D213" s="476"/>
      <c r="E213" s="476"/>
      <c r="F213" s="476"/>
      <c r="G213" s="384"/>
      <c r="H213" s="384"/>
      <c r="I213" s="358"/>
      <c r="J213" s="384"/>
      <c r="K213" s="384"/>
      <c r="L213" s="384"/>
      <c r="M213" s="384"/>
      <c r="N213" s="358"/>
      <c r="O213" s="384"/>
      <c r="P213" s="358"/>
      <c r="Q213" s="474"/>
      <c r="R213" s="359"/>
      <c r="S213" s="359"/>
      <c r="T213" s="360"/>
      <c r="U213" s="360"/>
      <c r="V213" s="360"/>
      <c r="W213" s="360"/>
      <c r="X213" s="360"/>
      <c r="Y213" s="360"/>
      <c r="Z213" s="360"/>
      <c r="AA213" s="360"/>
      <c r="AB213" s="360"/>
      <c r="AC213" s="360"/>
      <c r="AD213" s="360"/>
      <c r="AE213" s="360"/>
      <c r="AF213" s="360"/>
      <c r="AG213" s="360"/>
      <c r="AH213" s="360"/>
      <c r="AI213" s="360"/>
      <c r="AJ213" s="360"/>
      <c r="AK213" s="360"/>
      <c r="AL213" s="360"/>
      <c r="AM213" s="360"/>
      <c r="AN213" s="360"/>
      <c r="AO213" s="360"/>
      <c r="AP213" s="360"/>
      <c r="AQ213" s="360"/>
      <c r="AR213" s="360"/>
      <c r="AS213" s="360"/>
      <c r="AT213" s="360"/>
      <c r="AU213" s="360"/>
      <c r="AV213" s="360"/>
      <c r="AW213" s="360"/>
      <c r="AX213" s="360"/>
      <c r="AY213" s="360"/>
      <c r="AZ213" s="360"/>
      <c r="BA213" s="360"/>
      <c r="BB213" s="360"/>
      <c r="BC213" s="360"/>
      <c r="BD213" s="360"/>
      <c r="BE213" s="360"/>
      <c r="BF213" s="360"/>
      <c r="BG213" s="360"/>
      <c r="BH213" s="360"/>
      <c r="BI213" s="360"/>
      <c r="BJ213" s="360"/>
      <c r="BK213" s="360"/>
      <c r="BL213" s="360"/>
      <c r="BM213" s="360"/>
      <c r="BN213" s="360"/>
    </row>
    <row r="214" spans="1:66" s="353" customFormat="1" ht="18.75">
      <c r="A214" s="468" t="s">
        <v>762</v>
      </c>
      <c r="B214" s="358"/>
      <c r="C214" s="476" t="s">
        <v>159</v>
      </c>
      <c r="D214" s="476"/>
      <c r="E214" s="476"/>
      <c r="F214" s="476"/>
      <c r="G214" s="384"/>
      <c r="H214" s="384"/>
      <c r="I214" s="358"/>
      <c r="J214" s="384"/>
      <c r="K214" s="384"/>
      <c r="L214" s="384"/>
      <c r="M214" s="384"/>
      <c r="N214" s="358"/>
      <c r="O214" s="384"/>
      <c r="P214" s="358"/>
      <c r="Q214" s="474"/>
      <c r="R214" s="359"/>
      <c r="S214" s="359"/>
      <c r="T214" s="360"/>
      <c r="U214" s="360"/>
      <c r="V214" s="360"/>
      <c r="W214" s="360"/>
      <c r="X214" s="360"/>
      <c r="Y214" s="360"/>
      <c r="Z214" s="360"/>
      <c r="AA214" s="360"/>
      <c r="AB214" s="360"/>
      <c r="AC214" s="360"/>
      <c r="AD214" s="360"/>
      <c r="AE214" s="360"/>
      <c r="AF214" s="360"/>
      <c r="AG214" s="360"/>
      <c r="AH214" s="360"/>
      <c r="AI214" s="360"/>
      <c r="AJ214" s="360"/>
      <c r="AK214" s="360"/>
      <c r="AL214" s="360"/>
      <c r="AM214" s="360"/>
      <c r="AN214" s="360"/>
      <c r="AO214" s="360"/>
      <c r="AP214" s="360"/>
      <c r="AQ214" s="360"/>
      <c r="AR214" s="360"/>
      <c r="AS214" s="360"/>
      <c r="AT214" s="360"/>
      <c r="AU214" s="360"/>
      <c r="AV214" s="360"/>
      <c r="AW214" s="360"/>
      <c r="AX214" s="360"/>
      <c r="AY214" s="360"/>
      <c r="AZ214" s="360"/>
      <c r="BA214" s="360"/>
      <c r="BB214" s="360"/>
      <c r="BC214" s="360"/>
      <c r="BD214" s="360"/>
      <c r="BE214" s="360"/>
      <c r="BF214" s="360"/>
      <c r="BG214" s="360"/>
      <c r="BH214" s="360"/>
      <c r="BI214" s="360"/>
      <c r="BJ214" s="360"/>
      <c r="BK214" s="360"/>
      <c r="BL214" s="360"/>
      <c r="BM214" s="360"/>
      <c r="BN214" s="360"/>
    </row>
    <row r="215" spans="1:66" s="353" customFormat="1" ht="18.75">
      <c r="A215" s="629"/>
      <c r="B215" s="358"/>
      <c r="C215" s="358"/>
      <c r="D215" s="476"/>
      <c r="E215" s="476"/>
      <c r="F215" s="476"/>
      <c r="G215" s="384"/>
      <c r="H215" s="384"/>
      <c r="I215" s="358"/>
      <c r="J215" s="384"/>
      <c r="K215" s="384"/>
      <c r="L215" s="384"/>
      <c r="M215" s="384"/>
      <c r="N215" s="358"/>
      <c r="O215" s="384"/>
      <c r="P215" s="358"/>
      <c r="Q215" s="474"/>
      <c r="R215" s="359"/>
      <c r="S215" s="359"/>
      <c r="T215" s="360"/>
      <c r="U215" s="360"/>
      <c r="V215" s="360"/>
      <c r="W215" s="360"/>
      <c r="X215" s="360"/>
      <c r="Y215" s="360"/>
      <c r="Z215" s="360"/>
      <c r="AA215" s="360"/>
      <c r="AB215" s="360"/>
      <c r="AC215" s="360"/>
      <c r="AD215" s="360"/>
      <c r="AE215" s="360"/>
      <c r="AF215" s="360"/>
      <c r="AG215" s="360"/>
      <c r="AH215" s="360"/>
      <c r="AI215" s="360"/>
      <c r="AJ215" s="360"/>
      <c r="AK215" s="360"/>
      <c r="AL215" s="360"/>
      <c r="AM215" s="360"/>
      <c r="AN215" s="360"/>
      <c r="AO215" s="360"/>
      <c r="AP215" s="360"/>
      <c r="AQ215" s="360"/>
      <c r="AR215" s="360"/>
      <c r="AS215" s="360"/>
      <c r="AT215" s="360"/>
      <c r="AU215" s="360"/>
      <c r="AV215" s="360"/>
      <c r="AW215" s="360"/>
      <c r="AX215" s="360"/>
      <c r="AY215" s="360"/>
      <c r="AZ215" s="360"/>
      <c r="BA215" s="360"/>
      <c r="BB215" s="360"/>
      <c r="BC215" s="360"/>
      <c r="BD215" s="360"/>
      <c r="BE215" s="360"/>
      <c r="BF215" s="360"/>
      <c r="BG215" s="360"/>
      <c r="BH215" s="360"/>
      <c r="BI215" s="360"/>
      <c r="BJ215" s="360"/>
      <c r="BK215" s="360"/>
      <c r="BL215" s="360"/>
      <c r="BM215" s="360"/>
      <c r="BN215" s="360"/>
    </row>
    <row r="216" spans="1:66" s="353" customFormat="1" ht="18.75">
      <c r="A216" s="468"/>
      <c r="B216" s="358"/>
      <c r="C216" s="358"/>
      <c r="D216" s="476"/>
      <c r="E216" s="476"/>
      <c r="F216" s="476"/>
      <c r="G216" s="384"/>
      <c r="H216" s="384"/>
      <c r="I216" s="358"/>
      <c r="J216" s="384"/>
      <c r="K216" s="384"/>
      <c r="L216" s="384"/>
      <c r="M216" s="384"/>
      <c r="N216" s="358"/>
      <c r="O216" s="384"/>
      <c r="P216" s="358"/>
      <c r="Q216" s="474"/>
      <c r="R216" s="359"/>
      <c r="S216" s="359"/>
      <c r="T216" s="360"/>
      <c r="U216" s="360"/>
      <c r="V216" s="360"/>
      <c r="W216" s="360"/>
      <c r="X216" s="360"/>
      <c r="Y216" s="360"/>
      <c r="Z216" s="360"/>
      <c r="AA216" s="360"/>
      <c r="AB216" s="360"/>
      <c r="AC216" s="360"/>
      <c r="AD216" s="360"/>
      <c r="AE216" s="360"/>
      <c r="AF216" s="360"/>
      <c r="AG216" s="360"/>
      <c r="AH216" s="360"/>
      <c r="AI216" s="360"/>
      <c r="AJ216" s="360"/>
      <c r="AK216" s="360"/>
      <c r="AL216" s="360"/>
      <c r="AM216" s="360"/>
      <c r="AN216" s="360"/>
      <c r="AO216" s="360"/>
      <c r="AP216" s="360"/>
      <c r="AQ216" s="360"/>
      <c r="AR216" s="360"/>
      <c r="AS216" s="360"/>
      <c r="AT216" s="360"/>
      <c r="AU216" s="360"/>
      <c r="AV216" s="360"/>
      <c r="AW216" s="360"/>
      <c r="AX216" s="360"/>
      <c r="AY216" s="360"/>
      <c r="AZ216" s="360"/>
      <c r="BA216" s="360"/>
      <c r="BB216" s="360"/>
      <c r="BC216" s="360"/>
      <c r="BD216" s="360"/>
      <c r="BE216" s="360"/>
      <c r="BF216" s="360"/>
      <c r="BG216" s="360"/>
      <c r="BH216" s="360"/>
      <c r="BI216" s="360"/>
      <c r="BJ216" s="360"/>
      <c r="BK216" s="360"/>
      <c r="BL216" s="360"/>
      <c r="BM216" s="360"/>
      <c r="BN216" s="360"/>
    </row>
    <row r="217" spans="1:66" ht="20.25">
      <c r="A217" s="484"/>
      <c r="B217" s="485"/>
      <c r="C217" s="486"/>
      <c r="D217" s="485"/>
      <c r="E217" s="487"/>
      <c r="F217" s="487"/>
      <c r="G217" s="487"/>
      <c r="H217" s="487"/>
      <c r="I217" s="485"/>
      <c r="J217" s="487"/>
      <c r="K217" s="487"/>
      <c r="L217" s="487"/>
      <c r="M217" s="487"/>
      <c r="N217" s="488"/>
      <c r="O217" s="489"/>
      <c r="P217" s="488"/>
      <c r="Q217" s="474"/>
      <c r="R217" s="359"/>
      <c r="S217" s="359"/>
      <c r="T217" s="360"/>
      <c r="U217" s="360"/>
      <c r="V217" s="360"/>
      <c r="W217" s="360"/>
      <c r="X217" s="360"/>
      <c r="Y217" s="360"/>
      <c r="Z217" s="360"/>
      <c r="AA217" s="360"/>
      <c r="AB217" s="360"/>
      <c r="AC217" s="360"/>
      <c r="AD217" s="360"/>
      <c r="AE217" s="360"/>
      <c r="AF217" s="360"/>
      <c r="AG217" s="360"/>
      <c r="AH217" s="360"/>
      <c r="AI217" s="360"/>
      <c r="AJ217" s="360"/>
      <c r="AK217" s="360"/>
      <c r="AL217" s="360"/>
      <c r="AM217" s="360"/>
      <c r="AN217" s="360"/>
      <c r="AO217" s="360"/>
      <c r="AP217" s="360"/>
      <c r="AQ217" s="360"/>
      <c r="AR217" s="360"/>
      <c r="AS217" s="360"/>
      <c r="AT217" s="360"/>
      <c r="AU217" s="360"/>
      <c r="AV217" s="360"/>
      <c r="AW217" s="360"/>
      <c r="AX217" s="360"/>
      <c r="AY217" s="360"/>
      <c r="AZ217" s="360"/>
      <c r="BA217" s="360"/>
      <c r="BB217" s="360"/>
      <c r="BC217" s="360"/>
      <c r="BD217" s="360"/>
      <c r="BE217" s="360"/>
      <c r="BF217" s="360"/>
      <c r="BG217" s="360"/>
      <c r="BH217" s="360"/>
      <c r="BI217" s="360"/>
      <c r="BJ217" s="360"/>
      <c r="BK217" s="360"/>
      <c r="BL217" s="360"/>
      <c r="BM217" s="360"/>
      <c r="BN217" s="360"/>
    </row>
    <row r="218" spans="1:66" ht="20.25">
      <c r="A218" s="484"/>
      <c r="B218" s="485"/>
      <c r="C218" s="486"/>
      <c r="D218" s="485"/>
      <c r="E218" s="487"/>
      <c r="F218" s="487"/>
      <c r="G218" s="487"/>
      <c r="H218" s="487"/>
      <c r="I218" s="485"/>
      <c r="J218" s="487"/>
      <c r="K218" s="487"/>
      <c r="L218" s="487"/>
      <c r="M218" s="487"/>
      <c r="N218" s="488"/>
      <c r="O218" s="489"/>
      <c r="P218" s="488"/>
      <c r="Q218" s="474"/>
      <c r="R218" s="359"/>
      <c r="S218" s="359"/>
      <c r="T218" s="360"/>
      <c r="U218" s="360"/>
      <c r="V218" s="360"/>
      <c r="W218" s="360"/>
      <c r="X218" s="360"/>
      <c r="Y218" s="360"/>
      <c r="Z218" s="360"/>
      <c r="AA218" s="360"/>
      <c r="AB218" s="360"/>
      <c r="AC218" s="360"/>
      <c r="AD218" s="360"/>
      <c r="AE218" s="360"/>
      <c r="AF218" s="360"/>
      <c r="AG218" s="360"/>
      <c r="AH218" s="360"/>
      <c r="AI218" s="360"/>
      <c r="AJ218" s="360"/>
      <c r="AK218" s="360"/>
      <c r="AL218" s="360"/>
      <c r="AM218" s="360"/>
      <c r="AN218" s="360"/>
      <c r="AO218" s="360"/>
      <c r="AP218" s="360"/>
      <c r="AQ218" s="360"/>
      <c r="AR218" s="360"/>
      <c r="AS218" s="360"/>
      <c r="AT218" s="360"/>
      <c r="AU218" s="360"/>
      <c r="AV218" s="360"/>
      <c r="AW218" s="360"/>
      <c r="AX218" s="360"/>
      <c r="AY218" s="360"/>
      <c r="AZ218" s="360"/>
      <c r="BA218" s="360"/>
      <c r="BB218" s="360"/>
      <c r="BC218" s="360"/>
      <c r="BD218" s="360"/>
      <c r="BE218" s="360"/>
      <c r="BF218" s="360"/>
      <c r="BG218" s="360"/>
      <c r="BH218" s="360"/>
      <c r="BI218" s="360"/>
      <c r="BJ218" s="360"/>
      <c r="BK218" s="360"/>
      <c r="BL218" s="360"/>
      <c r="BM218" s="360"/>
      <c r="BN218" s="360"/>
    </row>
    <row r="219" spans="1:66" ht="20.25">
      <c r="A219" s="484"/>
      <c r="B219" s="485"/>
      <c r="C219" s="486"/>
      <c r="D219" s="485"/>
      <c r="E219" s="485"/>
      <c r="F219" s="485"/>
      <c r="G219" s="485"/>
      <c r="H219" s="485"/>
      <c r="I219" s="485"/>
      <c r="J219" s="487"/>
      <c r="K219" s="487"/>
      <c r="L219" s="487"/>
      <c r="M219" s="487"/>
      <c r="N219" s="488"/>
      <c r="O219" s="488"/>
      <c r="P219" s="488"/>
      <c r="Q219" s="490"/>
      <c r="R219" s="359"/>
      <c r="S219" s="359"/>
      <c r="T219" s="360"/>
      <c r="U219" s="360"/>
      <c r="V219" s="360"/>
      <c r="W219" s="360"/>
      <c r="X219" s="360"/>
      <c r="Y219" s="360"/>
      <c r="Z219" s="360"/>
      <c r="AA219" s="360"/>
      <c r="AB219" s="360"/>
      <c r="AC219" s="360"/>
      <c r="AD219" s="360"/>
      <c r="AE219" s="360"/>
      <c r="AF219" s="360"/>
      <c r="AG219" s="360"/>
      <c r="AH219" s="360"/>
      <c r="AI219" s="360"/>
      <c r="AJ219" s="360"/>
      <c r="AK219" s="360"/>
      <c r="AL219" s="360"/>
      <c r="AM219" s="360"/>
      <c r="AN219" s="360"/>
      <c r="AO219" s="360"/>
      <c r="AP219" s="360"/>
      <c r="AQ219" s="360"/>
      <c r="AR219" s="360"/>
      <c r="AS219" s="360"/>
      <c r="AT219" s="360"/>
      <c r="AU219" s="360"/>
      <c r="AV219" s="360"/>
      <c r="AW219" s="360"/>
      <c r="AX219" s="360"/>
      <c r="AY219" s="360"/>
      <c r="AZ219" s="360"/>
      <c r="BA219" s="360"/>
      <c r="BB219" s="360"/>
      <c r="BC219" s="360"/>
      <c r="BD219" s="360"/>
      <c r="BE219" s="360"/>
      <c r="BF219" s="360"/>
      <c r="BG219" s="360"/>
      <c r="BH219" s="360"/>
      <c r="BI219" s="360"/>
      <c r="BJ219" s="360"/>
      <c r="BK219" s="360"/>
      <c r="BL219" s="360"/>
      <c r="BM219" s="360"/>
      <c r="BN219" s="360"/>
    </row>
    <row r="220" spans="1:66" ht="20.25">
      <c r="A220" s="484"/>
      <c r="B220" s="485"/>
      <c r="C220" s="486"/>
      <c r="D220" s="485"/>
      <c r="E220" s="485"/>
      <c r="F220" s="485"/>
      <c r="G220" s="485"/>
      <c r="H220" s="485"/>
      <c r="I220" s="485"/>
      <c r="J220" s="487"/>
      <c r="K220" s="487"/>
      <c r="L220" s="487"/>
      <c r="M220" s="487"/>
      <c r="N220" s="488"/>
      <c r="O220" s="488"/>
      <c r="P220" s="488"/>
      <c r="Q220" s="490"/>
      <c r="R220" s="359"/>
      <c r="S220" s="359"/>
      <c r="T220" s="360"/>
      <c r="U220" s="360"/>
      <c r="V220" s="360"/>
      <c r="W220" s="360"/>
      <c r="X220" s="360"/>
      <c r="Y220" s="360"/>
      <c r="Z220" s="360"/>
      <c r="AA220" s="360"/>
      <c r="AB220" s="360"/>
      <c r="AC220" s="360"/>
      <c r="AD220" s="360"/>
      <c r="AE220" s="360"/>
      <c r="AF220" s="360"/>
      <c r="AG220" s="360"/>
      <c r="AH220" s="360"/>
      <c r="AI220" s="360"/>
      <c r="AJ220" s="360"/>
      <c r="AK220" s="360"/>
      <c r="AL220" s="360"/>
      <c r="AM220" s="360"/>
      <c r="AN220" s="360"/>
      <c r="AO220" s="360"/>
      <c r="AP220" s="360"/>
      <c r="AQ220" s="360"/>
      <c r="AR220" s="360"/>
      <c r="AS220" s="360"/>
      <c r="AT220" s="360"/>
      <c r="AU220" s="360"/>
      <c r="AV220" s="360"/>
      <c r="AW220" s="360"/>
      <c r="AX220" s="360"/>
      <c r="AY220" s="360"/>
      <c r="AZ220" s="360"/>
      <c r="BA220" s="360"/>
      <c r="BB220" s="360"/>
      <c r="BC220" s="360"/>
      <c r="BD220" s="360"/>
      <c r="BE220" s="360"/>
      <c r="BF220" s="360"/>
      <c r="BG220" s="360"/>
      <c r="BH220" s="360"/>
      <c r="BI220" s="360"/>
      <c r="BJ220" s="360"/>
      <c r="BK220" s="360"/>
      <c r="BL220" s="360"/>
      <c r="BM220" s="360"/>
      <c r="BN220" s="360"/>
    </row>
    <row r="221" spans="1:66" ht="20.25">
      <c r="A221" s="484"/>
      <c r="B221" s="485"/>
      <c r="C221" s="485"/>
      <c r="D221" s="485"/>
      <c r="E221" s="485"/>
      <c r="F221" s="485"/>
      <c r="G221" s="485"/>
      <c r="H221" s="485"/>
      <c r="I221" s="485"/>
      <c r="J221" s="485"/>
      <c r="K221" s="485"/>
      <c r="L221" s="485"/>
      <c r="M221" s="485"/>
      <c r="N221" s="488"/>
      <c r="O221" s="488"/>
      <c r="P221" s="488"/>
      <c r="Q221" s="474"/>
      <c r="R221" s="359"/>
      <c r="S221" s="359"/>
      <c r="T221" s="360"/>
      <c r="U221" s="360"/>
      <c r="V221" s="360"/>
      <c r="W221" s="360"/>
      <c r="X221" s="360"/>
      <c r="Y221" s="360"/>
      <c r="Z221" s="360"/>
      <c r="AA221" s="360"/>
      <c r="AB221" s="360"/>
      <c r="AC221" s="360"/>
      <c r="AD221" s="360"/>
      <c r="AE221" s="360"/>
      <c r="AF221" s="360"/>
      <c r="AG221" s="360"/>
      <c r="AH221" s="360"/>
      <c r="AI221" s="360"/>
      <c r="AJ221" s="360"/>
      <c r="AK221" s="360"/>
      <c r="AL221" s="360"/>
      <c r="AM221" s="360"/>
      <c r="AN221" s="360"/>
      <c r="AO221" s="360"/>
      <c r="AP221" s="360"/>
      <c r="AQ221" s="360"/>
      <c r="AR221" s="360"/>
      <c r="AS221" s="360"/>
      <c r="AT221" s="360"/>
      <c r="AU221" s="360"/>
      <c r="AV221" s="360"/>
      <c r="AW221" s="360"/>
      <c r="AX221" s="360"/>
      <c r="AY221" s="360"/>
      <c r="AZ221" s="360"/>
      <c r="BA221" s="360"/>
      <c r="BB221" s="360"/>
      <c r="BC221" s="360"/>
      <c r="BD221" s="360"/>
      <c r="BE221" s="360"/>
      <c r="BF221" s="360"/>
      <c r="BG221" s="360"/>
      <c r="BH221" s="360"/>
      <c r="BI221" s="360"/>
      <c r="BJ221" s="360"/>
      <c r="BK221" s="360"/>
      <c r="BL221" s="360"/>
      <c r="BM221" s="360"/>
      <c r="BN221" s="360"/>
    </row>
    <row r="222" spans="1:66" ht="20.25">
      <c r="A222" s="484"/>
      <c r="B222" s="485"/>
      <c r="C222" s="485"/>
      <c r="D222" s="485"/>
      <c r="E222" s="485"/>
      <c r="F222" s="485"/>
      <c r="G222" s="485"/>
      <c r="H222" s="485"/>
      <c r="I222" s="485"/>
      <c r="J222" s="485"/>
      <c r="K222" s="485"/>
      <c r="L222" s="485"/>
      <c r="M222" s="485"/>
      <c r="N222" s="488"/>
      <c r="O222" s="488"/>
      <c r="P222" s="488"/>
      <c r="Q222" s="474"/>
      <c r="R222" s="359"/>
      <c r="S222" s="359"/>
      <c r="T222" s="360"/>
      <c r="U222" s="360"/>
      <c r="V222" s="360"/>
      <c r="W222" s="360"/>
      <c r="X222" s="360"/>
      <c r="Y222" s="360"/>
      <c r="Z222" s="360"/>
      <c r="AA222" s="360"/>
      <c r="AB222" s="360"/>
      <c r="AC222" s="360"/>
      <c r="AD222" s="360"/>
      <c r="AE222" s="360"/>
      <c r="AF222" s="360"/>
      <c r="AG222" s="360"/>
      <c r="AH222" s="360"/>
      <c r="AI222" s="360"/>
      <c r="AJ222" s="360"/>
      <c r="AK222" s="360"/>
      <c r="AL222" s="360"/>
      <c r="AM222" s="360"/>
      <c r="AN222" s="360"/>
      <c r="AO222" s="360"/>
      <c r="AP222" s="360"/>
      <c r="AQ222" s="360"/>
      <c r="AR222" s="360"/>
      <c r="AS222" s="360"/>
      <c r="AT222" s="360"/>
      <c r="AU222" s="360"/>
      <c r="AV222" s="360"/>
      <c r="AW222" s="360"/>
      <c r="AX222" s="360"/>
      <c r="AY222" s="360"/>
      <c r="AZ222" s="360"/>
      <c r="BA222" s="360"/>
      <c r="BB222" s="360"/>
      <c r="BC222" s="360"/>
      <c r="BD222" s="360"/>
      <c r="BE222" s="360"/>
      <c r="BF222" s="360"/>
      <c r="BG222" s="360"/>
      <c r="BH222" s="360"/>
      <c r="BI222" s="360"/>
      <c r="BJ222" s="360"/>
      <c r="BK222" s="360"/>
      <c r="BL222" s="360"/>
      <c r="BM222" s="360"/>
      <c r="BN222" s="360"/>
    </row>
    <row r="223" spans="1:66" ht="20.25">
      <c r="A223" s="484"/>
      <c r="B223" s="485"/>
      <c r="C223" s="485"/>
      <c r="D223" s="485"/>
      <c r="E223" s="485"/>
      <c r="F223" s="485"/>
      <c r="G223" s="485"/>
      <c r="H223" s="485"/>
      <c r="I223" s="485"/>
      <c r="J223" s="485"/>
      <c r="K223" s="485"/>
      <c r="L223" s="485"/>
      <c r="M223" s="485"/>
      <c r="N223" s="488"/>
      <c r="O223" s="488"/>
      <c r="P223" s="488"/>
      <c r="Q223" s="474"/>
      <c r="R223" s="359"/>
      <c r="S223" s="359"/>
      <c r="T223" s="360"/>
      <c r="U223" s="360"/>
      <c r="V223" s="360"/>
      <c r="W223" s="360"/>
      <c r="X223" s="360"/>
      <c r="Y223" s="360"/>
      <c r="Z223" s="360"/>
      <c r="AA223" s="360"/>
      <c r="AB223" s="360"/>
      <c r="AC223" s="360"/>
      <c r="AD223" s="360"/>
      <c r="AE223" s="360"/>
      <c r="AF223" s="360"/>
      <c r="AG223" s="360"/>
      <c r="AH223" s="360"/>
      <c r="AI223" s="360"/>
      <c r="AJ223" s="360"/>
      <c r="AK223" s="360"/>
      <c r="AL223" s="360"/>
      <c r="AM223" s="360"/>
      <c r="AN223" s="360"/>
      <c r="AO223" s="360"/>
      <c r="AP223" s="360"/>
      <c r="AQ223" s="360"/>
      <c r="AR223" s="360"/>
      <c r="AS223" s="360"/>
      <c r="AT223" s="360"/>
      <c r="AU223" s="360"/>
      <c r="AV223" s="360"/>
      <c r="AW223" s="360"/>
      <c r="AX223" s="360"/>
      <c r="AY223" s="360"/>
      <c r="AZ223" s="360"/>
      <c r="BA223" s="360"/>
      <c r="BB223" s="360"/>
      <c r="BC223" s="360"/>
      <c r="BD223" s="360"/>
      <c r="BE223" s="360"/>
      <c r="BF223" s="360"/>
      <c r="BG223" s="360"/>
      <c r="BH223" s="360"/>
      <c r="BI223" s="360"/>
      <c r="BJ223" s="360"/>
      <c r="BK223" s="360"/>
      <c r="BL223" s="360"/>
      <c r="BM223" s="360"/>
      <c r="BN223" s="360"/>
    </row>
    <row r="224" spans="1:66" ht="20.25">
      <c r="A224" s="484"/>
      <c r="B224" s="485"/>
      <c r="C224" s="485"/>
      <c r="D224" s="485"/>
      <c r="E224" s="485"/>
      <c r="F224" s="485"/>
      <c r="G224" s="485"/>
      <c r="H224" s="485"/>
      <c r="I224" s="485"/>
      <c r="J224" s="485"/>
      <c r="K224" s="485"/>
      <c r="L224" s="485"/>
      <c r="M224" s="485"/>
      <c r="N224" s="488"/>
      <c r="O224" s="488"/>
      <c r="P224" s="488"/>
      <c r="Q224" s="474"/>
      <c r="R224" s="359"/>
      <c r="S224" s="359"/>
      <c r="T224" s="360"/>
      <c r="U224" s="360"/>
      <c r="V224" s="360"/>
      <c r="W224" s="360"/>
      <c r="X224" s="360"/>
      <c r="Y224" s="360"/>
      <c r="Z224" s="360"/>
      <c r="AA224" s="360"/>
      <c r="AB224" s="360"/>
      <c r="AC224" s="360"/>
      <c r="AD224" s="360"/>
      <c r="AE224" s="360"/>
      <c r="AF224" s="360"/>
      <c r="AG224" s="360"/>
      <c r="AH224" s="360"/>
      <c r="AI224" s="360"/>
      <c r="AJ224" s="360"/>
      <c r="AK224" s="360"/>
      <c r="AL224" s="360"/>
      <c r="AM224" s="360"/>
      <c r="AN224" s="360"/>
      <c r="AO224" s="360"/>
      <c r="AP224" s="360"/>
      <c r="AQ224" s="360"/>
      <c r="AR224" s="360"/>
      <c r="AS224" s="360"/>
      <c r="AT224" s="360"/>
      <c r="AU224" s="360"/>
      <c r="AV224" s="360"/>
      <c r="AW224" s="360"/>
      <c r="AX224" s="360"/>
      <c r="AY224" s="360"/>
      <c r="AZ224" s="360"/>
      <c r="BA224" s="360"/>
      <c r="BB224" s="360"/>
      <c r="BC224" s="360"/>
      <c r="BD224" s="360"/>
      <c r="BE224" s="360"/>
      <c r="BF224" s="360"/>
      <c r="BG224" s="360"/>
      <c r="BH224" s="360"/>
      <c r="BI224" s="360"/>
      <c r="BJ224" s="360"/>
      <c r="BK224" s="360"/>
      <c r="BL224" s="360"/>
      <c r="BM224" s="360"/>
      <c r="BN224" s="360"/>
    </row>
    <row r="225" spans="1:66" ht="20.25">
      <c r="A225" s="484"/>
      <c r="B225" s="485"/>
      <c r="C225" s="485"/>
      <c r="D225" s="485"/>
      <c r="E225" s="485"/>
      <c r="F225" s="485"/>
      <c r="G225" s="485"/>
      <c r="H225" s="485"/>
      <c r="I225" s="485"/>
      <c r="J225" s="485"/>
      <c r="K225" s="485"/>
      <c r="L225" s="485"/>
      <c r="M225" s="485"/>
      <c r="N225" s="488"/>
      <c r="O225" s="488"/>
      <c r="P225" s="488"/>
      <c r="Q225" s="474"/>
      <c r="R225" s="359"/>
      <c r="S225" s="359"/>
      <c r="T225" s="360"/>
      <c r="U225" s="360"/>
      <c r="V225" s="360"/>
      <c r="W225" s="360"/>
      <c r="X225" s="360"/>
      <c r="Y225" s="360"/>
      <c r="Z225" s="360"/>
      <c r="AA225" s="360"/>
      <c r="AB225" s="360"/>
      <c r="AC225" s="360"/>
      <c r="AD225" s="360"/>
      <c r="AE225" s="360"/>
      <c r="AF225" s="360"/>
      <c r="AG225" s="360"/>
      <c r="AH225" s="360"/>
      <c r="AI225" s="360"/>
      <c r="AJ225" s="360"/>
      <c r="AK225" s="360"/>
      <c r="AL225" s="360"/>
      <c r="AM225" s="360"/>
      <c r="AN225" s="360"/>
      <c r="AO225" s="360"/>
      <c r="AP225" s="360"/>
      <c r="AQ225" s="360"/>
      <c r="AR225" s="360"/>
      <c r="AS225" s="360"/>
      <c r="AT225" s="360"/>
      <c r="AU225" s="360"/>
      <c r="AV225" s="360"/>
      <c r="AW225" s="360"/>
      <c r="AX225" s="360"/>
      <c r="AY225" s="360"/>
      <c r="AZ225" s="360"/>
      <c r="BA225" s="360"/>
      <c r="BB225" s="360"/>
      <c r="BC225" s="360"/>
      <c r="BD225" s="360"/>
      <c r="BE225" s="360"/>
      <c r="BF225" s="360"/>
      <c r="BG225" s="360"/>
      <c r="BH225" s="360"/>
      <c r="BI225" s="360"/>
      <c r="BJ225" s="360"/>
      <c r="BK225" s="360"/>
      <c r="BL225" s="360"/>
      <c r="BM225" s="360"/>
      <c r="BN225" s="360"/>
    </row>
    <row r="226" spans="1:66" ht="20.25">
      <c r="A226" s="484"/>
      <c r="B226" s="485"/>
      <c r="C226" s="485"/>
      <c r="D226" s="485"/>
      <c r="E226" s="485"/>
      <c r="F226" s="485"/>
      <c r="G226" s="485"/>
      <c r="H226" s="485"/>
      <c r="I226" s="485"/>
      <c r="J226" s="485"/>
      <c r="K226" s="485"/>
      <c r="L226" s="485"/>
      <c r="M226" s="485"/>
      <c r="N226" s="488"/>
      <c r="O226" s="488"/>
      <c r="P226" s="488"/>
      <c r="Q226" s="474"/>
      <c r="R226" s="359"/>
      <c r="S226" s="359"/>
      <c r="T226" s="360"/>
      <c r="U226" s="360"/>
      <c r="V226" s="360"/>
      <c r="W226" s="360"/>
      <c r="X226" s="360"/>
      <c r="Y226" s="360"/>
      <c r="Z226" s="360"/>
      <c r="AA226" s="360"/>
      <c r="AB226" s="360"/>
      <c r="AC226" s="360"/>
      <c r="AD226" s="360"/>
      <c r="AE226" s="360"/>
      <c r="AF226" s="360"/>
      <c r="AG226" s="360"/>
      <c r="AH226" s="360"/>
      <c r="AI226" s="360"/>
      <c r="AJ226" s="360"/>
      <c r="AK226" s="360"/>
      <c r="AL226" s="360"/>
      <c r="AM226" s="360"/>
      <c r="AN226" s="360"/>
      <c r="AO226" s="360"/>
      <c r="AP226" s="360"/>
      <c r="AQ226" s="360"/>
      <c r="AR226" s="360"/>
      <c r="AS226" s="360"/>
      <c r="AT226" s="360"/>
      <c r="AU226" s="360"/>
      <c r="AV226" s="360"/>
      <c r="AW226" s="360"/>
      <c r="AX226" s="360"/>
      <c r="AY226" s="360"/>
      <c r="AZ226" s="360"/>
      <c r="BA226" s="360"/>
      <c r="BB226" s="360"/>
      <c r="BC226" s="360"/>
      <c r="BD226" s="360"/>
      <c r="BE226" s="360"/>
      <c r="BF226" s="360"/>
      <c r="BG226" s="360"/>
      <c r="BH226" s="360"/>
      <c r="BI226" s="360"/>
      <c r="BJ226" s="360"/>
      <c r="BK226" s="360"/>
      <c r="BL226" s="360"/>
      <c r="BM226" s="360"/>
      <c r="BN226" s="360"/>
    </row>
    <row r="227" spans="1:66" ht="20.25">
      <c r="A227" s="484"/>
      <c r="B227" s="485"/>
      <c r="C227" s="485"/>
      <c r="D227" s="485"/>
      <c r="E227" s="485"/>
      <c r="F227" s="485"/>
      <c r="G227" s="485"/>
      <c r="H227" s="485"/>
      <c r="I227" s="485"/>
      <c r="J227" s="485"/>
      <c r="K227" s="485"/>
      <c r="L227" s="485"/>
      <c r="M227" s="485"/>
      <c r="N227" s="488"/>
      <c r="O227" s="488"/>
      <c r="P227" s="488"/>
      <c r="Q227" s="474"/>
      <c r="R227" s="359"/>
      <c r="S227" s="359"/>
      <c r="T227" s="360"/>
      <c r="U227" s="360"/>
      <c r="V227" s="360"/>
      <c r="W227" s="360"/>
      <c r="X227" s="360"/>
      <c r="Y227" s="360"/>
      <c r="Z227" s="360"/>
      <c r="AA227" s="360"/>
      <c r="AB227" s="360"/>
      <c r="AC227" s="360"/>
      <c r="AD227" s="360"/>
      <c r="AE227" s="360"/>
      <c r="AF227" s="360"/>
      <c r="AG227" s="360"/>
      <c r="AH227" s="360"/>
      <c r="AI227" s="360"/>
      <c r="AJ227" s="360"/>
      <c r="AK227" s="360"/>
      <c r="AL227" s="360"/>
      <c r="AM227" s="360"/>
      <c r="AN227" s="360"/>
      <c r="AO227" s="360"/>
      <c r="AP227" s="360"/>
      <c r="AQ227" s="360"/>
      <c r="AR227" s="360"/>
      <c r="AS227" s="360"/>
      <c r="AT227" s="360"/>
      <c r="AU227" s="360"/>
      <c r="AV227" s="360"/>
      <c r="AW227" s="360"/>
      <c r="AX227" s="360"/>
      <c r="AY227" s="360"/>
      <c r="AZ227" s="360"/>
      <c r="BA227" s="360"/>
      <c r="BB227" s="360"/>
      <c r="BC227" s="360"/>
      <c r="BD227" s="360"/>
      <c r="BE227" s="360"/>
      <c r="BF227" s="360"/>
      <c r="BG227" s="360"/>
      <c r="BH227" s="360"/>
      <c r="BI227" s="360"/>
      <c r="BJ227" s="360"/>
      <c r="BK227" s="360"/>
      <c r="BL227" s="360"/>
      <c r="BM227" s="360"/>
      <c r="BN227" s="360"/>
    </row>
    <row r="228" spans="1:66" ht="20.25">
      <c r="A228" s="484"/>
      <c r="B228" s="485"/>
      <c r="C228" s="485"/>
      <c r="D228" s="485"/>
      <c r="E228" s="485"/>
      <c r="F228" s="485"/>
      <c r="G228" s="485"/>
      <c r="H228" s="485"/>
      <c r="I228" s="485"/>
      <c r="J228" s="485"/>
      <c r="K228" s="485"/>
      <c r="L228" s="485"/>
      <c r="M228" s="485"/>
      <c r="N228" s="488"/>
      <c r="O228" s="488"/>
      <c r="P228" s="488"/>
      <c r="Q228" s="474"/>
      <c r="R228" s="359"/>
      <c r="S228" s="359"/>
      <c r="T228" s="360"/>
      <c r="U228" s="360"/>
      <c r="V228" s="360"/>
      <c r="W228" s="360"/>
      <c r="X228" s="360"/>
      <c r="Y228" s="360"/>
      <c r="Z228" s="360"/>
      <c r="AA228" s="360"/>
      <c r="AB228" s="360"/>
      <c r="AC228" s="360"/>
      <c r="AD228" s="360"/>
      <c r="AE228" s="360"/>
      <c r="AF228" s="360"/>
      <c r="AG228" s="360"/>
      <c r="AH228" s="360"/>
      <c r="AI228" s="360"/>
      <c r="AJ228" s="360"/>
      <c r="AK228" s="360"/>
      <c r="AL228" s="360"/>
      <c r="AM228" s="360"/>
      <c r="AN228" s="360"/>
      <c r="AO228" s="360"/>
      <c r="AP228" s="360"/>
      <c r="AQ228" s="360"/>
      <c r="AR228" s="360"/>
      <c r="AS228" s="360"/>
      <c r="AT228" s="360"/>
      <c r="AU228" s="360"/>
      <c r="AV228" s="360"/>
      <c r="AW228" s="360"/>
      <c r="AX228" s="360"/>
      <c r="AY228" s="360"/>
      <c r="AZ228" s="360"/>
      <c r="BA228" s="360"/>
      <c r="BB228" s="360"/>
      <c r="BC228" s="360"/>
      <c r="BD228" s="360"/>
      <c r="BE228" s="360"/>
      <c r="BF228" s="360"/>
      <c r="BG228" s="360"/>
      <c r="BH228" s="360"/>
      <c r="BI228" s="360"/>
      <c r="BJ228" s="360"/>
      <c r="BK228" s="360"/>
      <c r="BL228" s="360"/>
      <c r="BM228" s="360"/>
      <c r="BN228" s="360"/>
    </row>
    <row r="229" spans="1:66" ht="20.25">
      <c r="A229" s="484"/>
      <c r="B229" s="485"/>
      <c r="C229" s="485"/>
      <c r="D229" s="485"/>
      <c r="E229" s="485"/>
      <c r="F229" s="485"/>
      <c r="G229" s="485"/>
      <c r="H229" s="485"/>
      <c r="I229" s="485"/>
      <c r="J229" s="485"/>
      <c r="K229" s="485"/>
      <c r="L229" s="485"/>
      <c r="M229" s="485"/>
      <c r="N229" s="488"/>
      <c r="O229" s="488"/>
      <c r="P229" s="488"/>
      <c r="Q229" s="474"/>
      <c r="R229" s="359"/>
      <c r="S229" s="359"/>
      <c r="T229" s="360"/>
      <c r="U229" s="360"/>
      <c r="V229" s="360"/>
      <c r="W229" s="360"/>
      <c r="X229" s="360"/>
      <c r="Y229" s="360"/>
      <c r="Z229" s="360"/>
      <c r="AA229" s="360"/>
      <c r="AB229" s="360"/>
      <c r="AC229" s="360"/>
      <c r="AD229" s="360"/>
      <c r="AE229" s="360"/>
      <c r="AF229" s="360"/>
      <c r="AG229" s="360"/>
      <c r="AH229" s="360"/>
      <c r="AI229" s="360"/>
      <c r="AJ229" s="360"/>
      <c r="AK229" s="360"/>
      <c r="AL229" s="360"/>
      <c r="AM229" s="360"/>
      <c r="AN229" s="360"/>
      <c r="AO229" s="360"/>
      <c r="AP229" s="360"/>
      <c r="AQ229" s="360"/>
      <c r="AR229" s="360"/>
      <c r="AS229" s="360"/>
      <c r="AT229" s="360"/>
      <c r="AU229" s="360"/>
      <c r="AV229" s="360"/>
      <c r="AW229" s="360"/>
      <c r="AX229" s="360"/>
      <c r="AY229" s="360"/>
      <c r="AZ229" s="360"/>
      <c r="BA229" s="360"/>
      <c r="BB229" s="360"/>
      <c r="BC229" s="360"/>
      <c r="BD229" s="360"/>
      <c r="BE229" s="360"/>
      <c r="BF229" s="360"/>
      <c r="BG229" s="360"/>
      <c r="BH229" s="360"/>
      <c r="BI229" s="360"/>
      <c r="BJ229" s="360"/>
      <c r="BK229" s="360"/>
      <c r="BL229" s="360"/>
      <c r="BM229" s="360"/>
      <c r="BN229" s="360"/>
    </row>
    <row r="230" spans="1:66" ht="20.25">
      <c r="A230" s="484"/>
      <c r="B230" s="485"/>
      <c r="C230" s="485"/>
      <c r="D230" s="485"/>
      <c r="E230" s="485"/>
      <c r="F230" s="485"/>
      <c r="G230" s="485"/>
      <c r="H230" s="485"/>
      <c r="I230" s="485"/>
      <c r="J230" s="485"/>
      <c r="K230" s="485"/>
      <c r="L230" s="485"/>
      <c r="M230" s="485"/>
      <c r="N230" s="488"/>
      <c r="O230" s="488"/>
      <c r="P230" s="488"/>
      <c r="Q230" s="474"/>
      <c r="R230" s="359"/>
      <c r="S230" s="359"/>
      <c r="T230" s="360"/>
      <c r="U230" s="360"/>
      <c r="V230" s="360"/>
      <c r="W230" s="360"/>
      <c r="X230" s="360"/>
      <c r="Y230" s="360"/>
      <c r="Z230" s="360"/>
      <c r="AA230" s="360"/>
      <c r="AB230" s="360"/>
      <c r="AC230" s="360"/>
      <c r="AD230" s="360"/>
      <c r="AE230" s="360"/>
      <c r="AF230" s="360"/>
      <c r="AG230" s="360"/>
      <c r="AH230" s="360"/>
      <c r="AI230" s="360"/>
      <c r="AJ230" s="360"/>
      <c r="AK230" s="360"/>
      <c r="AL230" s="360"/>
      <c r="AM230" s="360"/>
      <c r="AN230" s="360"/>
      <c r="AO230" s="360"/>
      <c r="AP230" s="360"/>
      <c r="AQ230" s="360"/>
      <c r="AR230" s="360"/>
      <c r="AS230" s="360"/>
      <c r="AT230" s="360"/>
      <c r="AU230" s="360"/>
      <c r="AV230" s="360"/>
      <c r="AW230" s="360"/>
      <c r="AX230" s="360"/>
      <c r="AY230" s="360"/>
      <c r="AZ230" s="360"/>
      <c r="BA230" s="360"/>
      <c r="BB230" s="360"/>
      <c r="BC230" s="360"/>
      <c r="BD230" s="360"/>
      <c r="BE230" s="360"/>
      <c r="BF230" s="360"/>
      <c r="BG230" s="360"/>
      <c r="BH230" s="360"/>
      <c r="BI230" s="360"/>
      <c r="BJ230" s="360"/>
      <c r="BK230" s="360"/>
      <c r="BL230" s="360"/>
      <c r="BM230" s="360"/>
      <c r="BN230" s="360"/>
    </row>
    <row r="231" spans="1:66" ht="20.25">
      <c r="A231" s="484"/>
      <c r="B231" s="485"/>
      <c r="C231" s="485"/>
      <c r="D231" s="485"/>
      <c r="E231" s="485"/>
      <c r="F231" s="485"/>
      <c r="G231" s="485"/>
      <c r="H231" s="485"/>
      <c r="I231" s="485"/>
      <c r="J231" s="485"/>
      <c r="K231" s="485"/>
      <c r="L231" s="485"/>
      <c r="M231" s="485"/>
      <c r="N231" s="488"/>
      <c r="O231" s="488"/>
      <c r="P231" s="488"/>
      <c r="Q231" s="474"/>
      <c r="R231" s="359"/>
      <c r="S231" s="359"/>
      <c r="T231" s="360"/>
      <c r="U231" s="360"/>
      <c r="V231" s="360"/>
      <c r="W231" s="360"/>
      <c r="X231" s="360"/>
      <c r="Y231" s="360"/>
      <c r="Z231" s="360"/>
      <c r="AA231" s="360"/>
      <c r="AB231" s="360"/>
      <c r="AC231" s="360"/>
      <c r="AD231" s="360"/>
      <c r="AE231" s="360"/>
      <c r="AF231" s="360"/>
      <c r="AG231" s="360"/>
      <c r="AH231" s="360"/>
      <c r="AI231" s="360"/>
      <c r="AJ231" s="360"/>
      <c r="AK231" s="360"/>
      <c r="AL231" s="360"/>
      <c r="AM231" s="360"/>
      <c r="AN231" s="360"/>
      <c r="AO231" s="360"/>
      <c r="AP231" s="360"/>
      <c r="AQ231" s="360"/>
      <c r="AR231" s="360"/>
      <c r="AS231" s="360"/>
      <c r="AT231" s="360"/>
      <c r="AU231" s="360"/>
      <c r="AV231" s="360"/>
      <c r="AW231" s="360"/>
      <c r="AX231" s="360"/>
      <c r="AY231" s="360"/>
      <c r="AZ231" s="360"/>
      <c r="BA231" s="360"/>
      <c r="BB231" s="360"/>
      <c r="BC231" s="360"/>
      <c r="BD231" s="360"/>
      <c r="BE231" s="360"/>
      <c r="BF231" s="360"/>
      <c r="BG231" s="360"/>
      <c r="BH231" s="360"/>
      <c r="BI231" s="360"/>
      <c r="BJ231" s="360"/>
      <c r="BK231" s="360"/>
      <c r="BL231" s="360"/>
      <c r="BM231" s="360"/>
      <c r="BN231" s="360"/>
    </row>
    <row r="232" spans="1:66" ht="20.25">
      <c r="A232" s="484"/>
      <c r="B232" s="485"/>
      <c r="C232" s="485"/>
      <c r="D232" s="485"/>
      <c r="E232" s="485"/>
      <c r="F232" s="485"/>
      <c r="G232" s="485"/>
      <c r="H232" s="485"/>
      <c r="I232" s="485"/>
      <c r="J232" s="485"/>
      <c r="K232" s="485"/>
      <c r="L232" s="485"/>
      <c r="M232" s="485"/>
      <c r="N232" s="488"/>
      <c r="O232" s="488"/>
      <c r="P232" s="488"/>
      <c r="Q232" s="474"/>
      <c r="R232" s="359"/>
      <c r="S232" s="359"/>
      <c r="T232" s="360"/>
      <c r="U232" s="360"/>
      <c r="V232" s="360"/>
      <c r="W232" s="360"/>
      <c r="X232" s="360"/>
      <c r="Y232" s="360"/>
      <c r="Z232" s="360"/>
      <c r="AA232" s="360"/>
      <c r="AB232" s="360"/>
      <c r="AC232" s="360"/>
      <c r="AD232" s="360"/>
      <c r="AE232" s="360"/>
      <c r="AF232" s="360"/>
      <c r="AG232" s="360"/>
      <c r="AH232" s="360"/>
      <c r="AI232" s="360"/>
      <c r="AJ232" s="360"/>
      <c r="AK232" s="360"/>
      <c r="AL232" s="360"/>
      <c r="AM232" s="360"/>
      <c r="AN232" s="360"/>
      <c r="AO232" s="360"/>
      <c r="AP232" s="360"/>
      <c r="AQ232" s="360"/>
      <c r="AR232" s="360"/>
      <c r="AS232" s="360"/>
      <c r="AT232" s="360"/>
      <c r="AU232" s="360"/>
      <c r="AV232" s="360"/>
      <c r="AW232" s="360"/>
      <c r="AX232" s="360"/>
      <c r="AY232" s="360"/>
      <c r="AZ232" s="360"/>
      <c r="BA232" s="360"/>
      <c r="BB232" s="360"/>
      <c r="BC232" s="360"/>
      <c r="BD232" s="360"/>
      <c r="BE232" s="360"/>
      <c r="BF232" s="360"/>
      <c r="BG232" s="360"/>
      <c r="BH232" s="360"/>
      <c r="BI232" s="360"/>
      <c r="BJ232" s="360"/>
      <c r="BK232" s="360"/>
      <c r="BL232" s="360"/>
      <c r="BM232" s="360"/>
      <c r="BN232" s="360"/>
    </row>
    <row r="233" spans="1:66" ht="20.25">
      <c r="A233" s="484"/>
      <c r="B233" s="485"/>
      <c r="C233" s="485"/>
      <c r="D233" s="485"/>
      <c r="E233" s="485"/>
      <c r="F233" s="485"/>
      <c r="G233" s="485"/>
      <c r="H233" s="485"/>
      <c r="I233" s="485"/>
      <c r="J233" s="485"/>
      <c r="K233" s="485"/>
      <c r="L233" s="485"/>
      <c r="M233" s="485"/>
      <c r="N233" s="488"/>
      <c r="O233" s="488"/>
      <c r="P233" s="488"/>
      <c r="Q233" s="474"/>
      <c r="R233" s="359"/>
      <c r="S233" s="359"/>
      <c r="T233" s="360"/>
      <c r="U233" s="360"/>
      <c r="V233" s="360"/>
      <c r="W233" s="360"/>
      <c r="X233" s="360"/>
      <c r="Y233" s="360"/>
      <c r="Z233" s="360"/>
      <c r="AA233" s="360"/>
      <c r="AB233" s="360"/>
      <c r="AC233" s="360"/>
      <c r="AD233" s="360"/>
      <c r="AE233" s="360"/>
      <c r="AF233" s="360"/>
      <c r="AG233" s="360"/>
      <c r="AH233" s="360"/>
      <c r="AI233" s="360"/>
      <c r="AJ233" s="360"/>
      <c r="AK233" s="360"/>
      <c r="AL233" s="360"/>
      <c r="AM233" s="360"/>
      <c r="AN233" s="360"/>
      <c r="AO233" s="360"/>
      <c r="AP233" s="360"/>
      <c r="AQ233" s="360"/>
      <c r="AR233" s="360"/>
      <c r="AS233" s="360"/>
      <c r="AT233" s="360"/>
      <c r="AU233" s="360"/>
      <c r="AV233" s="360"/>
      <c r="AW233" s="360"/>
      <c r="AX233" s="360"/>
      <c r="AY233" s="360"/>
      <c r="AZ233" s="360"/>
      <c r="BA233" s="360"/>
      <c r="BB233" s="360"/>
      <c r="BC233" s="360"/>
      <c r="BD233" s="360"/>
      <c r="BE233" s="360"/>
      <c r="BF233" s="360"/>
      <c r="BG233" s="360"/>
      <c r="BH233" s="360"/>
      <c r="BI233" s="360"/>
      <c r="BJ233" s="360"/>
      <c r="BK233" s="360"/>
      <c r="BL233" s="360"/>
      <c r="BM233" s="360"/>
      <c r="BN233" s="360"/>
    </row>
    <row r="234" spans="1:66" ht="20.25">
      <c r="A234" s="484"/>
      <c r="B234" s="485"/>
      <c r="C234" s="485"/>
      <c r="D234" s="485"/>
      <c r="E234" s="485"/>
      <c r="F234" s="485"/>
      <c r="G234" s="485"/>
      <c r="H234" s="485"/>
      <c r="I234" s="485"/>
      <c r="J234" s="485"/>
      <c r="K234" s="485"/>
      <c r="L234" s="485"/>
      <c r="M234" s="485"/>
      <c r="N234" s="488"/>
      <c r="O234" s="488"/>
      <c r="P234" s="488"/>
      <c r="Q234" s="474"/>
      <c r="R234" s="359"/>
      <c r="S234" s="359"/>
      <c r="T234" s="360"/>
      <c r="U234" s="360"/>
      <c r="V234" s="360"/>
      <c r="W234" s="360"/>
      <c r="X234" s="360"/>
      <c r="Y234" s="360"/>
      <c r="Z234" s="360"/>
      <c r="AA234" s="360"/>
      <c r="AB234" s="360"/>
      <c r="AC234" s="360"/>
      <c r="AD234" s="360"/>
      <c r="AE234" s="360"/>
      <c r="AF234" s="360"/>
      <c r="AG234" s="360"/>
      <c r="AH234" s="360"/>
      <c r="AI234" s="360"/>
      <c r="AJ234" s="360"/>
      <c r="AK234" s="360"/>
      <c r="AL234" s="360"/>
      <c r="AM234" s="360"/>
      <c r="AN234" s="360"/>
      <c r="AO234" s="360"/>
      <c r="AP234" s="360"/>
      <c r="AQ234" s="360"/>
      <c r="AR234" s="360"/>
      <c r="AS234" s="360"/>
      <c r="AT234" s="360"/>
      <c r="AU234" s="360"/>
      <c r="AV234" s="360"/>
      <c r="AW234" s="360"/>
      <c r="AX234" s="360"/>
      <c r="AY234" s="360"/>
      <c r="AZ234" s="360"/>
      <c r="BA234" s="360"/>
      <c r="BB234" s="360"/>
      <c r="BC234" s="360"/>
      <c r="BD234" s="360"/>
      <c r="BE234" s="360"/>
      <c r="BF234" s="360"/>
      <c r="BG234" s="360"/>
      <c r="BH234" s="360"/>
      <c r="BI234" s="360"/>
      <c r="BJ234" s="360"/>
      <c r="BK234" s="360"/>
      <c r="BL234" s="360"/>
      <c r="BM234" s="360"/>
      <c r="BN234" s="360"/>
    </row>
    <row r="235" spans="1:66" ht="20.25">
      <c r="A235" s="484"/>
      <c r="B235" s="485"/>
      <c r="C235" s="485"/>
      <c r="D235" s="485"/>
      <c r="E235" s="485"/>
      <c r="F235" s="485"/>
      <c r="G235" s="485"/>
      <c r="H235" s="485"/>
      <c r="I235" s="485"/>
      <c r="J235" s="485"/>
      <c r="K235" s="485"/>
      <c r="L235" s="485"/>
      <c r="M235" s="485"/>
      <c r="N235" s="488"/>
      <c r="O235" s="488"/>
      <c r="P235" s="488"/>
      <c r="Q235" s="474"/>
      <c r="R235" s="359"/>
      <c r="S235" s="359"/>
      <c r="T235" s="360"/>
      <c r="U235" s="360"/>
      <c r="V235" s="360"/>
      <c r="W235" s="360"/>
      <c r="X235" s="360"/>
      <c r="Y235" s="360"/>
      <c r="Z235" s="360"/>
      <c r="AA235" s="360"/>
      <c r="AB235" s="360"/>
      <c r="AC235" s="360"/>
      <c r="AD235" s="360"/>
      <c r="AE235" s="360"/>
      <c r="AF235" s="360"/>
      <c r="AG235" s="360"/>
      <c r="AH235" s="360"/>
      <c r="AI235" s="360"/>
      <c r="AJ235" s="360"/>
      <c r="AK235" s="360"/>
      <c r="AL235" s="360"/>
      <c r="AM235" s="360"/>
      <c r="AN235" s="360"/>
      <c r="AO235" s="360"/>
      <c r="AP235" s="360"/>
      <c r="AQ235" s="360"/>
      <c r="AR235" s="360"/>
      <c r="AS235" s="360"/>
      <c r="AT235" s="360"/>
      <c r="AU235" s="360"/>
      <c r="AV235" s="360"/>
      <c r="AW235" s="360"/>
      <c r="AX235" s="360"/>
      <c r="AY235" s="360"/>
      <c r="AZ235" s="360"/>
      <c r="BA235" s="360"/>
      <c r="BB235" s="360"/>
      <c r="BC235" s="360"/>
      <c r="BD235" s="360"/>
      <c r="BE235" s="360"/>
      <c r="BF235" s="360"/>
      <c r="BG235" s="360"/>
      <c r="BH235" s="360"/>
      <c r="BI235" s="360"/>
      <c r="BJ235" s="360"/>
      <c r="BK235" s="360"/>
      <c r="BL235" s="360"/>
      <c r="BM235" s="360"/>
      <c r="BN235" s="360"/>
    </row>
    <row r="236" spans="1:66" ht="20.25">
      <c r="A236" s="484"/>
      <c r="B236" s="485"/>
      <c r="C236" s="485"/>
      <c r="D236" s="485"/>
      <c r="E236" s="485"/>
      <c r="F236" s="485"/>
      <c r="G236" s="485"/>
      <c r="H236" s="485"/>
      <c r="I236" s="485"/>
      <c r="J236" s="485"/>
      <c r="K236" s="485"/>
      <c r="L236" s="485"/>
      <c r="M236" s="485"/>
      <c r="N236" s="488"/>
      <c r="O236" s="488"/>
      <c r="P236" s="488"/>
      <c r="Q236" s="474"/>
      <c r="R236" s="359"/>
      <c r="S236" s="359"/>
      <c r="T236" s="360"/>
      <c r="U236" s="360"/>
      <c r="V236" s="360"/>
      <c r="W236" s="360"/>
      <c r="X236" s="360"/>
      <c r="Y236" s="360"/>
      <c r="Z236" s="360"/>
      <c r="AA236" s="360"/>
      <c r="AB236" s="360"/>
      <c r="AC236" s="360"/>
      <c r="AD236" s="360"/>
      <c r="AE236" s="360"/>
      <c r="AF236" s="360"/>
      <c r="AG236" s="360"/>
      <c r="AH236" s="360"/>
      <c r="AI236" s="360"/>
      <c r="AJ236" s="360"/>
      <c r="AK236" s="360"/>
      <c r="AL236" s="360"/>
      <c r="AM236" s="360"/>
      <c r="AN236" s="360"/>
      <c r="AO236" s="360"/>
      <c r="AP236" s="360"/>
      <c r="AQ236" s="360"/>
      <c r="AR236" s="360"/>
      <c r="AS236" s="360"/>
      <c r="AT236" s="360"/>
      <c r="AU236" s="360"/>
      <c r="AV236" s="360"/>
      <c r="AW236" s="360"/>
      <c r="AX236" s="360"/>
      <c r="AY236" s="360"/>
      <c r="AZ236" s="360"/>
      <c r="BA236" s="360"/>
      <c r="BB236" s="360"/>
      <c r="BC236" s="360"/>
      <c r="BD236" s="360"/>
      <c r="BE236" s="360"/>
      <c r="BF236" s="360"/>
      <c r="BG236" s="360"/>
      <c r="BH236" s="360"/>
      <c r="BI236" s="360"/>
      <c r="BJ236" s="360"/>
      <c r="BK236" s="360"/>
      <c r="BL236" s="360"/>
      <c r="BM236" s="360"/>
      <c r="BN236" s="360"/>
    </row>
    <row r="237" spans="1:66" ht="20.25">
      <c r="A237" s="484"/>
      <c r="B237" s="485"/>
      <c r="C237" s="485"/>
      <c r="D237" s="485"/>
      <c r="E237" s="485"/>
      <c r="F237" s="485"/>
      <c r="G237" s="485"/>
      <c r="H237" s="485"/>
      <c r="I237" s="485"/>
      <c r="J237" s="485"/>
      <c r="K237" s="485"/>
      <c r="L237" s="485"/>
      <c r="M237" s="485"/>
      <c r="N237" s="488"/>
      <c r="O237" s="488"/>
      <c r="P237" s="488"/>
      <c r="Q237" s="474"/>
      <c r="R237" s="359"/>
      <c r="S237" s="359"/>
      <c r="T237" s="360"/>
      <c r="U237" s="360"/>
      <c r="V237" s="360"/>
      <c r="W237" s="360"/>
      <c r="X237" s="360"/>
      <c r="Y237" s="360"/>
      <c r="Z237" s="360"/>
      <c r="AA237" s="360"/>
      <c r="AB237" s="360"/>
      <c r="AC237" s="360"/>
      <c r="AD237" s="360"/>
      <c r="AE237" s="360"/>
      <c r="AF237" s="360"/>
      <c r="AG237" s="360"/>
      <c r="AH237" s="360"/>
      <c r="AI237" s="360"/>
      <c r="AJ237" s="360"/>
      <c r="AK237" s="360"/>
      <c r="AL237" s="360"/>
      <c r="AM237" s="360"/>
      <c r="AN237" s="360"/>
      <c r="AO237" s="360"/>
      <c r="AP237" s="360"/>
      <c r="AQ237" s="360"/>
      <c r="AR237" s="360"/>
      <c r="AS237" s="360"/>
      <c r="AT237" s="360"/>
      <c r="AU237" s="360"/>
      <c r="AV237" s="360"/>
      <c r="AW237" s="360"/>
      <c r="AX237" s="360"/>
      <c r="AY237" s="360"/>
      <c r="AZ237" s="360"/>
      <c r="BA237" s="360"/>
      <c r="BB237" s="360"/>
      <c r="BC237" s="360"/>
      <c r="BD237" s="360"/>
      <c r="BE237" s="360"/>
      <c r="BF237" s="360"/>
      <c r="BG237" s="360"/>
      <c r="BH237" s="360"/>
      <c r="BI237" s="360"/>
      <c r="BJ237" s="360"/>
      <c r="BK237" s="360"/>
      <c r="BL237" s="360"/>
      <c r="BM237" s="360"/>
      <c r="BN237" s="360"/>
    </row>
    <row r="238" spans="1:66" ht="20.25">
      <c r="A238" s="484"/>
      <c r="B238" s="485"/>
      <c r="C238" s="485"/>
      <c r="D238" s="485"/>
      <c r="E238" s="485"/>
      <c r="F238" s="485"/>
      <c r="G238" s="485"/>
      <c r="H238" s="485"/>
      <c r="I238" s="485"/>
      <c r="J238" s="485"/>
      <c r="K238" s="485"/>
      <c r="L238" s="485"/>
      <c r="M238" s="485"/>
      <c r="N238" s="488"/>
      <c r="O238" s="488"/>
      <c r="P238" s="488"/>
      <c r="Q238" s="474"/>
      <c r="R238" s="359"/>
      <c r="S238" s="359"/>
      <c r="T238" s="360"/>
      <c r="U238" s="360"/>
      <c r="V238" s="360"/>
      <c r="W238" s="360"/>
      <c r="X238" s="360"/>
      <c r="Y238" s="360"/>
      <c r="Z238" s="360"/>
      <c r="AA238" s="360"/>
      <c r="AB238" s="360"/>
      <c r="AC238" s="360"/>
      <c r="AD238" s="360"/>
      <c r="AE238" s="360"/>
      <c r="AF238" s="360"/>
      <c r="AG238" s="360"/>
      <c r="AH238" s="360"/>
      <c r="AI238" s="360"/>
      <c r="AJ238" s="360"/>
      <c r="AK238" s="360"/>
      <c r="AL238" s="360"/>
      <c r="AM238" s="360"/>
      <c r="AN238" s="360"/>
      <c r="AO238" s="360"/>
      <c r="AP238" s="360"/>
      <c r="AQ238" s="360"/>
      <c r="AR238" s="360"/>
      <c r="AS238" s="360"/>
      <c r="AT238" s="360"/>
      <c r="AU238" s="360"/>
      <c r="AV238" s="360"/>
      <c r="AW238" s="360"/>
      <c r="AX238" s="360"/>
      <c r="AY238" s="360"/>
      <c r="AZ238" s="360"/>
      <c r="BA238" s="360"/>
      <c r="BB238" s="360"/>
      <c r="BC238" s="360"/>
      <c r="BD238" s="360"/>
      <c r="BE238" s="360"/>
      <c r="BF238" s="360"/>
      <c r="BG238" s="360"/>
      <c r="BH238" s="360"/>
      <c r="BI238" s="360"/>
      <c r="BJ238" s="360"/>
      <c r="BK238" s="360"/>
      <c r="BL238" s="360"/>
      <c r="BM238" s="360"/>
      <c r="BN238" s="360"/>
    </row>
    <row r="239" spans="1:66" ht="20.25">
      <c r="A239" s="484"/>
      <c r="B239" s="485"/>
      <c r="C239" s="485"/>
      <c r="D239" s="485"/>
      <c r="E239" s="485"/>
      <c r="F239" s="485"/>
      <c r="G239" s="485"/>
      <c r="H239" s="485"/>
      <c r="I239" s="485"/>
      <c r="J239" s="485"/>
      <c r="K239" s="485"/>
      <c r="L239" s="485"/>
      <c r="M239" s="485"/>
      <c r="N239" s="488"/>
      <c r="O239" s="488"/>
      <c r="P239" s="488"/>
      <c r="Q239" s="474"/>
      <c r="R239" s="359"/>
      <c r="S239" s="359"/>
      <c r="T239" s="360"/>
      <c r="U239" s="360"/>
      <c r="V239" s="360"/>
      <c r="W239" s="360"/>
      <c r="X239" s="360"/>
      <c r="Y239" s="360"/>
      <c r="Z239" s="360"/>
      <c r="AA239" s="360"/>
      <c r="AB239" s="360"/>
      <c r="AC239" s="360"/>
      <c r="AD239" s="360"/>
      <c r="AE239" s="360"/>
      <c r="AF239" s="360"/>
      <c r="AG239" s="360"/>
      <c r="AH239" s="360"/>
      <c r="AI239" s="360"/>
      <c r="AJ239" s="360"/>
      <c r="AK239" s="360"/>
      <c r="AL239" s="360"/>
      <c r="AM239" s="360"/>
      <c r="AN239" s="360"/>
      <c r="AO239" s="360"/>
      <c r="AP239" s="360"/>
      <c r="AQ239" s="360"/>
      <c r="AR239" s="360"/>
      <c r="AS239" s="360"/>
      <c r="AT239" s="360"/>
      <c r="AU239" s="360"/>
      <c r="AV239" s="360"/>
      <c r="AW239" s="360"/>
      <c r="AX239" s="360"/>
      <c r="AY239" s="360"/>
      <c r="AZ239" s="360"/>
      <c r="BA239" s="360"/>
      <c r="BB239" s="360"/>
      <c r="BC239" s="360"/>
      <c r="BD239" s="360"/>
      <c r="BE239" s="360"/>
      <c r="BF239" s="360"/>
      <c r="BG239" s="360"/>
      <c r="BH239" s="360"/>
      <c r="BI239" s="360"/>
      <c r="BJ239" s="360"/>
      <c r="BK239" s="360"/>
      <c r="BL239" s="360"/>
      <c r="BM239" s="360"/>
      <c r="BN239" s="360"/>
    </row>
    <row r="240" spans="1:66" ht="20.25">
      <c r="A240" s="484"/>
      <c r="B240" s="485"/>
      <c r="C240" s="485"/>
      <c r="D240" s="485"/>
      <c r="E240" s="485"/>
      <c r="F240" s="485"/>
      <c r="G240" s="485"/>
      <c r="H240" s="485"/>
      <c r="I240" s="485"/>
      <c r="J240" s="485"/>
      <c r="K240" s="485"/>
      <c r="L240" s="485"/>
      <c r="M240" s="485"/>
      <c r="N240" s="488"/>
      <c r="O240" s="488"/>
      <c r="P240" s="488"/>
      <c r="Q240" s="474"/>
      <c r="R240" s="359"/>
      <c r="S240" s="359"/>
      <c r="T240" s="360"/>
      <c r="U240" s="360"/>
      <c r="V240" s="360"/>
      <c r="W240" s="360"/>
      <c r="X240" s="360"/>
      <c r="Y240" s="360"/>
      <c r="Z240" s="360"/>
      <c r="AA240" s="360"/>
      <c r="AB240" s="360"/>
      <c r="AC240" s="360"/>
      <c r="AD240" s="360"/>
      <c r="AE240" s="360"/>
      <c r="AF240" s="360"/>
      <c r="AG240" s="360"/>
      <c r="AH240" s="360"/>
      <c r="AI240" s="360"/>
      <c r="AJ240" s="360"/>
      <c r="AK240" s="360"/>
      <c r="AL240" s="360"/>
      <c r="AM240" s="360"/>
      <c r="AN240" s="360"/>
      <c r="AO240" s="360"/>
      <c r="AP240" s="360"/>
      <c r="AQ240" s="360"/>
      <c r="AR240" s="360"/>
      <c r="AS240" s="360"/>
      <c r="AT240" s="360"/>
      <c r="AU240" s="360"/>
      <c r="AV240" s="360"/>
      <c r="AW240" s="360"/>
      <c r="AX240" s="360"/>
      <c r="AY240" s="360"/>
      <c r="AZ240" s="360"/>
      <c r="BA240" s="360"/>
      <c r="BB240" s="360"/>
      <c r="BC240" s="360"/>
      <c r="BD240" s="360"/>
      <c r="BE240" s="360"/>
      <c r="BF240" s="360"/>
      <c r="BG240" s="360"/>
      <c r="BH240" s="360"/>
      <c r="BI240" s="360"/>
      <c r="BJ240" s="360"/>
      <c r="BK240" s="360"/>
      <c r="BL240" s="360"/>
      <c r="BM240" s="360"/>
      <c r="BN240" s="360"/>
    </row>
    <row r="241" spans="1:66" ht="15.75">
      <c r="A241" s="491"/>
      <c r="B241" s="492"/>
      <c r="C241" s="492"/>
      <c r="D241" s="492"/>
      <c r="E241" s="492"/>
      <c r="F241" s="492"/>
      <c r="G241" s="492"/>
      <c r="H241" s="492"/>
      <c r="I241" s="492"/>
      <c r="J241" s="492"/>
      <c r="K241" s="492"/>
      <c r="L241" s="492"/>
      <c r="M241" s="492"/>
      <c r="N241" s="492"/>
      <c r="O241" s="492"/>
      <c r="P241" s="492"/>
      <c r="Q241" s="469"/>
      <c r="R241" s="359"/>
      <c r="S241" s="359"/>
      <c r="T241" s="360"/>
      <c r="U241" s="360"/>
      <c r="V241" s="360"/>
      <c r="W241" s="360"/>
      <c r="X241" s="360"/>
      <c r="Y241" s="360"/>
      <c r="Z241" s="360"/>
      <c r="AA241" s="360"/>
      <c r="AB241" s="360"/>
      <c r="AC241" s="360"/>
      <c r="AD241" s="360"/>
      <c r="AE241" s="360"/>
      <c r="AF241" s="360"/>
      <c r="AG241" s="360"/>
      <c r="AH241" s="360"/>
      <c r="AI241" s="360"/>
      <c r="AJ241" s="360"/>
      <c r="AK241" s="360"/>
      <c r="AL241" s="360"/>
      <c r="AM241" s="360"/>
      <c r="AN241" s="360"/>
      <c r="AO241" s="360"/>
      <c r="AP241" s="360"/>
      <c r="AQ241" s="360"/>
      <c r="AR241" s="360"/>
      <c r="AS241" s="360"/>
      <c r="AT241" s="360"/>
      <c r="AU241" s="360"/>
      <c r="AV241" s="360"/>
      <c r="AW241" s="360"/>
      <c r="AX241" s="360"/>
      <c r="AY241" s="360"/>
      <c r="AZ241" s="360"/>
      <c r="BA241" s="360"/>
      <c r="BB241" s="360"/>
      <c r="BC241" s="360"/>
      <c r="BD241" s="360"/>
      <c r="BE241" s="360"/>
      <c r="BF241" s="360"/>
      <c r="BG241" s="360"/>
      <c r="BH241" s="360"/>
      <c r="BI241" s="360"/>
      <c r="BJ241" s="360"/>
      <c r="BK241" s="360"/>
      <c r="BL241" s="360"/>
      <c r="BM241" s="360"/>
      <c r="BN241" s="360"/>
    </row>
    <row r="242" spans="1:66" ht="15.75">
      <c r="A242" s="491"/>
      <c r="B242" s="492"/>
      <c r="C242" s="492"/>
      <c r="D242" s="492"/>
      <c r="E242" s="492"/>
      <c r="F242" s="492"/>
      <c r="G242" s="492"/>
      <c r="H242" s="492"/>
      <c r="I242" s="492"/>
      <c r="J242" s="492"/>
      <c r="K242" s="492"/>
      <c r="L242" s="492"/>
      <c r="M242" s="492"/>
      <c r="N242" s="492"/>
      <c r="O242" s="492"/>
      <c r="P242" s="492"/>
      <c r="Q242" s="469"/>
      <c r="R242" s="359"/>
      <c r="S242" s="359"/>
      <c r="T242" s="360"/>
      <c r="U242" s="360"/>
      <c r="V242" s="360"/>
      <c r="W242" s="360"/>
      <c r="X242" s="360"/>
      <c r="Y242" s="360"/>
      <c r="Z242" s="360"/>
      <c r="AA242" s="360"/>
      <c r="AB242" s="360"/>
      <c r="AC242" s="360"/>
      <c r="AD242" s="360"/>
      <c r="AE242" s="360"/>
      <c r="AF242" s="360"/>
      <c r="AG242" s="360"/>
      <c r="AH242" s="360"/>
      <c r="AI242" s="360"/>
      <c r="AJ242" s="360"/>
      <c r="AK242" s="360"/>
      <c r="AL242" s="360"/>
      <c r="AM242" s="360"/>
      <c r="AN242" s="360"/>
      <c r="AO242" s="360"/>
      <c r="AP242" s="360"/>
      <c r="AQ242" s="360"/>
      <c r="AR242" s="360"/>
      <c r="AS242" s="360"/>
      <c r="AT242" s="360"/>
      <c r="AU242" s="360"/>
      <c r="AV242" s="360"/>
      <c r="AW242" s="360"/>
      <c r="AX242" s="360"/>
      <c r="AY242" s="360"/>
      <c r="AZ242" s="360"/>
      <c r="BA242" s="360"/>
      <c r="BB242" s="360"/>
      <c r="BC242" s="360"/>
      <c r="BD242" s="360"/>
      <c r="BE242" s="360"/>
      <c r="BF242" s="360"/>
      <c r="BG242" s="360"/>
      <c r="BH242" s="360"/>
      <c r="BI242" s="360"/>
      <c r="BJ242" s="360"/>
      <c r="BK242" s="360"/>
      <c r="BL242" s="360"/>
      <c r="BM242" s="360"/>
      <c r="BN242" s="360"/>
    </row>
    <row r="243" spans="1:66" ht="15">
      <c r="C243" s="359"/>
      <c r="D243" s="359"/>
      <c r="E243" s="359"/>
      <c r="F243" s="359"/>
      <c r="G243" s="359"/>
      <c r="H243" s="359"/>
      <c r="I243" s="359"/>
      <c r="J243" s="359"/>
      <c r="K243" s="359"/>
      <c r="L243" s="359"/>
      <c r="M243" s="359"/>
      <c r="N243" s="359"/>
      <c r="O243" s="359"/>
      <c r="P243" s="359"/>
      <c r="Q243" s="359"/>
      <c r="R243" s="359"/>
      <c r="S243" s="359"/>
      <c r="T243" s="360"/>
      <c r="U243" s="360"/>
      <c r="V243" s="360"/>
      <c r="W243" s="360"/>
      <c r="X243" s="360"/>
      <c r="Y243" s="360"/>
      <c r="Z243" s="360"/>
      <c r="AA243" s="360"/>
      <c r="AB243" s="360"/>
      <c r="AC243" s="360"/>
      <c r="AD243" s="360"/>
      <c r="AE243" s="360"/>
      <c r="AF243" s="360"/>
      <c r="AG243" s="360"/>
      <c r="AH243" s="360"/>
      <c r="AI243" s="360"/>
      <c r="AJ243" s="360"/>
      <c r="AK243" s="360"/>
      <c r="AL243" s="360"/>
      <c r="AM243" s="360"/>
      <c r="AN243" s="360"/>
      <c r="AO243" s="360"/>
      <c r="AP243" s="360"/>
      <c r="AQ243" s="360"/>
      <c r="AR243" s="360"/>
      <c r="AS243" s="360"/>
      <c r="AT243" s="360"/>
      <c r="AU243" s="360"/>
      <c r="AV243" s="360"/>
      <c r="AW243" s="360"/>
      <c r="AX243" s="360"/>
      <c r="AY243" s="360"/>
      <c r="AZ243" s="360"/>
      <c r="BA243" s="360"/>
      <c r="BB243" s="360"/>
      <c r="BC243" s="360"/>
      <c r="BD243" s="360"/>
      <c r="BE243" s="360"/>
      <c r="BF243" s="360"/>
      <c r="BG243" s="360"/>
      <c r="BH243" s="360"/>
      <c r="BI243" s="360"/>
      <c r="BJ243" s="360"/>
      <c r="BK243" s="360"/>
      <c r="BL243" s="360"/>
      <c r="BM243" s="360"/>
      <c r="BN243" s="360"/>
    </row>
    <row r="244" spans="1:66" ht="15">
      <c r="C244" s="359"/>
      <c r="D244" s="359"/>
      <c r="E244" s="359"/>
      <c r="F244" s="359"/>
      <c r="G244" s="359"/>
      <c r="H244" s="359"/>
      <c r="I244" s="359"/>
      <c r="J244" s="359"/>
      <c r="K244" s="359"/>
      <c r="L244" s="359"/>
      <c r="M244" s="359"/>
      <c r="N244" s="359"/>
      <c r="O244" s="359"/>
      <c r="P244" s="359"/>
      <c r="Q244" s="359"/>
      <c r="R244" s="359"/>
      <c r="S244" s="359"/>
      <c r="T244" s="360"/>
      <c r="U244" s="360"/>
      <c r="V244" s="360"/>
      <c r="W244" s="360"/>
      <c r="X244" s="360"/>
      <c r="Y244" s="360"/>
      <c r="Z244" s="360"/>
      <c r="AA244" s="360"/>
      <c r="AB244" s="360"/>
      <c r="AC244" s="360"/>
      <c r="AD244" s="360"/>
      <c r="AE244" s="360"/>
      <c r="AF244" s="360"/>
      <c r="AG244" s="360"/>
      <c r="AH244" s="360"/>
      <c r="AI244" s="360"/>
      <c r="AJ244" s="360"/>
      <c r="AK244" s="360"/>
      <c r="AL244" s="360"/>
      <c r="AM244" s="360"/>
      <c r="AN244" s="360"/>
      <c r="AO244" s="360"/>
      <c r="AP244" s="360"/>
      <c r="AQ244" s="360"/>
      <c r="AR244" s="360"/>
      <c r="AS244" s="360"/>
      <c r="AT244" s="360"/>
      <c r="AU244" s="360"/>
      <c r="AV244" s="360"/>
      <c r="AW244" s="360"/>
      <c r="AX244" s="360"/>
      <c r="AY244" s="360"/>
      <c r="AZ244" s="360"/>
      <c r="BA244" s="360"/>
      <c r="BB244" s="360"/>
      <c r="BC244" s="360"/>
      <c r="BD244" s="360"/>
      <c r="BE244" s="360"/>
      <c r="BF244" s="360"/>
      <c r="BG244" s="360"/>
      <c r="BH244" s="360"/>
      <c r="BI244" s="360"/>
      <c r="BJ244" s="360"/>
      <c r="BK244" s="360"/>
      <c r="BL244" s="360"/>
      <c r="BM244" s="360"/>
      <c r="BN244" s="360"/>
    </row>
    <row r="245" spans="1:66" ht="15">
      <c r="C245" s="359"/>
      <c r="D245" s="359"/>
      <c r="E245" s="359"/>
      <c r="F245" s="359"/>
      <c r="G245" s="359"/>
      <c r="H245" s="359"/>
      <c r="I245" s="359"/>
      <c r="J245" s="359"/>
      <c r="K245" s="359"/>
      <c r="L245" s="359"/>
      <c r="M245" s="359"/>
      <c r="N245" s="359"/>
      <c r="O245" s="359"/>
      <c r="P245" s="359"/>
      <c r="Q245" s="359"/>
      <c r="R245" s="359"/>
      <c r="S245" s="359"/>
      <c r="T245" s="360"/>
      <c r="U245" s="360"/>
      <c r="V245" s="360"/>
      <c r="W245" s="360"/>
      <c r="X245" s="360"/>
      <c r="Y245" s="360"/>
      <c r="Z245" s="360"/>
      <c r="AA245" s="360"/>
      <c r="AB245" s="360"/>
      <c r="AC245" s="360"/>
      <c r="AD245" s="360"/>
      <c r="AE245" s="360"/>
      <c r="AF245" s="360"/>
      <c r="AG245" s="360"/>
      <c r="AH245" s="360"/>
      <c r="AI245" s="360"/>
      <c r="AJ245" s="360"/>
      <c r="AK245" s="360"/>
      <c r="AL245" s="360"/>
      <c r="AM245" s="360"/>
      <c r="AN245" s="360"/>
      <c r="AO245" s="360"/>
      <c r="AP245" s="360"/>
      <c r="AQ245" s="360"/>
      <c r="AR245" s="360"/>
      <c r="AS245" s="360"/>
      <c r="AT245" s="360"/>
      <c r="AU245" s="360"/>
      <c r="AV245" s="360"/>
      <c r="AW245" s="360"/>
      <c r="AX245" s="360"/>
      <c r="AY245" s="360"/>
      <c r="AZ245" s="360"/>
      <c r="BA245" s="360"/>
      <c r="BB245" s="360"/>
      <c r="BC245" s="360"/>
      <c r="BD245" s="360"/>
      <c r="BE245" s="360"/>
      <c r="BF245" s="360"/>
      <c r="BG245" s="360"/>
      <c r="BH245" s="360"/>
      <c r="BI245" s="360"/>
      <c r="BJ245" s="360"/>
      <c r="BK245" s="360"/>
      <c r="BL245" s="360"/>
      <c r="BM245" s="360"/>
      <c r="BN245" s="360"/>
    </row>
    <row r="246" spans="1:66">
      <c r="C246" s="358"/>
      <c r="D246" s="358"/>
      <c r="E246" s="358"/>
      <c r="F246" s="358"/>
      <c r="G246" s="358"/>
      <c r="H246" s="358"/>
      <c r="I246" s="358"/>
      <c r="J246" s="358"/>
      <c r="K246" s="358"/>
      <c r="L246" s="358"/>
      <c r="M246" s="358"/>
      <c r="N246" s="358"/>
      <c r="O246" s="358"/>
      <c r="P246" s="358"/>
      <c r="Q246" s="358"/>
      <c r="R246" s="358"/>
      <c r="S246" s="358"/>
      <c r="T246" s="412"/>
      <c r="U246" s="412"/>
      <c r="V246" s="412"/>
    </row>
    <row r="247" spans="1:66">
      <c r="C247" s="358"/>
      <c r="D247" s="358"/>
      <c r="E247" s="358"/>
      <c r="F247" s="358"/>
      <c r="G247" s="358"/>
      <c r="H247" s="358"/>
      <c r="I247" s="358"/>
      <c r="J247" s="358"/>
      <c r="K247" s="358"/>
      <c r="L247" s="358"/>
      <c r="M247" s="358"/>
      <c r="N247" s="358"/>
      <c r="O247" s="358"/>
      <c r="P247" s="358"/>
      <c r="Q247" s="358"/>
      <c r="R247" s="358"/>
      <c r="S247" s="358"/>
      <c r="T247" s="412"/>
      <c r="U247" s="412"/>
      <c r="V247" s="412"/>
    </row>
    <row r="248" spans="1:66">
      <c r="C248" s="358"/>
      <c r="D248" s="358"/>
      <c r="E248" s="358"/>
      <c r="F248" s="358"/>
      <c r="G248" s="358"/>
      <c r="H248" s="358"/>
      <c r="I248" s="358"/>
      <c r="J248" s="358"/>
      <c r="K248" s="358"/>
      <c r="L248" s="358"/>
      <c r="M248" s="358"/>
      <c r="N248" s="358"/>
      <c r="O248" s="358"/>
      <c r="P248" s="358"/>
      <c r="Q248" s="358"/>
      <c r="R248" s="358"/>
      <c r="S248" s="358"/>
      <c r="T248" s="412"/>
      <c r="U248" s="412"/>
      <c r="V248" s="412"/>
    </row>
    <row r="249" spans="1:66">
      <c r="C249" s="358"/>
      <c r="D249" s="358"/>
      <c r="E249" s="358"/>
      <c r="F249" s="358"/>
      <c r="G249" s="358"/>
      <c r="H249" s="358"/>
      <c r="I249" s="358"/>
      <c r="J249" s="358"/>
      <c r="K249" s="358"/>
      <c r="L249" s="358"/>
      <c r="M249" s="358"/>
      <c r="N249" s="358"/>
      <c r="O249" s="358"/>
      <c r="P249" s="358"/>
      <c r="Q249" s="358"/>
      <c r="R249" s="358"/>
      <c r="S249" s="358"/>
      <c r="T249" s="412"/>
      <c r="U249" s="412"/>
      <c r="V249" s="412"/>
    </row>
    <row r="250" spans="1:66">
      <c r="C250" s="358"/>
      <c r="D250" s="358"/>
      <c r="E250" s="358"/>
      <c r="F250" s="358"/>
      <c r="G250" s="358"/>
      <c r="H250" s="358"/>
      <c r="I250" s="358"/>
      <c r="J250" s="358"/>
      <c r="K250" s="358"/>
      <c r="L250" s="358"/>
      <c r="M250" s="358"/>
      <c r="N250" s="358"/>
      <c r="O250" s="358"/>
      <c r="P250" s="358"/>
      <c r="Q250" s="358"/>
      <c r="R250" s="358"/>
      <c r="S250" s="358"/>
      <c r="T250" s="412"/>
      <c r="U250" s="412"/>
      <c r="V250" s="412"/>
    </row>
    <row r="251" spans="1:66">
      <c r="C251" s="358"/>
      <c r="D251" s="358"/>
      <c r="E251" s="358"/>
      <c r="F251" s="358"/>
      <c r="G251" s="358"/>
      <c r="H251" s="358"/>
      <c r="I251" s="358"/>
      <c r="J251" s="358"/>
      <c r="K251" s="358"/>
      <c r="L251" s="358"/>
      <c r="M251" s="358"/>
      <c r="N251" s="358"/>
      <c r="O251" s="358"/>
      <c r="P251" s="358"/>
      <c r="Q251" s="358"/>
      <c r="R251" s="358"/>
      <c r="S251" s="358"/>
      <c r="T251" s="412"/>
      <c r="U251" s="412"/>
      <c r="V251" s="412"/>
    </row>
    <row r="252" spans="1:66">
      <c r="C252" s="412"/>
      <c r="D252" s="412"/>
      <c r="E252" s="412"/>
      <c r="F252" s="412"/>
      <c r="G252" s="412"/>
      <c r="H252" s="412"/>
      <c r="I252" s="412"/>
      <c r="J252" s="412"/>
      <c r="K252" s="412"/>
      <c r="L252" s="412"/>
      <c r="M252" s="412"/>
      <c r="N252" s="412"/>
      <c r="O252" s="412"/>
      <c r="P252" s="412"/>
      <c r="Q252" s="412"/>
      <c r="R252" s="412"/>
      <c r="S252" s="412"/>
      <c r="T252" s="412"/>
      <c r="U252" s="412"/>
      <c r="V252" s="412"/>
    </row>
    <row r="253" spans="1:66">
      <c r="C253" s="412"/>
      <c r="D253" s="412"/>
      <c r="E253" s="412"/>
      <c r="F253" s="412"/>
      <c r="G253" s="412"/>
      <c r="H253" s="412"/>
      <c r="I253" s="412"/>
      <c r="J253" s="412"/>
      <c r="K253" s="412"/>
      <c r="L253" s="412"/>
      <c r="M253" s="412"/>
      <c r="N253" s="412"/>
      <c r="O253" s="412"/>
      <c r="P253" s="412"/>
      <c r="Q253" s="412"/>
      <c r="R253" s="412"/>
      <c r="S253" s="412"/>
      <c r="T253" s="412"/>
      <c r="U253" s="412"/>
      <c r="V253" s="412"/>
    </row>
    <row r="254" spans="1:66">
      <c r="C254" s="412"/>
      <c r="D254" s="412"/>
      <c r="E254" s="412"/>
      <c r="F254" s="412"/>
      <c r="G254" s="412"/>
      <c r="H254" s="412"/>
      <c r="I254" s="412"/>
      <c r="J254" s="412"/>
      <c r="K254" s="412"/>
      <c r="L254" s="412"/>
      <c r="M254" s="412"/>
      <c r="N254" s="412"/>
      <c r="O254" s="412"/>
      <c r="P254" s="412"/>
      <c r="Q254" s="412"/>
      <c r="R254" s="412"/>
      <c r="S254" s="412"/>
      <c r="T254" s="412"/>
      <c r="U254" s="412"/>
      <c r="V254" s="412"/>
    </row>
    <row r="255" spans="1:66">
      <c r="C255" s="412"/>
      <c r="D255" s="412"/>
      <c r="E255" s="412"/>
      <c r="F255" s="412"/>
      <c r="G255" s="412"/>
      <c r="H255" s="412"/>
      <c r="I255" s="412"/>
      <c r="J255" s="412"/>
      <c r="K255" s="412"/>
      <c r="L255" s="412"/>
      <c r="M255" s="412"/>
      <c r="N255" s="412"/>
      <c r="O255" s="412"/>
      <c r="P255" s="412"/>
      <c r="Q255" s="412"/>
      <c r="R255" s="412"/>
      <c r="S255" s="412"/>
      <c r="T255" s="412"/>
      <c r="U255" s="412"/>
      <c r="V255" s="412"/>
    </row>
    <row r="256" spans="1:66">
      <c r="C256" s="412"/>
      <c r="D256" s="412"/>
      <c r="E256" s="412"/>
      <c r="F256" s="412"/>
      <c r="G256" s="412"/>
      <c r="H256" s="412"/>
      <c r="I256" s="412"/>
      <c r="J256" s="412"/>
      <c r="K256" s="412"/>
      <c r="L256" s="412"/>
      <c r="M256" s="412"/>
      <c r="N256" s="412"/>
      <c r="O256" s="412"/>
      <c r="P256" s="412"/>
      <c r="Q256" s="412"/>
      <c r="R256" s="412"/>
      <c r="S256" s="412"/>
      <c r="T256" s="412"/>
      <c r="U256" s="412"/>
      <c r="V256" s="412"/>
    </row>
    <row r="257" spans="3:22">
      <c r="C257" s="412"/>
      <c r="D257" s="412"/>
      <c r="E257" s="412"/>
      <c r="F257" s="412"/>
      <c r="G257" s="412"/>
      <c r="H257" s="412"/>
      <c r="I257" s="412"/>
      <c r="J257" s="412"/>
      <c r="K257" s="412"/>
      <c r="L257" s="412"/>
      <c r="M257" s="412"/>
      <c r="N257" s="412"/>
      <c r="O257" s="412"/>
      <c r="P257" s="412"/>
      <c r="Q257" s="412"/>
      <c r="R257" s="412"/>
      <c r="S257" s="412"/>
      <c r="T257" s="412"/>
      <c r="U257" s="412"/>
      <c r="V257" s="412"/>
    </row>
    <row r="258" spans="3:22">
      <c r="C258" s="412"/>
      <c r="D258" s="412"/>
      <c r="E258" s="412"/>
      <c r="F258" s="412"/>
      <c r="G258" s="412"/>
      <c r="H258" s="412"/>
      <c r="I258" s="412"/>
      <c r="J258" s="412"/>
      <c r="K258" s="412"/>
      <c r="L258" s="412"/>
      <c r="M258" s="412"/>
      <c r="N258" s="412"/>
      <c r="O258" s="412"/>
      <c r="P258" s="412"/>
      <c r="Q258" s="412"/>
      <c r="R258" s="412"/>
      <c r="S258" s="412"/>
      <c r="T258" s="412"/>
      <c r="U258" s="412"/>
      <c r="V258" s="412"/>
    </row>
    <row r="259" spans="3:22">
      <c r="C259" s="412"/>
      <c r="D259" s="412"/>
      <c r="E259" s="412"/>
      <c r="F259" s="412"/>
      <c r="G259" s="412"/>
      <c r="H259" s="412"/>
      <c r="I259" s="412"/>
      <c r="J259" s="412"/>
      <c r="K259" s="412"/>
      <c r="L259" s="412"/>
      <c r="M259" s="412"/>
      <c r="N259" s="412"/>
      <c r="O259" s="412"/>
      <c r="P259" s="412"/>
      <c r="Q259" s="412"/>
      <c r="R259" s="412"/>
      <c r="S259" s="412"/>
      <c r="T259" s="412"/>
      <c r="U259" s="412"/>
      <c r="V259" s="412"/>
    </row>
    <row r="260" spans="3:22">
      <c r="C260" s="412"/>
      <c r="D260" s="412"/>
      <c r="E260" s="412"/>
      <c r="F260" s="412"/>
      <c r="G260" s="412"/>
      <c r="H260" s="412"/>
      <c r="I260" s="412"/>
      <c r="J260" s="412"/>
      <c r="K260" s="412"/>
      <c r="L260" s="412"/>
      <c r="M260" s="412"/>
      <c r="N260" s="412"/>
      <c r="O260" s="412"/>
      <c r="P260" s="412"/>
      <c r="Q260" s="412"/>
      <c r="R260" s="412"/>
      <c r="S260" s="412"/>
      <c r="T260" s="412"/>
      <c r="U260" s="412"/>
      <c r="V260" s="412"/>
    </row>
    <row r="261" spans="3:22">
      <c r="C261" s="412"/>
      <c r="D261" s="412"/>
      <c r="E261" s="412"/>
      <c r="F261" s="412"/>
      <c r="G261" s="412"/>
      <c r="H261" s="412"/>
      <c r="I261" s="412"/>
      <c r="J261" s="412"/>
      <c r="K261" s="412"/>
      <c r="L261" s="412"/>
      <c r="M261" s="412"/>
      <c r="N261" s="412"/>
      <c r="O261" s="412"/>
      <c r="P261" s="412"/>
      <c r="Q261" s="412"/>
      <c r="R261" s="412"/>
      <c r="S261" s="412"/>
      <c r="T261" s="412"/>
      <c r="U261" s="412"/>
      <c r="V261" s="412"/>
    </row>
    <row r="262" spans="3:22">
      <c r="C262" s="412"/>
      <c r="D262" s="412"/>
      <c r="E262" s="412"/>
      <c r="F262" s="412"/>
      <c r="G262" s="412"/>
      <c r="H262" s="412"/>
      <c r="I262" s="412"/>
      <c r="J262" s="412"/>
      <c r="K262" s="412"/>
      <c r="L262" s="412"/>
      <c r="M262" s="412"/>
      <c r="N262" s="412"/>
      <c r="O262" s="412"/>
      <c r="P262" s="412"/>
      <c r="Q262" s="412"/>
      <c r="R262" s="412"/>
      <c r="S262" s="412"/>
      <c r="T262" s="412"/>
      <c r="U262" s="412"/>
      <c r="V262" s="412"/>
    </row>
    <row r="263" spans="3:22">
      <c r="C263" s="412"/>
      <c r="D263" s="412"/>
      <c r="E263" s="412"/>
      <c r="F263" s="412"/>
      <c r="G263" s="412"/>
      <c r="H263" s="412"/>
      <c r="I263" s="412"/>
      <c r="J263" s="412"/>
      <c r="K263" s="412"/>
      <c r="L263" s="412"/>
      <c r="M263" s="412"/>
      <c r="N263" s="412"/>
      <c r="O263" s="412"/>
      <c r="P263" s="412"/>
      <c r="Q263" s="412"/>
      <c r="R263" s="412"/>
      <c r="S263" s="412"/>
      <c r="T263" s="412"/>
      <c r="U263" s="412"/>
      <c r="V263" s="412"/>
    </row>
    <row r="264" spans="3:22">
      <c r="C264" s="412"/>
      <c r="D264" s="412"/>
      <c r="E264" s="412"/>
      <c r="F264" s="412"/>
      <c r="G264" s="412"/>
      <c r="H264" s="412"/>
      <c r="I264" s="412"/>
      <c r="J264" s="412"/>
      <c r="K264" s="412"/>
      <c r="L264" s="412"/>
      <c r="M264" s="412"/>
      <c r="N264" s="412"/>
      <c r="O264" s="412"/>
      <c r="P264" s="412"/>
      <c r="Q264" s="412"/>
      <c r="R264" s="412"/>
      <c r="S264" s="412"/>
      <c r="T264" s="412"/>
      <c r="U264" s="412"/>
      <c r="V264" s="412"/>
    </row>
    <row r="265" spans="3:22">
      <c r="C265" s="412"/>
      <c r="D265" s="412"/>
      <c r="E265" s="412"/>
      <c r="F265" s="412"/>
      <c r="G265" s="412"/>
      <c r="H265" s="412"/>
      <c r="I265" s="412"/>
      <c r="J265" s="412"/>
      <c r="K265" s="412"/>
      <c r="L265" s="412"/>
      <c r="M265" s="412"/>
      <c r="N265" s="412"/>
      <c r="O265" s="412"/>
      <c r="P265" s="412"/>
      <c r="Q265" s="412"/>
      <c r="R265" s="412"/>
      <c r="S265" s="412"/>
      <c r="T265" s="412"/>
      <c r="U265" s="412"/>
      <c r="V265" s="412"/>
    </row>
    <row r="266" spans="3:22">
      <c r="C266" s="412"/>
      <c r="D266" s="412"/>
      <c r="E266" s="412"/>
      <c r="F266" s="412"/>
      <c r="G266" s="412"/>
      <c r="H266" s="412"/>
      <c r="I266" s="412"/>
      <c r="J266" s="412"/>
      <c r="K266" s="412"/>
      <c r="L266" s="412"/>
      <c r="M266" s="412"/>
      <c r="N266" s="412"/>
      <c r="O266" s="412"/>
      <c r="P266" s="412"/>
      <c r="Q266" s="412"/>
      <c r="R266" s="412"/>
      <c r="S266" s="412"/>
      <c r="T266" s="412"/>
      <c r="U266" s="412"/>
      <c r="V266" s="412"/>
    </row>
    <row r="267" spans="3:22">
      <c r="C267" s="412"/>
      <c r="D267" s="412"/>
      <c r="E267" s="412"/>
      <c r="F267" s="412"/>
      <c r="G267" s="412"/>
      <c r="H267" s="412"/>
      <c r="I267" s="412"/>
      <c r="J267" s="412"/>
      <c r="K267" s="412"/>
      <c r="L267" s="412"/>
      <c r="M267" s="412"/>
      <c r="N267" s="412"/>
      <c r="O267" s="412"/>
      <c r="P267" s="412"/>
      <c r="Q267" s="412"/>
      <c r="R267" s="412"/>
      <c r="S267" s="412"/>
      <c r="T267" s="412"/>
      <c r="U267" s="412"/>
      <c r="V267" s="412"/>
    </row>
    <row r="268" spans="3:22">
      <c r="C268" s="412"/>
      <c r="D268" s="412"/>
      <c r="E268" s="412"/>
      <c r="F268" s="412"/>
      <c r="G268" s="412"/>
      <c r="H268" s="412"/>
      <c r="I268" s="412"/>
      <c r="J268" s="412"/>
      <c r="K268" s="412"/>
      <c r="L268" s="412"/>
      <c r="M268" s="412"/>
      <c r="N268" s="412"/>
      <c r="O268" s="412"/>
      <c r="P268" s="412"/>
      <c r="Q268" s="412"/>
      <c r="R268" s="412"/>
      <c r="S268" s="412"/>
      <c r="T268" s="412"/>
      <c r="U268" s="412"/>
      <c r="V268" s="412"/>
    </row>
    <row r="269" spans="3:22">
      <c r="C269" s="412"/>
      <c r="D269" s="412"/>
      <c r="E269" s="412"/>
      <c r="F269" s="412"/>
      <c r="G269" s="412"/>
      <c r="H269" s="412"/>
      <c r="I269" s="412"/>
      <c r="J269" s="412"/>
      <c r="K269" s="412"/>
      <c r="L269" s="412"/>
      <c r="M269" s="412"/>
      <c r="N269" s="412"/>
      <c r="O269" s="412"/>
      <c r="P269" s="412"/>
      <c r="Q269" s="412"/>
      <c r="R269" s="412"/>
      <c r="S269" s="412"/>
      <c r="T269" s="412"/>
      <c r="U269" s="412"/>
      <c r="V269" s="412"/>
    </row>
    <row r="270" spans="3:22">
      <c r="C270" s="412"/>
      <c r="D270" s="412"/>
      <c r="E270" s="412"/>
      <c r="F270" s="412"/>
      <c r="G270" s="412"/>
      <c r="H270" s="412"/>
      <c r="I270" s="412"/>
      <c r="J270" s="412"/>
      <c r="K270" s="412"/>
      <c r="L270" s="412"/>
      <c r="M270" s="412"/>
      <c r="N270" s="412"/>
      <c r="O270" s="412"/>
      <c r="P270" s="412"/>
      <c r="Q270" s="412"/>
      <c r="R270" s="412"/>
      <c r="S270" s="412"/>
      <c r="T270" s="412"/>
      <c r="U270" s="412"/>
      <c r="V270" s="412"/>
    </row>
    <row r="271" spans="3:22">
      <c r="C271" s="412"/>
      <c r="D271" s="412"/>
      <c r="E271" s="412"/>
      <c r="F271" s="412"/>
      <c r="G271" s="412"/>
      <c r="H271" s="412"/>
      <c r="I271" s="412"/>
      <c r="J271" s="412"/>
      <c r="K271" s="412"/>
      <c r="L271" s="412"/>
      <c r="M271" s="412"/>
      <c r="N271" s="412"/>
      <c r="O271" s="412"/>
      <c r="P271" s="412"/>
      <c r="Q271" s="412"/>
      <c r="R271" s="412"/>
      <c r="S271" s="412"/>
      <c r="T271" s="412"/>
      <c r="U271" s="412"/>
      <c r="V271" s="412"/>
    </row>
    <row r="272" spans="3:22">
      <c r="C272" s="412"/>
      <c r="D272" s="412"/>
      <c r="E272" s="412"/>
      <c r="F272" s="412"/>
      <c r="G272" s="412"/>
      <c r="H272" s="412"/>
      <c r="I272" s="412"/>
      <c r="J272" s="412"/>
      <c r="K272" s="412"/>
      <c r="L272" s="412"/>
      <c r="M272" s="412"/>
      <c r="N272" s="412"/>
      <c r="O272" s="412"/>
      <c r="P272" s="412"/>
      <c r="Q272" s="412"/>
      <c r="R272" s="412"/>
      <c r="S272" s="412"/>
      <c r="T272" s="412"/>
      <c r="U272" s="412"/>
      <c r="V272" s="412"/>
    </row>
    <row r="273" spans="3:22">
      <c r="C273" s="412"/>
      <c r="D273" s="412"/>
      <c r="E273" s="412"/>
      <c r="F273" s="412"/>
      <c r="G273" s="412"/>
      <c r="H273" s="412"/>
      <c r="I273" s="412"/>
      <c r="J273" s="412"/>
      <c r="K273" s="412"/>
      <c r="L273" s="412"/>
      <c r="M273" s="412"/>
      <c r="N273" s="412"/>
      <c r="O273" s="412"/>
      <c r="P273" s="412"/>
      <c r="Q273" s="412"/>
      <c r="R273" s="412"/>
      <c r="S273" s="412"/>
      <c r="T273" s="412"/>
      <c r="U273" s="412"/>
      <c r="V273" s="412"/>
    </row>
    <row r="274" spans="3:22">
      <c r="C274" s="412"/>
      <c r="D274" s="412"/>
      <c r="E274" s="412"/>
      <c r="F274" s="412"/>
      <c r="G274" s="412"/>
      <c r="H274" s="412"/>
      <c r="I274" s="412"/>
      <c r="J274" s="412"/>
      <c r="K274" s="412"/>
      <c r="L274" s="412"/>
      <c r="M274" s="412"/>
      <c r="N274" s="412"/>
      <c r="O274" s="412"/>
      <c r="P274" s="412"/>
      <c r="Q274" s="412"/>
      <c r="R274" s="412"/>
      <c r="S274" s="412"/>
      <c r="T274" s="412"/>
      <c r="U274" s="412"/>
      <c r="V274" s="412"/>
    </row>
    <row r="275" spans="3:22">
      <c r="C275" s="412"/>
      <c r="D275" s="412"/>
      <c r="E275" s="412"/>
      <c r="F275" s="412"/>
      <c r="G275" s="412"/>
      <c r="H275" s="412"/>
      <c r="I275" s="412"/>
      <c r="J275" s="412"/>
      <c r="K275" s="412"/>
      <c r="L275" s="412"/>
      <c r="M275" s="412"/>
      <c r="N275" s="412"/>
      <c r="O275" s="412"/>
      <c r="P275" s="412"/>
      <c r="Q275" s="412"/>
      <c r="R275" s="412"/>
      <c r="S275" s="412"/>
      <c r="T275" s="412"/>
      <c r="U275" s="412"/>
      <c r="V275" s="412"/>
    </row>
    <row r="276" spans="3:22">
      <c r="C276" s="412"/>
      <c r="D276" s="412"/>
      <c r="E276" s="412"/>
      <c r="F276" s="412"/>
      <c r="G276" s="412"/>
      <c r="H276" s="412"/>
      <c r="I276" s="412"/>
      <c r="J276" s="412"/>
      <c r="K276" s="412"/>
      <c r="L276" s="412"/>
      <c r="M276" s="412"/>
      <c r="N276" s="412"/>
      <c r="O276" s="412"/>
      <c r="P276" s="412"/>
      <c r="Q276" s="412"/>
      <c r="R276" s="412"/>
      <c r="S276" s="412"/>
      <c r="T276" s="412"/>
      <c r="U276" s="412"/>
      <c r="V276" s="412"/>
    </row>
    <row r="277" spans="3:22">
      <c r="C277" s="412"/>
      <c r="D277" s="412"/>
      <c r="E277" s="412"/>
      <c r="F277" s="412"/>
      <c r="G277" s="412"/>
      <c r="H277" s="412"/>
      <c r="I277" s="412"/>
      <c r="J277" s="412"/>
      <c r="K277" s="412"/>
      <c r="L277" s="412"/>
      <c r="M277" s="412"/>
      <c r="N277" s="412"/>
      <c r="O277" s="412"/>
      <c r="P277" s="412"/>
      <c r="Q277" s="412"/>
      <c r="R277" s="412"/>
      <c r="S277" s="412"/>
      <c r="T277" s="412"/>
      <c r="U277" s="412"/>
      <c r="V277" s="412"/>
    </row>
    <row r="278" spans="3:22">
      <c r="C278" s="412"/>
      <c r="D278" s="412"/>
      <c r="E278" s="412"/>
      <c r="F278" s="412"/>
      <c r="G278" s="412"/>
      <c r="H278" s="412"/>
      <c r="I278" s="412"/>
      <c r="J278" s="412"/>
      <c r="K278" s="412"/>
      <c r="L278" s="412"/>
      <c r="M278" s="412"/>
      <c r="N278" s="412"/>
      <c r="O278" s="412"/>
      <c r="P278" s="412"/>
      <c r="Q278" s="412"/>
      <c r="R278" s="412"/>
      <c r="S278" s="412"/>
      <c r="T278" s="412"/>
      <c r="U278" s="412"/>
      <c r="V278" s="412"/>
    </row>
    <row r="279" spans="3:22">
      <c r="C279" s="412"/>
      <c r="D279" s="412"/>
      <c r="E279" s="412"/>
      <c r="F279" s="412"/>
      <c r="G279" s="412"/>
      <c r="H279" s="412"/>
      <c r="I279" s="412"/>
      <c r="J279" s="412"/>
      <c r="K279" s="412"/>
      <c r="L279" s="412"/>
      <c r="M279" s="412"/>
      <c r="N279" s="412"/>
      <c r="O279" s="412"/>
      <c r="P279" s="412"/>
      <c r="Q279" s="412"/>
      <c r="R279" s="412"/>
      <c r="S279" s="412"/>
      <c r="T279" s="412"/>
      <c r="U279" s="412"/>
      <c r="V279" s="412"/>
    </row>
    <row r="280" spans="3:22">
      <c r="C280" s="412"/>
      <c r="D280" s="412"/>
      <c r="E280" s="412"/>
      <c r="F280" s="412"/>
      <c r="G280" s="412"/>
      <c r="H280" s="412"/>
      <c r="I280" s="412"/>
      <c r="J280" s="412"/>
      <c r="K280" s="412"/>
      <c r="L280" s="412"/>
      <c r="M280" s="412"/>
      <c r="N280" s="412"/>
      <c r="O280" s="412"/>
      <c r="P280" s="412"/>
      <c r="Q280" s="412"/>
      <c r="R280" s="412"/>
      <c r="S280" s="412"/>
      <c r="T280" s="412"/>
      <c r="U280" s="412"/>
      <c r="V280" s="412"/>
    </row>
    <row r="281" spans="3:22">
      <c r="C281" s="412"/>
      <c r="D281" s="412"/>
      <c r="E281" s="412"/>
      <c r="F281" s="412"/>
      <c r="G281" s="412"/>
      <c r="H281" s="412"/>
      <c r="I281" s="412"/>
      <c r="J281" s="412"/>
      <c r="K281" s="412"/>
      <c r="L281" s="412"/>
      <c r="M281" s="412"/>
      <c r="N281" s="412"/>
      <c r="O281" s="412"/>
      <c r="P281" s="412"/>
      <c r="Q281" s="412"/>
      <c r="R281" s="412"/>
      <c r="S281" s="412"/>
      <c r="T281" s="412"/>
      <c r="U281" s="412"/>
      <c r="V281" s="412"/>
    </row>
    <row r="282" spans="3:22">
      <c r="C282" s="412"/>
      <c r="D282" s="412"/>
      <c r="E282" s="412"/>
      <c r="F282" s="412"/>
      <c r="G282" s="412"/>
      <c r="H282" s="412"/>
      <c r="I282" s="412"/>
      <c r="J282" s="412"/>
      <c r="K282" s="412"/>
      <c r="L282" s="412"/>
      <c r="M282" s="412"/>
      <c r="N282" s="412"/>
      <c r="O282" s="412"/>
      <c r="P282" s="412"/>
      <c r="Q282" s="412"/>
      <c r="R282" s="412"/>
      <c r="S282" s="412"/>
      <c r="T282" s="412"/>
      <c r="U282" s="412"/>
      <c r="V282" s="412"/>
    </row>
    <row r="283" spans="3:22">
      <c r="C283" s="412"/>
      <c r="D283" s="412"/>
      <c r="E283" s="412"/>
      <c r="F283" s="412"/>
      <c r="G283" s="412"/>
      <c r="H283" s="412"/>
      <c r="I283" s="412"/>
      <c r="J283" s="412"/>
      <c r="K283" s="412"/>
      <c r="L283" s="412"/>
      <c r="M283" s="412"/>
      <c r="N283" s="412"/>
      <c r="O283" s="412"/>
      <c r="P283" s="412"/>
      <c r="Q283" s="412"/>
      <c r="R283" s="412"/>
      <c r="S283" s="412"/>
      <c r="T283" s="412"/>
      <c r="U283" s="412"/>
      <c r="V283" s="412"/>
    </row>
    <row r="284" spans="3:22">
      <c r="C284" s="412"/>
      <c r="D284" s="412"/>
      <c r="E284" s="412"/>
      <c r="F284" s="412"/>
      <c r="G284" s="412"/>
      <c r="H284" s="412"/>
      <c r="I284" s="412"/>
      <c r="J284" s="412"/>
      <c r="K284" s="412"/>
      <c r="L284" s="412"/>
      <c r="M284" s="412"/>
      <c r="N284" s="412"/>
      <c r="O284" s="412"/>
      <c r="P284" s="412"/>
      <c r="Q284" s="412"/>
      <c r="R284" s="412"/>
      <c r="S284" s="412"/>
      <c r="T284" s="412"/>
      <c r="U284" s="412"/>
      <c r="V284" s="412"/>
    </row>
    <row r="285" spans="3:22">
      <c r="C285" s="412"/>
      <c r="D285" s="412"/>
      <c r="E285" s="412"/>
      <c r="F285" s="412"/>
      <c r="G285" s="412"/>
      <c r="H285" s="412"/>
      <c r="I285" s="412"/>
      <c r="J285" s="412"/>
      <c r="K285" s="412"/>
      <c r="L285" s="412"/>
      <c r="M285" s="412"/>
      <c r="N285" s="412"/>
      <c r="O285" s="412"/>
      <c r="P285" s="412"/>
      <c r="Q285" s="412"/>
      <c r="R285" s="412"/>
      <c r="S285" s="412"/>
      <c r="T285" s="412"/>
      <c r="U285" s="412"/>
      <c r="V285" s="412"/>
    </row>
    <row r="286" spans="3:22">
      <c r="C286" s="412"/>
      <c r="D286" s="412"/>
      <c r="E286" s="412"/>
      <c r="F286" s="412"/>
      <c r="G286" s="412"/>
      <c r="H286" s="412"/>
      <c r="I286" s="412"/>
      <c r="J286" s="412"/>
      <c r="K286" s="412"/>
      <c r="L286" s="412"/>
      <c r="M286" s="412"/>
      <c r="N286" s="412"/>
      <c r="O286" s="412"/>
      <c r="P286" s="412"/>
      <c r="Q286" s="412"/>
      <c r="R286" s="412"/>
      <c r="S286" s="412"/>
      <c r="T286" s="412"/>
      <c r="U286" s="412"/>
      <c r="V286" s="412"/>
    </row>
    <row r="287" spans="3:22">
      <c r="C287" s="412"/>
      <c r="D287" s="412"/>
      <c r="E287" s="412"/>
      <c r="F287" s="412"/>
      <c r="G287" s="412"/>
      <c r="H287" s="412"/>
      <c r="I287" s="412"/>
      <c r="J287" s="412"/>
      <c r="K287" s="412"/>
      <c r="L287" s="412"/>
      <c r="M287" s="412"/>
      <c r="N287" s="412"/>
      <c r="O287" s="412"/>
      <c r="P287" s="412"/>
      <c r="Q287" s="412"/>
      <c r="R287" s="412"/>
      <c r="S287" s="412"/>
      <c r="T287" s="412"/>
      <c r="U287" s="412"/>
      <c r="V287" s="412"/>
    </row>
    <row r="288" spans="3:22">
      <c r="C288" s="412"/>
      <c r="D288" s="412"/>
      <c r="E288" s="412"/>
      <c r="F288" s="412"/>
      <c r="G288" s="412"/>
      <c r="H288" s="412"/>
      <c r="I288" s="412"/>
      <c r="J288" s="412"/>
      <c r="K288" s="412"/>
      <c r="L288" s="412"/>
      <c r="M288" s="412"/>
      <c r="N288" s="412"/>
      <c r="O288" s="412"/>
      <c r="P288" s="412"/>
      <c r="Q288" s="412"/>
      <c r="R288" s="412"/>
      <c r="S288" s="412"/>
      <c r="T288" s="412"/>
      <c r="U288" s="412"/>
      <c r="V288" s="412"/>
    </row>
    <row r="289" spans="3:22">
      <c r="C289" s="412"/>
      <c r="D289" s="412"/>
      <c r="E289" s="412"/>
      <c r="F289" s="412"/>
      <c r="G289" s="412"/>
      <c r="H289" s="412"/>
      <c r="I289" s="412"/>
      <c r="J289" s="412"/>
      <c r="K289" s="412"/>
      <c r="L289" s="412"/>
      <c r="M289" s="412"/>
      <c r="N289" s="412"/>
      <c r="O289" s="412"/>
      <c r="P289" s="412"/>
      <c r="Q289" s="412"/>
      <c r="R289" s="412"/>
      <c r="S289" s="412"/>
      <c r="T289" s="412"/>
      <c r="U289" s="412"/>
      <c r="V289" s="412"/>
    </row>
    <row r="290" spans="3:22">
      <c r="C290" s="412"/>
      <c r="D290" s="412"/>
      <c r="E290" s="412"/>
      <c r="F290" s="412"/>
      <c r="G290" s="412"/>
      <c r="H290" s="412"/>
      <c r="I290" s="412"/>
      <c r="J290" s="412"/>
      <c r="K290" s="412"/>
      <c r="L290" s="412"/>
      <c r="M290" s="412"/>
      <c r="N290" s="412"/>
      <c r="O290" s="412"/>
      <c r="P290" s="412"/>
      <c r="Q290" s="412"/>
      <c r="R290" s="412"/>
      <c r="S290" s="412"/>
      <c r="T290" s="412"/>
      <c r="U290" s="412"/>
      <c r="V290" s="412"/>
    </row>
    <row r="291" spans="3:22">
      <c r="C291" s="412"/>
      <c r="D291" s="412"/>
      <c r="E291" s="412"/>
      <c r="F291" s="412"/>
      <c r="G291" s="412"/>
      <c r="H291" s="412"/>
      <c r="I291" s="412"/>
      <c r="J291" s="412"/>
      <c r="K291" s="412"/>
      <c r="L291" s="412"/>
      <c r="M291" s="412"/>
      <c r="N291" s="412"/>
      <c r="O291" s="412"/>
      <c r="P291" s="412"/>
      <c r="Q291" s="412"/>
      <c r="R291" s="412"/>
      <c r="S291" s="412"/>
      <c r="T291" s="412"/>
      <c r="U291" s="412"/>
      <c r="V291" s="412"/>
    </row>
    <row r="292" spans="3:22">
      <c r="C292" s="412"/>
      <c r="D292" s="412"/>
      <c r="E292" s="412"/>
      <c r="F292" s="412"/>
      <c r="G292" s="412"/>
      <c r="H292" s="412"/>
      <c r="I292" s="412"/>
      <c r="J292" s="412"/>
      <c r="K292" s="412"/>
      <c r="L292" s="412"/>
      <c r="M292" s="412"/>
      <c r="N292" s="412"/>
      <c r="O292" s="412"/>
      <c r="P292" s="412"/>
      <c r="Q292" s="412"/>
      <c r="R292" s="412"/>
      <c r="S292" s="412"/>
      <c r="T292" s="412"/>
      <c r="U292" s="412"/>
      <c r="V292" s="412"/>
    </row>
    <row r="293" spans="3:22">
      <c r="C293" s="412"/>
      <c r="D293" s="412"/>
      <c r="E293" s="412"/>
      <c r="F293" s="412"/>
      <c r="G293" s="412"/>
      <c r="H293" s="412"/>
      <c r="I293" s="412"/>
      <c r="J293" s="412"/>
      <c r="K293" s="412"/>
      <c r="L293" s="412"/>
      <c r="M293" s="412"/>
      <c r="N293" s="412"/>
      <c r="O293" s="412"/>
      <c r="P293" s="412"/>
      <c r="Q293" s="412"/>
      <c r="R293" s="412"/>
      <c r="S293" s="412"/>
      <c r="T293" s="412"/>
      <c r="U293" s="412"/>
      <c r="V293" s="412"/>
    </row>
    <row r="294" spans="3:22">
      <c r="C294" s="412"/>
      <c r="D294" s="412"/>
      <c r="E294" s="412"/>
      <c r="F294" s="412"/>
      <c r="G294" s="412"/>
      <c r="H294" s="412"/>
      <c r="I294" s="412"/>
      <c r="J294" s="412"/>
      <c r="K294" s="412"/>
      <c r="L294" s="412"/>
      <c r="M294" s="412"/>
      <c r="N294" s="412"/>
      <c r="O294" s="412"/>
      <c r="P294" s="412"/>
      <c r="Q294" s="412"/>
      <c r="R294" s="412"/>
      <c r="S294" s="412"/>
      <c r="T294" s="412"/>
      <c r="U294" s="412"/>
      <c r="V294" s="412"/>
    </row>
    <row r="295" spans="3:22">
      <c r="C295" s="412"/>
      <c r="D295" s="412"/>
      <c r="E295" s="412"/>
      <c r="F295" s="412"/>
      <c r="G295" s="412"/>
      <c r="H295" s="412"/>
      <c r="I295" s="412"/>
      <c r="J295" s="412"/>
      <c r="K295" s="412"/>
      <c r="L295" s="412"/>
      <c r="M295" s="412"/>
      <c r="N295" s="412"/>
      <c r="O295" s="412"/>
      <c r="P295" s="412"/>
      <c r="Q295" s="412"/>
      <c r="R295" s="412"/>
      <c r="S295" s="412"/>
      <c r="T295" s="412"/>
      <c r="U295" s="412"/>
      <c r="V295" s="412"/>
    </row>
    <row r="296" spans="3:22">
      <c r="C296" s="412"/>
      <c r="D296" s="412"/>
      <c r="E296" s="412"/>
      <c r="F296" s="412"/>
      <c r="G296" s="412"/>
      <c r="H296" s="412"/>
      <c r="I296" s="412"/>
      <c r="J296" s="412"/>
      <c r="K296" s="412"/>
      <c r="L296" s="412"/>
      <c r="M296" s="412"/>
      <c r="N296" s="412"/>
      <c r="O296" s="412"/>
      <c r="P296" s="412"/>
      <c r="Q296" s="412"/>
      <c r="R296" s="412"/>
      <c r="S296" s="412"/>
      <c r="T296" s="412"/>
      <c r="U296" s="412"/>
      <c r="V296" s="412"/>
    </row>
    <row r="297" spans="3:22">
      <c r="C297" s="412"/>
      <c r="D297" s="412"/>
      <c r="E297" s="412"/>
      <c r="F297" s="412"/>
      <c r="G297" s="412"/>
      <c r="H297" s="412"/>
      <c r="I297" s="412"/>
      <c r="J297" s="412"/>
      <c r="K297" s="412"/>
      <c r="L297" s="412"/>
      <c r="M297" s="412"/>
      <c r="N297" s="412"/>
      <c r="O297" s="412"/>
      <c r="P297" s="412"/>
      <c r="Q297" s="412"/>
      <c r="R297" s="412"/>
      <c r="S297" s="412"/>
      <c r="T297" s="412"/>
      <c r="U297" s="412"/>
      <c r="V297" s="412"/>
    </row>
    <row r="298" spans="3:22">
      <c r="C298" s="412"/>
      <c r="D298" s="412"/>
      <c r="E298" s="412"/>
      <c r="F298" s="412"/>
      <c r="G298" s="412"/>
      <c r="H298" s="412"/>
      <c r="I298" s="412"/>
      <c r="J298" s="412"/>
      <c r="K298" s="412"/>
      <c r="L298" s="412"/>
      <c r="M298" s="412"/>
      <c r="N298" s="412"/>
      <c r="O298" s="412"/>
      <c r="P298" s="412"/>
      <c r="Q298" s="412"/>
      <c r="R298" s="412"/>
      <c r="S298" s="412"/>
      <c r="T298" s="412"/>
      <c r="U298" s="412"/>
      <c r="V298" s="412"/>
    </row>
    <row r="299" spans="3:22">
      <c r="C299" s="412"/>
      <c r="D299" s="412"/>
      <c r="E299" s="412"/>
      <c r="F299" s="412"/>
      <c r="G299" s="412"/>
      <c r="H299" s="412"/>
      <c r="I299" s="412"/>
      <c r="J299" s="412"/>
      <c r="K299" s="412"/>
      <c r="L299" s="412"/>
      <c r="M299" s="412"/>
      <c r="N299" s="412"/>
      <c r="O299" s="412"/>
      <c r="P299" s="412"/>
      <c r="Q299" s="412"/>
      <c r="R299" s="412"/>
      <c r="S299" s="412"/>
      <c r="T299" s="412"/>
      <c r="U299" s="412"/>
      <c r="V299" s="412"/>
    </row>
    <row r="300" spans="3:22">
      <c r="C300" s="412"/>
      <c r="D300" s="412"/>
      <c r="E300" s="412"/>
      <c r="F300" s="412"/>
      <c r="G300" s="412"/>
      <c r="H300" s="412"/>
      <c r="I300" s="412"/>
      <c r="J300" s="412"/>
      <c r="K300" s="412"/>
      <c r="L300" s="412"/>
      <c r="M300" s="412"/>
      <c r="N300" s="412"/>
      <c r="O300" s="412"/>
      <c r="P300" s="412"/>
      <c r="Q300" s="412"/>
      <c r="R300" s="412"/>
      <c r="S300" s="412"/>
      <c r="T300" s="412"/>
      <c r="U300" s="412"/>
      <c r="V300" s="412"/>
    </row>
    <row r="301" spans="3:22">
      <c r="C301" s="412"/>
      <c r="D301" s="412"/>
      <c r="E301" s="412"/>
      <c r="F301" s="412"/>
      <c r="G301" s="412"/>
      <c r="H301" s="412"/>
      <c r="I301" s="412"/>
      <c r="J301" s="412"/>
      <c r="K301" s="412"/>
      <c r="L301" s="412"/>
      <c r="M301" s="412"/>
      <c r="N301" s="412"/>
      <c r="O301" s="412"/>
      <c r="P301" s="412"/>
      <c r="Q301" s="412"/>
      <c r="R301" s="412"/>
      <c r="S301" s="412"/>
      <c r="T301" s="412"/>
      <c r="U301" s="412"/>
      <c r="V301" s="412"/>
    </row>
    <row r="302" spans="3:22">
      <c r="C302" s="412"/>
      <c r="D302" s="412"/>
      <c r="E302" s="412"/>
      <c r="F302" s="412"/>
      <c r="G302" s="412"/>
      <c r="H302" s="412"/>
      <c r="I302" s="412"/>
      <c r="J302" s="412"/>
      <c r="K302" s="412"/>
      <c r="L302" s="412"/>
      <c r="M302" s="412"/>
      <c r="N302" s="412"/>
      <c r="O302" s="412"/>
      <c r="P302" s="412"/>
      <c r="Q302" s="412"/>
      <c r="R302" s="412"/>
      <c r="S302" s="412"/>
      <c r="T302" s="412"/>
      <c r="U302" s="412"/>
      <c r="V302" s="412"/>
    </row>
    <row r="303" spans="3:22">
      <c r="C303" s="412"/>
      <c r="D303" s="412"/>
      <c r="E303" s="412"/>
      <c r="F303" s="412"/>
      <c r="G303" s="412"/>
      <c r="H303" s="412"/>
      <c r="I303" s="412"/>
      <c r="J303" s="412"/>
      <c r="K303" s="412"/>
      <c r="L303" s="412"/>
      <c r="M303" s="412"/>
      <c r="N303" s="412"/>
      <c r="O303" s="412"/>
      <c r="P303" s="412"/>
      <c r="Q303" s="412"/>
      <c r="R303" s="412"/>
      <c r="S303" s="412"/>
      <c r="T303" s="412"/>
      <c r="U303" s="412"/>
      <c r="V303" s="412"/>
    </row>
    <row r="304" spans="3:22">
      <c r="C304" s="412"/>
      <c r="D304" s="412"/>
      <c r="E304" s="412"/>
      <c r="F304" s="412"/>
      <c r="G304" s="412"/>
      <c r="H304" s="412"/>
      <c r="I304" s="412"/>
      <c r="J304" s="412"/>
      <c r="K304" s="412"/>
      <c r="L304" s="412"/>
      <c r="M304" s="412"/>
      <c r="N304" s="412"/>
      <c r="O304" s="412"/>
      <c r="P304" s="412"/>
      <c r="Q304" s="412"/>
      <c r="R304" s="412"/>
      <c r="S304" s="412"/>
      <c r="T304" s="412"/>
      <c r="U304" s="412"/>
      <c r="V304" s="412"/>
    </row>
    <row r="305" spans="3:22">
      <c r="C305" s="412"/>
      <c r="D305" s="412"/>
      <c r="E305" s="412"/>
      <c r="F305" s="412"/>
      <c r="G305" s="412"/>
      <c r="H305" s="412"/>
      <c r="I305" s="412"/>
      <c r="J305" s="412"/>
      <c r="K305" s="412"/>
      <c r="L305" s="412"/>
      <c r="M305" s="412"/>
      <c r="N305" s="412"/>
      <c r="O305" s="412"/>
      <c r="P305" s="412"/>
      <c r="Q305" s="412"/>
      <c r="R305" s="412"/>
      <c r="S305" s="412"/>
      <c r="T305" s="412"/>
      <c r="U305" s="412"/>
      <c r="V305" s="412"/>
    </row>
    <row r="306" spans="3:22">
      <c r="C306" s="412"/>
      <c r="D306" s="412"/>
      <c r="E306" s="412"/>
      <c r="F306" s="412"/>
      <c r="G306" s="412"/>
      <c r="H306" s="412"/>
      <c r="I306" s="412"/>
      <c r="J306" s="412"/>
      <c r="K306" s="412"/>
      <c r="L306" s="412"/>
      <c r="M306" s="412"/>
      <c r="N306" s="412"/>
      <c r="O306" s="412"/>
      <c r="P306" s="412"/>
      <c r="Q306" s="412"/>
      <c r="R306" s="412"/>
      <c r="S306" s="412"/>
      <c r="T306" s="412"/>
      <c r="U306" s="412"/>
      <c r="V306" s="412"/>
    </row>
    <row r="307" spans="3:22">
      <c r="C307" s="412"/>
      <c r="D307" s="412"/>
      <c r="E307" s="412"/>
      <c r="F307" s="412"/>
      <c r="G307" s="412"/>
      <c r="H307" s="412"/>
      <c r="I307" s="412"/>
      <c r="J307" s="412"/>
      <c r="K307" s="412"/>
      <c r="L307" s="412"/>
      <c r="M307" s="412"/>
      <c r="N307" s="412"/>
      <c r="O307" s="412"/>
      <c r="P307" s="412"/>
      <c r="Q307" s="412"/>
      <c r="R307" s="412"/>
      <c r="S307" s="412"/>
      <c r="T307" s="412"/>
      <c r="U307" s="412"/>
      <c r="V307" s="412"/>
    </row>
    <row r="308" spans="3:22">
      <c r="C308" s="412"/>
      <c r="D308" s="412"/>
      <c r="E308" s="412"/>
      <c r="F308" s="412"/>
      <c r="G308" s="412"/>
      <c r="H308" s="412"/>
      <c r="I308" s="412"/>
      <c r="J308" s="412"/>
      <c r="K308" s="412"/>
      <c r="L308" s="412"/>
      <c r="M308" s="412"/>
      <c r="N308" s="412"/>
      <c r="O308" s="412"/>
      <c r="P308" s="412"/>
      <c r="Q308" s="412"/>
      <c r="R308" s="412"/>
      <c r="S308" s="412"/>
      <c r="T308" s="412"/>
      <c r="U308" s="412"/>
      <c r="V308" s="412"/>
    </row>
    <row r="309" spans="3:22">
      <c r="C309" s="412"/>
      <c r="D309" s="412"/>
      <c r="E309" s="412"/>
      <c r="F309" s="412"/>
      <c r="G309" s="412"/>
      <c r="H309" s="412"/>
      <c r="I309" s="412"/>
      <c r="J309" s="412"/>
      <c r="K309" s="412"/>
      <c r="L309" s="412"/>
      <c r="M309" s="412"/>
      <c r="N309" s="412"/>
      <c r="O309" s="412"/>
      <c r="P309" s="412"/>
      <c r="Q309" s="412"/>
      <c r="R309" s="412"/>
      <c r="S309" s="412"/>
      <c r="T309" s="412"/>
      <c r="U309" s="412"/>
      <c r="V309" s="412"/>
    </row>
    <row r="310" spans="3:22">
      <c r="C310" s="412"/>
      <c r="D310" s="412"/>
      <c r="E310" s="412"/>
      <c r="F310" s="412"/>
      <c r="G310" s="412"/>
      <c r="H310" s="412"/>
      <c r="I310" s="412"/>
      <c r="J310" s="412"/>
      <c r="K310" s="412"/>
      <c r="L310" s="412"/>
      <c r="M310" s="412"/>
      <c r="N310" s="412"/>
      <c r="O310" s="412"/>
      <c r="P310" s="412"/>
      <c r="Q310" s="412"/>
      <c r="R310" s="412"/>
      <c r="S310" s="412"/>
      <c r="T310" s="412"/>
      <c r="U310" s="412"/>
      <c r="V310" s="412"/>
    </row>
    <row r="311" spans="3:22">
      <c r="C311" s="412"/>
      <c r="D311" s="412"/>
      <c r="E311" s="412"/>
      <c r="F311" s="412"/>
      <c r="G311" s="412"/>
      <c r="H311" s="412"/>
      <c r="I311" s="412"/>
      <c r="J311" s="412"/>
      <c r="K311" s="412"/>
      <c r="L311" s="412"/>
      <c r="M311" s="412"/>
      <c r="N311" s="412"/>
      <c r="O311" s="412"/>
      <c r="P311" s="412"/>
      <c r="Q311" s="412"/>
      <c r="R311" s="412"/>
      <c r="S311" s="412"/>
      <c r="T311" s="412"/>
      <c r="U311" s="412"/>
      <c r="V311" s="412"/>
    </row>
    <row r="312" spans="3:22">
      <c r="C312" s="412"/>
      <c r="D312" s="412"/>
      <c r="E312" s="412"/>
      <c r="F312" s="412"/>
      <c r="G312" s="412"/>
      <c r="H312" s="412"/>
      <c r="I312" s="412"/>
      <c r="J312" s="412"/>
      <c r="K312" s="412"/>
      <c r="L312" s="412"/>
      <c r="M312" s="412"/>
      <c r="N312" s="412"/>
      <c r="O312" s="412"/>
      <c r="P312" s="412"/>
      <c r="Q312" s="412"/>
      <c r="R312" s="412"/>
      <c r="S312" s="412"/>
      <c r="T312" s="412"/>
      <c r="U312" s="412"/>
      <c r="V312" s="412"/>
    </row>
    <row r="313" spans="3:22">
      <c r="C313" s="412"/>
      <c r="D313" s="412"/>
      <c r="E313" s="412"/>
      <c r="F313" s="412"/>
      <c r="G313" s="412"/>
      <c r="H313" s="412"/>
      <c r="I313" s="412"/>
      <c r="J313" s="412"/>
      <c r="K313" s="412"/>
      <c r="L313" s="412"/>
      <c r="M313" s="412"/>
      <c r="N313" s="412"/>
      <c r="O313" s="412"/>
      <c r="P313" s="412"/>
      <c r="Q313" s="412"/>
      <c r="R313" s="412"/>
      <c r="S313" s="412"/>
      <c r="T313" s="412"/>
      <c r="U313" s="412"/>
      <c r="V313" s="412"/>
    </row>
    <row r="314" spans="3:22">
      <c r="C314" s="412"/>
      <c r="D314" s="412"/>
      <c r="E314" s="412"/>
      <c r="F314" s="412"/>
      <c r="G314" s="412"/>
      <c r="H314" s="412"/>
      <c r="I314" s="412"/>
      <c r="J314" s="412"/>
      <c r="K314" s="412"/>
      <c r="L314" s="412"/>
      <c r="M314" s="412"/>
      <c r="N314" s="412"/>
      <c r="O314" s="412"/>
      <c r="P314" s="412"/>
      <c r="Q314" s="412"/>
      <c r="R314" s="412"/>
      <c r="S314" s="412"/>
      <c r="T314" s="412"/>
      <c r="U314" s="412"/>
      <c r="V314" s="412"/>
    </row>
    <row r="315" spans="3:22">
      <c r="C315" s="412"/>
      <c r="D315" s="412"/>
      <c r="E315" s="412"/>
      <c r="F315" s="412"/>
      <c r="G315" s="412"/>
      <c r="H315" s="412"/>
      <c r="I315" s="412"/>
      <c r="J315" s="412"/>
      <c r="K315" s="412"/>
      <c r="L315" s="412"/>
      <c r="M315" s="412"/>
      <c r="N315" s="412"/>
      <c r="O315" s="412"/>
      <c r="P315" s="412"/>
      <c r="Q315" s="412"/>
      <c r="R315" s="412"/>
      <c r="S315" s="412"/>
      <c r="T315" s="412"/>
      <c r="U315" s="412"/>
      <c r="V315" s="412"/>
    </row>
    <row r="316" spans="3:22">
      <c r="C316" s="412"/>
      <c r="D316" s="412"/>
      <c r="E316" s="412"/>
      <c r="F316" s="412"/>
      <c r="G316" s="412"/>
      <c r="H316" s="412"/>
      <c r="I316" s="412"/>
      <c r="J316" s="412"/>
      <c r="K316" s="412"/>
      <c r="L316" s="412"/>
      <c r="M316" s="412"/>
      <c r="N316" s="412"/>
      <c r="O316" s="412"/>
      <c r="P316" s="412"/>
      <c r="Q316" s="412"/>
      <c r="R316" s="412"/>
      <c r="S316" s="412"/>
      <c r="T316" s="412"/>
      <c r="U316" s="412"/>
      <c r="V316" s="412"/>
    </row>
    <row r="317" spans="3:22">
      <c r="C317" s="412"/>
      <c r="D317" s="412"/>
      <c r="E317" s="412"/>
      <c r="F317" s="412"/>
      <c r="G317" s="412"/>
      <c r="H317" s="412"/>
      <c r="I317" s="412"/>
      <c r="J317" s="412"/>
      <c r="K317" s="412"/>
      <c r="L317" s="412"/>
      <c r="M317" s="412"/>
      <c r="N317" s="412"/>
      <c r="O317" s="412"/>
      <c r="P317" s="412"/>
      <c r="Q317" s="412"/>
      <c r="R317" s="412"/>
      <c r="S317" s="412"/>
      <c r="T317" s="412"/>
      <c r="U317" s="412"/>
      <c r="V317" s="412"/>
    </row>
    <row r="318" spans="3:22">
      <c r="C318" s="412"/>
      <c r="D318" s="412"/>
      <c r="E318" s="412"/>
      <c r="F318" s="412"/>
      <c r="G318" s="412"/>
      <c r="H318" s="412"/>
      <c r="I318" s="412"/>
      <c r="J318" s="412"/>
      <c r="K318" s="412"/>
      <c r="L318" s="412"/>
      <c r="M318" s="412"/>
      <c r="N318" s="412"/>
      <c r="O318" s="412"/>
      <c r="P318" s="412"/>
      <c r="Q318" s="412"/>
      <c r="R318" s="412"/>
      <c r="S318" s="412"/>
      <c r="T318" s="412"/>
      <c r="U318" s="412"/>
      <c r="V318" s="412"/>
    </row>
    <row r="319" spans="3:22">
      <c r="C319" s="412"/>
      <c r="D319" s="412"/>
      <c r="E319" s="412"/>
      <c r="F319" s="412"/>
      <c r="G319" s="412"/>
      <c r="H319" s="412"/>
      <c r="I319" s="412"/>
      <c r="J319" s="412"/>
      <c r="K319" s="412"/>
      <c r="L319" s="412"/>
      <c r="M319" s="412"/>
      <c r="N319" s="412"/>
      <c r="O319" s="412"/>
      <c r="P319" s="412"/>
      <c r="Q319" s="412"/>
      <c r="R319" s="412"/>
      <c r="S319" s="412"/>
      <c r="T319" s="412"/>
      <c r="U319" s="412"/>
      <c r="V319" s="412"/>
    </row>
    <row r="320" spans="3:22">
      <c r="C320" s="412"/>
      <c r="D320" s="412"/>
      <c r="E320" s="412"/>
      <c r="F320" s="412"/>
      <c r="G320" s="412"/>
      <c r="H320" s="412"/>
      <c r="I320" s="412"/>
      <c r="J320" s="412"/>
      <c r="K320" s="412"/>
      <c r="L320" s="412"/>
      <c r="M320" s="412"/>
      <c r="N320" s="412"/>
      <c r="O320" s="412"/>
      <c r="P320" s="412"/>
      <c r="Q320" s="412"/>
      <c r="R320" s="412"/>
      <c r="S320" s="412"/>
      <c r="T320" s="412"/>
      <c r="U320" s="412"/>
      <c r="V320" s="412"/>
    </row>
    <row r="321" spans="3:22">
      <c r="C321" s="412"/>
      <c r="D321" s="412"/>
      <c r="E321" s="412"/>
      <c r="F321" s="412"/>
      <c r="G321" s="412"/>
      <c r="H321" s="412"/>
      <c r="I321" s="412"/>
      <c r="J321" s="412"/>
      <c r="K321" s="412"/>
      <c r="L321" s="412"/>
      <c r="M321" s="412"/>
      <c r="N321" s="412"/>
      <c r="O321" s="412"/>
      <c r="P321" s="412"/>
      <c r="Q321" s="412"/>
      <c r="R321" s="412"/>
      <c r="S321" s="412"/>
      <c r="T321" s="412"/>
      <c r="U321" s="412"/>
      <c r="V321" s="412"/>
    </row>
    <row r="322" spans="3:22">
      <c r="C322" s="412"/>
      <c r="D322" s="412"/>
      <c r="E322" s="412"/>
      <c r="F322" s="412"/>
      <c r="G322" s="412"/>
      <c r="H322" s="412"/>
      <c r="I322" s="412"/>
      <c r="J322" s="412"/>
      <c r="K322" s="412"/>
      <c r="L322" s="412"/>
      <c r="M322" s="412"/>
      <c r="N322" s="412"/>
      <c r="O322" s="412"/>
      <c r="P322" s="412"/>
      <c r="Q322" s="412"/>
      <c r="R322" s="412"/>
      <c r="S322" s="412"/>
      <c r="T322" s="412"/>
      <c r="U322" s="412"/>
      <c r="V322" s="412"/>
    </row>
    <row r="323" spans="3:22">
      <c r="C323" s="412"/>
      <c r="D323" s="412"/>
      <c r="E323" s="412"/>
      <c r="F323" s="412"/>
      <c r="G323" s="412"/>
      <c r="H323" s="412"/>
      <c r="I323" s="412"/>
      <c r="J323" s="412"/>
      <c r="K323" s="412"/>
      <c r="L323" s="412"/>
      <c r="M323" s="412"/>
      <c r="N323" s="412"/>
      <c r="O323" s="412"/>
      <c r="P323" s="412"/>
      <c r="Q323" s="412"/>
      <c r="R323" s="412"/>
      <c r="S323" s="412"/>
      <c r="T323" s="412"/>
      <c r="U323" s="412"/>
      <c r="V323" s="412"/>
    </row>
    <row r="324" spans="3:22">
      <c r="C324" s="412"/>
      <c r="D324" s="412"/>
      <c r="E324" s="412"/>
      <c r="F324" s="412"/>
      <c r="G324" s="412"/>
      <c r="H324" s="412"/>
      <c r="I324" s="412"/>
      <c r="J324" s="412"/>
      <c r="K324" s="412"/>
      <c r="L324" s="412"/>
      <c r="M324" s="412"/>
      <c r="N324" s="412"/>
      <c r="O324" s="412"/>
      <c r="P324" s="412"/>
      <c r="Q324" s="412"/>
      <c r="R324" s="412"/>
      <c r="S324" s="412"/>
      <c r="T324" s="412"/>
      <c r="U324" s="412"/>
      <c r="V324" s="412"/>
    </row>
    <row r="325" spans="3:22">
      <c r="C325" s="412"/>
      <c r="D325" s="412"/>
      <c r="E325" s="412"/>
      <c r="F325" s="412"/>
      <c r="G325" s="412"/>
      <c r="H325" s="412"/>
      <c r="I325" s="412"/>
      <c r="J325" s="412"/>
      <c r="K325" s="412"/>
      <c r="L325" s="412"/>
      <c r="M325" s="412"/>
      <c r="N325" s="412"/>
      <c r="O325" s="412"/>
      <c r="P325" s="412"/>
      <c r="Q325" s="412"/>
      <c r="R325" s="412"/>
      <c r="S325" s="412"/>
      <c r="T325" s="412"/>
      <c r="U325" s="412"/>
      <c r="V325" s="412"/>
    </row>
    <row r="326" spans="3:22">
      <c r="C326" s="412"/>
      <c r="D326" s="412"/>
      <c r="E326" s="412"/>
      <c r="F326" s="412"/>
      <c r="G326" s="412"/>
      <c r="H326" s="412"/>
      <c r="I326" s="412"/>
      <c r="J326" s="412"/>
      <c r="K326" s="412"/>
      <c r="L326" s="412"/>
      <c r="M326" s="412"/>
      <c r="N326" s="412"/>
      <c r="O326" s="412"/>
      <c r="P326" s="412"/>
      <c r="Q326" s="412"/>
      <c r="R326" s="412"/>
      <c r="S326" s="412"/>
      <c r="T326" s="412"/>
      <c r="U326" s="412"/>
      <c r="V326" s="412"/>
    </row>
    <row r="327" spans="3:22">
      <c r="C327" s="412"/>
      <c r="D327" s="412"/>
      <c r="E327" s="412"/>
      <c r="F327" s="412"/>
      <c r="G327" s="412"/>
      <c r="H327" s="412"/>
      <c r="I327" s="412"/>
      <c r="J327" s="412"/>
      <c r="K327" s="412"/>
      <c r="L327" s="412"/>
      <c r="M327" s="412"/>
      <c r="N327" s="412"/>
      <c r="O327" s="412"/>
      <c r="P327" s="412"/>
      <c r="Q327" s="412"/>
      <c r="R327" s="412"/>
      <c r="S327" s="412"/>
      <c r="T327" s="412"/>
      <c r="U327" s="412"/>
      <c r="V327" s="412"/>
    </row>
    <row r="328" spans="3:22">
      <c r="C328" s="412"/>
      <c r="D328" s="412"/>
      <c r="E328" s="412"/>
      <c r="F328" s="412"/>
      <c r="G328" s="412"/>
      <c r="H328" s="412"/>
      <c r="I328" s="412"/>
      <c r="J328" s="412"/>
      <c r="K328" s="412"/>
      <c r="L328" s="412"/>
      <c r="M328" s="412"/>
      <c r="N328" s="412"/>
      <c r="O328" s="412"/>
      <c r="P328" s="412"/>
      <c r="Q328" s="412"/>
      <c r="R328" s="412"/>
      <c r="S328" s="412"/>
      <c r="T328" s="412"/>
      <c r="U328" s="412"/>
      <c r="V328" s="412"/>
    </row>
    <row r="329" spans="3:22">
      <c r="C329" s="412"/>
      <c r="D329" s="412"/>
      <c r="E329" s="412"/>
      <c r="F329" s="412"/>
      <c r="G329" s="412"/>
      <c r="H329" s="412"/>
      <c r="I329" s="412"/>
      <c r="J329" s="412"/>
      <c r="K329" s="412"/>
      <c r="L329" s="412"/>
      <c r="M329" s="412"/>
      <c r="N329" s="412"/>
      <c r="O329" s="412"/>
      <c r="P329" s="412"/>
      <c r="Q329" s="412"/>
      <c r="R329" s="412"/>
      <c r="S329" s="412"/>
      <c r="T329" s="412"/>
      <c r="U329" s="412"/>
      <c r="V329" s="412"/>
    </row>
    <row r="330" spans="3:22">
      <c r="C330" s="412"/>
      <c r="D330" s="412"/>
      <c r="E330" s="412"/>
      <c r="F330" s="412"/>
      <c r="G330" s="412"/>
      <c r="H330" s="412"/>
      <c r="I330" s="412"/>
      <c r="J330" s="412"/>
      <c r="K330" s="412"/>
      <c r="L330" s="412"/>
      <c r="M330" s="412"/>
      <c r="N330" s="412"/>
      <c r="O330" s="412"/>
      <c r="P330" s="412"/>
      <c r="Q330" s="412"/>
      <c r="R330" s="412"/>
      <c r="S330" s="412"/>
      <c r="T330" s="412"/>
      <c r="U330" s="412"/>
      <c r="V330" s="412"/>
    </row>
    <row r="331" spans="3:22">
      <c r="C331" s="412"/>
      <c r="D331" s="412"/>
      <c r="E331" s="412"/>
      <c r="F331" s="412"/>
      <c r="G331" s="412"/>
      <c r="H331" s="412"/>
      <c r="I331" s="412"/>
      <c r="J331" s="412"/>
      <c r="K331" s="412"/>
      <c r="L331" s="412"/>
      <c r="M331" s="412"/>
      <c r="N331" s="412"/>
      <c r="O331" s="412"/>
      <c r="P331" s="412"/>
      <c r="Q331" s="412"/>
      <c r="R331" s="412"/>
      <c r="S331" s="412"/>
      <c r="T331" s="412"/>
      <c r="U331" s="412"/>
      <c r="V331" s="412"/>
    </row>
    <row r="332" spans="3:22">
      <c r="C332" s="412"/>
      <c r="D332" s="412"/>
      <c r="E332" s="412"/>
      <c r="F332" s="412"/>
      <c r="G332" s="412"/>
      <c r="H332" s="412"/>
      <c r="I332" s="412"/>
      <c r="J332" s="412"/>
      <c r="K332" s="412"/>
      <c r="L332" s="412"/>
      <c r="M332" s="412"/>
      <c r="N332" s="412"/>
      <c r="O332" s="412"/>
      <c r="P332" s="412"/>
      <c r="Q332" s="412"/>
      <c r="R332" s="412"/>
      <c r="S332" s="412"/>
      <c r="T332" s="412"/>
      <c r="U332" s="412"/>
      <c r="V332" s="412"/>
    </row>
    <row r="333" spans="3:22">
      <c r="C333" s="412"/>
      <c r="D333" s="412"/>
      <c r="E333" s="412"/>
      <c r="F333" s="412"/>
      <c r="G333" s="412"/>
      <c r="H333" s="412"/>
      <c r="I333" s="412"/>
      <c r="J333" s="412"/>
      <c r="K333" s="412"/>
      <c r="L333" s="412"/>
      <c r="M333" s="412"/>
      <c r="N333" s="412"/>
      <c r="O333" s="412"/>
      <c r="P333" s="412"/>
      <c r="Q333" s="412"/>
      <c r="R333" s="412"/>
      <c r="S333" s="412"/>
      <c r="T333" s="412"/>
      <c r="U333" s="412"/>
      <c r="V333" s="412"/>
    </row>
    <row r="334" spans="3:22">
      <c r="C334" s="412"/>
      <c r="D334" s="412"/>
      <c r="E334" s="412"/>
      <c r="F334" s="412"/>
      <c r="G334" s="412"/>
      <c r="H334" s="412"/>
      <c r="I334" s="412"/>
      <c r="J334" s="412"/>
      <c r="K334" s="412"/>
      <c r="L334" s="412"/>
      <c r="M334" s="412"/>
      <c r="N334" s="412"/>
      <c r="O334" s="412"/>
      <c r="P334" s="412"/>
      <c r="Q334" s="412"/>
      <c r="R334" s="412"/>
      <c r="S334" s="412"/>
      <c r="T334" s="412"/>
      <c r="U334" s="412"/>
      <c r="V334" s="412"/>
    </row>
    <row r="335" spans="3:22">
      <c r="C335" s="412"/>
      <c r="D335" s="412"/>
      <c r="E335" s="412"/>
      <c r="F335" s="412"/>
      <c r="G335" s="412"/>
      <c r="H335" s="412"/>
      <c r="I335" s="412"/>
      <c r="J335" s="412"/>
      <c r="K335" s="412"/>
      <c r="L335" s="412"/>
      <c r="M335" s="412"/>
      <c r="N335" s="412"/>
      <c r="O335" s="412"/>
      <c r="P335" s="412"/>
      <c r="Q335" s="412"/>
      <c r="R335" s="412"/>
      <c r="S335" s="412"/>
      <c r="T335" s="412"/>
      <c r="U335" s="412"/>
      <c r="V335" s="412"/>
    </row>
    <row r="336" spans="3:22">
      <c r="C336" s="412"/>
      <c r="D336" s="412"/>
      <c r="E336" s="412"/>
      <c r="F336" s="412"/>
      <c r="G336" s="412"/>
      <c r="H336" s="412"/>
      <c r="I336" s="412"/>
      <c r="J336" s="412"/>
      <c r="K336" s="412"/>
      <c r="L336" s="412"/>
      <c r="M336" s="412"/>
      <c r="N336" s="412"/>
      <c r="O336" s="412"/>
      <c r="P336" s="412"/>
      <c r="Q336" s="412"/>
      <c r="R336" s="412"/>
      <c r="S336" s="412"/>
      <c r="T336" s="412"/>
      <c r="U336" s="412"/>
      <c r="V336" s="412"/>
    </row>
    <row r="337" spans="3:22">
      <c r="C337" s="412"/>
      <c r="D337" s="412"/>
      <c r="E337" s="412"/>
      <c r="F337" s="412"/>
      <c r="G337" s="412"/>
      <c r="H337" s="412"/>
      <c r="I337" s="412"/>
      <c r="J337" s="412"/>
      <c r="K337" s="412"/>
      <c r="L337" s="412"/>
      <c r="M337" s="412"/>
      <c r="N337" s="412"/>
      <c r="O337" s="412"/>
      <c r="P337" s="412"/>
      <c r="Q337" s="412"/>
      <c r="R337" s="412"/>
      <c r="S337" s="412"/>
      <c r="T337" s="412"/>
      <c r="U337" s="412"/>
      <c r="V337" s="412"/>
    </row>
    <row r="338" spans="3:22">
      <c r="C338" s="412"/>
      <c r="D338" s="412"/>
      <c r="E338" s="412"/>
      <c r="F338" s="412"/>
      <c r="G338" s="412"/>
      <c r="H338" s="412"/>
      <c r="I338" s="412"/>
      <c r="J338" s="412"/>
      <c r="K338" s="412"/>
      <c r="L338" s="412"/>
      <c r="M338" s="412"/>
      <c r="N338" s="412"/>
      <c r="O338" s="412"/>
      <c r="P338" s="412"/>
      <c r="Q338" s="412"/>
      <c r="R338" s="412"/>
      <c r="S338" s="412"/>
      <c r="T338" s="412"/>
      <c r="U338" s="412"/>
      <c r="V338" s="412"/>
    </row>
    <row r="339" spans="3:22">
      <c r="C339" s="412"/>
      <c r="D339" s="412"/>
      <c r="E339" s="412"/>
      <c r="F339" s="412"/>
      <c r="G339" s="412"/>
      <c r="H339" s="412"/>
      <c r="I339" s="412"/>
      <c r="J339" s="412"/>
      <c r="K339" s="412"/>
      <c r="L339" s="412"/>
      <c r="M339" s="412"/>
      <c r="N339" s="412"/>
      <c r="O339" s="412"/>
      <c r="P339" s="412"/>
      <c r="Q339" s="412"/>
      <c r="R339" s="412"/>
      <c r="S339" s="412"/>
      <c r="T339" s="412"/>
      <c r="U339" s="412"/>
      <c r="V339" s="412"/>
    </row>
    <row r="340" spans="3:22">
      <c r="C340" s="412"/>
      <c r="D340" s="412"/>
      <c r="E340" s="412"/>
      <c r="F340" s="412"/>
      <c r="G340" s="412"/>
      <c r="H340" s="412"/>
      <c r="I340" s="412"/>
      <c r="J340" s="412"/>
      <c r="K340" s="412"/>
      <c r="L340" s="412"/>
      <c r="M340" s="412"/>
      <c r="N340" s="412"/>
      <c r="O340" s="412"/>
      <c r="P340" s="412"/>
      <c r="Q340" s="412"/>
      <c r="R340" s="412"/>
      <c r="S340" s="412"/>
      <c r="T340" s="412"/>
      <c r="U340" s="412"/>
      <c r="V340" s="412"/>
    </row>
    <row r="341" spans="3:22">
      <c r="C341" s="412"/>
      <c r="D341" s="412"/>
      <c r="E341" s="412"/>
      <c r="F341" s="412"/>
      <c r="G341" s="412"/>
      <c r="H341" s="412"/>
      <c r="I341" s="412"/>
      <c r="J341" s="412"/>
      <c r="K341" s="412"/>
      <c r="L341" s="412"/>
      <c r="M341" s="412"/>
      <c r="N341" s="412"/>
      <c r="O341" s="412"/>
      <c r="P341" s="412"/>
      <c r="Q341" s="412"/>
      <c r="R341" s="412"/>
      <c r="S341" s="412"/>
      <c r="T341" s="412"/>
      <c r="U341" s="412"/>
      <c r="V341" s="412"/>
    </row>
    <row r="342" spans="3:22">
      <c r="C342" s="412"/>
      <c r="D342" s="412"/>
      <c r="E342" s="412"/>
      <c r="F342" s="412"/>
      <c r="G342" s="412"/>
      <c r="H342" s="412"/>
      <c r="I342" s="412"/>
      <c r="J342" s="412"/>
      <c r="K342" s="412"/>
      <c r="L342" s="412"/>
      <c r="M342" s="412"/>
      <c r="N342" s="412"/>
      <c r="O342" s="412"/>
      <c r="P342" s="412"/>
      <c r="Q342" s="412"/>
      <c r="R342" s="412"/>
      <c r="S342" s="412"/>
      <c r="T342" s="412"/>
      <c r="U342" s="412"/>
      <c r="V342" s="412"/>
    </row>
    <row r="343" spans="3:22">
      <c r="C343" s="412"/>
      <c r="D343" s="412"/>
      <c r="E343" s="412"/>
      <c r="F343" s="412"/>
      <c r="G343" s="412"/>
      <c r="H343" s="412"/>
      <c r="I343" s="412"/>
      <c r="J343" s="412"/>
      <c r="K343" s="412"/>
      <c r="L343" s="412"/>
      <c r="M343" s="412"/>
      <c r="N343" s="412"/>
      <c r="O343" s="412"/>
      <c r="P343" s="412"/>
      <c r="Q343" s="412"/>
      <c r="R343" s="412"/>
      <c r="S343" s="412"/>
      <c r="T343" s="412"/>
      <c r="U343" s="412"/>
      <c r="V343" s="412"/>
    </row>
    <row r="344" spans="3:22">
      <c r="C344" s="412"/>
      <c r="D344" s="412"/>
      <c r="E344" s="412"/>
      <c r="F344" s="412"/>
      <c r="G344" s="412"/>
      <c r="H344" s="412"/>
      <c r="I344" s="412"/>
      <c r="J344" s="412"/>
      <c r="K344" s="412"/>
      <c r="L344" s="412"/>
      <c r="M344" s="412"/>
      <c r="N344" s="412"/>
      <c r="O344" s="412"/>
      <c r="P344" s="412"/>
      <c r="Q344" s="412"/>
      <c r="R344" s="412"/>
      <c r="S344" s="412"/>
      <c r="T344" s="412"/>
      <c r="U344" s="412"/>
      <c r="V344" s="412"/>
    </row>
    <row r="345" spans="3:22">
      <c r="C345" s="412"/>
      <c r="D345" s="412"/>
      <c r="E345" s="412"/>
      <c r="F345" s="412"/>
      <c r="G345" s="412"/>
      <c r="H345" s="412"/>
      <c r="I345" s="412"/>
      <c r="J345" s="412"/>
      <c r="K345" s="412"/>
      <c r="L345" s="412"/>
      <c r="M345" s="412"/>
      <c r="N345" s="412"/>
      <c r="O345" s="412"/>
      <c r="P345" s="412"/>
      <c r="Q345" s="412"/>
      <c r="R345" s="412"/>
      <c r="S345" s="412"/>
      <c r="T345" s="412"/>
      <c r="U345" s="412"/>
      <c r="V345" s="412"/>
    </row>
    <row r="346" spans="3:22">
      <c r="C346" s="412"/>
      <c r="D346" s="412"/>
      <c r="E346" s="412"/>
      <c r="F346" s="412"/>
      <c r="G346" s="412"/>
      <c r="H346" s="412"/>
      <c r="I346" s="412"/>
      <c r="J346" s="412"/>
      <c r="K346" s="412"/>
      <c r="L346" s="412"/>
      <c r="M346" s="412"/>
      <c r="N346" s="412"/>
      <c r="O346" s="412"/>
      <c r="P346" s="412"/>
      <c r="Q346" s="412"/>
      <c r="R346" s="412"/>
      <c r="S346" s="412"/>
      <c r="T346" s="412"/>
      <c r="U346" s="412"/>
      <c r="V346" s="412"/>
    </row>
    <row r="347" spans="3:22">
      <c r="C347" s="412"/>
      <c r="D347" s="412"/>
      <c r="E347" s="412"/>
      <c r="F347" s="412"/>
      <c r="G347" s="412"/>
      <c r="H347" s="412"/>
      <c r="I347" s="412"/>
      <c r="J347" s="412"/>
      <c r="K347" s="412"/>
      <c r="L347" s="412"/>
      <c r="M347" s="412"/>
      <c r="N347" s="412"/>
      <c r="O347" s="412"/>
      <c r="P347" s="412"/>
      <c r="Q347" s="412"/>
      <c r="R347" s="412"/>
      <c r="S347" s="412"/>
      <c r="T347" s="412"/>
      <c r="U347" s="412"/>
      <c r="V347" s="412"/>
    </row>
    <row r="348" spans="3:22">
      <c r="C348" s="412"/>
      <c r="D348" s="412"/>
      <c r="E348" s="412"/>
      <c r="F348" s="412"/>
      <c r="G348" s="412"/>
      <c r="H348" s="412"/>
      <c r="I348" s="412"/>
      <c r="J348" s="412"/>
      <c r="K348" s="412"/>
      <c r="L348" s="412"/>
      <c r="M348" s="412"/>
      <c r="N348" s="412"/>
      <c r="O348" s="412"/>
      <c r="P348" s="412"/>
      <c r="Q348" s="412"/>
      <c r="R348" s="412"/>
      <c r="S348" s="412"/>
      <c r="T348" s="412"/>
      <c r="U348" s="412"/>
      <c r="V348" s="412"/>
    </row>
    <row r="349" spans="3:22">
      <c r="C349" s="412"/>
      <c r="D349" s="412"/>
      <c r="E349" s="412"/>
      <c r="F349" s="412"/>
      <c r="G349" s="412"/>
      <c r="H349" s="412"/>
      <c r="I349" s="412"/>
      <c r="J349" s="412"/>
      <c r="K349" s="412"/>
      <c r="L349" s="412"/>
      <c r="M349" s="412"/>
      <c r="N349" s="412"/>
      <c r="O349" s="412"/>
      <c r="P349" s="412"/>
      <c r="Q349" s="412"/>
      <c r="R349" s="412"/>
      <c r="S349" s="412"/>
      <c r="T349" s="412"/>
      <c r="U349" s="412"/>
      <c r="V349" s="412"/>
    </row>
    <row r="350" spans="3:22">
      <c r="C350" s="412"/>
      <c r="D350" s="412"/>
      <c r="E350" s="412"/>
      <c r="F350" s="412"/>
      <c r="G350" s="412"/>
      <c r="H350" s="412"/>
      <c r="I350" s="412"/>
      <c r="J350" s="412"/>
      <c r="K350" s="412"/>
      <c r="L350" s="412"/>
      <c r="M350" s="412"/>
      <c r="N350" s="412"/>
      <c r="O350" s="412"/>
      <c r="P350" s="412"/>
      <c r="Q350" s="412"/>
      <c r="R350" s="412"/>
      <c r="S350" s="412"/>
      <c r="T350" s="412"/>
      <c r="U350" s="412"/>
      <c r="V350" s="412"/>
    </row>
    <row r="351" spans="3:22">
      <c r="C351" s="412"/>
      <c r="D351" s="412"/>
      <c r="E351" s="412"/>
      <c r="F351" s="412"/>
      <c r="G351" s="412"/>
      <c r="H351" s="412"/>
      <c r="I351" s="412"/>
      <c r="J351" s="412"/>
      <c r="K351" s="412"/>
      <c r="L351" s="412"/>
      <c r="M351" s="412"/>
      <c r="N351" s="412"/>
      <c r="O351" s="412"/>
      <c r="P351" s="412"/>
      <c r="Q351" s="412"/>
      <c r="R351" s="412"/>
      <c r="S351" s="412"/>
      <c r="T351" s="412"/>
      <c r="U351" s="412"/>
      <c r="V351" s="412"/>
    </row>
    <row r="352" spans="3:22">
      <c r="C352" s="412"/>
      <c r="D352" s="412"/>
      <c r="E352" s="412"/>
      <c r="F352" s="412"/>
      <c r="G352" s="412"/>
      <c r="H352" s="412"/>
      <c r="I352" s="412"/>
      <c r="J352" s="412"/>
      <c r="K352" s="412"/>
      <c r="L352" s="412"/>
      <c r="M352" s="412"/>
      <c r="N352" s="412"/>
      <c r="O352" s="412"/>
      <c r="P352" s="412"/>
      <c r="Q352" s="412"/>
      <c r="R352" s="412"/>
      <c r="S352" s="412"/>
      <c r="T352" s="412"/>
      <c r="U352" s="412"/>
      <c r="V352" s="412"/>
    </row>
    <row r="353" spans="3:22">
      <c r="C353" s="412"/>
      <c r="D353" s="412"/>
      <c r="E353" s="412"/>
      <c r="F353" s="412"/>
      <c r="G353" s="412"/>
      <c r="H353" s="412"/>
      <c r="I353" s="412"/>
      <c r="J353" s="412"/>
      <c r="K353" s="412"/>
      <c r="L353" s="412"/>
      <c r="M353" s="412"/>
      <c r="N353" s="412"/>
      <c r="O353" s="412"/>
      <c r="P353" s="412"/>
      <c r="Q353" s="412"/>
      <c r="R353" s="412"/>
      <c r="S353" s="412"/>
      <c r="T353" s="412"/>
      <c r="U353" s="412"/>
      <c r="V353" s="412"/>
    </row>
    <row r="354" spans="3:22">
      <c r="C354" s="412"/>
      <c r="D354" s="412"/>
      <c r="E354" s="412"/>
      <c r="F354" s="412"/>
      <c r="G354" s="412"/>
      <c r="H354" s="412"/>
      <c r="I354" s="412"/>
      <c r="J354" s="412"/>
      <c r="K354" s="412"/>
      <c r="L354" s="412"/>
      <c r="M354" s="412"/>
      <c r="N354" s="412"/>
      <c r="O354" s="412"/>
      <c r="P354" s="412"/>
      <c r="Q354" s="412"/>
      <c r="R354" s="412"/>
      <c r="S354" s="412"/>
      <c r="T354" s="412"/>
      <c r="U354" s="412"/>
      <c r="V354" s="412"/>
    </row>
    <row r="355" spans="3:22">
      <c r="C355" s="412"/>
      <c r="D355" s="412"/>
      <c r="E355" s="412"/>
      <c r="F355" s="412"/>
      <c r="G355" s="412"/>
      <c r="H355" s="412"/>
      <c r="I355" s="412"/>
      <c r="J355" s="412"/>
      <c r="K355" s="412"/>
      <c r="L355" s="412"/>
      <c r="M355" s="412"/>
      <c r="N355" s="412"/>
      <c r="O355" s="412"/>
      <c r="P355" s="412"/>
      <c r="Q355" s="412"/>
      <c r="R355" s="412"/>
      <c r="S355" s="412"/>
      <c r="T355" s="412"/>
      <c r="U355" s="412"/>
      <c r="V355" s="412"/>
    </row>
    <row r="356" spans="3:22">
      <c r="C356" s="412"/>
      <c r="D356" s="412"/>
      <c r="E356" s="412"/>
      <c r="F356" s="412"/>
      <c r="G356" s="412"/>
      <c r="H356" s="412"/>
      <c r="I356" s="412"/>
      <c r="J356" s="412"/>
      <c r="K356" s="412"/>
      <c r="L356" s="412"/>
      <c r="M356" s="412"/>
      <c r="N356" s="412"/>
      <c r="O356" s="412"/>
      <c r="P356" s="412"/>
      <c r="Q356" s="412"/>
      <c r="R356" s="412"/>
      <c r="S356" s="412"/>
      <c r="T356" s="412"/>
      <c r="U356" s="412"/>
      <c r="V356" s="412"/>
    </row>
    <row r="357" spans="3:22">
      <c r="C357" s="412"/>
      <c r="D357" s="412"/>
      <c r="E357" s="412"/>
      <c r="F357" s="412"/>
      <c r="G357" s="412"/>
      <c r="H357" s="412"/>
      <c r="I357" s="412"/>
      <c r="J357" s="412"/>
      <c r="K357" s="412"/>
      <c r="L357" s="412"/>
      <c r="M357" s="412"/>
      <c r="N357" s="412"/>
      <c r="O357" s="412"/>
      <c r="P357" s="412"/>
      <c r="Q357" s="412"/>
      <c r="R357" s="412"/>
      <c r="S357" s="412"/>
      <c r="T357" s="412"/>
      <c r="U357" s="412"/>
      <c r="V357" s="412"/>
    </row>
    <row r="358" spans="3:22">
      <c r="C358" s="412"/>
      <c r="D358" s="412"/>
      <c r="E358" s="412"/>
      <c r="F358" s="412"/>
      <c r="G358" s="412"/>
      <c r="H358" s="412"/>
      <c r="I358" s="412"/>
      <c r="J358" s="412"/>
      <c r="K358" s="412"/>
      <c r="L358" s="412"/>
      <c r="M358" s="412"/>
      <c r="N358" s="412"/>
      <c r="O358" s="412"/>
      <c r="P358" s="412"/>
      <c r="Q358" s="412"/>
      <c r="R358" s="412"/>
      <c r="S358" s="412"/>
      <c r="T358" s="412"/>
      <c r="U358" s="412"/>
      <c r="V358" s="412"/>
    </row>
    <row r="359" spans="3:22">
      <c r="C359" s="412"/>
      <c r="D359" s="412"/>
      <c r="E359" s="412"/>
      <c r="F359" s="412"/>
      <c r="G359" s="412"/>
      <c r="H359" s="412"/>
      <c r="I359" s="412"/>
      <c r="J359" s="412"/>
      <c r="K359" s="412"/>
      <c r="L359" s="412"/>
      <c r="M359" s="412"/>
      <c r="N359" s="412"/>
      <c r="O359" s="412"/>
      <c r="P359" s="412"/>
      <c r="Q359" s="412"/>
      <c r="R359" s="412"/>
      <c r="S359" s="412"/>
      <c r="T359" s="412"/>
      <c r="U359" s="412"/>
      <c r="V359" s="412"/>
    </row>
    <row r="360" spans="3:22">
      <c r="C360" s="412"/>
      <c r="D360" s="412"/>
      <c r="E360" s="412"/>
      <c r="F360" s="412"/>
      <c r="G360" s="412"/>
      <c r="H360" s="412"/>
      <c r="I360" s="412"/>
      <c r="J360" s="412"/>
      <c r="K360" s="412"/>
      <c r="L360" s="412"/>
      <c r="M360" s="412"/>
      <c r="N360" s="412"/>
      <c r="O360" s="412"/>
      <c r="P360" s="412"/>
      <c r="Q360" s="412"/>
      <c r="R360" s="412"/>
      <c r="S360" s="412"/>
      <c r="T360" s="412"/>
      <c r="U360" s="412"/>
      <c r="V360" s="412"/>
    </row>
    <row r="361" spans="3:22">
      <c r="C361" s="412"/>
      <c r="D361" s="412"/>
      <c r="E361" s="412"/>
      <c r="F361" s="412"/>
      <c r="G361" s="412"/>
      <c r="H361" s="412"/>
      <c r="I361" s="412"/>
      <c r="J361" s="412"/>
      <c r="K361" s="412"/>
      <c r="L361" s="412"/>
      <c r="M361" s="412"/>
      <c r="N361" s="412"/>
      <c r="O361" s="412"/>
      <c r="P361" s="412"/>
      <c r="Q361" s="412"/>
      <c r="R361" s="412"/>
      <c r="S361" s="412"/>
      <c r="T361" s="412"/>
      <c r="U361" s="412"/>
      <c r="V361" s="412"/>
    </row>
    <row r="362" spans="3:22">
      <c r="C362" s="412"/>
      <c r="D362" s="412"/>
      <c r="E362" s="412"/>
      <c r="F362" s="412"/>
      <c r="G362" s="412"/>
      <c r="H362" s="412"/>
      <c r="I362" s="412"/>
      <c r="J362" s="412"/>
      <c r="K362" s="412"/>
      <c r="L362" s="412"/>
      <c r="M362" s="412"/>
      <c r="N362" s="412"/>
      <c r="O362" s="412"/>
      <c r="P362" s="412"/>
      <c r="Q362" s="412"/>
      <c r="R362" s="412"/>
      <c r="S362" s="412"/>
      <c r="T362" s="412"/>
      <c r="U362" s="412"/>
      <c r="V362" s="412"/>
    </row>
    <row r="363" spans="3:22">
      <c r="C363" s="412"/>
      <c r="D363" s="412"/>
      <c r="E363" s="412"/>
      <c r="F363" s="412"/>
      <c r="G363" s="412"/>
      <c r="H363" s="412"/>
      <c r="I363" s="412"/>
      <c r="J363" s="412"/>
      <c r="K363" s="412"/>
      <c r="L363" s="412"/>
      <c r="M363" s="412"/>
      <c r="N363" s="412"/>
      <c r="O363" s="412"/>
      <c r="P363" s="412"/>
      <c r="Q363" s="412"/>
      <c r="R363" s="412"/>
      <c r="S363" s="412"/>
      <c r="T363" s="412"/>
      <c r="U363" s="412"/>
      <c r="V363" s="412"/>
    </row>
    <row r="364" spans="3:22">
      <c r="C364" s="412"/>
      <c r="D364" s="412"/>
      <c r="E364" s="412"/>
      <c r="F364" s="412"/>
      <c r="G364" s="412"/>
      <c r="H364" s="412"/>
      <c r="I364" s="412"/>
      <c r="J364" s="412"/>
      <c r="K364" s="412"/>
      <c r="L364" s="412"/>
      <c r="M364" s="412"/>
      <c r="N364" s="412"/>
      <c r="O364" s="412"/>
      <c r="P364" s="412"/>
      <c r="Q364" s="412"/>
      <c r="R364" s="412"/>
      <c r="S364" s="412"/>
      <c r="T364" s="412"/>
      <c r="U364" s="412"/>
      <c r="V364" s="412"/>
    </row>
    <row r="365" spans="3:22">
      <c r="C365" s="412"/>
      <c r="D365" s="412"/>
      <c r="E365" s="412"/>
      <c r="F365" s="412"/>
      <c r="G365" s="412"/>
      <c r="H365" s="412"/>
      <c r="I365" s="412"/>
      <c r="J365" s="412"/>
      <c r="K365" s="412"/>
      <c r="L365" s="412"/>
      <c r="M365" s="412"/>
      <c r="N365" s="412"/>
      <c r="O365" s="412"/>
      <c r="P365" s="412"/>
      <c r="Q365" s="412"/>
      <c r="R365" s="412"/>
      <c r="S365" s="412"/>
      <c r="T365" s="412"/>
      <c r="U365" s="412"/>
      <c r="V365" s="412"/>
    </row>
    <row r="366" spans="3:22">
      <c r="C366" s="412"/>
      <c r="D366" s="412"/>
      <c r="E366" s="412"/>
      <c r="F366" s="412"/>
      <c r="G366" s="412"/>
      <c r="H366" s="412"/>
      <c r="I366" s="412"/>
      <c r="J366" s="412"/>
      <c r="K366" s="412"/>
      <c r="L366" s="412"/>
      <c r="M366" s="412"/>
      <c r="N366" s="412"/>
      <c r="O366" s="412"/>
      <c r="P366" s="412"/>
      <c r="Q366" s="412"/>
      <c r="R366" s="412"/>
      <c r="S366" s="412"/>
      <c r="T366" s="412"/>
      <c r="U366" s="412"/>
      <c r="V366" s="412"/>
    </row>
    <row r="367" spans="3:22">
      <c r="C367" s="412"/>
      <c r="D367" s="412"/>
      <c r="E367" s="412"/>
      <c r="F367" s="412"/>
      <c r="G367" s="412"/>
      <c r="H367" s="412"/>
      <c r="I367" s="412"/>
      <c r="J367" s="412"/>
      <c r="K367" s="412"/>
      <c r="L367" s="412"/>
      <c r="M367" s="412"/>
      <c r="N367" s="412"/>
      <c r="O367" s="412"/>
      <c r="P367" s="412"/>
      <c r="Q367" s="412"/>
      <c r="R367" s="412"/>
      <c r="S367" s="412"/>
      <c r="T367" s="412"/>
      <c r="U367" s="412"/>
      <c r="V367" s="412"/>
    </row>
    <row r="368" spans="3:22">
      <c r="C368" s="412"/>
      <c r="D368" s="412"/>
      <c r="E368" s="412"/>
      <c r="F368" s="412"/>
      <c r="G368" s="412"/>
      <c r="H368" s="412"/>
      <c r="I368" s="412"/>
      <c r="J368" s="412"/>
      <c r="K368" s="412"/>
      <c r="L368" s="412"/>
      <c r="M368" s="412"/>
      <c r="N368" s="412"/>
      <c r="O368" s="412"/>
      <c r="P368" s="412"/>
      <c r="Q368" s="412"/>
      <c r="R368" s="412"/>
      <c r="S368" s="412"/>
      <c r="T368" s="412"/>
      <c r="U368" s="412"/>
      <c r="V368" s="412"/>
    </row>
    <row r="369" spans="3:22">
      <c r="C369" s="412"/>
      <c r="D369" s="412"/>
      <c r="E369" s="412"/>
      <c r="F369" s="412"/>
      <c r="G369" s="412"/>
      <c r="H369" s="412"/>
      <c r="I369" s="412"/>
      <c r="J369" s="412"/>
      <c r="K369" s="412"/>
      <c r="L369" s="412"/>
      <c r="M369" s="412"/>
      <c r="N369" s="412"/>
      <c r="O369" s="412"/>
      <c r="P369" s="412"/>
      <c r="Q369" s="412"/>
      <c r="R369" s="412"/>
      <c r="S369" s="412"/>
      <c r="T369" s="412"/>
      <c r="U369" s="412"/>
      <c r="V369" s="412"/>
    </row>
    <row r="370" spans="3:22">
      <c r="C370" s="412"/>
      <c r="D370" s="412"/>
      <c r="E370" s="412"/>
      <c r="F370" s="412"/>
      <c r="G370" s="412"/>
      <c r="H370" s="412"/>
      <c r="I370" s="412"/>
      <c r="J370" s="412"/>
      <c r="K370" s="412"/>
      <c r="L370" s="412"/>
      <c r="M370" s="412"/>
      <c r="N370" s="412"/>
      <c r="O370" s="412"/>
      <c r="P370" s="412"/>
      <c r="Q370" s="412"/>
      <c r="R370" s="412"/>
      <c r="S370" s="412"/>
      <c r="T370" s="412"/>
      <c r="U370" s="412"/>
      <c r="V370" s="412"/>
    </row>
    <row r="371" spans="3:22">
      <c r="C371" s="412"/>
      <c r="D371" s="412"/>
      <c r="E371" s="412"/>
      <c r="F371" s="412"/>
      <c r="G371" s="412"/>
      <c r="H371" s="412"/>
      <c r="I371" s="412"/>
      <c r="J371" s="412"/>
      <c r="K371" s="412"/>
      <c r="L371" s="412"/>
      <c r="M371" s="412"/>
      <c r="N371" s="412"/>
      <c r="O371" s="412"/>
      <c r="P371" s="412"/>
      <c r="Q371" s="412"/>
      <c r="R371" s="412"/>
      <c r="S371" s="412"/>
      <c r="T371" s="412"/>
      <c r="U371" s="412"/>
      <c r="V371" s="412"/>
    </row>
    <row r="372" spans="3:22">
      <c r="C372" s="412"/>
      <c r="D372" s="412"/>
      <c r="E372" s="412"/>
      <c r="F372" s="412"/>
      <c r="G372" s="412"/>
      <c r="H372" s="412"/>
      <c r="I372" s="412"/>
      <c r="J372" s="412"/>
      <c r="K372" s="412"/>
      <c r="L372" s="412"/>
      <c r="M372" s="412"/>
      <c r="N372" s="412"/>
      <c r="O372" s="412"/>
      <c r="P372" s="412"/>
      <c r="Q372" s="412"/>
      <c r="R372" s="412"/>
      <c r="S372" s="412"/>
      <c r="T372" s="412"/>
      <c r="U372" s="412"/>
      <c r="V372" s="412"/>
    </row>
    <row r="373" spans="3:22">
      <c r="C373" s="412"/>
      <c r="D373" s="412"/>
      <c r="E373" s="412"/>
      <c r="F373" s="412"/>
      <c r="G373" s="412"/>
      <c r="H373" s="412"/>
      <c r="I373" s="412"/>
      <c r="J373" s="412"/>
      <c r="K373" s="412"/>
      <c r="L373" s="412"/>
      <c r="M373" s="412"/>
      <c r="N373" s="412"/>
      <c r="O373" s="412"/>
      <c r="P373" s="412"/>
      <c r="Q373" s="412"/>
      <c r="R373" s="412"/>
      <c r="S373" s="412"/>
      <c r="T373" s="412"/>
      <c r="U373" s="412"/>
      <c r="V373" s="412"/>
    </row>
    <row r="374" spans="3:22">
      <c r="C374" s="412"/>
      <c r="D374" s="412"/>
      <c r="E374" s="412"/>
      <c r="F374" s="412"/>
      <c r="G374" s="412"/>
      <c r="H374" s="412"/>
      <c r="I374" s="412"/>
      <c r="J374" s="412"/>
      <c r="K374" s="412"/>
      <c r="L374" s="412"/>
      <c r="M374" s="412"/>
      <c r="N374" s="412"/>
      <c r="O374" s="412"/>
      <c r="P374" s="412"/>
      <c r="Q374" s="412"/>
      <c r="R374" s="412"/>
      <c r="S374" s="412"/>
      <c r="T374" s="412"/>
      <c r="U374" s="412"/>
      <c r="V374" s="412"/>
    </row>
    <row r="375" spans="3:22">
      <c r="C375" s="412"/>
      <c r="D375" s="412"/>
      <c r="E375" s="412"/>
      <c r="F375" s="412"/>
      <c r="G375" s="412"/>
      <c r="H375" s="412"/>
      <c r="I375" s="412"/>
      <c r="J375" s="412"/>
      <c r="K375" s="412"/>
      <c r="L375" s="412"/>
      <c r="M375" s="412"/>
      <c r="N375" s="412"/>
      <c r="O375" s="412"/>
      <c r="P375" s="412"/>
      <c r="Q375" s="412"/>
      <c r="R375" s="412"/>
      <c r="S375" s="412"/>
      <c r="T375" s="412"/>
      <c r="U375" s="412"/>
      <c r="V375" s="412"/>
    </row>
    <row r="376" spans="3:22">
      <c r="C376" s="412"/>
      <c r="D376" s="412"/>
      <c r="E376" s="412"/>
      <c r="F376" s="412"/>
      <c r="G376" s="412"/>
      <c r="H376" s="412"/>
      <c r="I376" s="412"/>
      <c r="J376" s="412"/>
      <c r="K376" s="412"/>
      <c r="L376" s="412"/>
      <c r="M376" s="412"/>
      <c r="N376" s="412"/>
      <c r="O376" s="412"/>
      <c r="P376" s="412"/>
      <c r="Q376" s="412"/>
      <c r="R376" s="412"/>
      <c r="S376" s="412"/>
      <c r="T376" s="412"/>
      <c r="U376" s="412"/>
      <c r="V376" s="412"/>
    </row>
    <row r="377" spans="3:22">
      <c r="C377" s="412"/>
      <c r="D377" s="412"/>
      <c r="E377" s="412"/>
      <c r="F377" s="412"/>
      <c r="G377" s="412"/>
      <c r="H377" s="412"/>
      <c r="I377" s="412"/>
      <c r="J377" s="412"/>
      <c r="K377" s="412"/>
      <c r="L377" s="412"/>
      <c r="M377" s="412"/>
      <c r="N377" s="412"/>
      <c r="O377" s="412"/>
      <c r="P377" s="412"/>
      <c r="Q377" s="412"/>
      <c r="R377" s="412"/>
      <c r="S377" s="412"/>
      <c r="T377" s="412"/>
      <c r="U377" s="412"/>
      <c r="V377" s="412"/>
    </row>
    <row r="378" spans="3:22">
      <c r="C378" s="412"/>
      <c r="D378" s="412"/>
      <c r="E378" s="412"/>
      <c r="F378" s="412"/>
      <c r="G378" s="412"/>
      <c r="H378" s="412"/>
      <c r="I378" s="412"/>
      <c r="J378" s="412"/>
      <c r="K378" s="412"/>
      <c r="L378" s="412"/>
      <c r="M378" s="412"/>
      <c r="N378" s="412"/>
      <c r="O378" s="412"/>
      <c r="P378" s="412"/>
      <c r="Q378" s="412"/>
      <c r="R378" s="412"/>
      <c r="S378" s="412"/>
      <c r="T378" s="412"/>
      <c r="U378" s="412"/>
      <c r="V378" s="412"/>
    </row>
    <row r="379" spans="3:22">
      <c r="C379" s="412"/>
      <c r="D379" s="412"/>
      <c r="E379" s="412"/>
      <c r="F379" s="412"/>
      <c r="G379" s="412"/>
      <c r="H379" s="412"/>
      <c r="I379" s="412"/>
      <c r="J379" s="412"/>
      <c r="K379" s="412"/>
      <c r="L379" s="412"/>
      <c r="M379" s="412"/>
      <c r="N379" s="412"/>
      <c r="O379" s="412"/>
      <c r="P379" s="412"/>
      <c r="Q379" s="412"/>
      <c r="R379" s="412"/>
      <c r="S379" s="412"/>
      <c r="T379" s="412"/>
      <c r="U379" s="412"/>
      <c r="V379" s="412"/>
    </row>
    <row r="380" spans="3:22">
      <c r="C380" s="412"/>
      <c r="D380" s="412"/>
      <c r="E380" s="412"/>
      <c r="F380" s="412"/>
      <c r="G380" s="412"/>
      <c r="H380" s="412"/>
      <c r="I380" s="412"/>
      <c r="J380" s="412"/>
      <c r="K380" s="412"/>
      <c r="L380" s="412"/>
      <c r="M380" s="412"/>
      <c r="N380" s="412"/>
      <c r="O380" s="412"/>
      <c r="P380" s="412"/>
      <c r="Q380" s="412"/>
      <c r="R380" s="412"/>
      <c r="S380" s="412"/>
      <c r="T380" s="412"/>
      <c r="U380" s="412"/>
      <c r="V380" s="412"/>
    </row>
    <row r="381" spans="3:22">
      <c r="C381" s="412"/>
      <c r="D381" s="412"/>
      <c r="E381" s="412"/>
      <c r="F381" s="412"/>
      <c r="G381" s="412"/>
      <c r="H381" s="412"/>
      <c r="I381" s="412"/>
      <c r="J381" s="412"/>
      <c r="K381" s="412"/>
      <c r="L381" s="412"/>
      <c r="M381" s="412"/>
      <c r="N381" s="412"/>
      <c r="O381" s="412"/>
      <c r="P381" s="412"/>
      <c r="Q381" s="412"/>
      <c r="R381" s="412"/>
      <c r="S381" s="412"/>
      <c r="T381" s="412"/>
      <c r="U381" s="412"/>
      <c r="V381" s="412"/>
    </row>
    <row r="382" spans="3:22">
      <c r="C382" s="412"/>
      <c r="D382" s="412"/>
      <c r="E382" s="412"/>
      <c r="F382" s="412"/>
      <c r="G382" s="412"/>
      <c r="H382" s="412"/>
      <c r="I382" s="412"/>
      <c r="J382" s="412"/>
      <c r="K382" s="412"/>
      <c r="L382" s="412"/>
      <c r="M382" s="412"/>
      <c r="N382" s="412"/>
      <c r="O382" s="412"/>
      <c r="P382" s="412"/>
      <c r="Q382" s="412"/>
      <c r="R382" s="412"/>
      <c r="S382" s="412"/>
      <c r="T382" s="412"/>
      <c r="U382" s="412"/>
      <c r="V382" s="412"/>
    </row>
    <row r="383" spans="3:22">
      <c r="C383" s="412"/>
      <c r="D383" s="412"/>
      <c r="E383" s="412"/>
      <c r="F383" s="412"/>
      <c r="G383" s="412"/>
      <c r="H383" s="412"/>
      <c r="I383" s="412"/>
      <c r="J383" s="412"/>
      <c r="K383" s="412"/>
      <c r="L383" s="412"/>
      <c r="M383" s="412"/>
      <c r="N383" s="412"/>
      <c r="O383" s="412"/>
      <c r="P383" s="412"/>
      <c r="Q383" s="412"/>
      <c r="R383" s="412"/>
      <c r="S383" s="412"/>
      <c r="T383" s="412"/>
      <c r="U383" s="412"/>
      <c r="V383" s="412"/>
    </row>
    <row r="384" spans="3:22">
      <c r="C384" s="412"/>
      <c r="D384" s="412"/>
      <c r="E384" s="412"/>
      <c r="F384" s="412"/>
      <c r="G384" s="412"/>
      <c r="H384" s="412"/>
      <c r="I384" s="412"/>
      <c r="J384" s="412"/>
      <c r="K384" s="412"/>
      <c r="L384" s="412"/>
      <c r="M384" s="412"/>
      <c r="N384" s="412"/>
      <c r="O384" s="412"/>
      <c r="P384" s="412"/>
      <c r="Q384" s="412"/>
      <c r="R384" s="412"/>
      <c r="S384" s="412"/>
      <c r="T384" s="412"/>
      <c r="U384" s="412"/>
      <c r="V384" s="412"/>
    </row>
    <row r="385" spans="3:22">
      <c r="C385" s="412"/>
      <c r="D385" s="412"/>
      <c r="E385" s="412"/>
      <c r="F385" s="412"/>
      <c r="G385" s="412"/>
      <c r="H385" s="412"/>
      <c r="I385" s="412"/>
      <c r="J385" s="412"/>
      <c r="K385" s="412"/>
      <c r="L385" s="412"/>
      <c r="M385" s="412"/>
      <c r="N385" s="412"/>
      <c r="O385" s="412"/>
      <c r="P385" s="412"/>
      <c r="Q385" s="412"/>
      <c r="R385" s="412"/>
      <c r="S385" s="412"/>
      <c r="T385" s="412"/>
      <c r="U385" s="412"/>
      <c r="V385" s="412"/>
    </row>
    <row r="386" spans="3:22">
      <c r="C386" s="412"/>
      <c r="D386" s="412"/>
      <c r="E386" s="412"/>
      <c r="F386" s="412"/>
      <c r="G386" s="412"/>
      <c r="H386" s="412"/>
      <c r="I386" s="412"/>
      <c r="J386" s="412"/>
      <c r="K386" s="412"/>
      <c r="L386" s="412"/>
      <c r="M386" s="412"/>
      <c r="N386" s="412"/>
      <c r="O386" s="412"/>
      <c r="P386" s="412"/>
      <c r="Q386" s="412"/>
      <c r="R386" s="412"/>
      <c r="S386" s="412"/>
      <c r="T386" s="412"/>
      <c r="U386" s="412"/>
      <c r="V386" s="412"/>
    </row>
    <row r="387" spans="3:22">
      <c r="C387" s="412"/>
      <c r="D387" s="412"/>
      <c r="E387" s="412"/>
      <c r="F387" s="412"/>
      <c r="G387" s="412"/>
      <c r="H387" s="412"/>
      <c r="I387" s="412"/>
      <c r="J387" s="412"/>
      <c r="K387" s="412"/>
      <c r="L387" s="412"/>
      <c r="M387" s="412"/>
      <c r="N387" s="412"/>
      <c r="O387" s="412"/>
      <c r="P387" s="412"/>
      <c r="Q387" s="412"/>
      <c r="R387" s="412"/>
      <c r="S387" s="412"/>
      <c r="T387" s="412"/>
      <c r="U387" s="412"/>
      <c r="V387" s="412"/>
    </row>
    <row r="388" spans="3:22">
      <c r="C388" s="412"/>
      <c r="D388" s="412"/>
      <c r="E388" s="412"/>
      <c r="F388" s="412"/>
      <c r="G388" s="412"/>
      <c r="H388" s="412"/>
      <c r="I388" s="412"/>
      <c r="J388" s="412"/>
      <c r="K388" s="412"/>
      <c r="L388" s="412"/>
      <c r="M388" s="412"/>
      <c r="N388" s="412"/>
      <c r="O388" s="412"/>
      <c r="P388" s="412"/>
      <c r="Q388" s="412"/>
      <c r="R388" s="412"/>
      <c r="S388" s="412"/>
      <c r="T388" s="412"/>
      <c r="U388" s="412"/>
      <c r="V388" s="412"/>
    </row>
    <row r="389" spans="3:22">
      <c r="C389" s="412"/>
      <c r="D389" s="412"/>
      <c r="E389" s="412"/>
      <c r="F389" s="412"/>
      <c r="G389" s="412"/>
      <c r="H389" s="412"/>
      <c r="I389" s="412"/>
      <c r="J389" s="412"/>
      <c r="K389" s="412"/>
      <c r="L389" s="412"/>
      <c r="M389" s="412"/>
      <c r="N389" s="412"/>
      <c r="O389" s="412"/>
      <c r="P389" s="412"/>
      <c r="Q389" s="412"/>
      <c r="R389" s="412"/>
      <c r="S389" s="412"/>
      <c r="T389" s="412"/>
      <c r="U389" s="412"/>
      <c r="V389" s="412"/>
    </row>
    <row r="390" spans="3:22">
      <c r="C390" s="412"/>
      <c r="D390" s="412"/>
      <c r="E390" s="412"/>
      <c r="F390" s="412"/>
      <c r="G390" s="412"/>
      <c r="H390" s="412"/>
      <c r="I390" s="412"/>
      <c r="J390" s="412"/>
      <c r="K390" s="412"/>
      <c r="L390" s="412"/>
      <c r="M390" s="412"/>
      <c r="N390" s="412"/>
      <c r="O390" s="412"/>
      <c r="P390" s="412"/>
      <c r="Q390" s="412"/>
      <c r="R390" s="412"/>
      <c r="S390" s="412"/>
      <c r="T390" s="412"/>
      <c r="U390" s="412"/>
      <c r="V390" s="412"/>
    </row>
    <row r="391" spans="3:22">
      <c r="C391" s="412"/>
      <c r="D391" s="412"/>
      <c r="E391" s="412"/>
      <c r="F391" s="412"/>
      <c r="G391" s="412"/>
      <c r="H391" s="412"/>
      <c r="I391" s="412"/>
      <c r="J391" s="412"/>
      <c r="K391" s="412"/>
      <c r="L391" s="412"/>
      <c r="M391" s="412"/>
      <c r="N391" s="412"/>
      <c r="O391" s="412"/>
      <c r="P391" s="412"/>
      <c r="Q391" s="412"/>
      <c r="R391" s="412"/>
      <c r="S391" s="412"/>
      <c r="T391" s="412"/>
      <c r="U391" s="412"/>
      <c r="V391" s="412"/>
    </row>
    <row r="392" spans="3:22">
      <c r="C392" s="412"/>
      <c r="D392" s="412"/>
      <c r="E392" s="412"/>
      <c r="F392" s="412"/>
      <c r="G392" s="412"/>
      <c r="H392" s="412"/>
      <c r="I392" s="412"/>
      <c r="J392" s="412"/>
      <c r="K392" s="412"/>
      <c r="L392" s="412"/>
      <c r="M392" s="412"/>
      <c r="N392" s="412"/>
      <c r="O392" s="412"/>
      <c r="P392" s="412"/>
      <c r="Q392" s="412"/>
      <c r="R392" s="412"/>
      <c r="S392" s="412"/>
      <c r="T392" s="412"/>
      <c r="U392" s="412"/>
      <c r="V392" s="412"/>
    </row>
    <row r="393" spans="3:22">
      <c r="C393" s="412"/>
      <c r="D393" s="412"/>
      <c r="E393" s="412"/>
      <c r="F393" s="412"/>
      <c r="G393" s="412"/>
      <c r="H393" s="412"/>
      <c r="I393" s="412"/>
      <c r="J393" s="412"/>
      <c r="K393" s="412"/>
      <c r="L393" s="412"/>
      <c r="M393" s="412"/>
      <c r="N393" s="412"/>
      <c r="O393" s="412"/>
      <c r="P393" s="412"/>
      <c r="Q393" s="412"/>
      <c r="R393" s="412"/>
      <c r="S393" s="412"/>
      <c r="T393" s="412"/>
      <c r="U393" s="412"/>
      <c r="V393" s="412"/>
    </row>
    <row r="394" spans="3:22">
      <c r="C394" s="412"/>
      <c r="D394" s="412"/>
      <c r="E394" s="412"/>
      <c r="F394" s="412"/>
      <c r="G394" s="412"/>
      <c r="H394" s="412"/>
      <c r="I394" s="412"/>
      <c r="J394" s="412"/>
      <c r="K394" s="412"/>
      <c r="L394" s="412"/>
      <c r="M394" s="412"/>
      <c r="N394" s="412"/>
      <c r="O394" s="412"/>
      <c r="P394" s="412"/>
      <c r="Q394" s="412"/>
      <c r="R394" s="412"/>
      <c r="S394" s="412"/>
      <c r="T394" s="412"/>
      <c r="U394" s="412"/>
      <c r="V394" s="412"/>
    </row>
    <row r="395" spans="3:22">
      <c r="C395" s="412"/>
      <c r="D395" s="412"/>
      <c r="E395" s="412"/>
      <c r="F395" s="412"/>
      <c r="G395" s="412"/>
      <c r="H395" s="412"/>
      <c r="I395" s="412"/>
      <c r="J395" s="412"/>
      <c r="K395" s="412"/>
      <c r="L395" s="412"/>
      <c r="M395" s="412"/>
      <c r="N395" s="412"/>
      <c r="O395" s="412"/>
      <c r="P395" s="412"/>
      <c r="Q395" s="412"/>
      <c r="R395" s="412"/>
      <c r="S395" s="412"/>
      <c r="T395" s="412"/>
      <c r="U395" s="412"/>
      <c r="V395" s="412"/>
    </row>
    <row r="396" spans="3:22">
      <c r="C396" s="412"/>
      <c r="D396" s="412"/>
      <c r="E396" s="412"/>
      <c r="F396" s="412"/>
      <c r="G396" s="412"/>
      <c r="H396" s="412"/>
      <c r="I396" s="412"/>
      <c r="J396" s="412"/>
      <c r="K396" s="412"/>
      <c r="L396" s="412"/>
      <c r="M396" s="412"/>
      <c r="N396" s="412"/>
      <c r="O396" s="412"/>
      <c r="P396" s="412"/>
      <c r="Q396" s="412"/>
      <c r="R396" s="412"/>
      <c r="S396" s="412"/>
      <c r="T396" s="412"/>
      <c r="U396" s="412"/>
      <c r="V396" s="412"/>
    </row>
    <row r="397" spans="3:22">
      <c r="C397" s="412"/>
      <c r="D397" s="412"/>
      <c r="E397" s="412"/>
      <c r="F397" s="412"/>
      <c r="G397" s="412"/>
      <c r="H397" s="412"/>
      <c r="I397" s="412"/>
      <c r="J397" s="412"/>
      <c r="K397" s="412"/>
      <c r="L397" s="412"/>
      <c r="M397" s="412"/>
      <c r="N397" s="412"/>
      <c r="O397" s="412"/>
      <c r="P397" s="412"/>
      <c r="Q397" s="412"/>
      <c r="R397" s="412"/>
      <c r="S397" s="412"/>
      <c r="T397" s="412"/>
      <c r="U397" s="412"/>
      <c r="V397" s="412"/>
    </row>
    <row r="398" spans="3:22">
      <c r="C398" s="412"/>
      <c r="D398" s="412"/>
      <c r="E398" s="412"/>
      <c r="F398" s="412"/>
      <c r="G398" s="412"/>
      <c r="H398" s="412"/>
      <c r="I398" s="412"/>
      <c r="J398" s="412"/>
      <c r="K398" s="412"/>
      <c r="L398" s="412"/>
      <c r="M398" s="412"/>
      <c r="N398" s="412"/>
      <c r="O398" s="412"/>
      <c r="P398" s="412"/>
      <c r="Q398" s="412"/>
      <c r="R398" s="412"/>
      <c r="S398" s="412"/>
      <c r="T398" s="412"/>
      <c r="U398" s="412"/>
      <c r="V398" s="412"/>
    </row>
    <row r="399" spans="3:22">
      <c r="C399" s="412"/>
      <c r="D399" s="412"/>
      <c r="E399" s="412"/>
      <c r="F399" s="412"/>
      <c r="G399" s="412"/>
      <c r="H399" s="412"/>
      <c r="I399" s="412"/>
      <c r="J399" s="412"/>
      <c r="K399" s="412"/>
      <c r="L399" s="412"/>
      <c r="M399" s="412"/>
      <c r="N399" s="412"/>
      <c r="O399" s="412"/>
      <c r="P399" s="412"/>
      <c r="Q399" s="412"/>
      <c r="R399" s="412"/>
      <c r="S399" s="412"/>
      <c r="T399" s="412"/>
      <c r="U399" s="412"/>
      <c r="V399" s="412"/>
    </row>
    <row r="400" spans="3:22">
      <c r="C400" s="412"/>
      <c r="D400" s="412"/>
      <c r="E400" s="412"/>
      <c r="F400" s="412"/>
      <c r="G400" s="412"/>
      <c r="H400" s="412"/>
      <c r="I400" s="412"/>
      <c r="J400" s="412"/>
      <c r="K400" s="412"/>
      <c r="L400" s="412"/>
      <c r="M400" s="412"/>
      <c r="N400" s="412"/>
      <c r="O400" s="412"/>
      <c r="P400" s="412"/>
      <c r="Q400" s="412"/>
      <c r="R400" s="412"/>
      <c r="S400" s="412"/>
      <c r="T400" s="412"/>
      <c r="U400" s="412"/>
      <c r="V400" s="412"/>
    </row>
    <row r="401" spans="3:22">
      <c r="C401" s="412"/>
      <c r="D401" s="412"/>
      <c r="E401" s="412"/>
      <c r="F401" s="412"/>
      <c r="G401" s="412"/>
      <c r="H401" s="412"/>
      <c r="I401" s="412"/>
      <c r="J401" s="412"/>
      <c r="K401" s="412"/>
      <c r="L401" s="412"/>
      <c r="M401" s="412"/>
      <c r="N401" s="412"/>
      <c r="O401" s="412"/>
      <c r="P401" s="412"/>
      <c r="Q401" s="412"/>
      <c r="R401" s="412"/>
      <c r="S401" s="412"/>
      <c r="T401" s="412"/>
      <c r="U401" s="412"/>
      <c r="V401" s="412"/>
    </row>
    <row r="402" spans="3:22">
      <c r="C402" s="412"/>
      <c r="D402" s="412"/>
      <c r="E402" s="412"/>
      <c r="F402" s="412"/>
      <c r="G402" s="412"/>
      <c r="H402" s="412"/>
      <c r="I402" s="412"/>
      <c r="J402" s="412"/>
      <c r="K402" s="412"/>
      <c r="L402" s="412"/>
      <c r="M402" s="412"/>
      <c r="N402" s="412"/>
      <c r="O402" s="412"/>
      <c r="P402" s="412"/>
      <c r="Q402" s="412"/>
      <c r="R402" s="412"/>
      <c r="S402" s="412"/>
      <c r="T402" s="412"/>
      <c r="U402" s="412"/>
      <c r="V402" s="412"/>
    </row>
    <row r="403" spans="3:22">
      <c r="C403" s="412"/>
      <c r="D403" s="412"/>
      <c r="E403" s="412"/>
      <c r="F403" s="412"/>
      <c r="G403" s="412"/>
      <c r="H403" s="412"/>
      <c r="I403" s="412"/>
      <c r="J403" s="412"/>
      <c r="K403" s="412"/>
      <c r="L403" s="412"/>
      <c r="M403" s="412"/>
      <c r="N403" s="412"/>
      <c r="O403" s="412"/>
      <c r="P403" s="412"/>
      <c r="Q403" s="412"/>
      <c r="R403" s="412"/>
      <c r="S403" s="412"/>
      <c r="T403" s="412"/>
      <c r="U403" s="412"/>
      <c r="V403" s="412"/>
    </row>
    <row r="404" spans="3:22">
      <c r="C404" s="412"/>
      <c r="D404" s="412"/>
      <c r="E404" s="412"/>
      <c r="F404" s="412"/>
      <c r="G404" s="412"/>
      <c r="H404" s="412"/>
      <c r="I404" s="412"/>
      <c r="J404" s="412"/>
      <c r="K404" s="412"/>
      <c r="L404" s="412"/>
      <c r="M404" s="412"/>
      <c r="N404" s="412"/>
      <c r="O404" s="412"/>
      <c r="P404" s="412"/>
      <c r="Q404" s="412"/>
      <c r="R404" s="412"/>
      <c r="S404" s="412"/>
      <c r="T404" s="412"/>
      <c r="U404" s="412"/>
      <c r="V404" s="412"/>
    </row>
    <row r="405" spans="3:22">
      <c r="C405" s="412"/>
      <c r="D405" s="412"/>
      <c r="E405" s="412"/>
      <c r="F405" s="412"/>
      <c r="G405" s="412"/>
      <c r="H405" s="412"/>
      <c r="I405" s="412"/>
      <c r="J405" s="412"/>
      <c r="K405" s="412"/>
      <c r="L405" s="412"/>
      <c r="M405" s="412"/>
      <c r="N405" s="412"/>
      <c r="O405" s="412"/>
      <c r="P405" s="412"/>
      <c r="Q405" s="412"/>
      <c r="R405" s="412"/>
      <c r="S405" s="412"/>
      <c r="T405" s="412"/>
      <c r="U405" s="412"/>
      <c r="V405" s="412"/>
    </row>
    <row r="406" spans="3:22">
      <c r="C406" s="412"/>
      <c r="D406" s="412"/>
      <c r="E406" s="412"/>
      <c r="F406" s="412"/>
      <c r="G406" s="412"/>
      <c r="H406" s="412"/>
      <c r="I406" s="412"/>
      <c r="J406" s="412"/>
      <c r="K406" s="412"/>
      <c r="L406" s="412"/>
      <c r="M406" s="412"/>
      <c r="N406" s="412"/>
      <c r="O406" s="412"/>
      <c r="P406" s="412"/>
      <c r="Q406" s="412"/>
      <c r="R406" s="412"/>
      <c r="S406" s="412"/>
      <c r="T406" s="412"/>
      <c r="U406" s="412"/>
      <c r="V406" s="412"/>
    </row>
    <row r="407" spans="3:22">
      <c r="C407" s="412"/>
      <c r="D407" s="412"/>
      <c r="E407" s="412"/>
      <c r="F407" s="412"/>
      <c r="G407" s="412"/>
      <c r="H407" s="412"/>
      <c r="I407" s="412"/>
      <c r="J407" s="412"/>
      <c r="K407" s="412"/>
      <c r="L407" s="412"/>
      <c r="M407" s="412"/>
      <c r="N407" s="412"/>
      <c r="O407" s="412"/>
      <c r="P407" s="412"/>
      <c r="Q407" s="412"/>
      <c r="R407" s="412"/>
      <c r="S407" s="412"/>
      <c r="T407" s="412"/>
      <c r="U407" s="412"/>
      <c r="V407" s="412"/>
    </row>
    <row r="408" spans="3:22">
      <c r="C408" s="412"/>
      <c r="D408" s="412"/>
      <c r="E408" s="412"/>
      <c r="F408" s="412"/>
      <c r="G408" s="412"/>
      <c r="H408" s="412"/>
      <c r="I408" s="412"/>
      <c r="J408" s="412"/>
      <c r="K408" s="412"/>
      <c r="L408" s="412"/>
      <c r="M408" s="412"/>
      <c r="N408" s="412"/>
      <c r="O408" s="412"/>
      <c r="P408" s="412"/>
      <c r="Q408" s="412"/>
      <c r="R408" s="412"/>
      <c r="S408" s="412"/>
      <c r="T408" s="412"/>
      <c r="U408" s="412"/>
      <c r="V408" s="412"/>
    </row>
    <row r="409" spans="3:22">
      <c r="C409" s="412"/>
      <c r="D409" s="412"/>
      <c r="E409" s="412"/>
      <c r="F409" s="412"/>
      <c r="G409" s="412"/>
      <c r="H409" s="412"/>
      <c r="I409" s="412"/>
      <c r="J409" s="412"/>
      <c r="K409" s="412"/>
      <c r="L409" s="412"/>
      <c r="M409" s="412"/>
      <c r="N409" s="412"/>
      <c r="O409" s="412"/>
      <c r="P409" s="412"/>
      <c r="Q409" s="412"/>
      <c r="R409" s="412"/>
      <c r="S409" s="412"/>
      <c r="T409" s="412"/>
      <c r="U409" s="412"/>
      <c r="V409" s="412"/>
    </row>
    <row r="410" spans="3:22">
      <c r="C410" s="412"/>
      <c r="D410" s="412"/>
      <c r="E410" s="412"/>
      <c r="F410" s="412"/>
      <c r="G410" s="412"/>
      <c r="H410" s="412"/>
      <c r="I410" s="412"/>
      <c r="J410" s="412"/>
      <c r="K410" s="412"/>
      <c r="L410" s="412"/>
      <c r="M410" s="412"/>
      <c r="N410" s="412"/>
      <c r="O410" s="412"/>
      <c r="P410" s="412"/>
      <c r="Q410" s="412"/>
      <c r="R410" s="412"/>
      <c r="S410" s="412"/>
      <c r="T410" s="412"/>
      <c r="U410" s="412"/>
      <c r="V410" s="412"/>
    </row>
    <row r="411" spans="3:22">
      <c r="C411" s="412"/>
      <c r="D411" s="412"/>
      <c r="E411" s="412"/>
      <c r="F411" s="412"/>
      <c r="G411" s="412"/>
      <c r="H411" s="412"/>
      <c r="I411" s="412"/>
      <c r="J411" s="412"/>
      <c r="K411" s="412"/>
      <c r="L411" s="412"/>
      <c r="M411" s="412"/>
      <c r="N411" s="412"/>
      <c r="O411" s="412"/>
      <c r="P411" s="412"/>
      <c r="Q411" s="412"/>
      <c r="R411" s="412"/>
      <c r="S411" s="412"/>
      <c r="T411" s="412"/>
      <c r="U411" s="412"/>
      <c r="V411" s="412"/>
    </row>
    <row r="412" spans="3:22">
      <c r="C412" s="412"/>
      <c r="D412" s="412"/>
      <c r="E412" s="412"/>
      <c r="F412" s="412"/>
      <c r="G412" s="412"/>
      <c r="H412" s="412"/>
      <c r="I412" s="412"/>
      <c r="J412" s="412"/>
      <c r="K412" s="412"/>
      <c r="L412" s="412"/>
      <c r="M412" s="412"/>
      <c r="N412" s="412"/>
      <c r="O412" s="412"/>
      <c r="P412" s="412"/>
      <c r="Q412" s="412"/>
      <c r="R412" s="412"/>
      <c r="S412" s="412"/>
      <c r="T412" s="412"/>
      <c r="U412" s="412"/>
      <c r="V412" s="412"/>
    </row>
    <row r="413" spans="3:22">
      <c r="C413" s="412"/>
      <c r="D413" s="412"/>
      <c r="E413" s="412"/>
      <c r="F413" s="412"/>
      <c r="G413" s="412"/>
      <c r="H413" s="412"/>
      <c r="I413" s="412"/>
      <c r="J413" s="412"/>
      <c r="K413" s="412"/>
      <c r="L413" s="412"/>
      <c r="M413" s="412"/>
      <c r="N413" s="412"/>
      <c r="O413" s="412"/>
      <c r="P413" s="412"/>
      <c r="Q413" s="412"/>
      <c r="R413" s="412"/>
      <c r="S413" s="412"/>
      <c r="T413" s="412"/>
      <c r="U413" s="412"/>
      <c r="V413" s="412"/>
    </row>
    <row r="414" spans="3:22">
      <c r="C414" s="412"/>
      <c r="D414" s="412"/>
      <c r="E414" s="412"/>
      <c r="F414" s="412"/>
      <c r="G414" s="412"/>
      <c r="H414" s="412"/>
      <c r="I414" s="412"/>
      <c r="J414" s="412"/>
      <c r="K414" s="412"/>
      <c r="L414" s="412"/>
      <c r="M414" s="412"/>
      <c r="N414" s="412"/>
      <c r="O414" s="412"/>
      <c r="P414" s="412"/>
      <c r="Q414" s="412"/>
      <c r="R414" s="412"/>
      <c r="S414" s="412"/>
      <c r="T414" s="412"/>
      <c r="U414" s="412"/>
      <c r="V414" s="412"/>
    </row>
    <row r="415" spans="3:22">
      <c r="C415" s="412"/>
      <c r="D415" s="412"/>
      <c r="E415" s="412"/>
      <c r="F415" s="412"/>
      <c r="G415" s="412"/>
      <c r="H415" s="412"/>
      <c r="I415" s="412"/>
      <c r="J415" s="412"/>
      <c r="K415" s="412"/>
      <c r="L415" s="412"/>
      <c r="M415" s="412"/>
      <c r="N415" s="412"/>
      <c r="O415" s="412"/>
      <c r="P415" s="412"/>
      <c r="Q415" s="412"/>
      <c r="R415" s="412"/>
      <c r="S415" s="412"/>
      <c r="T415" s="412"/>
      <c r="U415" s="412"/>
      <c r="V415" s="412"/>
    </row>
    <row r="416" spans="3:22">
      <c r="C416" s="412"/>
      <c r="D416" s="412"/>
      <c r="E416" s="412"/>
      <c r="F416" s="412"/>
      <c r="G416" s="412"/>
      <c r="H416" s="412"/>
      <c r="I416" s="412"/>
      <c r="J416" s="412"/>
      <c r="K416" s="412"/>
      <c r="L416" s="412"/>
      <c r="M416" s="412"/>
      <c r="N416" s="412"/>
      <c r="O416" s="412"/>
      <c r="P416" s="412"/>
      <c r="Q416" s="412"/>
      <c r="R416" s="412"/>
      <c r="S416" s="412"/>
      <c r="T416" s="412"/>
      <c r="U416" s="412"/>
      <c r="V416" s="412"/>
    </row>
    <row r="417" spans="3:22">
      <c r="C417" s="412"/>
      <c r="D417" s="412"/>
      <c r="E417" s="412"/>
      <c r="F417" s="412"/>
      <c r="G417" s="412"/>
      <c r="H417" s="412"/>
      <c r="I417" s="412"/>
      <c r="J417" s="412"/>
      <c r="K417" s="412"/>
      <c r="L417" s="412"/>
      <c r="M417" s="412"/>
      <c r="N417" s="412"/>
      <c r="O417" s="412"/>
      <c r="P417" s="412"/>
      <c r="Q417" s="412"/>
      <c r="R417" s="412"/>
      <c r="S417" s="412"/>
      <c r="T417" s="412"/>
      <c r="U417" s="412"/>
      <c r="V417" s="412"/>
    </row>
    <row r="418" spans="3:22">
      <c r="C418" s="412"/>
      <c r="D418" s="412"/>
      <c r="E418" s="412"/>
      <c r="F418" s="412"/>
      <c r="G418" s="412"/>
      <c r="H418" s="412"/>
      <c r="I418" s="412"/>
      <c r="J418" s="412"/>
      <c r="K418" s="412"/>
      <c r="L418" s="412"/>
      <c r="M418" s="412"/>
      <c r="N418" s="412"/>
      <c r="O418" s="412"/>
      <c r="P418" s="412"/>
      <c r="Q418" s="412"/>
      <c r="R418" s="412"/>
      <c r="S418" s="412"/>
      <c r="T418" s="412"/>
      <c r="U418" s="412"/>
      <c r="V418" s="412"/>
    </row>
    <row r="419" spans="3:22">
      <c r="C419" s="412"/>
      <c r="D419" s="412"/>
      <c r="E419" s="412"/>
      <c r="F419" s="412"/>
      <c r="G419" s="412"/>
      <c r="H419" s="412"/>
      <c r="I419" s="412"/>
      <c r="J419" s="412"/>
      <c r="K419" s="412"/>
      <c r="L419" s="412"/>
      <c r="M419" s="412"/>
      <c r="N419" s="412"/>
      <c r="O419" s="412"/>
      <c r="P419" s="412"/>
      <c r="Q419" s="412"/>
      <c r="R419" s="412"/>
      <c r="S419" s="412"/>
      <c r="T419" s="412"/>
      <c r="U419" s="412"/>
      <c r="V419" s="412"/>
    </row>
    <row r="420" spans="3:22">
      <c r="C420" s="412"/>
      <c r="D420" s="412"/>
      <c r="E420" s="412"/>
      <c r="F420" s="412"/>
      <c r="G420" s="412"/>
      <c r="H420" s="412"/>
      <c r="I420" s="412"/>
      <c r="J420" s="412"/>
      <c r="K420" s="412"/>
      <c r="L420" s="412"/>
      <c r="M420" s="412"/>
      <c r="N420" s="412"/>
      <c r="O420" s="412"/>
      <c r="P420" s="412"/>
      <c r="Q420" s="412"/>
      <c r="R420" s="412"/>
      <c r="S420" s="412"/>
      <c r="T420" s="412"/>
      <c r="U420" s="412"/>
      <c r="V420" s="412"/>
    </row>
    <row r="421" spans="3:22">
      <c r="C421" s="412"/>
      <c r="D421" s="412"/>
      <c r="E421" s="412"/>
      <c r="F421" s="412"/>
      <c r="G421" s="412"/>
      <c r="H421" s="412"/>
      <c r="I421" s="412"/>
      <c r="J421" s="412"/>
      <c r="K421" s="412"/>
      <c r="L421" s="412"/>
      <c r="M421" s="412"/>
      <c r="N421" s="412"/>
      <c r="O421" s="412"/>
      <c r="P421" s="412"/>
      <c r="Q421" s="412"/>
      <c r="R421" s="412"/>
      <c r="S421" s="412"/>
      <c r="T421" s="412"/>
      <c r="U421" s="412"/>
      <c r="V421" s="412"/>
    </row>
    <row r="422" spans="3:22">
      <c r="C422" s="412"/>
      <c r="D422" s="412"/>
      <c r="E422" s="412"/>
      <c r="F422" s="412"/>
      <c r="G422" s="412"/>
      <c r="H422" s="412"/>
      <c r="I422" s="412"/>
      <c r="J422" s="412"/>
      <c r="K422" s="412"/>
      <c r="L422" s="412"/>
      <c r="M422" s="412"/>
      <c r="N422" s="412"/>
      <c r="O422" s="412"/>
      <c r="P422" s="412"/>
      <c r="Q422" s="412"/>
      <c r="R422" s="412"/>
      <c r="S422" s="412"/>
      <c r="T422" s="412"/>
      <c r="U422" s="412"/>
      <c r="V422" s="412"/>
    </row>
    <row r="423" spans="3:22">
      <c r="C423" s="412"/>
      <c r="D423" s="412"/>
      <c r="E423" s="412"/>
      <c r="F423" s="412"/>
      <c r="G423" s="412"/>
      <c r="H423" s="412"/>
      <c r="I423" s="412"/>
      <c r="J423" s="412"/>
      <c r="K423" s="412"/>
      <c r="L423" s="412"/>
      <c r="M423" s="412"/>
      <c r="N423" s="412"/>
      <c r="O423" s="412"/>
      <c r="P423" s="412"/>
      <c r="Q423" s="412"/>
      <c r="R423" s="412"/>
      <c r="S423" s="412"/>
      <c r="T423" s="412"/>
      <c r="U423" s="412"/>
      <c r="V423" s="412"/>
    </row>
    <row r="424" spans="3:22">
      <c r="C424" s="412"/>
      <c r="D424" s="412"/>
      <c r="E424" s="412"/>
      <c r="F424" s="412"/>
      <c r="G424" s="412"/>
      <c r="H424" s="412"/>
      <c r="I424" s="412"/>
      <c r="J424" s="412"/>
      <c r="K424" s="412"/>
      <c r="L424" s="412"/>
      <c r="M424" s="412"/>
      <c r="N424" s="412"/>
      <c r="O424" s="412"/>
      <c r="P424" s="412"/>
      <c r="Q424" s="412"/>
      <c r="R424" s="412"/>
      <c r="S424" s="412"/>
      <c r="T424" s="412"/>
      <c r="U424" s="412"/>
      <c r="V424" s="412"/>
    </row>
    <row r="425" spans="3:22">
      <c r="C425" s="412"/>
      <c r="D425" s="412"/>
      <c r="E425" s="412"/>
      <c r="F425" s="412"/>
      <c r="G425" s="412"/>
      <c r="H425" s="412"/>
      <c r="I425" s="412"/>
      <c r="J425" s="412"/>
      <c r="K425" s="412"/>
      <c r="L425" s="412"/>
      <c r="M425" s="412"/>
      <c r="N425" s="412"/>
      <c r="O425" s="412"/>
      <c r="P425" s="412"/>
      <c r="Q425" s="412"/>
      <c r="R425" s="412"/>
      <c r="S425" s="412"/>
      <c r="T425" s="412"/>
      <c r="U425" s="412"/>
      <c r="V425" s="412"/>
    </row>
    <row r="426" spans="3:22">
      <c r="C426" s="412"/>
      <c r="D426" s="412"/>
      <c r="E426" s="412"/>
      <c r="F426" s="412"/>
      <c r="G426" s="412"/>
      <c r="H426" s="412"/>
      <c r="I426" s="412"/>
      <c r="J426" s="412"/>
      <c r="K426" s="412"/>
      <c r="L426" s="412"/>
      <c r="M426" s="412"/>
      <c r="N426" s="412"/>
      <c r="O426" s="412"/>
      <c r="P426" s="412"/>
      <c r="Q426" s="412"/>
      <c r="R426" s="412"/>
      <c r="S426" s="412"/>
      <c r="T426" s="412"/>
      <c r="U426" s="412"/>
      <c r="V426" s="412"/>
    </row>
    <row r="427" spans="3:22">
      <c r="C427" s="412"/>
      <c r="D427" s="412"/>
      <c r="E427" s="412"/>
      <c r="F427" s="412"/>
      <c r="G427" s="412"/>
      <c r="H427" s="412"/>
      <c r="I427" s="412"/>
      <c r="J427" s="412"/>
      <c r="K427" s="412"/>
      <c r="L427" s="412"/>
      <c r="M427" s="412"/>
      <c r="N427" s="412"/>
      <c r="O427" s="412"/>
      <c r="P427" s="412"/>
      <c r="Q427" s="412"/>
      <c r="R427" s="412"/>
      <c r="S427" s="412"/>
      <c r="T427" s="412"/>
      <c r="U427" s="412"/>
      <c r="V427" s="412"/>
    </row>
    <row r="428" spans="3:22">
      <c r="C428" s="412"/>
      <c r="D428" s="412"/>
      <c r="E428" s="412"/>
      <c r="F428" s="412"/>
      <c r="G428" s="412"/>
      <c r="H428" s="412"/>
      <c r="I428" s="412"/>
      <c r="J428" s="412"/>
      <c r="K428" s="412"/>
      <c r="L428" s="412"/>
      <c r="M428" s="412"/>
      <c r="N428" s="412"/>
      <c r="O428" s="412"/>
      <c r="P428" s="412"/>
      <c r="Q428" s="412"/>
      <c r="R428" s="412"/>
      <c r="S428" s="412"/>
      <c r="T428" s="412"/>
      <c r="U428" s="412"/>
      <c r="V428" s="412"/>
    </row>
    <row r="429" spans="3:22">
      <c r="C429" s="412"/>
      <c r="D429" s="412"/>
      <c r="E429" s="412"/>
      <c r="F429" s="412"/>
      <c r="G429" s="412"/>
      <c r="H429" s="412"/>
      <c r="I429" s="412"/>
      <c r="J429" s="412"/>
      <c r="K429" s="412"/>
      <c r="L429" s="412"/>
      <c r="M429" s="412"/>
      <c r="N429" s="412"/>
      <c r="O429" s="412"/>
      <c r="P429" s="412"/>
      <c r="Q429" s="412"/>
      <c r="R429" s="412"/>
      <c r="S429" s="412"/>
      <c r="T429" s="412"/>
      <c r="U429" s="412"/>
      <c r="V429" s="412"/>
    </row>
    <row r="430" spans="3:22">
      <c r="C430" s="412"/>
      <c r="D430" s="412"/>
      <c r="E430" s="412"/>
      <c r="F430" s="412"/>
      <c r="G430" s="412"/>
      <c r="H430" s="412"/>
      <c r="I430" s="412"/>
      <c r="J430" s="412"/>
      <c r="K430" s="412"/>
      <c r="L430" s="412"/>
      <c r="M430" s="412"/>
      <c r="N430" s="412"/>
      <c r="O430" s="412"/>
      <c r="P430" s="412"/>
      <c r="Q430" s="412"/>
      <c r="R430" s="412"/>
      <c r="S430" s="412"/>
      <c r="T430" s="412"/>
      <c r="U430" s="412"/>
      <c r="V430" s="412"/>
    </row>
    <row r="431" spans="3:22">
      <c r="C431" s="412"/>
      <c r="D431" s="412"/>
      <c r="E431" s="412"/>
      <c r="F431" s="412"/>
      <c r="G431" s="412"/>
      <c r="H431" s="412"/>
      <c r="I431" s="412"/>
      <c r="J431" s="412"/>
      <c r="K431" s="412"/>
      <c r="L431" s="412"/>
      <c r="M431" s="412"/>
      <c r="N431" s="412"/>
      <c r="O431" s="412"/>
      <c r="P431" s="412"/>
      <c r="Q431" s="412"/>
      <c r="R431" s="412"/>
      <c r="S431" s="412"/>
      <c r="T431" s="412"/>
      <c r="U431" s="412"/>
      <c r="V431" s="412"/>
    </row>
    <row r="432" spans="3:22">
      <c r="C432" s="412"/>
      <c r="D432" s="412"/>
      <c r="E432" s="412"/>
      <c r="F432" s="412"/>
      <c r="G432" s="412"/>
      <c r="H432" s="412"/>
      <c r="I432" s="412"/>
      <c r="J432" s="412"/>
      <c r="K432" s="412"/>
      <c r="L432" s="412"/>
      <c r="M432" s="412"/>
      <c r="N432" s="412"/>
      <c r="O432" s="412"/>
      <c r="P432" s="412"/>
      <c r="Q432" s="412"/>
      <c r="R432" s="412"/>
      <c r="S432" s="412"/>
      <c r="T432" s="412"/>
      <c r="U432" s="412"/>
      <c r="V432" s="412"/>
    </row>
    <row r="433" spans="3:22">
      <c r="C433" s="412"/>
      <c r="D433" s="412"/>
      <c r="E433" s="412"/>
      <c r="F433" s="412"/>
      <c r="G433" s="412"/>
      <c r="H433" s="412"/>
      <c r="I433" s="412"/>
      <c r="J433" s="412"/>
      <c r="K433" s="412"/>
      <c r="L433" s="412"/>
      <c r="M433" s="412"/>
      <c r="N433" s="412"/>
      <c r="O433" s="412"/>
      <c r="P433" s="412"/>
      <c r="Q433" s="412"/>
      <c r="R433" s="412"/>
      <c r="S433" s="412"/>
      <c r="T433" s="412"/>
      <c r="U433" s="412"/>
      <c r="V433" s="412"/>
    </row>
    <row r="434" spans="3:22">
      <c r="C434" s="412"/>
      <c r="D434" s="412"/>
      <c r="E434" s="412"/>
      <c r="F434" s="412"/>
      <c r="G434" s="412"/>
      <c r="H434" s="412"/>
      <c r="I434" s="412"/>
      <c r="J434" s="412"/>
      <c r="K434" s="412"/>
      <c r="L434" s="412"/>
      <c r="M434" s="412"/>
      <c r="N434" s="412"/>
      <c r="O434" s="412"/>
      <c r="P434" s="412"/>
      <c r="Q434" s="412"/>
      <c r="R434" s="412"/>
      <c r="S434" s="412"/>
      <c r="T434" s="412"/>
      <c r="U434" s="412"/>
      <c r="V434" s="412"/>
    </row>
    <row r="435" spans="3:22">
      <c r="C435" s="412"/>
      <c r="D435" s="412"/>
      <c r="E435" s="412"/>
      <c r="F435" s="412"/>
      <c r="G435" s="412"/>
      <c r="H435" s="412"/>
      <c r="I435" s="412"/>
      <c r="J435" s="412"/>
      <c r="K435" s="412"/>
      <c r="L435" s="412"/>
      <c r="M435" s="412"/>
      <c r="N435" s="412"/>
      <c r="O435" s="412"/>
      <c r="P435" s="412"/>
      <c r="Q435" s="412"/>
      <c r="R435" s="412"/>
      <c r="S435" s="412"/>
      <c r="T435" s="412"/>
      <c r="U435" s="412"/>
      <c r="V435" s="412"/>
    </row>
    <row r="436" spans="3:22">
      <c r="C436" s="412"/>
      <c r="D436" s="412"/>
      <c r="E436" s="412"/>
      <c r="F436" s="412"/>
      <c r="G436" s="412"/>
      <c r="H436" s="412"/>
      <c r="I436" s="412"/>
      <c r="J436" s="412"/>
      <c r="K436" s="412"/>
      <c r="L436" s="412"/>
      <c r="M436" s="412"/>
      <c r="N436" s="412"/>
      <c r="O436" s="412"/>
      <c r="P436" s="412"/>
      <c r="Q436" s="412"/>
      <c r="R436" s="412"/>
      <c r="S436" s="412"/>
      <c r="T436" s="412"/>
      <c r="U436" s="412"/>
      <c r="V436" s="412"/>
    </row>
    <row r="437" spans="3:22">
      <c r="C437" s="412"/>
      <c r="D437" s="412"/>
      <c r="E437" s="412"/>
      <c r="F437" s="412"/>
      <c r="G437" s="412"/>
      <c r="H437" s="412"/>
      <c r="I437" s="412"/>
      <c r="J437" s="412"/>
      <c r="K437" s="412"/>
      <c r="L437" s="412"/>
      <c r="M437" s="412"/>
      <c r="N437" s="412"/>
      <c r="O437" s="412"/>
      <c r="P437" s="412"/>
      <c r="Q437" s="412"/>
      <c r="R437" s="412"/>
      <c r="S437" s="412"/>
      <c r="T437" s="412"/>
      <c r="U437" s="412"/>
      <c r="V437" s="412"/>
    </row>
    <row r="438" spans="3:22">
      <c r="C438" s="412"/>
      <c r="D438" s="412"/>
      <c r="E438" s="412"/>
      <c r="F438" s="412"/>
      <c r="G438" s="412"/>
      <c r="H438" s="412"/>
      <c r="I438" s="412"/>
      <c r="J438" s="412"/>
      <c r="K438" s="412"/>
      <c r="L438" s="412"/>
      <c r="M438" s="412"/>
      <c r="N438" s="412"/>
      <c r="O438" s="412"/>
      <c r="P438" s="412"/>
      <c r="Q438" s="412"/>
      <c r="R438" s="412"/>
      <c r="S438" s="412"/>
      <c r="T438" s="412"/>
      <c r="U438" s="412"/>
      <c r="V438" s="412"/>
    </row>
    <row r="439" spans="3:22">
      <c r="C439" s="412"/>
      <c r="D439" s="412"/>
      <c r="E439" s="412"/>
      <c r="F439" s="412"/>
      <c r="G439" s="412"/>
      <c r="H439" s="412"/>
      <c r="I439" s="412"/>
      <c r="J439" s="412"/>
      <c r="K439" s="412"/>
      <c r="L439" s="412"/>
      <c r="M439" s="412"/>
      <c r="N439" s="412"/>
      <c r="O439" s="412"/>
      <c r="P439" s="412"/>
      <c r="Q439" s="412"/>
      <c r="R439" s="412"/>
      <c r="S439" s="412"/>
      <c r="T439" s="412"/>
      <c r="U439" s="412"/>
      <c r="V439" s="412"/>
    </row>
    <row r="440" spans="3:22">
      <c r="C440" s="412"/>
      <c r="D440" s="412"/>
      <c r="E440" s="412"/>
      <c r="F440" s="412"/>
      <c r="G440" s="412"/>
      <c r="H440" s="412"/>
      <c r="I440" s="412"/>
      <c r="J440" s="412"/>
      <c r="K440" s="412"/>
      <c r="L440" s="412"/>
      <c r="M440" s="412"/>
      <c r="N440" s="412"/>
      <c r="O440" s="412"/>
      <c r="P440" s="412"/>
      <c r="Q440" s="412"/>
      <c r="R440" s="412"/>
      <c r="S440" s="412"/>
      <c r="T440" s="412"/>
      <c r="U440" s="412"/>
      <c r="V440" s="412"/>
    </row>
    <row r="441" spans="3:22">
      <c r="C441" s="412"/>
      <c r="D441" s="412"/>
      <c r="E441" s="412"/>
      <c r="F441" s="412"/>
      <c r="G441" s="412"/>
      <c r="H441" s="412"/>
      <c r="I441" s="412"/>
      <c r="J441" s="412"/>
      <c r="K441" s="412"/>
      <c r="L441" s="412"/>
      <c r="M441" s="412"/>
      <c r="N441" s="412"/>
      <c r="O441" s="412"/>
      <c r="P441" s="412"/>
      <c r="Q441" s="412"/>
      <c r="R441" s="412"/>
      <c r="S441" s="412"/>
      <c r="T441" s="412"/>
      <c r="U441" s="412"/>
      <c r="V441" s="412"/>
    </row>
    <row r="442" spans="3:22">
      <c r="C442" s="412"/>
      <c r="D442" s="412"/>
      <c r="E442" s="412"/>
      <c r="F442" s="412"/>
      <c r="G442" s="412"/>
      <c r="H442" s="412"/>
      <c r="I442" s="412"/>
      <c r="J442" s="412"/>
      <c r="K442" s="412"/>
      <c r="L442" s="412"/>
      <c r="M442" s="412"/>
      <c r="N442" s="412"/>
      <c r="O442" s="412"/>
      <c r="P442" s="412"/>
      <c r="Q442" s="412"/>
      <c r="R442" s="412"/>
      <c r="S442" s="412"/>
      <c r="T442" s="412"/>
      <c r="U442" s="412"/>
      <c r="V442" s="412"/>
    </row>
    <row r="443" spans="3:22">
      <c r="C443" s="412"/>
      <c r="D443" s="412"/>
      <c r="E443" s="412"/>
      <c r="F443" s="412"/>
      <c r="G443" s="412"/>
      <c r="H443" s="412"/>
      <c r="I443" s="412"/>
      <c r="J443" s="412"/>
      <c r="K443" s="412"/>
      <c r="L443" s="412"/>
      <c r="M443" s="412"/>
      <c r="N443" s="412"/>
      <c r="O443" s="412"/>
      <c r="P443" s="412"/>
      <c r="Q443" s="412"/>
      <c r="R443" s="412"/>
      <c r="S443" s="412"/>
      <c r="T443" s="412"/>
      <c r="U443" s="412"/>
      <c r="V443" s="412"/>
    </row>
    <row r="444" spans="3:22">
      <c r="C444" s="412"/>
      <c r="D444" s="412"/>
      <c r="E444" s="412"/>
      <c r="F444" s="412"/>
      <c r="G444" s="412"/>
      <c r="H444" s="412"/>
      <c r="I444" s="412"/>
      <c r="J444" s="412"/>
      <c r="K444" s="412"/>
      <c r="L444" s="412"/>
      <c r="M444" s="412"/>
      <c r="N444" s="412"/>
      <c r="O444" s="412"/>
      <c r="P444" s="412"/>
      <c r="Q444" s="412"/>
      <c r="R444" s="412"/>
      <c r="S444" s="412"/>
      <c r="T444" s="412"/>
      <c r="U444" s="412"/>
      <c r="V444" s="412"/>
    </row>
    <row r="445" spans="3:22">
      <c r="C445" s="412"/>
      <c r="D445" s="412"/>
      <c r="E445" s="412"/>
      <c r="F445" s="412"/>
      <c r="G445" s="412"/>
      <c r="H445" s="412"/>
      <c r="I445" s="412"/>
      <c r="J445" s="412"/>
      <c r="K445" s="412"/>
      <c r="L445" s="412"/>
      <c r="M445" s="412"/>
      <c r="N445" s="412"/>
      <c r="O445" s="412"/>
      <c r="P445" s="412"/>
      <c r="Q445" s="412"/>
      <c r="R445" s="412"/>
      <c r="S445" s="412"/>
      <c r="T445" s="412"/>
      <c r="U445" s="412"/>
      <c r="V445" s="412"/>
    </row>
    <row r="446" spans="3:22">
      <c r="C446" s="412"/>
      <c r="D446" s="412"/>
      <c r="E446" s="412"/>
      <c r="F446" s="412"/>
      <c r="G446" s="412"/>
      <c r="H446" s="412"/>
      <c r="I446" s="412"/>
      <c r="J446" s="412"/>
      <c r="K446" s="412"/>
      <c r="L446" s="412"/>
      <c r="M446" s="412"/>
      <c r="N446" s="412"/>
      <c r="O446" s="412"/>
      <c r="P446" s="412"/>
      <c r="Q446" s="412"/>
      <c r="R446" s="412"/>
      <c r="S446" s="412"/>
      <c r="T446" s="412"/>
      <c r="U446" s="412"/>
      <c r="V446" s="412"/>
    </row>
    <row r="447" spans="3:22">
      <c r="C447" s="412"/>
      <c r="D447" s="412"/>
      <c r="E447" s="412"/>
      <c r="F447" s="412"/>
      <c r="G447" s="412"/>
      <c r="H447" s="412"/>
      <c r="I447" s="412"/>
      <c r="J447" s="412"/>
      <c r="K447" s="412"/>
      <c r="L447" s="412"/>
      <c r="M447" s="412"/>
      <c r="N447" s="412"/>
      <c r="O447" s="412"/>
      <c r="P447" s="412"/>
      <c r="Q447" s="412"/>
      <c r="R447" s="412"/>
      <c r="S447" s="412"/>
      <c r="T447" s="412"/>
      <c r="U447" s="412"/>
      <c r="V447" s="412"/>
    </row>
    <row r="448" spans="3:22">
      <c r="C448" s="412"/>
      <c r="D448" s="412"/>
      <c r="E448" s="412"/>
      <c r="F448" s="412"/>
      <c r="G448" s="412"/>
      <c r="H448" s="412"/>
      <c r="I448" s="412"/>
      <c r="J448" s="412"/>
      <c r="K448" s="412"/>
      <c r="L448" s="412"/>
      <c r="M448" s="412"/>
      <c r="N448" s="412"/>
      <c r="O448" s="412"/>
      <c r="P448" s="412"/>
      <c r="Q448" s="412"/>
      <c r="R448" s="412"/>
      <c r="S448" s="412"/>
      <c r="T448" s="412"/>
      <c r="U448" s="412"/>
      <c r="V448" s="412"/>
    </row>
    <row r="449" spans="3:22">
      <c r="C449" s="412"/>
      <c r="D449" s="412"/>
      <c r="E449" s="412"/>
      <c r="F449" s="412"/>
      <c r="G449" s="412"/>
      <c r="H449" s="412"/>
      <c r="I449" s="412"/>
      <c r="J449" s="412"/>
      <c r="K449" s="412"/>
      <c r="L449" s="412"/>
      <c r="M449" s="412"/>
      <c r="N449" s="412"/>
      <c r="O449" s="412"/>
      <c r="P449" s="412"/>
      <c r="Q449" s="412"/>
      <c r="R449" s="412"/>
      <c r="S449" s="412"/>
      <c r="T449" s="412"/>
      <c r="U449" s="412"/>
      <c r="V449" s="412"/>
    </row>
    <row r="450" spans="3:22">
      <c r="C450" s="412"/>
      <c r="D450" s="412"/>
      <c r="E450" s="412"/>
      <c r="F450" s="412"/>
      <c r="G450" s="412"/>
      <c r="H450" s="412"/>
      <c r="I450" s="412"/>
      <c r="J450" s="412"/>
      <c r="K450" s="412"/>
      <c r="L450" s="412"/>
      <c r="M450" s="412"/>
      <c r="N450" s="412"/>
      <c r="O450" s="412"/>
      <c r="P450" s="412"/>
      <c r="Q450" s="412"/>
      <c r="R450" s="412"/>
      <c r="S450" s="412"/>
      <c r="T450" s="412"/>
      <c r="U450" s="412"/>
      <c r="V450" s="412"/>
    </row>
    <row r="451" spans="3:22">
      <c r="C451" s="412"/>
      <c r="D451" s="412"/>
      <c r="E451" s="412"/>
      <c r="F451" s="412"/>
      <c r="G451" s="412"/>
      <c r="H451" s="412"/>
      <c r="I451" s="412"/>
      <c r="J451" s="412"/>
      <c r="K451" s="412"/>
      <c r="L451" s="412"/>
      <c r="M451" s="412"/>
      <c r="N451" s="412"/>
      <c r="O451" s="412"/>
      <c r="P451" s="412"/>
      <c r="Q451" s="412"/>
      <c r="R451" s="412"/>
      <c r="S451" s="412"/>
      <c r="T451" s="412"/>
      <c r="U451" s="412"/>
      <c r="V451" s="412"/>
    </row>
    <row r="452" spans="3:22">
      <c r="C452" s="412"/>
      <c r="D452" s="412"/>
      <c r="E452" s="412"/>
      <c r="F452" s="412"/>
      <c r="G452" s="412"/>
      <c r="H452" s="412"/>
      <c r="I452" s="412"/>
      <c r="J452" s="412"/>
      <c r="K452" s="412"/>
      <c r="L452" s="412"/>
      <c r="M452" s="412"/>
      <c r="N452" s="412"/>
      <c r="O452" s="412"/>
      <c r="P452" s="412"/>
      <c r="Q452" s="412"/>
      <c r="R452" s="412"/>
      <c r="S452" s="412"/>
      <c r="T452" s="412"/>
      <c r="U452" s="412"/>
      <c r="V452" s="412"/>
    </row>
    <row r="453" spans="3:22">
      <c r="C453" s="412"/>
      <c r="D453" s="412"/>
      <c r="E453" s="412"/>
      <c r="F453" s="412"/>
      <c r="G453" s="412"/>
      <c r="H453" s="412"/>
      <c r="I453" s="412"/>
      <c r="J453" s="412"/>
      <c r="K453" s="412"/>
      <c r="L453" s="412"/>
      <c r="M453" s="412"/>
      <c r="N453" s="412"/>
      <c r="O453" s="412"/>
      <c r="P453" s="412"/>
      <c r="Q453" s="412"/>
      <c r="R453" s="412"/>
      <c r="S453" s="412"/>
      <c r="T453" s="412"/>
      <c r="U453" s="412"/>
      <c r="V453" s="412"/>
    </row>
    <row r="454" spans="3:22">
      <c r="C454" s="412"/>
      <c r="D454" s="412"/>
      <c r="E454" s="412"/>
      <c r="F454" s="412"/>
      <c r="G454" s="412"/>
      <c r="H454" s="412"/>
      <c r="I454" s="412"/>
      <c r="J454" s="412"/>
      <c r="K454" s="412"/>
      <c r="L454" s="412"/>
      <c r="M454" s="412"/>
      <c r="N454" s="412"/>
      <c r="O454" s="412"/>
      <c r="P454" s="412"/>
      <c r="Q454" s="412"/>
      <c r="R454" s="412"/>
      <c r="S454" s="412"/>
      <c r="T454" s="412"/>
      <c r="U454" s="412"/>
      <c r="V454" s="412"/>
    </row>
    <row r="455" spans="3:22">
      <c r="C455" s="412"/>
      <c r="D455" s="412"/>
      <c r="E455" s="412"/>
      <c r="F455" s="412"/>
      <c r="G455" s="412"/>
      <c r="H455" s="412"/>
      <c r="I455" s="412"/>
      <c r="J455" s="412"/>
      <c r="K455" s="412"/>
      <c r="L455" s="412"/>
      <c r="M455" s="412"/>
      <c r="N455" s="412"/>
      <c r="O455" s="412"/>
      <c r="P455" s="412"/>
      <c r="Q455" s="412"/>
      <c r="R455" s="412"/>
      <c r="S455" s="412"/>
      <c r="T455" s="412"/>
      <c r="U455" s="412"/>
      <c r="V455" s="412"/>
    </row>
    <row r="456" spans="3:22">
      <c r="C456" s="412"/>
      <c r="D456" s="412"/>
      <c r="E456" s="412"/>
      <c r="F456" s="412"/>
      <c r="G456" s="412"/>
      <c r="H456" s="412"/>
      <c r="I456" s="412"/>
      <c r="J456" s="412"/>
      <c r="K456" s="412"/>
      <c r="L456" s="412"/>
      <c r="M456" s="412"/>
      <c r="N456" s="412"/>
      <c r="O456" s="412"/>
      <c r="P456" s="412"/>
      <c r="Q456" s="412"/>
      <c r="R456" s="412"/>
      <c r="S456" s="412"/>
      <c r="T456" s="412"/>
      <c r="U456" s="412"/>
      <c r="V456" s="412"/>
    </row>
    <row r="457" spans="3:22">
      <c r="C457" s="412"/>
      <c r="D457" s="412"/>
      <c r="E457" s="412"/>
      <c r="F457" s="412"/>
      <c r="G457" s="412"/>
      <c r="H457" s="412"/>
      <c r="I457" s="412"/>
      <c r="J457" s="412"/>
      <c r="K457" s="412"/>
      <c r="L457" s="412"/>
      <c r="M457" s="412"/>
      <c r="N457" s="412"/>
      <c r="O457" s="412"/>
      <c r="P457" s="412"/>
      <c r="Q457" s="412"/>
      <c r="R457" s="412"/>
      <c r="S457" s="412"/>
      <c r="T457" s="412"/>
      <c r="U457" s="412"/>
      <c r="V457" s="412"/>
    </row>
    <row r="458" spans="3:22">
      <c r="C458" s="412"/>
      <c r="D458" s="412"/>
      <c r="E458" s="412"/>
      <c r="F458" s="412"/>
      <c r="G458" s="412"/>
      <c r="H458" s="412"/>
      <c r="I458" s="412"/>
      <c r="J458" s="412"/>
      <c r="K458" s="412"/>
      <c r="L458" s="412"/>
      <c r="M458" s="412"/>
      <c r="N458" s="412"/>
      <c r="O458" s="412"/>
      <c r="P458" s="412"/>
      <c r="Q458" s="412"/>
      <c r="R458" s="412"/>
      <c r="S458" s="412"/>
      <c r="T458" s="412"/>
      <c r="U458" s="412"/>
      <c r="V458" s="412"/>
    </row>
    <row r="459" spans="3:22">
      <c r="C459" s="412"/>
      <c r="D459" s="412"/>
      <c r="E459" s="412"/>
      <c r="F459" s="412"/>
      <c r="G459" s="412"/>
      <c r="H459" s="412"/>
      <c r="I459" s="412"/>
      <c r="J459" s="412"/>
      <c r="K459" s="412"/>
      <c r="L459" s="412"/>
      <c r="M459" s="412"/>
      <c r="N459" s="412"/>
      <c r="O459" s="412"/>
      <c r="P459" s="412"/>
      <c r="Q459" s="412"/>
      <c r="R459" s="412"/>
      <c r="S459" s="412"/>
      <c r="T459" s="412"/>
      <c r="U459" s="412"/>
      <c r="V459" s="412"/>
    </row>
    <row r="460" spans="3:22">
      <c r="C460" s="412"/>
      <c r="D460" s="412"/>
      <c r="E460" s="412"/>
      <c r="F460" s="412"/>
      <c r="G460" s="412"/>
      <c r="H460" s="412"/>
      <c r="I460" s="412"/>
      <c r="J460" s="412"/>
      <c r="K460" s="412"/>
      <c r="L460" s="412"/>
      <c r="M460" s="412"/>
      <c r="N460" s="412"/>
      <c r="O460" s="412"/>
      <c r="P460" s="412"/>
      <c r="Q460" s="412"/>
      <c r="R460" s="412"/>
      <c r="S460" s="412"/>
      <c r="T460" s="412"/>
      <c r="U460" s="412"/>
      <c r="V460" s="412"/>
    </row>
    <row r="461" spans="3:22">
      <c r="C461" s="412"/>
      <c r="D461" s="412"/>
      <c r="E461" s="412"/>
      <c r="F461" s="412"/>
      <c r="G461" s="412"/>
      <c r="H461" s="412"/>
      <c r="I461" s="412"/>
      <c r="J461" s="412"/>
      <c r="K461" s="412"/>
      <c r="L461" s="412"/>
      <c r="M461" s="412"/>
      <c r="N461" s="412"/>
      <c r="O461" s="412"/>
      <c r="P461" s="412"/>
      <c r="Q461" s="412"/>
      <c r="R461" s="412"/>
      <c r="S461" s="412"/>
      <c r="T461" s="412"/>
      <c r="U461" s="412"/>
      <c r="V461" s="412"/>
    </row>
    <row r="462" spans="3:22">
      <c r="C462" s="412"/>
      <c r="D462" s="412"/>
      <c r="E462" s="412"/>
      <c r="F462" s="412"/>
      <c r="G462" s="412"/>
      <c r="H462" s="412"/>
      <c r="I462" s="412"/>
      <c r="J462" s="412"/>
      <c r="K462" s="412"/>
      <c r="L462" s="412"/>
      <c r="M462" s="412"/>
      <c r="N462" s="412"/>
      <c r="O462" s="412"/>
      <c r="P462" s="412"/>
      <c r="Q462" s="412"/>
      <c r="R462" s="412"/>
      <c r="S462" s="412"/>
      <c r="T462" s="412"/>
      <c r="U462" s="412"/>
      <c r="V462" s="412"/>
    </row>
    <row r="463" spans="3:22">
      <c r="C463" s="412"/>
      <c r="D463" s="412"/>
      <c r="E463" s="412"/>
      <c r="F463" s="412"/>
      <c r="G463" s="412"/>
      <c r="H463" s="412"/>
      <c r="I463" s="412"/>
      <c r="J463" s="412"/>
      <c r="K463" s="412"/>
      <c r="L463" s="412"/>
      <c r="M463" s="412"/>
      <c r="N463" s="412"/>
      <c r="O463" s="412"/>
      <c r="P463" s="412"/>
      <c r="Q463" s="412"/>
      <c r="R463" s="412"/>
      <c r="S463" s="412"/>
      <c r="T463" s="412"/>
      <c r="U463" s="412"/>
      <c r="V463" s="412"/>
    </row>
    <row r="464" spans="3:22">
      <c r="C464" s="412"/>
      <c r="D464" s="412"/>
      <c r="E464" s="412"/>
      <c r="F464" s="412"/>
      <c r="G464" s="412"/>
      <c r="H464" s="412"/>
      <c r="I464" s="412"/>
      <c r="J464" s="412"/>
      <c r="K464" s="412"/>
      <c r="L464" s="412"/>
      <c r="M464" s="412"/>
      <c r="N464" s="412"/>
      <c r="O464" s="412"/>
      <c r="P464" s="412"/>
      <c r="Q464" s="412"/>
      <c r="R464" s="412"/>
      <c r="S464" s="412"/>
      <c r="T464" s="412"/>
      <c r="U464" s="412"/>
      <c r="V464" s="412"/>
    </row>
    <row r="465" spans="3:22">
      <c r="C465" s="412"/>
      <c r="D465" s="412"/>
      <c r="E465" s="412"/>
      <c r="F465" s="412"/>
      <c r="G465" s="412"/>
      <c r="H465" s="412"/>
      <c r="I465" s="412"/>
      <c r="J465" s="412"/>
      <c r="K465" s="412"/>
      <c r="L465" s="412"/>
      <c r="M465" s="412"/>
      <c r="N465" s="412"/>
      <c r="O465" s="412"/>
      <c r="P465" s="412"/>
      <c r="Q465" s="412"/>
      <c r="R465" s="412"/>
      <c r="S465" s="412"/>
      <c r="T465" s="412"/>
      <c r="U465" s="412"/>
      <c r="V465" s="412"/>
    </row>
    <row r="466" spans="3:22">
      <c r="C466" s="412"/>
      <c r="D466" s="412"/>
      <c r="E466" s="412"/>
      <c r="F466" s="412"/>
      <c r="G466" s="412"/>
      <c r="H466" s="412"/>
      <c r="I466" s="412"/>
      <c r="J466" s="412"/>
      <c r="K466" s="412"/>
      <c r="L466" s="412"/>
      <c r="M466" s="412"/>
      <c r="N466" s="412"/>
      <c r="O466" s="412"/>
      <c r="P466" s="412"/>
      <c r="Q466" s="412"/>
      <c r="R466" s="412"/>
      <c r="S466" s="412"/>
      <c r="T466" s="412"/>
      <c r="U466" s="412"/>
      <c r="V466" s="412"/>
    </row>
    <row r="467" spans="3:22">
      <c r="C467" s="412"/>
      <c r="D467" s="412"/>
      <c r="E467" s="412"/>
      <c r="F467" s="412"/>
      <c r="G467" s="412"/>
      <c r="H467" s="412"/>
      <c r="I467" s="412"/>
      <c r="J467" s="412"/>
      <c r="K467" s="412"/>
      <c r="L467" s="412"/>
      <c r="M467" s="412"/>
      <c r="N467" s="412"/>
      <c r="O467" s="412"/>
      <c r="P467" s="412"/>
      <c r="Q467" s="412"/>
      <c r="R467" s="412"/>
      <c r="S467" s="412"/>
      <c r="T467" s="412"/>
      <c r="U467" s="412"/>
      <c r="V467" s="412"/>
    </row>
    <row r="468" spans="3:22">
      <c r="C468" s="412"/>
      <c r="D468" s="412"/>
      <c r="E468" s="412"/>
      <c r="F468" s="412"/>
      <c r="G468" s="412"/>
      <c r="H468" s="412"/>
      <c r="I468" s="412"/>
      <c r="J468" s="412"/>
      <c r="K468" s="412"/>
      <c r="L468" s="412"/>
      <c r="M468" s="412"/>
      <c r="N468" s="412"/>
      <c r="O468" s="412"/>
      <c r="P468" s="412"/>
      <c r="Q468" s="412"/>
      <c r="R468" s="412"/>
      <c r="S468" s="412"/>
      <c r="T468" s="412"/>
      <c r="U468" s="412"/>
      <c r="V468" s="412"/>
    </row>
    <row r="469" spans="3:22">
      <c r="C469" s="412"/>
      <c r="D469" s="412"/>
      <c r="E469" s="412"/>
      <c r="F469" s="412"/>
      <c r="G469" s="412"/>
      <c r="H469" s="412"/>
      <c r="I469" s="412"/>
      <c r="J469" s="412"/>
      <c r="K469" s="412"/>
      <c r="L469" s="412"/>
      <c r="M469" s="412"/>
      <c r="N469" s="412"/>
      <c r="O469" s="412"/>
      <c r="P469" s="412"/>
      <c r="Q469" s="412"/>
      <c r="R469" s="412"/>
      <c r="S469" s="412"/>
      <c r="T469" s="412"/>
      <c r="U469" s="412"/>
      <c r="V469" s="412"/>
    </row>
    <row r="470" spans="3:22">
      <c r="C470" s="412"/>
      <c r="D470" s="412"/>
      <c r="E470" s="412"/>
      <c r="F470" s="412"/>
      <c r="G470" s="412"/>
      <c r="H470" s="412"/>
      <c r="I470" s="412"/>
      <c r="J470" s="412"/>
      <c r="K470" s="412"/>
      <c r="L470" s="412"/>
      <c r="M470" s="412"/>
      <c r="N470" s="412"/>
      <c r="O470" s="412"/>
      <c r="P470" s="412"/>
      <c r="Q470" s="412"/>
      <c r="R470" s="412"/>
      <c r="S470" s="412"/>
      <c r="T470" s="412"/>
      <c r="U470" s="412"/>
      <c r="V470" s="412"/>
    </row>
    <row r="471" spans="3:22">
      <c r="C471" s="412"/>
      <c r="D471" s="412"/>
      <c r="E471" s="412"/>
      <c r="F471" s="412"/>
      <c r="G471" s="412"/>
      <c r="H471" s="412"/>
      <c r="I471" s="412"/>
      <c r="J471" s="412"/>
      <c r="K471" s="412"/>
      <c r="L471" s="412"/>
      <c r="M471" s="412"/>
      <c r="N471" s="412"/>
      <c r="O471" s="412"/>
      <c r="P471" s="412"/>
      <c r="Q471" s="412"/>
      <c r="R471" s="412"/>
      <c r="S471" s="412"/>
      <c r="T471" s="412"/>
      <c r="U471" s="412"/>
      <c r="V471" s="412"/>
    </row>
    <row r="472" spans="3:22">
      <c r="C472" s="412"/>
      <c r="D472" s="412"/>
      <c r="E472" s="412"/>
      <c r="F472" s="412"/>
      <c r="G472" s="412"/>
      <c r="H472" s="412"/>
      <c r="I472" s="412"/>
      <c r="J472" s="412"/>
      <c r="K472" s="412"/>
      <c r="L472" s="412"/>
      <c r="M472" s="412"/>
      <c r="N472" s="412"/>
      <c r="O472" s="412"/>
      <c r="P472" s="412"/>
      <c r="Q472" s="412"/>
      <c r="R472" s="412"/>
      <c r="S472" s="412"/>
      <c r="T472" s="412"/>
      <c r="U472" s="412"/>
      <c r="V472" s="412"/>
    </row>
    <row r="473" spans="3:22">
      <c r="C473" s="412"/>
      <c r="D473" s="412"/>
      <c r="E473" s="412"/>
      <c r="F473" s="412"/>
      <c r="G473" s="412"/>
      <c r="H473" s="412"/>
      <c r="I473" s="412"/>
      <c r="J473" s="412"/>
      <c r="K473" s="412"/>
      <c r="L473" s="412"/>
      <c r="M473" s="412"/>
      <c r="N473" s="412"/>
      <c r="O473" s="412"/>
      <c r="P473" s="412"/>
      <c r="Q473" s="412"/>
      <c r="R473" s="412"/>
      <c r="S473" s="412"/>
      <c r="T473" s="412"/>
      <c r="U473" s="412"/>
      <c r="V473" s="412"/>
    </row>
    <row r="474" spans="3:22">
      <c r="C474" s="412"/>
      <c r="D474" s="412"/>
      <c r="E474" s="412"/>
      <c r="F474" s="412"/>
      <c r="G474" s="412"/>
      <c r="H474" s="412"/>
      <c r="I474" s="412"/>
      <c r="J474" s="412"/>
      <c r="K474" s="412"/>
      <c r="L474" s="412"/>
      <c r="M474" s="412"/>
      <c r="N474" s="412"/>
      <c r="O474" s="412"/>
      <c r="P474" s="412"/>
      <c r="Q474" s="412"/>
      <c r="R474" s="412"/>
      <c r="S474" s="412"/>
      <c r="T474" s="412"/>
      <c r="U474" s="412"/>
      <c r="V474" s="412"/>
    </row>
    <row r="475" spans="3:22">
      <c r="C475" s="412"/>
      <c r="D475" s="412"/>
      <c r="E475" s="412"/>
      <c r="F475" s="412"/>
      <c r="G475" s="412"/>
      <c r="H475" s="412"/>
      <c r="I475" s="412"/>
      <c r="J475" s="412"/>
      <c r="K475" s="412"/>
      <c r="L475" s="412"/>
      <c r="M475" s="412"/>
      <c r="N475" s="412"/>
      <c r="O475" s="412"/>
      <c r="P475" s="412"/>
      <c r="Q475" s="412"/>
      <c r="R475" s="412"/>
      <c r="S475" s="412"/>
      <c r="T475" s="412"/>
      <c r="U475" s="412"/>
      <c r="V475" s="412"/>
    </row>
    <row r="476" spans="3:22">
      <c r="C476" s="412"/>
      <c r="D476" s="412"/>
      <c r="E476" s="412"/>
      <c r="F476" s="412"/>
      <c r="G476" s="412"/>
      <c r="H476" s="412"/>
      <c r="I476" s="412"/>
      <c r="J476" s="412"/>
      <c r="K476" s="412"/>
      <c r="L476" s="412"/>
      <c r="M476" s="412"/>
      <c r="N476" s="412"/>
      <c r="O476" s="412"/>
      <c r="P476" s="412"/>
      <c r="Q476" s="412"/>
      <c r="R476" s="412"/>
      <c r="S476" s="412"/>
      <c r="T476" s="412"/>
      <c r="U476" s="412"/>
      <c r="V476" s="412"/>
    </row>
    <row r="477" spans="3:22">
      <c r="C477" s="412"/>
      <c r="D477" s="412"/>
      <c r="E477" s="412"/>
      <c r="F477" s="412"/>
      <c r="G477" s="412"/>
      <c r="H477" s="412"/>
      <c r="I477" s="412"/>
      <c r="J477" s="412"/>
      <c r="K477" s="412"/>
      <c r="L477" s="412"/>
      <c r="M477" s="412"/>
      <c r="N477" s="412"/>
      <c r="O477" s="412"/>
      <c r="P477" s="412"/>
      <c r="Q477" s="412"/>
      <c r="R477" s="412"/>
      <c r="S477" s="412"/>
      <c r="T477" s="412"/>
      <c r="U477" s="412"/>
      <c r="V477" s="412"/>
    </row>
    <row r="478" spans="3:22">
      <c r="C478" s="412"/>
      <c r="D478" s="412"/>
      <c r="E478" s="412"/>
      <c r="F478" s="412"/>
      <c r="G478" s="412"/>
      <c r="H478" s="412"/>
      <c r="I478" s="412"/>
      <c r="J478" s="412"/>
      <c r="K478" s="412"/>
      <c r="L478" s="412"/>
      <c r="M478" s="412"/>
      <c r="N478" s="412"/>
      <c r="O478" s="412"/>
      <c r="P478" s="412"/>
      <c r="Q478" s="412"/>
      <c r="R478" s="412"/>
      <c r="S478" s="412"/>
      <c r="T478" s="412"/>
      <c r="U478" s="412"/>
      <c r="V478" s="412"/>
    </row>
    <row r="479" spans="3:22">
      <c r="C479" s="412"/>
      <c r="D479" s="412"/>
      <c r="E479" s="412"/>
      <c r="F479" s="412"/>
      <c r="G479" s="412"/>
      <c r="H479" s="412"/>
      <c r="I479" s="412"/>
      <c r="J479" s="412"/>
      <c r="K479" s="412"/>
      <c r="L479" s="412"/>
      <c r="M479" s="412"/>
      <c r="N479" s="412"/>
      <c r="O479" s="412"/>
      <c r="P479" s="412"/>
      <c r="Q479" s="412"/>
      <c r="R479" s="412"/>
      <c r="S479" s="412"/>
      <c r="T479" s="412"/>
      <c r="U479" s="412"/>
      <c r="V479" s="412"/>
    </row>
    <row r="480" spans="3:22">
      <c r="C480" s="412"/>
      <c r="D480" s="412"/>
      <c r="E480" s="412"/>
      <c r="F480" s="412"/>
      <c r="G480" s="412"/>
      <c r="H480" s="412"/>
      <c r="I480" s="412"/>
      <c r="J480" s="412"/>
      <c r="K480" s="412"/>
      <c r="L480" s="412"/>
      <c r="M480" s="412"/>
      <c r="N480" s="412"/>
      <c r="O480" s="412"/>
      <c r="P480" s="412"/>
      <c r="Q480" s="412"/>
      <c r="R480" s="412"/>
      <c r="S480" s="412"/>
      <c r="T480" s="412"/>
      <c r="U480" s="412"/>
      <c r="V480" s="412"/>
    </row>
    <row r="481" spans="3:22">
      <c r="C481" s="412"/>
      <c r="D481" s="412"/>
      <c r="E481" s="412"/>
      <c r="F481" s="412"/>
      <c r="G481" s="412"/>
      <c r="H481" s="412"/>
      <c r="I481" s="412"/>
      <c r="J481" s="412"/>
      <c r="K481" s="412"/>
      <c r="L481" s="412"/>
      <c r="M481" s="412"/>
      <c r="N481" s="412"/>
      <c r="O481" s="412"/>
      <c r="P481" s="412"/>
      <c r="Q481" s="412"/>
      <c r="R481" s="412"/>
      <c r="S481" s="412"/>
      <c r="T481" s="412"/>
      <c r="U481" s="412"/>
      <c r="V481" s="412"/>
    </row>
    <row r="482" spans="3:22">
      <c r="C482" s="412"/>
      <c r="D482" s="412"/>
      <c r="E482" s="412"/>
      <c r="F482" s="412"/>
      <c r="G482" s="412"/>
      <c r="H482" s="412"/>
      <c r="I482" s="412"/>
      <c r="J482" s="412"/>
      <c r="K482" s="412"/>
      <c r="L482" s="412"/>
      <c r="M482" s="412"/>
      <c r="N482" s="412"/>
      <c r="O482" s="412"/>
      <c r="P482" s="412"/>
      <c r="Q482" s="412"/>
      <c r="R482" s="412"/>
      <c r="S482" s="412"/>
      <c r="T482" s="412"/>
      <c r="U482" s="412"/>
      <c r="V482" s="412"/>
    </row>
    <row r="483" spans="3:22">
      <c r="C483" s="412"/>
      <c r="D483" s="412"/>
      <c r="E483" s="412"/>
      <c r="F483" s="412"/>
      <c r="G483" s="412"/>
      <c r="H483" s="412"/>
      <c r="I483" s="412"/>
      <c r="J483" s="412"/>
      <c r="K483" s="412"/>
      <c r="L483" s="412"/>
      <c r="M483" s="412"/>
      <c r="N483" s="412"/>
      <c r="O483" s="412"/>
      <c r="P483" s="412"/>
      <c r="Q483" s="412"/>
      <c r="R483" s="412"/>
      <c r="S483" s="412"/>
      <c r="T483" s="412"/>
      <c r="U483" s="412"/>
      <c r="V483" s="412"/>
    </row>
    <row r="484" spans="3:22">
      <c r="C484" s="412"/>
      <c r="D484" s="412"/>
      <c r="E484" s="412"/>
      <c r="F484" s="412"/>
      <c r="G484" s="412"/>
      <c r="H484" s="412"/>
      <c r="I484" s="412"/>
      <c r="J484" s="412"/>
      <c r="K484" s="412"/>
      <c r="L484" s="412"/>
      <c r="M484" s="412"/>
      <c r="N484" s="412"/>
      <c r="O484" s="412"/>
      <c r="P484" s="412"/>
      <c r="Q484" s="412"/>
      <c r="R484" s="412"/>
      <c r="S484" s="412"/>
      <c r="T484" s="412"/>
      <c r="U484" s="412"/>
      <c r="V484" s="412"/>
    </row>
    <row r="485" spans="3:22">
      <c r="C485" s="412"/>
      <c r="D485" s="412"/>
      <c r="E485" s="412"/>
      <c r="F485" s="412"/>
      <c r="G485" s="412"/>
      <c r="H485" s="412"/>
      <c r="I485" s="412"/>
      <c r="J485" s="412"/>
      <c r="K485" s="412"/>
      <c r="L485" s="412"/>
      <c r="M485" s="412"/>
      <c r="N485" s="412"/>
      <c r="O485" s="412"/>
      <c r="P485" s="412"/>
      <c r="Q485" s="412"/>
      <c r="R485" s="412"/>
      <c r="S485" s="412"/>
      <c r="T485" s="412"/>
      <c r="U485" s="412"/>
      <c r="V485" s="412"/>
    </row>
  </sheetData>
  <mergeCells count="16">
    <mergeCell ref="D3:G3"/>
    <mergeCell ref="D4:G4"/>
    <mergeCell ref="D6:G6"/>
    <mergeCell ref="D197:G197"/>
    <mergeCell ref="D44:G44"/>
    <mergeCell ref="D46:G46"/>
    <mergeCell ref="D194:G194"/>
    <mergeCell ref="D195:G195"/>
    <mergeCell ref="D144:G144"/>
    <mergeCell ref="D95:G95"/>
    <mergeCell ref="D139:G139"/>
    <mergeCell ref="D140:G140"/>
    <mergeCell ref="D142:G142"/>
    <mergeCell ref="D43:G43"/>
    <mergeCell ref="D96:G96"/>
    <mergeCell ref="D98:G98"/>
  </mergeCells>
  <phoneticPr fontId="29" type="noConversion"/>
  <printOptions horizontalCentered="1"/>
  <pageMargins left="0.25" right="0.5" top="1" bottom="0.5" header="0.5" footer="0.5"/>
  <pageSetup scale="65" fitToHeight="5" orientation="portrait" r:id="rId1"/>
  <headerFooter alignWithMargins="0">
    <oddHeader>&amp;RExhibit No. BBP-8
&amp;P of &amp;N</oddHeader>
  </headerFooter>
  <rowBreaks count="4" manualBreakCount="4">
    <brk id="39" max="14" man="1"/>
    <brk id="94" max="16383" man="1"/>
    <brk id="138" max="16383" man="1"/>
    <brk id="193" max="16383" man="1"/>
  </rowBreak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3"/>
  <sheetViews>
    <sheetView workbookViewId="0">
      <selection activeCell="B19" sqref="B19"/>
    </sheetView>
  </sheetViews>
  <sheetFormatPr defaultColWidth="7.109375" defaultRowHeight="12.75"/>
  <cols>
    <col min="1" max="1" width="3.77734375" style="368" bestFit="1" customWidth="1"/>
    <col min="2" max="2" width="19.33203125" style="368" bestFit="1" customWidth="1"/>
    <col min="3" max="3" width="1.77734375" style="368" customWidth="1"/>
    <col min="4" max="7" width="10.6640625" style="368" customWidth="1"/>
    <col min="8" max="16384" width="7.109375" style="368"/>
  </cols>
  <sheetData>
    <row r="1" spans="1:8">
      <c r="H1" s="352" t="str">
        <f>+'PREC ATRR'!O2</f>
        <v>Powder River Energy Corporation</v>
      </c>
    </row>
    <row r="2" spans="1:8">
      <c r="H2" s="556" t="s">
        <v>659</v>
      </c>
    </row>
    <row r="4" spans="1:8" ht="15.75">
      <c r="A4" s="1196" t="s">
        <v>109</v>
      </c>
      <c r="B4" s="1196"/>
      <c r="C4" s="1196"/>
      <c r="D4" s="1196"/>
      <c r="E4" s="1196"/>
      <c r="F4" s="1196"/>
      <c r="G4" s="1196"/>
    </row>
    <row r="5" spans="1:8" ht="15.75">
      <c r="A5" s="1196" t="s">
        <v>498</v>
      </c>
      <c r="B5" s="1196"/>
      <c r="C5" s="1196"/>
      <c r="D5" s="1196"/>
      <c r="E5" s="1196"/>
      <c r="F5" s="1196"/>
      <c r="G5" s="1196"/>
    </row>
    <row r="6" spans="1:8" ht="15.75">
      <c r="A6" s="1197" t="s">
        <v>88</v>
      </c>
      <c r="B6" s="1197"/>
      <c r="C6" s="1197"/>
      <c r="D6" s="1197"/>
      <c r="E6" s="1197"/>
      <c r="F6" s="1197"/>
      <c r="G6" s="1197"/>
    </row>
    <row r="9" spans="1:8">
      <c r="D9" s="493" t="s">
        <v>89</v>
      </c>
      <c r="E9" s="494" t="s">
        <v>90</v>
      </c>
      <c r="F9" s="494" t="s">
        <v>90</v>
      </c>
      <c r="G9" s="495" t="s">
        <v>91</v>
      </c>
    </row>
    <row r="10" spans="1:8" ht="13.5" thickBot="1">
      <c r="A10" s="687"/>
      <c r="B10" s="687" t="s">
        <v>92</v>
      </c>
      <c r="C10" s="688"/>
      <c r="D10" s="689" t="s">
        <v>93</v>
      </c>
      <c r="E10" s="689" t="s">
        <v>94</v>
      </c>
      <c r="F10" s="689" t="s">
        <v>95</v>
      </c>
      <c r="G10" s="690" t="s">
        <v>96</v>
      </c>
    </row>
    <row r="11" spans="1:8">
      <c r="D11" s="496"/>
      <c r="E11" s="496"/>
      <c r="F11" s="496"/>
    </row>
    <row r="12" spans="1:8">
      <c r="A12" s="497"/>
      <c r="B12" s="498" t="s">
        <v>160</v>
      </c>
      <c r="D12" s="499">
        <v>6477251.0599999996</v>
      </c>
      <c r="E12" s="500">
        <v>2871117.86</v>
      </c>
      <c r="F12" s="500">
        <f>D12-E12</f>
        <v>3606133.1999999997</v>
      </c>
      <c r="G12" s="500">
        <f>((D12-502138.73)*0.0275)+(502138.73*0.02)</f>
        <v>174358.363675</v>
      </c>
      <c r="H12" s="507"/>
    </row>
    <row r="13" spans="1:8">
      <c r="A13" s="501"/>
      <c r="B13" s="498" t="s">
        <v>161</v>
      </c>
      <c r="C13" s="502"/>
      <c r="D13" s="499">
        <v>1491608.81</v>
      </c>
      <c r="E13" s="500">
        <v>352081.82</v>
      </c>
      <c r="F13" s="503">
        <f>D13-E13</f>
        <v>1139526.99</v>
      </c>
      <c r="G13" s="500">
        <f>+D13*0.0275</f>
        <v>41019.242275000004</v>
      </c>
      <c r="H13" s="507"/>
    </row>
    <row r="14" spans="1:8">
      <c r="A14" s="501"/>
      <c r="B14" s="498" t="s">
        <v>482</v>
      </c>
      <c r="C14" s="502"/>
      <c r="D14" s="499">
        <v>245068.4</v>
      </c>
      <c r="E14" s="500"/>
      <c r="F14" s="503">
        <f>+D14-E14</f>
        <v>245068.4</v>
      </c>
      <c r="G14" s="500">
        <v>6739.38</v>
      </c>
      <c r="H14" s="507"/>
    </row>
    <row r="15" spans="1:8">
      <c r="A15" s="501"/>
      <c r="B15" s="498" t="s">
        <v>162</v>
      </c>
      <c r="C15" s="502"/>
      <c r="D15" s="499">
        <v>1072004.04</v>
      </c>
      <c r="E15" s="500">
        <v>589602.21</v>
      </c>
      <c r="F15" s="503">
        <f>D15-E15</f>
        <v>482401.83000000007</v>
      </c>
      <c r="G15" s="500">
        <f>+D15*0.0275</f>
        <v>29480.111100000002</v>
      </c>
      <c r="H15" s="507"/>
    </row>
    <row r="16" spans="1:8">
      <c r="A16" s="501"/>
      <c r="B16" s="498" t="s">
        <v>163</v>
      </c>
      <c r="C16" s="502"/>
      <c r="D16" s="499">
        <v>813058.78</v>
      </c>
      <c r="E16" s="500">
        <v>437866.01</v>
      </c>
      <c r="F16" s="500">
        <f>D16-E16</f>
        <v>375192.77</v>
      </c>
      <c r="G16" s="500">
        <f>+D16*0.0275</f>
        <v>22359.116450000001</v>
      </c>
      <c r="H16" s="507"/>
    </row>
    <row r="17" spans="1:8" ht="13.5" thickBot="1">
      <c r="A17" s="682"/>
      <c r="B17" s="683" t="s">
        <v>164</v>
      </c>
      <c r="C17" s="684"/>
      <c r="D17" s="685">
        <v>1113567.98</v>
      </c>
      <c r="E17" s="685">
        <v>501059.36</v>
      </c>
      <c r="F17" s="685">
        <f>D17-E17</f>
        <v>612508.62</v>
      </c>
      <c r="G17" s="686">
        <f>+D17*0.0275</f>
        <v>30623.119449999998</v>
      </c>
      <c r="H17" s="507"/>
    </row>
    <row r="18" spans="1:8">
      <c r="A18" s="497"/>
      <c r="B18" s="498" t="s">
        <v>669</v>
      </c>
      <c r="C18" s="502"/>
      <c r="D18" s="499">
        <f>SUM(D12:D17)</f>
        <v>11212559.069999998</v>
      </c>
      <c r="E18" s="499">
        <f>SUM(E12:E17)</f>
        <v>4751727.26</v>
      </c>
      <c r="F18" s="499">
        <f>SUM(F12:F17)</f>
        <v>6460831.8099999996</v>
      </c>
      <c r="G18" s="499">
        <f>SUM(G12:G17)</f>
        <v>304579.33295000001</v>
      </c>
    </row>
    <row r="19" spans="1:8">
      <c r="D19" s="504" t="s">
        <v>665</v>
      </c>
      <c r="E19" s="504" t="s">
        <v>665</v>
      </c>
      <c r="F19" s="368" t="s">
        <v>665</v>
      </c>
    </row>
    <row r="20" spans="1:8" ht="15">
      <c r="B20"/>
      <c r="C20"/>
      <c r="D20"/>
      <c r="E20"/>
      <c r="F20"/>
    </row>
    <row r="21" spans="1:8" ht="15">
      <c r="B21"/>
      <c r="C21"/>
      <c r="D21"/>
      <c r="E21"/>
      <c r="F21"/>
    </row>
    <row r="22" spans="1:8" ht="15">
      <c r="B22"/>
      <c r="C22"/>
      <c r="D22"/>
      <c r="E22"/>
      <c r="F22"/>
    </row>
    <row r="23" spans="1:8" ht="15">
      <c r="B23"/>
      <c r="C23"/>
      <c r="D23"/>
      <c r="E23"/>
      <c r="F23"/>
    </row>
  </sheetData>
  <mergeCells count="3">
    <mergeCell ref="A4:G4"/>
    <mergeCell ref="A5:G5"/>
    <mergeCell ref="A6:G6"/>
  </mergeCells>
  <phoneticPr fontId="29" type="noConversion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F44"/>
  <sheetViews>
    <sheetView topLeftCell="A20" workbookViewId="0">
      <selection activeCell="A5" sqref="A5:E5"/>
    </sheetView>
  </sheetViews>
  <sheetFormatPr defaultColWidth="7.109375" defaultRowHeight="12.75"/>
  <cols>
    <col min="1" max="1" width="3.77734375" style="368" customWidth="1"/>
    <col min="2" max="2" width="22.109375" style="368" customWidth="1"/>
    <col min="3" max="3" width="12.88671875" style="507" customWidth="1"/>
    <col min="4" max="4" width="2.21875" style="368" customWidth="1"/>
    <col min="5" max="5" width="20.88671875" style="368" customWidth="1"/>
    <col min="6" max="16384" width="7.109375" style="368"/>
  </cols>
  <sheetData>
    <row r="2" spans="1:6">
      <c r="F2" s="352" t="str">
        <f>+'PREC Facilities'!H1</f>
        <v>Powder River Energy Corporation</v>
      </c>
    </row>
    <row r="3" spans="1:6">
      <c r="F3" s="556" t="s">
        <v>660</v>
      </c>
    </row>
    <row r="5" spans="1:6" ht="15.75">
      <c r="A5" s="1174" t="s">
        <v>109</v>
      </c>
      <c r="B5" s="1174"/>
      <c r="C5" s="1174"/>
      <c r="D5" s="1174"/>
      <c r="E5" s="1174"/>
    </row>
    <row r="6" spans="1:6">
      <c r="A6" s="1176" t="s">
        <v>165</v>
      </c>
      <c r="B6" s="1176"/>
      <c r="C6" s="1176"/>
      <c r="D6" s="1176"/>
      <c r="E6" s="1176"/>
    </row>
    <row r="7" spans="1:6">
      <c r="A7" s="1200" t="s">
        <v>88</v>
      </c>
      <c r="B7" s="1200"/>
      <c r="C7" s="1200"/>
      <c r="D7" s="1200"/>
      <c r="E7" s="1200"/>
    </row>
    <row r="10" spans="1:6">
      <c r="A10" s="506" t="s">
        <v>168</v>
      </c>
    </row>
    <row r="11" spans="1:6" ht="18" customHeight="1">
      <c r="B11" s="368" t="s">
        <v>169</v>
      </c>
      <c r="C11" s="591">
        <v>35862242</v>
      </c>
      <c r="E11" s="368" t="s">
        <v>170</v>
      </c>
    </row>
    <row r="14" spans="1:6">
      <c r="A14" s="506" t="s">
        <v>178</v>
      </c>
    </row>
    <row r="15" spans="1:6" ht="18" customHeight="1">
      <c r="B15" s="368" t="s">
        <v>179</v>
      </c>
      <c r="C15" s="508">
        <v>105401010.40000001</v>
      </c>
      <c r="E15" s="368" t="s">
        <v>180</v>
      </c>
    </row>
    <row r="16" spans="1:6">
      <c r="B16" s="368" t="s">
        <v>181</v>
      </c>
      <c r="C16" s="509">
        <v>-150521.5</v>
      </c>
      <c r="E16" s="368" t="s">
        <v>182</v>
      </c>
    </row>
    <row r="17" spans="1:6" ht="17.25" customHeight="1">
      <c r="B17" s="368" t="s">
        <v>179</v>
      </c>
      <c r="C17" s="510">
        <f>SUM(C15:C16)</f>
        <v>105250488.90000001</v>
      </c>
    </row>
    <row r="19" spans="1:6">
      <c r="B19" s="589"/>
      <c r="C19" s="590"/>
      <c r="D19" s="589"/>
      <c r="E19" s="589"/>
      <c r="F19" s="589"/>
    </row>
    <row r="20" spans="1:6">
      <c r="A20" s="506" t="s">
        <v>183</v>
      </c>
      <c r="B20" s="589"/>
      <c r="C20" s="590"/>
      <c r="D20" s="589"/>
      <c r="E20" s="589"/>
      <c r="F20" s="589"/>
    </row>
    <row r="21" spans="1:6" ht="18" customHeight="1">
      <c r="B21" s="589" t="s">
        <v>184</v>
      </c>
      <c r="C21" s="591">
        <v>12609466.82</v>
      </c>
      <c r="D21" s="589"/>
      <c r="E21" s="589" t="s">
        <v>185</v>
      </c>
      <c r="F21" s="589"/>
    </row>
    <row r="22" spans="1:6">
      <c r="B22" s="589" t="s">
        <v>186</v>
      </c>
      <c r="C22" s="592">
        <v>198212.71</v>
      </c>
      <c r="D22" s="589"/>
      <c r="E22" s="589" t="s">
        <v>182</v>
      </c>
      <c r="F22" s="589"/>
    </row>
    <row r="23" spans="1:6" ht="17.25" customHeight="1">
      <c r="B23" s="368" t="s">
        <v>184</v>
      </c>
      <c r="C23" s="508">
        <f>SUM(C21:C22)</f>
        <v>12807679.530000001</v>
      </c>
    </row>
    <row r="25" spans="1:6" ht="15" customHeight="1">
      <c r="A25" s="511"/>
      <c r="B25" s="1198" t="s">
        <v>187</v>
      </c>
      <c r="C25" s="1199"/>
    </row>
    <row r="26" spans="1:6" ht="18" customHeight="1">
      <c r="B26" s="512" t="s">
        <v>188</v>
      </c>
      <c r="C26" s="513">
        <f>+C16</f>
        <v>-150521.5</v>
      </c>
    </row>
    <row r="27" spans="1:6">
      <c r="B27" s="512" t="s">
        <v>189</v>
      </c>
      <c r="C27" s="514">
        <f>+C22</f>
        <v>198212.71</v>
      </c>
    </row>
    <row r="28" spans="1:6" ht="17.25" customHeight="1">
      <c r="B28" s="515" t="s">
        <v>190</v>
      </c>
      <c r="C28" s="516">
        <f>SUM(C26:C27)</f>
        <v>47691.209999999992</v>
      </c>
    </row>
    <row r="31" spans="1:6">
      <c r="A31" s="506" t="s">
        <v>197</v>
      </c>
    </row>
    <row r="32" spans="1:6" ht="18" customHeight="1">
      <c r="B32" s="368" t="s">
        <v>198</v>
      </c>
      <c r="C32" s="508">
        <v>18024179.149999999</v>
      </c>
      <c r="E32" s="368" t="s">
        <v>199</v>
      </c>
    </row>
    <row r="35" spans="1:5">
      <c r="A35" s="506" t="s">
        <v>200</v>
      </c>
    </row>
    <row r="36" spans="1:5" ht="18" customHeight="1">
      <c r="B36" s="368" t="s">
        <v>201</v>
      </c>
      <c r="C36" s="508">
        <v>33325530.609999999</v>
      </c>
      <c r="E36" s="368" t="s">
        <v>199</v>
      </c>
    </row>
    <row r="37" spans="1:5">
      <c r="B37" s="368" t="s">
        <v>202</v>
      </c>
      <c r="C37" s="509">
        <v>-17050.27</v>
      </c>
      <c r="E37" s="368" t="s">
        <v>199</v>
      </c>
    </row>
    <row r="38" spans="1:5" ht="17.25" customHeight="1">
      <c r="B38" s="368" t="s">
        <v>201</v>
      </c>
      <c r="C38" s="510">
        <f>SUM(C36:C37)</f>
        <v>33308480.34</v>
      </c>
    </row>
    <row r="41" spans="1:5">
      <c r="A41" s="506" t="s">
        <v>203</v>
      </c>
    </row>
    <row r="42" spans="1:5" ht="18" customHeight="1">
      <c r="B42" s="368" t="s">
        <v>204</v>
      </c>
      <c r="C42" s="508">
        <v>6785358.7300000004</v>
      </c>
      <c r="E42" s="368" t="s">
        <v>199</v>
      </c>
    </row>
    <row r="43" spans="1:5">
      <c r="B43" s="368" t="s">
        <v>205</v>
      </c>
      <c r="C43" s="509">
        <v>175920.77</v>
      </c>
      <c r="E43" s="368" t="s">
        <v>199</v>
      </c>
    </row>
    <row r="44" spans="1:5" ht="17.25" customHeight="1">
      <c r="B44" s="368" t="s">
        <v>184</v>
      </c>
      <c r="C44" s="508">
        <f>SUM(C42:C43)</f>
        <v>6961279.5</v>
      </c>
    </row>
  </sheetData>
  <mergeCells count="4">
    <mergeCell ref="A5:E5"/>
    <mergeCell ref="A6:E6"/>
    <mergeCell ref="B25:C25"/>
    <mergeCell ref="A7:E7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G28"/>
  <sheetViews>
    <sheetView workbookViewId="0">
      <selection activeCell="A24" sqref="A24:C28"/>
    </sheetView>
  </sheetViews>
  <sheetFormatPr defaultColWidth="7.109375" defaultRowHeight="12.75"/>
  <cols>
    <col min="1" max="1" width="4.109375" style="368" customWidth="1"/>
    <col min="2" max="2" width="30.33203125" style="368" customWidth="1"/>
    <col min="3" max="3" width="11.109375" style="508" customWidth="1"/>
    <col min="4" max="16384" width="7.109375" style="368"/>
  </cols>
  <sheetData>
    <row r="2" spans="1:7">
      <c r="G2" s="352" t="str">
        <f>+'PREC Gross Plant'!F2</f>
        <v>Powder River Energy Corporation</v>
      </c>
    </row>
    <row r="3" spans="1:7">
      <c r="G3" s="556" t="s">
        <v>661</v>
      </c>
    </row>
    <row r="5" spans="1:7" ht="15.75">
      <c r="A5" s="1174" t="s">
        <v>109</v>
      </c>
      <c r="B5" s="1174"/>
      <c r="C5" s="1174"/>
    </row>
    <row r="6" spans="1:7">
      <c r="A6" s="1175" t="s">
        <v>495</v>
      </c>
      <c r="B6" s="1176"/>
      <c r="C6" s="1176"/>
    </row>
    <row r="9" spans="1:7">
      <c r="A9" s="506" t="s">
        <v>483</v>
      </c>
      <c r="C9" s="132"/>
    </row>
    <row r="10" spans="1:7">
      <c r="C10" s="132"/>
    </row>
    <row r="11" spans="1:7">
      <c r="B11" s="599" t="s">
        <v>485</v>
      </c>
      <c r="C11" s="103">
        <v>100000</v>
      </c>
    </row>
    <row r="12" spans="1:7" ht="12.75" customHeight="1">
      <c r="B12" s="599"/>
      <c r="C12" s="103"/>
    </row>
    <row r="13" spans="1:7">
      <c r="B13" s="599" t="s">
        <v>484</v>
      </c>
      <c r="C13" s="103">
        <f>2872.5+(37000+25000)/3</f>
        <v>23539.166666666668</v>
      </c>
    </row>
    <row r="14" spans="1:7">
      <c r="B14" s="599"/>
      <c r="C14" s="103"/>
    </row>
    <row r="15" spans="1:7">
      <c r="B15" s="599" t="s">
        <v>486</v>
      </c>
      <c r="C15" s="103">
        <v>10000</v>
      </c>
    </row>
    <row r="16" spans="1:7">
      <c r="B16" s="599"/>
      <c r="C16" s="103"/>
    </row>
    <row r="17" spans="1:6">
      <c r="B17" s="599" t="s">
        <v>493</v>
      </c>
      <c r="C17" s="103">
        <v>20000</v>
      </c>
    </row>
    <row r="18" spans="1:6">
      <c r="B18" s="589"/>
      <c r="C18" s="103"/>
    </row>
    <row r="19" spans="1:6" ht="16.5" customHeight="1">
      <c r="B19" s="664" t="s">
        <v>488</v>
      </c>
      <c r="C19" s="103">
        <f>SUM(C11:C18)</f>
        <v>153539.16666666669</v>
      </c>
    </row>
    <row r="20" spans="1:6">
      <c r="A20" s="589"/>
      <c r="B20" s="589"/>
      <c r="C20" s="103"/>
      <c r="D20" s="589"/>
      <c r="E20" s="589"/>
      <c r="F20" s="589"/>
    </row>
    <row r="21" spans="1:6">
      <c r="A21" s="664" t="s">
        <v>487</v>
      </c>
      <c r="C21" s="665">
        <f>+C19/3</f>
        <v>51179.722222222226</v>
      </c>
      <c r="D21" s="589"/>
      <c r="E21" s="589"/>
      <c r="F21" s="589"/>
    </row>
    <row r="22" spans="1:6">
      <c r="A22" s="589"/>
      <c r="B22" s="589"/>
      <c r="C22" s="103"/>
      <c r="D22" s="589"/>
      <c r="E22" s="589"/>
      <c r="F22" s="589"/>
    </row>
    <row r="23" spans="1:6">
      <c r="A23" s="589"/>
      <c r="B23" s="589"/>
      <c r="C23" s="103"/>
      <c r="D23" s="589"/>
      <c r="E23" s="589"/>
      <c r="F23" s="589"/>
    </row>
    <row r="24" spans="1:6">
      <c r="A24" s="506" t="s">
        <v>494</v>
      </c>
      <c r="C24" s="132"/>
    </row>
    <row r="25" spans="1:6">
      <c r="C25" s="132"/>
    </row>
    <row r="26" spans="1:6">
      <c r="B26" s="518" t="s">
        <v>489</v>
      </c>
      <c r="C26" s="132">
        <v>7000</v>
      </c>
    </row>
    <row r="28" spans="1:6">
      <c r="A28" s="506" t="s">
        <v>490</v>
      </c>
      <c r="B28" s="506"/>
      <c r="C28" s="604">
        <f>+C26</f>
        <v>7000</v>
      </c>
    </row>
  </sheetData>
  <mergeCells count="2">
    <mergeCell ref="A5:C5"/>
    <mergeCell ref="A6:C6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I34"/>
  <sheetViews>
    <sheetView topLeftCell="A9" workbookViewId="0">
      <selection activeCell="B27" sqref="B27"/>
    </sheetView>
  </sheetViews>
  <sheetFormatPr defaultColWidth="7.109375" defaultRowHeight="12.75"/>
  <cols>
    <col min="1" max="1" width="5.88671875" style="518" customWidth="1"/>
    <col min="2" max="2" width="7.109375" style="518" customWidth="1"/>
    <col min="3" max="6" width="9.88671875" style="518" customWidth="1"/>
    <col min="7" max="7" width="10.77734375" style="518" customWidth="1"/>
    <col min="8" max="8" width="10.44140625" style="518" customWidth="1"/>
    <col min="9" max="16384" width="7.109375" style="518"/>
  </cols>
  <sheetData>
    <row r="1" spans="2:9">
      <c r="I1" s="352" t="str">
        <f>+'PREC Reg Exp'!G2</f>
        <v>Powder River Energy Corporation</v>
      </c>
    </row>
    <row r="2" spans="2:9">
      <c r="I2" s="556" t="s">
        <v>662</v>
      </c>
    </row>
    <row r="5" spans="2:9" ht="15.75">
      <c r="B5" s="1174" t="s">
        <v>109</v>
      </c>
      <c r="C5" s="1174"/>
      <c r="D5" s="1174"/>
      <c r="E5" s="1174"/>
      <c r="F5" s="1174"/>
      <c r="G5" s="1174"/>
      <c r="H5" s="1174"/>
    </row>
    <row r="6" spans="2:9" s="517" customFormat="1">
      <c r="B6" s="1189" t="s">
        <v>206</v>
      </c>
      <c r="C6" s="1189"/>
      <c r="D6" s="1189"/>
      <c r="E6" s="1189"/>
      <c r="F6" s="1189"/>
      <c r="G6" s="1189"/>
      <c r="H6" s="1189"/>
    </row>
    <row r="7" spans="2:9">
      <c r="B7" s="1175" t="s">
        <v>207</v>
      </c>
      <c r="C7" s="1175"/>
      <c r="D7" s="1175"/>
      <c r="E7" s="1175"/>
      <c r="F7" s="1175"/>
      <c r="G7" s="1175"/>
      <c r="H7" s="1175"/>
    </row>
    <row r="10" spans="2:9">
      <c r="C10" s="519" t="s">
        <v>208</v>
      </c>
      <c r="D10" s="519" t="s">
        <v>208</v>
      </c>
    </row>
    <row r="11" spans="2:9" s="520" customFormat="1">
      <c r="C11" s="519" t="s">
        <v>209</v>
      </c>
      <c r="D11" s="519" t="s">
        <v>209</v>
      </c>
      <c r="E11" s="521" t="s">
        <v>210</v>
      </c>
      <c r="F11" s="521" t="s">
        <v>210</v>
      </c>
      <c r="G11" s="519" t="s">
        <v>210</v>
      </c>
      <c r="H11" s="522"/>
      <c r="I11" s="522"/>
    </row>
    <row r="12" spans="2:9" s="520" customFormat="1">
      <c r="C12" s="519" t="s">
        <v>678</v>
      </c>
      <c r="D12" s="519" t="s">
        <v>52</v>
      </c>
      <c r="E12" s="519" t="s">
        <v>678</v>
      </c>
      <c r="F12" s="519" t="s">
        <v>52</v>
      </c>
      <c r="G12" s="519" t="s">
        <v>211</v>
      </c>
      <c r="H12" s="522"/>
      <c r="I12" s="522"/>
    </row>
    <row r="13" spans="2:9" s="520" customFormat="1">
      <c r="B13" s="523"/>
      <c r="C13" s="524" t="s">
        <v>218</v>
      </c>
      <c r="D13" s="524" t="s">
        <v>219</v>
      </c>
      <c r="E13" s="524" t="s">
        <v>220</v>
      </c>
      <c r="F13" s="524" t="s">
        <v>221</v>
      </c>
      <c r="G13" s="525" t="s">
        <v>222</v>
      </c>
      <c r="H13" s="524" t="s">
        <v>223</v>
      </c>
      <c r="I13" s="526"/>
    </row>
    <row r="14" spans="2:9" ht="18" customHeight="1">
      <c r="B14" s="527">
        <v>37257</v>
      </c>
      <c r="C14" s="593">
        <v>2362.23</v>
      </c>
      <c r="D14" s="593">
        <v>4109.04</v>
      </c>
      <c r="E14" s="593">
        <v>78816.039999999994</v>
      </c>
      <c r="F14" s="593">
        <v>255988.73</v>
      </c>
      <c r="G14" s="593">
        <v>32366.09</v>
      </c>
      <c r="H14" s="593">
        <f t="shared" ref="H14:H25" si="0">SUM(C14:G14)</f>
        <v>373642.13000000006</v>
      </c>
    </row>
    <row r="15" spans="2:9" ht="15" customHeight="1">
      <c r="B15" s="527">
        <v>37288</v>
      </c>
      <c r="C15" s="593">
        <v>2367.23</v>
      </c>
      <c r="D15" s="593">
        <v>4118.54</v>
      </c>
      <c r="E15" s="593">
        <v>78816.039999999994</v>
      </c>
      <c r="F15" s="593">
        <v>255988.73</v>
      </c>
      <c r="G15" s="593">
        <v>32393.77</v>
      </c>
      <c r="H15" s="593">
        <f t="shared" si="0"/>
        <v>373684.31000000006</v>
      </c>
    </row>
    <row r="16" spans="2:9" ht="15" customHeight="1">
      <c r="B16" s="527">
        <v>37316</v>
      </c>
      <c r="C16" s="593">
        <v>2367.23</v>
      </c>
      <c r="D16" s="593">
        <v>4118.63</v>
      </c>
      <c r="E16" s="593">
        <v>78816.039999999994</v>
      </c>
      <c r="F16" s="593">
        <v>259979.6</v>
      </c>
      <c r="G16" s="593">
        <v>32760.52</v>
      </c>
      <c r="H16" s="593">
        <f t="shared" si="0"/>
        <v>378042.02</v>
      </c>
    </row>
    <row r="17" spans="2:8" ht="15" customHeight="1">
      <c r="B17" s="527">
        <v>37347</v>
      </c>
      <c r="C17" s="593">
        <v>2367.23</v>
      </c>
      <c r="D17" s="593">
        <v>4156.62</v>
      </c>
      <c r="E17" s="593">
        <v>78816.039999999994</v>
      </c>
      <c r="F17" s="593">
        <v>269926.76</v>
      </c>
      <c r="G17" s="593">
        <v>32683.93</v>
      </c>
      <c r="H17" s="593">
        <f t="shared" si="0"/>
        <v>387950.58</v>
      </c>
    </row>
    <row r="18" spans="2:8" ht="15" customHeight="1">
      <c r="B18" s="527">
        <v>37377</v>
      </c>
      <c r="C18" s="593">
        <v>2371.77</v>
      </c>
      <c r="D18" s="593">
        <v>4156.62</v>
      </c>
      <c r="E18" s="593">
        <v>78816.039999999994</v>
      </c>
      <c r="F18" s="593">
        <v>272756.65000000002</v>
      </c>
      <c r="G18" s="593">
        <v>32991.480000000003</v>
      </c>
      <c r="H18" s="593">
        <f t="shared" si="0"/>
        <v>391092.56</v>
      </c>
    </row>
    <row r="19" spans="2:8" ht="15" customHeight="1">
      <c r="B19" s="527">
        <v>37408</v>
      </c>
      <c r="C19" s="594">
        <v>2371.77</v>
      </c>
      <c r="D19" s="594">
        <v>4157.25</v>
      </c>
      <c r="E19" s="594">
        <v>78816.039999999994</v>
      </c>
      <c r="F19" s="594">
        <v>272756.65000000002</v>
      </c>
      <c r="G19" s="594">
        <v>33613.160000000003</v>
      </c>
      <c r="H19" s="593">
        <f t="shared" si="0"/>
        <v>391714.87</v>
      </c>
    </row>
    <row r="20" spans="2:8" ht="15" customHeight="1">
      <c r="B20" s="527">
        <v>37438</v>
      </c>
      <c r="C20" s="595">
        <v>2372.19</v>
      </c>
      <c r="D20" s="595">
        <v>4157.25</v>
      </c>
      <c r="E20" s="595">
        <v>78816.039999999994</v>
      </c>
      <c r="F20" s="595">
        <v>278824.2</v>
      </c>
      <c r="G20" s="595">
        <f>32490.64+1191.13</f>
        <v>33681.769999999997</v>
      </c>
      <c r="H20" s="593">
        <f t="shared" si="0"/>
        <v>397851.45</v>
      </c>
    </row>
    <row r="21" spans="2:8" ht="15" customHeight="1">
      <c r="B21" s="527">
        <v>37469</v>
      </c>
      <c r="C21" s="595">
        <v>2372.19</v>
      </c>
      <c r="D21" s="595">
        <v>4174.3500000000004</v>
      </c>
      <c r="E21" s="595">
        <v>78816.039999999994</v>
      </c>
      <c r="F21" s="595">
        <v>283911.56</v>
      </c>
      <c r="G21" s="595">
        <f>32846.21+1191.13</f>
        <v>34037.339999999997</v>
      </c>
      <c r="H21" s="593">
        <f t="shared" si="0"/>
        <v>403311.48</v>
      </c>
    </row>
    <row r="22" spans="2:8" ht="15" customHeight="1">
      <c r="B22" s="527">
        <v>37500</v>
      </c>
      <c r="C22" s="595">
        <v>2372.19</v>
      </c>
      <c r="D22" s="595">
        <v>4174.3500000000004</v>
      </c>
      <c r="E22" s="595">
        <v>78816.039999999994</v>
      </c>
      <c r="F22" s="595">
        <v>284532.09999999998</v>
      </c>
      <c r="G22" s="595">
        <f>33215.54+1191.13</f>
        <v>34406.67</v>
      </c>
      <c r="H22" s="593">
        <f t="shared" si="0"/>
        <v>404301.34999999992</v>
      </c>
    </row>
    <row r="23" spans="2:8" ht="15" customHeight="1">
      <c r="B23" s="527">
        <v>37530</v>
      </c>
      <c r="C23" s="596">
        <v>2372.19</v>
      </c>
      <c r="D23" s="596">
        <v>4175.43</v>
      </c>
      <c r="E23" s="596">
        <v>78816.039999999994</v>
      </c>
      <c r="F23" s="596">
        <v>289271.11</v>
      </c>
      <c r="G23" s="596">
        <f>33077.96+1191.13</f>
        <v>34269.089999999997</v>
      </c>
      <c r="H23" s="593">
        <f t="shared" si="0"/>
        <v>408903.86</v>
      </c>
    </row>
    <row r="24" spans="2:8" ht="15" customHeight="1">
      <c r="B24" s="527">
        <v>37561</v>
      </c>
      <c r="C24" s="596">
        <v>2372.19</v>
      </c>
      <c r="D24" s="596">
        <v>4175.99</v>
      </c>
      <c r="E24" s="596">
        <v>78816.039999999994</v>
      </c>
      <c r="F24" s="596">
        <v>293059.08</v>
      </c>
      <c r="G24" s="596">
        <f>33757.6+1191.13</f>
        <v>34948.729999999996</v>
      </c>
      <c r="H24" s="593">
        <f t="shared" si="0"/>
        <v>413372.03</v>
      </c>
    </row>
    <row r="25" spans="2:8" ht="15" customHeight="1">
      <c r="B25" s="529">
        <v>37591</v>
      </c>
      <c r="C25" s="597">
        <v>2372.19</v>
      </c>
      <c r="D25" s="597">
        <v>4176.3900000000003</v>
      </c>
      <c r="E25" s="597">
        <v>78816.039999999994</v>
      </c>
      <c r="F25" s="597">
        <v>296226.44</v>
      </c>
      <c r="G25" s="597">
        <f>34115.07+1191.13</f>
        <v>35306.199999999997</v>
      </c>
      <c r="H25" s="598">
        <f t="shared" si="0"/>
        <v>416897.26</v>
      </c>
    </row>
    <row r="26" spans="2:8" ht="21" customHeight="1">
      <c r="B26" s="518" t="s">
        <v>669</v>
      </c>
      <c r="C26" s="593">
        <f t="shared" ref="C26:H26" si="1">SUM(C14:C25)</f>
        <v>28440.599999999995</v>
      </c>
      <c r="D26" s="593">
        <f t="shared" si="1"/>
        <v>49850.459999999992</v>
      </c>
      <c r="E26" s="593">
        <f t="shared" si="1"/>
        <v>945792.4800000001</v>
      </c>
      <c r="F26" s="593">
        <f t="shared" si="1"/>
        <v>3313221.61</v>
      </c>
      <c r="G26" s="593">
        <f t="shared" si="1"/>
        <v>403458.74999999994</v>
      </c>
      <c r="H26" s="593">
        <f t="shared" si="1"/>
        <v>4740763.9000000004</v>
      </c>
    </row>
    <row r="29" spans="2:8">
      <c r="B29" s="530" t="s">
        <v>224</v>
      </c>
    </row>
    <row r="31" spans="2:8">
      <c r="B31" s="518" t="s">
        <v>225</v>
      </c>
      <c r="E31" s="528" t="s">
        <v>226</v>
      </c>
      <c r="F31" s="528"/>
      <c r="G31" s="593">
        <f>+C26+E26</f>
        <v>974233.08000000007</v>
      </c>
    </row>
    <row r="32" spans="2:8">
      <c r="B32" s="518" t="s">
        <v>227</v>
      </c>
      <c r="E32" s="528" t="s">
        <v>228</v>
      </c>
      <c r="F32" s="528"/>
      <c r="G32" s="593">
        <f>+D26+F26</f>
        <v>3363072.07</v>
      </c>
    </row>
    <row r="33" spans="2:7">
      <c r="B33" s="518" t="s">
        <v>229</v>
      </c>
      <c r="E33" s="528" t="s">
        <v>230</v>
      </c>
      <c r="F33" s="528"/>
      <c r="G33" s="598">
        <f>+G26</f>
        <v>403458.74999999994</v>
      </c>
    </row>
    <row r="34" spans="2:7" ht="16.5" customHeight="1">
      <c r="B34" s="518" t="s">
        <v>316</v>
      </c>
      <c r="G34" s="593">
        <f>SUM(G31:G33)</f>
        <v>4740763.9000000004</v>
      </c>
    </row>
  </sheetData>
  <mergeCells count="3">
    <mergeCell ref="B5:H5"/>
    <mergeCell ref="B6:H6"/>
    <mergeCell ref="B7:H7"/>
  </mergeCells>
  <phoneticPr fontId="29" type="noConversion"/>
  <printOptions horizontalCentered="1"/>
  <pageMargins left="0.75" right="0.75" top="1" bottom="1" header="0.5" footer="0.5"/>
  <pageSetup scale="10" orientation="portrait" r:id="rId1"/>
  <headerFooter alignWithMargins="0">
    <oddHeader>&amp;RExhibit No. BBP-8
&amp;P of 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F23"/>
  <sheetViews>
    <sheetView workbookViewId="0">
      <selection activeCell="B21" sqref="B21"/>
    </sheetView>
  </sheetViews>
  <sheetFormatPr defaultColWidth="7.109375" defaultRowHeight="12.75"/>
  <cols>
    <col min="1" max="1" width="7.109375" style="368" customWidth="1"/>
    <col min="2" max="2" width="25" style="368" customWidth="1"/>
    <col min="3" max="3" width="11.44140625" style="368" customWidth="1"/>
    <col min="4" max="4" width="10.109375" style="368" customWidth="1"/>
    <col min="5" max="5" width="11.44140625" style="368" customWidth="1"/>
    <col min="6" max="16384" width="7.109375" style="368"/>
  </cols>
  <sheetData>
    <row r="1" spans="1:6">
      <c r="F1" s="352" t="str">
        <f>+'PREC Deprec System'!I1</f>
        <v>Powder River Energy Corporation</v>
      </c>
    </row>
    <row r="2" spans="1:6">
      <c r="F2" s="556" t="s">
        <v>663</v>
      </c>
    </row>
    <row r="5" spans="1:6" ht="15.75">
      <c r="A5" s="1174" t="s">
        <v>109</v>
      </c>
      <c r="B5" s="1174"/>
      <c r="C5" s="1174"/>
      <c r="D5" s="1174"/>
      <c r="E5" s="1174"/>
    </row>
    <row r="6" spans="1:6">
      <c r="A6" s="1189" t="s">
        <v>499</v>
      </c>
      <c r="B6" s="1189"/>
      <c r="C6" s="1189"/>
      <c r="D6" s="1189"/>
      <c r="E6" s="1189"/>
    </row>
    <row r="7" spans="1:6">
      <c r="A7" s="1201" t="s">
        <v>207</v>
      </c>
      <c r="B7" s="1202"/>
      <c r="C7" s="1202"/>
      <c r="D7" s="1202"/>
      <c r="E7" s="1202"/>
    </row>
    <row r="10" spans="1:6">
      <c r="A10" s="445" t="s">
        <v>317</v>
      </c>
      <c r="B10" s="517"/>
      <c r="C10" s="531" t="s">
        <v>318</v>
      </c>
      <c r="D10" s="531" t="s">
        <v>91</v>
      </c>
      <c r="E10" s="445" t="s">
        <v>91</v>
      </c>
    </row>
    <row r="11" spans="1:6" ht="13.5" thickBot="1">
      <c r="A11" s="672" t="s">
        <v>668</v>
      </c>
      <c r="B11" s="672" t="s">
        <v>92</v>
      </c>
      <c r="C11" s="673" t="s">
        <v>748</v>
      </c>
      <c r="D11" s="673" t="s">
        <v>319</v>
      </c>
      <c r="E11" s="674" t="s">
        <v>96</v>
      </c>
    </row>
    <row r="12" spans="1:6" s="517" customFormat="1" ht="19.5" customHeight="1">
      <c r="A12" s="532">
        <v>350.4</v>
      </c>
      <c r="B12" s="517" t="s">
        <v>320</v>
      </c>
      <c r="C12" s="601">
        <v>502138.73</v>
      </c>
      <c r="D12" s="534">
        <v>0.02</v>
      </c>
      <c r="E12" s="602">
        <f t="shared" ref="E12:E19" si="0">ROUND(C12*D12,2)</f>
        <v>10042.77</v>
      </c>
    </row>
    <row r="13" spans="1:6" s="517" customFormat="1" ht="15" customHeight="1">
      <c r="A13" s="532">
        <v>355.4</v>
      </c>
      <c r="B13" s="517" t="s">
        <v>321</v>
      </c>
      <c r="C13" s="601">
        <v>2156164.6</v>
      </c>
      <c r="D13" s="534">
        <v>2.75E-2</v>
      </c>
      <c r="E13" s="602">
        <f t="shared" si="0"/>
        <v>59294.53</v>
      </c>
    </row>
    <row r="14" spans="1:6" s="517" customFormat="1" ht="15" customHeight="1">
      <c r="A14" s="532">
        <v>356.4</v>
      </c>
      <c r="B14" s="517" t="s">
        <v>342</v>
      </c>
      <c r="C14" s="601">
        <v>3818947.73</v>
      </c>
      <c r="D14" s="534">
        <v>2.75E-2</v>
      </c>
      <c r="E14" s="602">
        <f t="shared" si="0"/>
        <v>105021.06</v>
      </c>
    </row>
    <row r="15" spans="1:6" s="517" customFormat="1" ht="15" customHeight="1">
      <c r="A15" s="535">
        <v>353.4</v>
      </c>
      <c r="B15" s="517" t="s">
        <v>161</v>
      </c>
      <c r="C15" s="601">
        <v>1491608.81</v>
      </c>
      <c r="D15" s="534">
        <v>2.75E-2</v>
      </c>
      <c r="E15" s="602">
        <f t="shared" si="0"/>
        <v>41019.24</v>
      </c>
    </row>
    <row r="16" spans="1:6" s="517" customFormat="1" ht="15" customHeight="1">
      <c r="A16" s="535">
        <f>+A15</f>
        <v>353.4</v>
      </c>
      <c r="B16" s="517" t="str">
        <f>+'PREC Facilities'!B14</f>
        <v>Osage Sub 230 kv equipment</v>
      </c>
      <c r="C16" s="601">
        <v>245068.4</v>
      </c>
      <c r="D16" s="534">
        <f>+D15</f>
        <v>2.75E-2</v>
      </c>
      <c r="E16" s="602">
        <f>+D16*C16</f>
        <v>6739.3810000000003</v>
      </c>
    </row>
    <row r="17" spans="1:6" s="517" customFormat="1" ht="15" customHeight="1">
      <c r="A17" s="535">
        <v>353.4</v>
      </c>
      <c r="B17" s="517" t="s">
        <v>162</v>
      </c>
      <c r="C17" s="601">
        <v>1072004.04</v>
      </c>
      <c r="D17" s="534">
        <v>2.75E-2</v>
      </c>
      <c r="E17" s="602">
        <f t="shared" si="0"/>
        <v>29480.11</v>
      </c>
    </row>
    <row r="18" spans="1:6" s="517" customFormat="1" ht="15" customHeight="1">
      <c r="A18" s="535">
        <v>353.4</v>
      </c>
      <c r="B18" s="517" t="s">
        <v>163</v>
      </c>
      <c r="C18" s="601">
        <v>813058.78</v>
      </c>
      <c r="D18" s="534">
        <v>2.75E-2</v>
      </c>
      <c r="E18" s="602">
        <f t="shared" si="0"/>
        <v>22359.119999999999</v>
      </c>
    </row>
    <row r="19" spans="1:6" s="517" customFormat="1" ht="15" customHeight="1" thickBot="1">
      <c r="A19" s="691">
        <v>353.4</v>
      </c>
      <c r="B19" s="669" t="s">
        <v>164</v>
      </c>
      <c r="C19" s="692">
        <v>1113567.98</v>
      </c>
      <c r="D19" s="670">
        <v>2.75E-2</v>
      </c>
      <c r="E19" s="671">
        <f t="shared" si="0"/>
        <v>30623.119999999999</v>
      </c>
    </row>
    <row r="20" spans="1:6" s="517" customFormat="1" ht="16.5" customHeight="1">
      <c r="A20" s="445"/>
      <c r="B20" s="599" t="s">
        <v>669</v>
      </c>
      <c r="C20" s="601">
        <f>SUM(C12:C19)</f>
        <v>11212559.070000002</v>
      </c>
      <c r="D20" s="533"/>
      <c r="E20" s="601">
        <f>SUM(E12:E19)</f>
        <v>304579.33099999995</v>
      </c>
      <c r="F20" s="599"/>
    </row>
    <row r="21" spans="1:6" s="517" customFormat="1">
      <c r="B21" s="599"/>
      <c r="C21" s="600" t="s">
        <v>665</v>
      </c>
      <c r="D21" s="600"/>
      <c r="E21" s="599"/>
      <c r="F21" s="599"/>
    </row>
    <row r="22" spans="1:6">
      <c r="B22" s="589"/>
      <c r="C22" s="589"/>
      <c r="D22" s="589"/>
      <c r="E22" s="589"/>
      <c r="F22" s="589"/>
    </row>
    <row r="23" spans="1:6">
      <c r="B23" s="589"/>
      <c r="C23" s="589"/>
      <c r="D23" s="589"/>
      <c r="E23" s="589"/>
      <c r="F23" s="589"/>
    </row>
  </sheetData>
  <mergeCells count="3">
    <mergeCell ref="A5:E5"/>
    <mergeCell ref="A6:E6"/>
    <mergeCell ref="A7:E7"/>
  </mergeCells>
  <phoneticPr fontId="29" type="noConversion"/>
  <printOptions horizontalCentered="1"/>
  <pageMargins left="0.7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37"/>
  <sheetViews>
    <sheetView workbookViewId="0">
      <pane xSplit="1" topLeftCell="B1" activePane="topRight" state="frozen"/>
      <selection activeCell="B21" sqref="B21"/>
      <selection pane="topRight" activeCell="A30" sqref="A30"/>
    </sheetView>
  </sheetViews>
  <sheetFormatPr defaultColWidth="7.109375" defaultRowHeight="12.75"/>
  <cols>
    <col min="1" max="1" width="11.109375" style="368" customWidth="1"/>
    <col min="2" max="14" width="7.77734375" style="368" customWidth="1"/>
    <col min="15" max="15" width="11.109375" style="368" customWidth="1"/>
    <col min="16" max="16384" width="7.109375" style="368"/>
  </cols>
  <sheetData>
    <row r="1" spans="1:14">
      <c r="N1" s="352" t="str">
        <f>+'PREC Deprec CU '!F1</f>
        <v>Powder River Energy Corporation</v>
      </c>
    </row>
    <row r="2" spans="1:14">
      <c r="N2" s="556" t="s">
        <v>664</v>
      </c>
    </row>
    <row r="6" spans="1:14" ht="15">
      <c r="A6" s="1203" t="s">
        <v>109</v>
      </c>
      <c r="B6" s="1203"/>
      <c r="C6" s="1203"/>
      <c r="D6" s="1203"/>
      <c r="E6" s="1203"/>
      <c r="F6" s="1203"/>
      <c r="G6" s="1203"/>
      <c r="H6" s="1203"/>
      <c r="I6" s="1203"/>
      <c r="J6" s="1203"/>
      <c r="K6" s="1203"/>
      <c r="L6" s="1203"/>
      <c r="M6" s="1203"/>
      <c r="N6" s="1203"/>
    </row>
    <row r="7" spans="1:14">
      <c r="A7" s="1176" t="s">
        <v>343</v>
      </c>
      <c r="B7" s="1176"/>
      <c r="C7" s="1176"/>
      <c r="D7" s="1176"/>
      <c r="E7" s="1176"/>
      <c r="F7" s="1176"/>
      <c r="G7" s="1176"/>
      <c r="H7" s="1176"/>
      <c r="I7" s="1176"/>
      <c r="J7" s="1176"/>
      <c r="K7" s="1176"/>
      <c r="L7" s="1176"/>
      <c r="M7" s="1176"/>
      <c r="N7" s="1176"/>
    </row>
    <row r="8" spans="1:14">
      <c r="A8" s="1176" t="s">
        <v>344</v>
      </c>
      <c r="B8" s="1176"/>
      <c r="C8" s="1176"/>
      <c r="D8" s="1176"/>
      <c r="E8" s="1176"/>
      <c r="F8" s="1176"/>
      <c r="G8" s="1176"/>
      <c r="H8" s="1176"/>
      <c r="I8" s="1176"/>
      <c r="J8" s="1176"/>
      <c r="K8" s="1176"/>
      <c r="L8" s="1176"/>
      <c r="M8" s="1176"/>
      <c r="N8" s="1176"/>
    </row>
    <row r="13" spans="1:14">
      <c r="A13" s="505" t="s">
        <v>345</v>
      </c>
    </row>
    <row r="14" spans="1:14" s="505" customFormat="1">
      <c r="A14" s="536" t="s">
        <v>346</v>
      </c>
      <c r="B14" s="536" t="s">
        <v>371</v>
      </c>
      <c r="C14" s="536" t="s">
        <v>372</v>
      </c>
      <c r="D14" s="537" t="s">
        <v>373</v>
      </c>
      <c r="E14" s="536" t="s">
        <v>374</v>
      </c>
      <c r="F14" s="536" t="s">
        <v>375</v>
      </c>
      <c r="G14" s="537" t="s">
        <v>376</v>
      </c>
      <c r="H14" s="536" t="s">
        <v>377</v>
      </c>
      <c r="I14" s="536" t="s">
        <v>378</v>
      </c>
      <c r="J14" s="536" t="s">
        <v>379</v>
      </c>
      <c r="K14" s="536" t="s">
        <v>380</v>
      </c>
      <c r="L14" s="536" t="s">
        <v>381</v>
      </c>
      <c r="M14" s="536" t="s">
        <v>382</v>
      </c>
      <c r="N14" s="536" t="s">
        <v>383</v>
      </c>
    </row>
    <row r="15" spans="1:14" s="507" customFormat="1" ht="18.75" customHeight="1">
      <c r="A15" s="507" t="s">
        <v>384</v>
      </c>
      <c r="B15" s="132">
        <v>660.52</v>
      </c>
      <c r="C15" s="132">
        <v>660.52</v>
      </c>
      <c r="D15" s="132">
        <v>660.52</v>
      </c>
      <c r="E15" s="132">
        <v>660.52</v>
      </c>
      <c r="F15" s="132">
        <v>660.52</v>
      </c>
      <c r="G15" s="132">
        <v>660.52</v>
      </c>
      <c r="H15" s="132">
        <v>825.66</v>
      </c>
      <c r="I15" s="132">
        <v>743.09</v>
      </c>
      <c r="J15" s="132">
        <v>743.09</v>
      </c>
      <c r="K15" s="132">
        <v>743.09</v>
      </c>
      <c r="L15" s="132">
        <v>743.09</v>
      </c>
      <c r="M15" s="132">
        <v>743.09</v>
      </c>
      <c r="N15" s="132">
        <v>743.09</v>
      </c>
    </row>
    <row r="16" spans="1:14" s="507" customFormat="1">
      <c r="A16" s="507" t="s">
        <v>385</v>
      </c>
      <c r="B16" s="132">
        <v>2218.0500000000002</v>
      </c>
      <c r="C16" s="132">
        <v>2218.0500000000002</v>
      </c>
      <c r="D16" s="132">
        <v>2218.0500000000002</v>
      </c>
      <c r="E16" s="132">
        <v>2218.0500000000002</v>
      </c>
      <c r="F16" s="132">
        <v>2218.0500000000002</v>
      </c>
      <c r="G16" s="132">
        <v>2218.0500000000002</v>
      </c>
      <c r="H16" s="132">
        <v>2025.18</v>
      </c>
      <c r="I16" s="132">
        <v>2121.62</v>
      </c>
      <c r="J16" s="132">
        <v>2121.62</v>
      </c>
      <c r="K16" s="132">
        <v>2121.62</v>
      </c>
      <c r="L16" s="132">
        <v>2121.62</v>
      </c>
      <c r="M16" s="132">
        <v>2121.62</v>
      </c>
      <c r="N16" s="132">
        <v>2121.62</v>
      </c>
    </row>
    <row r="17" spans="1:14" s="507" customFormat="1">
      <c r="A17" s="507" t="s">
        <v>386</v>
      </c>
      <c r="B17" s="132">
        <v>2324.1799999999998</v>
      </c>
      <c r="C17" s="132">
        <v>2324.1799999999998</v>
      </c>
      <c r="D17" s="132">
        <v>2324.1799999999998</v>
      </c>
      <c r="E17" s="132">
        <v>1957.2</v>
      </c>
      <c r="F17" s="132">
        <v>1957.2</v>
      </c>
      <c r="G17" s="132">
        <v>1957.2</v>
      </c>
      <c r="H17" s="132">
        <v>1957.2</v>
      </c>
      <c r="I17" s="132">
        <v>1957.2</v>
      </c>
      <c r="J17" s="132">
        <v>1957.2</v>
      </c>
      <c r="K17" s="132">
        <v>1957.2</v>
      </c>
      <c r="L17" s="132">
        <v>1957.2</v>
      </c>
      <c r="M17" s="132">
        <v>1957.2</v>
      </c>
      <c r="N17" s="132">
        <v>1957.2</v>
      </c>
    </row>
    <row r="18" spans="1:14" s="507" customFormat="1">
      <c r="A18" s="507" t="s">
        <v>387</v>
      </c>
      <c r="B18" s="132">
        <v>7395.73</v>
      </c>
      <c r="C18" s="132">
        <v>4354.99</v>
      </c>
      <c r="D18" s="132">
        <v>4354.99</v>
      </c>
      <c r="E18" s="132">
        <v>10978.51</v>
      </c>
      <c r="F18" s="132">
        <v>10978.51</v>
      </c>
      <c r="G18" s="132">
        <v>10978.51</v>
      </c>
      <c r="H18" s="132">
        <v>10978.51</v>
      </c>
      <c r="I18" s="132">
        <v>9822.8799999999992</v>
      </c>
      <c r="J18" s="132">
        <v>9822.8799999999992</v>
      </c>
      <c r="K18" s="132">
        <v>9245.06</v>
      </c>
      <c r="L18" s="132">
        <v>8667.25</v>
      </c>
      <c r="M18" s="132">
        <v>6933.78</v>
      </c>
      <c r="N18" s="132">
        <v>6933.78</v>
      </c>
    </row>
    <row r="19" spans="1:14" s="507" customFormat="1">
      <c r="A19" s="507" t="s">
        <v>388</v>
      </c>
      <c r="B19" s="103">
        <v>8421.08</v>
      </c>
      <c r="C19" s="103">
        <v>8421.08</v>
      </c>
      <c r="D19" s="103">
        <v>8421.08</v>
      </c>
      <c r="E19" s="103">
        <v>8421.08</v>
      </c>
      <c r="F19" s="103">
        <v>8421.08</v>
      </c>
      <c r="G19" s="132">
        <v>8421.08</v>
      </c>
      <c r="H19" s="132">
        <v>5555.21</v>
      </c>
      <c r="I19" s="132">
        <v>5555.21</v>
      </c>
      <c r="J19" s="132">
        <v>5555.21</v>
      </c>
      <c r="K19" s="132">
        <v>5555.21</v>
      </c>
      <c r="L19" s="132">
        <v>5555.21</v>
      </c>
      <c r="M19" s="132">
        <v>5555.21</v>
      </c>
      <c r="N19" s="132">
        <v>5555.21</v>
      </c>
    </row>
    <row r="20" spans="1:14" s="507" customFormat="1">
      <c r="A20" s="507" t="s">
        <v>389</v>
      </c>
      <c r="B20" s="103">
        <v>4495.78</v>
      </c>
      <c r="C20" s="103">
        <v>4495.78</v>
      </c>
      <c r="D20" s="103">
        <v>4495.78</v>
      </c>
      <c r="E20" s="103">
        <v>4495.78</v>
      </c>
      <c r="F20" s="103">
        <v>4495.78</v>
      </c>
      <c r="G20" s="132">
        <v>4495.78</v>
      </c>
      <c r="H20" s="132">
        <v>4495.78</v>
      </c>
      <c r="I20" s="132">
        <v>4495.78</v>
      </c>
      <c r="J20" s="132">
        <v>4495.78</v>
      </c>
      <c r="K20" s="132">
        <v>4495.78</v>
      </c>
      <c r="L20" s="132">
        <v>4495.78</v>
      </c>
      <c r="M20" s="132">
        <v>4495.78</v>
      </c>
      <c r="N20" s="132">
        <v>4495.78</v>
      </c>
    </row>
    <row r="21" spans="1:14" s="507" customFormat="1">
      <c r="A21" s="507" t="s">
        <v>390</v>
      </c>
      <c r="B21" s="103">
        <v>1581.78</v>
      </c>
      <c r="C21" s="103">
        <v>1581.78</v>
      </c>
      <c r="D21" s="103">
        <v>1581.78</v>
      </c>
      <c r="E21" s="103">
        <v>1581.78</v>
      </c>
      <c r="F21" s="103">
        <v>1581.78</v>
      </c>
      <c r="G21" s="132">
        <v>1581.78</v>
      </c>
      <c r="H21" s="132">
        <v>1581.78</v>
      </c>
      <c r="I21" s="132">
        <v>1581.78</v>
      </c>
      <c r="J21" s="132">
        <v>1581.78</v>
      </c>
      <c r="K21" s="132">
        <v>1581.78</v>
      </c>
      <c r="L21" s="132">
        <v>1581.78</v>
      </c>
      <c r="M21" s="132">
        <v>1581.78</v>
      </c>
      <c r="N21" s="132">
        <v>1581.78</v>
      </c>
    </row>
    <row r="22" spans="1:14" s="507" customFormat="1">
      <c r="A22" s="507" t="s">
        <v>391</v>
      </c>
      <c r="B22" s="103">
        <v>10153.6</v>
      </c>
      <c r="C22" s="103">
        <v>10153.6</v>
      </c>
      <c r="D22" s="103">
        <v>10153.6</v>
      </c>
      <c r="E22" s="103">
        <v>10153.6</v>
      </c>
      <c r="F22" s="103">
        <v>10153.6</v>
      </c>
      <c r="G22" s="132">
        <v>10153.6</v>
      </c>
      <c r="H22" s="132">
        <v>10153.6</v>
      </c>
      <c r="I22" s="132">
        <v>10153.6</v>
      </c>
      <c r="J22" s="132">
        <v>10153.6</v>
      </c>
      <c r="K22" s="132">
        <v>10153.6</v>
      </c>
      <c r="L22" s="132">
        <v>10153.6</v>
      </c>
      <c r="M22" s="132">
        <v>10153.6</v>
      </c>
      <c r="N22" s="132">
        <v>10153.6</v>
      </c>
    </row>
    <row r="23" spans="1:14" s="507" customFormat="1">
      <c r="A23" s="507" t="s">
        <v>392</v>
      </c>
      <c r="B23" s="132">
        <v>0</v>
      </c>
      <c r="C23" s="132">
        <v>2638.92</v>
      </c>
      <c r="D23" s="132">
        <v>2638.92</v>
      </c>
      <c r="E23" s="132">
        <v>2638.92</v>
      </c>
      <c r="F23" s="132">
        <v>2638.92</v>
      </c>
      <c r="G23" s="132">
        <v>2638.92</v>
      </c>
      <c r="H23" s="132">
        <v>2638.92</v>
      </c>
      <c r="I23" s="132">
        <v>2638.92</v>
      </c>
      <c r="J23" s="132">
        <v>2638.92</v>
      </c>
      <c r="K23" s="132">
        <v>2638.92</v>
      </c>
      <c r="L23" s="132">
        <v>2638.92</v>
      </c>
      <c r="M23" s="132">
        <v>2638.92</v>
      </c>
      <c r="N23" s="132">
        <v>2638.92</v>
      </c>
    </row>
    <row r="24" spans="1:14" s="507" customFormat="1">
      <c r="A24" s="507" t="s">
        <v>393</v>
      </c>
      <c r="B24" s="132">
        <v>2374</v>
      </c>
      <c r="C24" s="132">
        <v>3781.62</v>
      </c>
      <c r="D24" s="132">
        <v>3781.62</v>
      </c>
      <c r="E24" s="132">
        <v>3781.62</v>
      </c>
      <c r="F24" s="132">
        <v>3781.62</v>
      </c>
      <c r="G24" s="132">
        <v>3781.62</v>
      </c>
      <c r="H24" s="132">
        <v>3781.62</v>
      </c>
      <c r="I24" s="132">
        <v>7563.24</v>
      </c>
      <c r="J24" s="132">
        <v>7563.24</v>
      </c>
      <c r="K24" s="132">
        <v>7563.24</v>
      </c>
      <c r="L24" s="132">
        <v>7563.24</v>
      </c>
      <c r="M24" s="132">
        <v>7563.24</v>
      </c>
      <c r="N24" s="132">
        <v>7563.24</v>
      </c>
    </row>
    <row r="25" spans="1:14" s="507" customFormat="1">
      <c r="A25" s="507" t="s">
        <v>394</v>
      </c>
      <c r="B25" s="132">
        <v>2770</v>
      </c>
      <c r="C25" s="132">
        <v>7708.78</v>
      </c>
      <c r="D25" s="132">
        <v>7708.78</v>
      </c>
      <c r="E25" s="132">
        <v>3972.87</v>
      </c>
      <c r="F25" s="132">
        <v>3972.87</v>
      </c>
      <c r="G25" s="132">
        <v>3972.87</v>
      </c>
      <c r="H25" s="132">
        <v>3972.87</v>
      </c>
      <c r="I25" s="132">
        <v>3972.87</v>
      </c>
      <c r="J25" s="132">
        <v>3972.87</v>
      </c>
      <c r="K25" s="132">
        <v>3972.87</v>
      </c>
      <c r="L25" s="132">
        <v>3972.87</v>
      </c>
      <c r="M25" s="132">
        <v>3972.87</v>
      </c>
      <c r="N25" s="132">
        <v>3972.87</v>
      </c>
    </row>
    <row r="26" spans="1:14" s="507" customFormat="1">
      <c r="A26" s="509" t="s">
        <v>395</v>
      </c>
      <c r="B26" s="603">
        <v>1234.3499999999999</v>
      </c>
      <c r="C26" s="603">
        <v>1234.3499999999999</v>
      </c>
      <c r="D26" s="603">
        <v>1234.3499999999999</v>
      </c>
      <c r="E26" s="603">
        <v>5626.12</v>
      </c>
      <c r="F26" s="603">
        <v>5626.12</v>
      </c>
      <c r="G26" s="603">
        <v>5626.12</v>
      </c>
      <c r="H26" s="603">
        <v>5626.12</v>
      </c>
      <c r="I26" s="603">
        <v>5626.12</v>
      </c>
      <c r="J26" s="603">
        <v>5626.12</v>
      </c>
      <c r="K26" s="603">
        <v>5626.12</v>
      </c>
      <c r="L26" s="603">
        <v>5626.12</v>
      </c>
      <c r="M26" s="603">
        <v>5626.12</v>
      </c>
      <c r="N26" s="603">
        <v>5626.12</v>
      </c>
    </row>
    <row r="27" spans="1:14" ht="18.75" customHeight="1">
      <c r="A27" s="762" t="s">
        <v>669</v>
      </c>
      <c r="B27" s="132">
        <f t="shared" ref="B27:N27" si="0">SUM(B15:B26)</f>
        <v>43629.069999999992</v>
      </c>
      <c r="C27" s="132">
        <f t="shared" si="0"/>
        <v>49573.649999999994</v>
      </c>
      <c r="D27" s="132">
        <f t="shared" si="0"/>
        <v>49573.649999999994</v>
      </c>
      <c r="E27" s="132">
        <f t="shared" si="0"/>
        <v>56486.05</v>
      </c>
      <c r="F27" s="132">
        <f t="shared" si="0"/>
        <v>56486.05</v>
      </c>
      <c r="G27" s="132">
        <f t="shared" si="0"/>
        <v>56486.05</v>
      </c>
      <c r="H27" s="132">
        <f t="shared" si="0"/>
        <v>53592.450000000004</v>
      </c>
      <c r="I27" s="132">
        <f t="shared" si="0"/>
        <v>56232.31</v>
      </c>
      <c r="J27" s="132">
        <f t="shared" si="0"/>
        <v>56232.31</v>
      </c>
      <c r="K27" s="132">
        <f t="shared" si="0"/>
        <v>55654.49</v>
      </c>
      <c r="L27" s="132">
        <f t="shared" si="0"/>
        <v>55076.68</v>
      </c>
      <c r="M27" s="132">
        <f t="shared" si="0"/>
        <v>53343.21</v>
      </c>
      <c r="N27" s="132">
        <f t="shared" si="0"/>
        <v>53343.21</v>
      </c>
    </row>
    <row r="28" spans="1:14" ht="18.75" customHeight="1">
      <c r="A28" s="539"/>
      <c r="B28" s="538"/>
      <c r="C28" s="538"/>
      <c r="D28" s="538"/>
      <c r="E28" s="538"/>
      <c r="F28" s="538"/>
      <c r="G28" s="538"/>
      <c r="H28" s="538"/>
      <c r="I28" s="538"/>
      <c r="J28" s="538"/>
      <c r="K28" s="538"/>
      <c r="L28" s="538"/>
      <c r="M28" s="538"/>
      <c r="N28" s="538"/>
    </row>
    <row r="29" spans="1:14">
      <c r="B29" s="538"/>
      <c r="C29" s="538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</row>
    <row r="30" spans="1:14">
      <c r="A30" s="157" t="s">
        <v>396</v>
      </c>
      <c r="B30" s="540"/>
      <c r="C30" s="148">
        <f>SUM(AVERAGE(B27:N27))</f>
        <v>53516.090769230766</v>
      </c>
      <c r="D30" s="538"/>
      <c r="E30" s="538"/>
      <c r="F30" s="538"/>
      <c r="G30" s="538"/>
      <c r="H30" s="538"/>
      <c r="I30" s="538"/>
      <c r="J30" s="538"/>
      <c r="K30" s="538"/>
      <c r="L30" s="538"/>
      <c r="M30" s="538"/>
      <c r="N30" s="538"/>
    </row>
    <row r="31" spans="1:14">
      <c r="B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</row>
    <row r="32" spans="1:14"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</row>
    <row r="33" spans="2:14"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</row>
    <row r="34" spans="2:14"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</row>
    <row r="35" spans="2:14"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</row>
    <row r="36" spans="2:14"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</row>
    <row r="37" spans="2:14"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</row>
  </sheetData>
  <mergeCells count="3">
    <mergeCell ref="A6:N6"/>
    <mergeCell ref="A7:N7"/>
    <mergeCell ref="A8:N8"/>
  </mergeCells>
  <phoneticPr fontId="29" type="noConversion"/>
  <pageMargins left="0.49" right="0.63" top="1" bottom="1" header="0.5" footer="0.5"/>
  <pageSetup scale="10" orientation="landscape" r:id="rId1"/>
  <headerFooter alignWithMargins="0">
    <oddHeader>&amp;RExhibit No. BBP-8
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50"/>
    <pageSetUpPr fitToPage="1"/>
  </sheetPr>
  <dimension ref="A2:N46"/>
  <sheetViews>
    <sheetView zoomScaleNormal="100" workbookViewId="0">
      <selection activeCell="B8" sqref="B8"/>
    </sheetView>
  </sheetViews>
  <sheetFormatPr defaultColWidth="7.109375" defaultRowHeight="12.75"/>
  <cols>
    <col min="1" max="1" width="3.77734375" style="112" customWidth="1"/>
    <col min="2" max="2" width="7.109375" style="113" customWidth="1"/>
    <col min="3" max="3" width="6.88671875" style="113" customWidth="1"/>
    <col min="4" max="4" width="11.5546875" style="113" customWidth="1"/>
    <col min="5" max="5" width="11.5546875" style="113" bestFit="1" customWidth="1"/>
    <col min="6" max="6" width="12.109375" style="113" customWidth="1"/>
    <col min="7" max="7" width="8.77734375" style="113" bestFit="1" customWidth="1"/>
    <col min="8" max="8" width="9.5546875" style="113" bestFit="1" customWidth="1"/>
    <col min="9" max="9" width="7.109375" style="113" customWidth="1"/>
    <col min="10" max="10" width="8.77734375" style="113" bestFit="1" customWidth="1"/>
    <col min="11" max="11" width="7.109375" style="113" customWidth="1"/>
    <col min="12" max="12" width="11.44140625" style="113" customWidth="1"/>
    <col min="13" max="16384" width="7.109375" style="113"/>
  </cols>
  <sheetData>
    <row r="2" spans="1:11">
      <c r="H2" s="567"/>
    </row>
    <row r="3" spans="1:11" ht="15" customHeight="1">
      <c r="A3" s="1164" t="s">
        <v>960</v>
      </c>
      <c r="B3" s="1164"/>
      <c r="C3" s="1164"/>
      <c r="D3" s="1164"/>
      <c r="E3" s="1164"/>
      <c r="F3" s="1164"/>
      <c r="G3" s="1164"/>
      <c r="H3" s="1164"/>
    </row>
    <row r="4" spans="1:11" ht="15" customHeight="1">
      <c r="A4" s="1164" t="s">
        <v>401</v>
      </c>
      <c r="B4" s="1164"/>
      <c r="C4" s="1164"/>
      <c r="D4" s="1164"/>
      <c r="E4" s="1164"/>
      <c r="F4" s="1164"/>
      <c r="G4" s="1164"/>
      <c r="H4" s="1164"/>
    </row>
    <row r="6" spans="1:11">
      <c r="A6" s="114" t="s">
        <v>353</v>
      </c>
    </row>
    <row r="8" spans="1:11">
      <c r="A8" s="112">
        <v>1</v>
      </c>
      <c r="B8" s="115" t="s">
        <v>527</v>
      </c>
      <c r="D8" s="731"/>
      <c r="E8" s="732"/>
      <c r="H8" s="936">
        <v>526773</v>
      </c>
      <c r="I8" s="731"/>
      <c r="J8" s="731" t="s">
        <v>257</v>
      </c>
      <c r="K8" s="732"/>
    </row>
    <row r="10" spans="1:11" ht="39" thickBot="1">
      <c r="D10" s="118" t="str">
        <f>+B20</f>
        <v>Entity</v>
      </c>
      <c r="E10" s="119"/>
      <c r="F10" s="693" t="s">
        <v>603</v>
      </c>
      <c r="G10" s="118" t="s">
        <v>749</v>
      </c>
      <c r="H10" s="120" t="s">
        <v>963</v>
      </c>
    </row>
    <row r="11" spans="1:11">
      <c r="D11" s="112"/>
      <c r="F11" s="121"/>
      <c r="G11" s="112"/>
      <c r="H11" s="121"/>
    </row>
    <row r="12" spans="1:11">
      <c r="A12" s="112">
        <v>2</v>
      </c>
      <c r="D12" s="113" t="s">
        <v>964</v>
      </c>
      <c r="F12" s="694">
        <f>+L22</f>
        <v>11.730801273386485</v>
      </c>
      <c r="G12" s="123">
        <f>+F12/F$15</f>
        <v>0.39755680797722504</v>
      </c>
      <c r="H12" s="122">
        <f>+H$8*G12</f>
        <v>209422.19240858676</v>
      </c>
      <c r="J12" s="124"/>
      <c r="K12" s="125"/>
    </row>
    <row r="13" spans="1:11">
      <c r="A13" s="112">
        <v>3</v>
      </c>
      <c r="D13" s="113" t="s">
        <v>965</v>
      </c>
      <c r="F13" s="695">
        <f>+L23</f>
        <v>16.479070359423822</v>
      </c>
      <c r="G13" s="123">
        <f>+F13/F$15</f>
        <v>0.55847562820688446</v>
      </c>
      <c r="H13" s="122">
        <f>+H$8*G13</f>
        <v>294189.88209742517</v>
      </c>
      <c r="J13" s="126"/>
      <c r="K13" s="125"/>
    </row>
    <row r="14" spans="1:11" ht="13.5" thickBot="1">
      <c r="A14" s="112">
        <v>4</v>
      </c>
      <c r="D14" s="127" t="s">
        <v>966</v>
      </c>
      <c r="E14" s="127"/>
      <c r="F14" s="696">
        <f>+L24</f>
        <v>1.2973611399674438</v>
      </c>
      <c r="G14" s="128">
        <f>+F14/F$15</f>
        <v>4.3967563815890592E-2</v>
      </c>
      <c r="H14" s="129">
        <f>+H$8*G14</f>
        <v>23160.925493988136</v>
      </c>
      <c r="J14" s="126"/>
      <c r="K14" s="125"/>
    </row>
    <row r="15" spans="1:11">
      <c r="A15" s="112">
        <v>5</v>
      </c>
      <c r="D15" s="113" t="s">
        <v>669</v>
      </c>
      <c r="F15" s="695">
        <f>SUM(F12:F14)</f>
        <v>29.507232772777748</v>
      </c>
      <c r="G15" s="131">
        <f>+F15/F$15</f>
        <v>1</v>
      </c>
      <c r="H15" s="130">
        <f>SUM(H12:H14)</f>
        <v>526773</v>
      </c>
      <c r="J15" s="124"/>
    </row>
    <row r="18" spans="1:14">
      <c r="A18" s="114" t="s">
        <v>967</v>
      </c>
    </row>
    <row r="20" spans="1:14" ht="39" thickBot="1">
      <c r="B20" s="119" t="s">
        <v>968</v>
      </c>
      <c r="C20" s="119"/>
      <c r="D20" s="120" t="s">
        <v>604</v>
      </c>
      <c r="E20" s="120" t="s">
        <v>606</v>
      </c>
      <c r="F20" s="120" t="s">
        <v>969</v>
      </c>
      <c r="G20" s="693" t="s">
        <v>212</v>
      </c>
      <c r="H20" s="120" t="s">
        <v>819</v>
      </c>
    </row>
    <row r="22" spans="1:14">
      <c r="A22" s="112">
        <v>6</v>
      </c>
      <c r="B22" s="113" t="str">
        <f>+D12</f>
        <v>Black Hills</v>
      </c>
      <c r="D22" s="937">
        <f>+Estimate!J122</f>
        <v>11732979.308618903</v>
      </c>
      <c r="E22" s="130">
        <f>-H12</f>
        <v>-209422.19240858676</v>
      </c>
      <c r="F22" s="130">
        <f>+E22+D22</f>
        <v>11523557.116210317</v>
      </c>
      <c r="G22" s="103">
        <f>+'CU AC LOADS WP7'!J44*1000</f>
        <v>976666.66666666663</v>
      </c>
      <c r="H22" s="133">
        <f>+F22/G22</f>
        <v>11.79886394151227</v>
      </c>
      <c r="J22" s="757" t="s">
        <v>535</v>
      </c>
      <c r="L22" s="768">
        <v>11.730801273386485</v>
      </c>
      <c r="N22" s="553" t="s">
        <v>121</v>
      </c>
    </row>
    <row r="23" spans="1:14">
      <c r="A23" s="112">
        <v>7</v>
      </c>
      <c r="B23" s="113" t="str">
        <f>+D13</f>
        <v>Basin Electric</v>
      </c>
      <c r="D23" s="924">
        <v>16482130</v>
      </c>
      <c r="E23" s="130">
        <f>-H13</f>
        <v>-294189.88209742517</v>
      </c>
      <c r="F23" s="130">
        <f>+E23+D23</f>
        <v>16187940.117902575</v>
      </c>
      <c r="G23" s="931">
        <f>+G22</f>
        <v>976666.66666666663</v>
      </c>
      <c r="H23" s="133">
        <f>+F23/G23</f>
        <v>16.574682714576017</v>
      </c>
      <c r="J23" s="757" t="s">
        <v>535</v>
      </c>
      <c r="L23" s="768">
        <v>16.479070359423822</v>
      </c>
      <c r="N23" s="553" t="s">
        <v>122</v>
      </c>
    </row>
    <row r="24" spans="1:14" ht="13.5" thickBot="1">
      <c r="A24" s="112">
        <v>8</v>
      </c>
      <c r="B24" s="119" t="str">
        <f>+D14</f>
        <v>PRECorp</v>
      </c>
      <c r="C24" s="119"/>
      <c r="D24" s="925">
        <v>1297602.0185064427</v>
      </c>
      <c r="E24" s="135">
        <f>-H14</f>
        <v>-23160.925493988136</v>
      </c>
      <c r="F24" s="135">
        <f>+E24+D24</f>
        <v>1274441.0930124545</v>
      </c>
      <c r="G24" s="932">
        <f>+G23</f>
        <v>976666.66666666663</v>
      </c>
      <c r="H24" s="866">
        <f>+F24/G24</f>
        <v>1.3048884911390319</v>
      </c>
      <c r="J24" s="757" t="s">
        <v>535</v>
      </c>
      <c r="L24" s="768">
        <v>1.2973611399674438</v>
      </c>
    </row>
    <row r="25" spans="1:14">
      <c r="A25" s="112">
        <v>9</v>
      </c>
      <c r="B25" s="113" t="s">
        <v>669</v>
      </c>
      <c r="D25" s="130">
        <f>SUM(D22:D24)</f>
        <v>29512711.327125344</v>
      </c>
      <c r="E25" s="130">
        <f>SUM(E22:E24)</f>
        <v>-526773</v>
      </c>
      <c r="F25" s="130">
        <f>SUM(F22:F24)</f>
        <v>28985938.327125348</v>
      </c>
      <c r="H25" s="133">
        <f>SUM(H22:H24)</f>
        <v>29.678435147227319</v>
      </c>
    </row>
    <row r="26" spans="1:14">
      <c r="F26" s="130"/>
      <c r="G26" s="134"/>
      <c r="H26" s="133"/>
    </row>
    <row r="27" spans="1:14">
      <c r="A27" s="114" t="s">
        <v>971</v>
      </c>
    </row>
    <row r="28" spans="1:14">
      <c r="A28" s="112">
        <v>10</v>
      </c>
      <c r="D28" s="113" t="s">
        <v>972</v>
      </c>
      <c r="F28" s="156">
        <f>+H25</f>
        <v>29.678435147227319</v>
      </c>
      <c r="G28" s="136" t="s">
        <v>973</v>
      </c>
    </row>
    <row r="29" spans="1:14">
      <c r="A29" s="112">
        <f t="shared" ref="A29:A34" si="0">+A28+1</f>
        <v>11</v>
      </c>
      <c r="D29" s="113" t="s">
        <v>974</v>
      </c>
      <c r="F29" s="694">
        <f>ROUND(F28/12,2)</f>
        <v>2.4700000000000002</v>
      </c>
      <c r="G29" s="136" t="s">
        <v>975</v>
      </c>
      <c r="H29" s="935"/>
    </row>
    <row r="30" spans="1:14">
      <c r="A30" s="112">
        <f t="shared" si="0"/>
        <v>12</v>
      </c>
      <c r="D30" s="113" t="s">
        <v>976</v>
      </c>
      <c r="F30" s="694">
        <f>ROUND(F28/52,2)</f>
        <v>0.56999999999999995</v>
      </c>
      <c r="G30" s="136" t="s">
        <v>977</v>
      </c>
    </row>
    <row r="31" spans="1:14">
      <c r="A31" s="112">
        <f t="shared" si="0"/>
        <v>13</v>
      </c>
      <c r="D31" s="113" t="s">
        <v>978</v>
      </c>
      <c r="E31" s="113" t="s">
        <v>979</v>
      </c>
      <c r="F31" s="699">
        <f>+F30/6</f>
        <v>9.4999999999999987E-2</v>
      </c>
      <c r="G31" s="136" t="s">
        <v>980</v>
      </c>
    </row>
    <row r="32" spans="1:14">
      <c r="A32" s="112">
        <f t="shared" si="0"/>
        <v>14</v>
      </c>
      <c r="D32" s="113" t="s">
        <v>981</v>
      </c>
      <c r="E32" s="113" t="s">
        <v>982</v>
      </c>
      <c r="F32" s="699">
        <f>+F30/7</f>
        <v>8.142857142857142E-2</v>
      </c>
      <c r="G32" s="136" t="s">
        <v>980</v>
      </c>
    </row>
    <row r="33" spans="1:7">
      <c r="A33" s="112">
        <f t="shared" si="0"/>
        <v>15</v>
      </c>
      <c r="D33" s="113" t="s">
        <v>983</v>
      </c>
      <c r="E33" s="113" t="s">
        <v>984</v>
      </c>
      <c r="F33" s="700">
        <f>+F31/16</f>
        <v>5.9374999999999992E-3</v>
      </c>
      <c r="G33" s="136" t="s">
        <v>985</v>
      </c>
    </row>
    <row r="34" spans="1:7">
      <c r="A34" s="112">
        <f t="shared" si="0"/>
        <v>16</v>
      </c>
      <c r="D34" s="113" t="s">
        <v>986</v>
      </c>
      <c r="E34" s="113" t="s">
        <v>987</v>
      </c>
      <c r="F34" s="700">
        <f>+F32/24</f>
        <v>3.3928571428571423E-3</v>
      </c>
      <c r="G34" s="136" t="s">
        <v>985</v>
      </c>
    </row>
    <row r="40" spans="1:7">
      <c r="A40" s="114" t="s">
        <v>988</v>
      </c>
    </row>
    <row r="42" spans="1:7">
      <c r="B42" s="113" t="str">
        <f>+D20</f>
        <v>Component Annual Revenue Requirements</v>
      </c>
      <c r="E42" s="130">
        <f>+D25</f>
        <v>29512711.327125344</v>
      </c>
    </row>
    <row r="43" spans="1:7">
      <c r="B43" s="553" t="s">
        <v>961</v>
      </c>
      <c r="E43" s="130">
        <f>+E25</f>
        <v>-526773</v>
      </c>
    </row>
    <row r="44" spans="1:7">
      <c r="B44" s="113" t="str">
        <f>+F20</f>
        <v>Net Revenue Requirements</v>
      </c>
      <c r="E44" s="130">
        <f>+F25</f>
        <v>28985938.327125348</v>
      </c>
    </row>
    <row r="45" spans="1:7">
      <c r="B45" s="113" t="str">
        <f>+G20</f>
        <v>Projected 2011 Load</v>
      </c>
      <c r="E45" s="134">
        <f>+G22</f>
        <v>976666.66666666663</v>
      </c>
    </row>
    <row r="46" spans="1:7">
      <c r="B46" s="113" t="str">
        <f>+H20</f>
        <v>Annual Rate</v>
      </c>
      <c r="E46" s="156">
        <f>+E44/E45</f>
        <v>29.678435147227319</v>
      </c>
    </row>
  </sheetData>
  <mergeCells count="2">
    <mergeCell ref="A3:H3"/>
    <mergeCell ref="A4:H4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P46"/>
  <sheetViews>
    <sheetView zoomScaleNormal="100" workbookViewId="0">
      <selection activeCell="E18" sqref="E18:G18"/>
    </sheetView>
  </sheetViews>
  <sheetFormatPr defaultColWidth="7.109375" defaultRowHeight="12.75"/>
  <cols>
    <col min="1" max="1" width="3.77734375" style="112" customWidth="1"/>
    <col min="2" max="2" width="7.109375" style="113" customWidth="1"/>
    <col min="3" max="3" width="6.88671875" style="113" customWidth="1"/>
    <col min="4" max="4" width="11.5546875" style="113" customWidth="1"/>
    <col min="5" max="5" width="11.5546875" style="113" bestFit="1" customWidth="1"/>
    <col min="6" max="6" width="12.109375" style="113" customWidth="1"/>
    <col min="7" max="7" width="8.77734375" style="113" bestFit="1" customWidth="1"/>
    <col min="8" max="8" width="9.5546875" style="113" bestFit="1" customWidth="1"/>
    <col min="9" max="9" width="7.109375" style="113" customWidth="1"/>
    <col min="10" max="10" width="8.77734375" style="113" bestFit="1" customWidth="1"/>
    <col min="11" max="11" width="7.109375" style="113" customWidth="1"/>
    <col min="12" max="12" width="11.44140625" style="113" customWidth="1"/>
    <col min="13" max="16384" width="7.109375" style="113"/>
  </cols>
  <sheetData>
    <row r="2" spans="1:11">
      <c r="H2" s="567"/>
    </row>
    <row r="3" spans="1:11" ht="15" customHeight="1">
      <c r="A3" s="1164" t="s">
        <v>960</v>
      </c>
      <c r="B3" s="1164"/>
      <c r="C3" s="1164"/>
      <c r="D3" s="1164"/>
      <c r="E3" s="1164"/>
      <c r="F3" s="1164"/>
      <c r="G3" s="1164"/>
      <c r="H3" s="1164"/>
    </row>
    <row r="4" spans="1:11" ht="15" customHeight="1">
      <c r="A4" s="1164" t="s">
        <v>401</v>
      </c>
      <c r="B4" s="1164"/>
      <c r="C4" s="1164"/>
      <c r="D4" s="1164"/>
      <c r="E4" s="1164"/>
      <c r="F4" s="1164"/>
      <c r="G4" s="1164"/>
      <c r="H4" s="1164"/>
    </row>
    <row r="6" spans="1:11">
      <c r="A6" s="114" t="s">
        <v>353</v>
      </c>
    </row>
    <row r="8" spans="1:11">
      <c r="A8" s="112">
        <v>1</v>
      </c>
      <c r="B8" s="553" t="s">
        <v>527</v>
      </c>
      <c r="D8" s="731"/>
      <c r="E8" s="732"/>
      <c r="G8" s="553"/>
      <c r="H8" s="1127">
        <v>912472</v>
      </c>
      <c r="I8" s="731"/>
      <c r="J8" s="731" t="s">
        <v>1075</v>
      </c>
      <c r="K8" s="732"/>
    </row>
    <row r="9" spans="1:11">
      <c r="G9" s="553"/>
      <c r="H9" s="553"/>
    </row>
    <row r="10" spans="1:11" ht="39" thickBot="1">
      <c r="D10" s="118" t="str">
        <f>+B20</f>
        <v>Entity</v>
      </c>
      <c r="E10" s="119"/>
      <c r="F10" s="693" t="s">
        <v>603</v>
      </c>
      <c r="G10" s="1089" t="s">
        <v>749</v>
      </c>
      <c r="H10" s="693" t="s">
        <v>963</v>
      </c>
    </row>
    <row r="11" spans="1:11">
      <c r="D11" s="112"/>
      <c r="F11" s="121"/>
      <c r="G11" s="1090"/>
      <c r="H11" s="1091"/>
    </row>
    <row r="12" spans="1:11">
      <c r="A12" s="112">
        <v>2</v>
      </c>
      <c r="D12" s="113" t="s">
        <v>964</v>
      </c>
      <c r="F12" s="694">
        <f>+L22</f>
        <v>13.937899618347988</v>
      </c>
      <c r="G12" s="1092">
        <f>+F12/F$15</f>
        <v>0.43370762303522625</v>
      </c>
      <c r="H12" s="1093">
        <f>+H$8*G12</f>
        <v>395746.06220619899</v>
      </c>
      <c r="J12" s="124"/>
      <c r="K12" s="125"/>
    </row>
    <row r="13" spans="1:11">
      <c r="A13" s="112">
        <v>3</v>
      </c>
      <c r="D13" s="113" t="s">
        <v>965</v>
      </c>
      <c r="F13" s="695">
        <f>+L23</f>
        <v>16.87054515771376</v>
      </c>
      <c r="G13" s="1092">
        <f>+F13/F$15</f>
        <v>0.52496317522824343</v>
      </c>
      <c r="H13" s="1093">
        <f>+H$8*G13</f>
        <v>479014.19842686574</v>
      </c>
      <c r="J13" s="126"/>
      <c r="K13" s="125"/>
    </row>
    <row r="14" spans="1:11" ht="13.5" thickBot="1">
      <c r="A14" s="112">
        <v>4</v>
      </c>
      <c r="D14" s="919" t="s">
        <v>966</v>
      </c>
      <c r="E14" s="919"/>
      <c r="F14" s="920">
        <f>+L24</f>
        <v>1.3281810937029053</v>
      </c>
      <c r="G14" s="921">
        <f>+F14/F$15</f>
        <v>4.1329201736530409E-2</v>
      </c>
      <c r="H14" s="922">
        <f>+H$8*G14</f>
        <v>37711.739366935377</v>
      </c>
      <c r="J14" s="126"/>
      <c r="K14" s="125"/>
    </row>
    <row r="15" spans="1:11">
      <c r="A15" s="112">
        <v>5</v>
      </c>
      <c r="D15" s="113" t="s">
        <v>669</v>
      </c>
      <c r="F15" s="695">
        <f>SUM(F12:F14)</f>
        <v>32.13662586976465</v>
      </c>
      <c r="G15" s="1094">
        <f>+F15/F$15</f>
        <v>1</v>
      </c>
      <c r="H15" s="1095">
        <f>SUM(H12:H14)</f>
        <v>912472</v>
      </c>
      <c r="J15" s="124"/>
    </row>
    <row r="16" spans="1:11">
      <c r="G16" s="553"/>
      <c r="H16" s="553"/>
    </row>
    <row r="17" spans="1:16">
      <c r="G17" s="553"/>
      <c r="H17" s="553"/>
    </row>
    <row r="18" spans="1:16">
      <c r="A18" s="114" t="s">
        <v>967</v>
      </c>
      <c r="E18" s="1151" t="s">
        <v>1091</v>
      </c>
      <c r="F18" s="1152"/>
      <c r="G18" s="1153"/>
      <c r="H18" s="553"/>
    </row>
    <row r="19" spans="1:16">
      <c r="G19" s="553"/>
      <c r="H19" s="553"/>
    </row>
    <row r="20" spans="1:16" ht="39" thickBot="1">
      <c r="B20" s="119" t="s">
        <v>968</v>
      </c>
      <c r="C20" s="119"/>
      <c r="D20" s="120" t="s">
        <v>604</v>
      </c>
      <c r="E20" s="120" t="s">
        <v>606</v>
      </c>
      <c r="F20" s="120" t="s">
        <v>969</v>
      </c>
      <c r="G20" s="1070" t="s">
        <v>1081</v>
      </c>
      <c r="H20" s="693" t="s">
        <v>819</v>
      </c>
    </row>
    <row r="21" spans="1:16">
      <c r="G21" s="553"/>
      <c r="H21" s="553"/>
      <c r="M21" s="1075" t="s">
        <v>1070</v>
      </c>
      <c r="N21" s="1076"/>
      <c r="O21" s="1076"/>
      <c r="P21" s="1077"/>
    </row>
    <row r="22" spans="1:16">
      <c r="A22" s="112">
        <v>6</v>
      </c>
      <c r="B22" s="113" t="str">
        <f>+D12</f>
        <v>Black Hills</v>
      </c>
      <c r="D22" s="938">
        <f>'True-Up'!J115</f>
        <v>13501005.415978868</v>
      </c>
      <c r="E22" s="130">
        <f>-H12</f>
        <v>-395746.06220619899</v>
      </c>
      <c r="F22" s="130">
        <f>+E22+D22</f>
        <v>13105259.353772668</v>
      </c>
      <c r="G22" s="594">
        <f>'CU AC LOADS WP7'!J24*1000</f>
        <v>948583.33333333337</v>
      </c>
      <c r="H22" s="1096">
        <f>+F22/G22</f>
        <v>13.815612074608804</v>
      </c>
      <c r="J22" s="923" t="s">
        <v>535</v>
      </c>
      <c r="L22" s="1063">
        <v>13.937899618347988</v>
      </c>
      <c r="M22" s="1078" t="s">
        <v>1071</v>
      </c>
      <c r="N22" s="1079"/>
      <c r="O22" s="1079"/>
      <c r="P22" s="1080"/>
    </row>
    <row r="23" spans="1:16">
      <c r="A23" s="112">
        <v>7</v>
      </c>
      <c r="B23" s="113" t="str">
        <f>+D13</f>
        <v>Basin Electric</v>
      </c>
      <c r="D23" s="924">
        <v>16482130</v>
      </c>
      <c r="E23" s="130">
        <f>-H13</f>
        <v>-479014.19842686574</v>
      </c>
      <c r="F23" s="130">
        <f>+E23+D23</f>
        <v>16003115.801573135</v>
      </c>
      <c r="G23" s="1097">
        <f>+G22</f>
        <v>948583.33333333337</v>
      </c>
      <c r="H23" s="1096">
        <f>+F23/G23</f>
        <v>16.870542881391341</v>
      </c>
      <c r="J23" s="923" t="s">
        <v>535</v>
      </c>
      <c r="L23" s="1063">
        <v>16.87054515771376</v>
      </c>
      <c r="M23" s="1078" t="s">
        <v>1072</v>
      </c>
      <c r="N23" s="1079"/>
      <c r="O23" s="1079"/>
      <c r="P23" s="1080"/>
    </row>
    <row r="24" spans="1:16" ht="13.5" thickBot="1">
      <c r="A24" s="112">
        <v>8</v>
      </c>
      <c r="B24" s="119" t="str">
        <f>+D14</f>
        <v>PRECorp</v>
      </c>
      <c r="C24" s="119"/>
      <c r="D24" s="925">
        <v>1297602.0185064427</v>
      </c>
      <c r="E24" s="135">
        <f>-H14</f>
        <v>-37711.739366935377</v>
      </c>
      <c r="F24" s="135">
        <f>+E24+D24</f>
        <v>1259890.2791395073</v>
      </c>
      <c r="G24" s="1098">
        <f>+G23</f>
        <v>948583.33333333337</v>
      </c>
      <c r="H24" s="1099">
        <f>+F24/G24</f>
        <v>1.3281809144930237</v>
      </c>
      <c r="J24" s="923" t="s">
        <v>535</v>
      </c>
      <c r="L24" s="1063">
        <v>1.3281810937029053</v>
      </c>
      <c r="M24" s="1081" t="s">
        <v>1073</v>
      </c>
      <c r="N24" s="1082"/>
      <c r="O24" s="1082"/>
      <c r="P24" s="1083"/>
    </row>
    <row r="25" spans="1:16">
      <c r="A25" s="112">
        <v>9</v>
      </c>
      <c r="B25" s="113" t="s">
        <v>669</v>
      </c>
      <c r="D25" s="130">
        <f>SUM(D22:D24)</f>
        <v>31280737.434485309</v>
      </c>
      <c r="E25" s="130">
        <f>SUM(E22:E24)</f>
        <v>-912472</v>
      </c>
      <c r="F25" s="130">
        <f>SUM(F22:F24)</f>
        <v>30368265.434485313</v>
      </c>
      <c r="H25" s="133">
        <f>SUM(H22:H24)</f>
        <v>32.01433587049317</v>
      </c>
    </row>
    <row r="26" spans="1:16">
      <c r="F26" s="130"/>
      <c r="G26" s="134"/>
      <c r="H26" s="133"/>
    </row>
    <row r="27" spans="1:16">
      <c r="A27" s="114" t="s">
        <v>971</v>
      </c>
    </row>
    <row r="28" spans="1:16">
      <c r="A28" s="112">
        <v>10</v>
      </c>
      <c r="D28" s="113" t="s">
        <v>972</v>
      </c>
      <c r="F28" s="156">
        <f>+H25</f>
        <v>32.01433587049317</v>
      </c>
      <c r="G28" s="136" t="s">
        <v>973</v>
      </c>
    </row>
    <row r="29" spans="1:16">
      <c r="A29" s="112">
        <f t="shared" ref="A29:A34" si="0">+A28+1</f>
        <v>11</v>
      </c>
      <c r="D29" s="113" t="s">
        <v>974</v>
      </c>
      <c r="F29" s="694">
        <f>ROUND(F28/12,2)</f>
        <v>2.67</v>
      </c>
      <c r="G29" s="136" t="s">
        <v>975</v>
      </c>
    </row>
    <row r="30" spans="1:16">
      <c r="A30" s="112">
        <f t="shared" si="0"/>
        <v>12</v>
      </c>
      <c r="D30" s="113" t="s">
        <v>976</v>
      </c>
      <c r="F30" s="694">
        <f>ROUND(F28/52,2)</f>
        <v>0.62</v>
      </c>
      <c r="G30" s="136" t="s">
        <v>977</v>
      </c>
    </row>
    <row r="31" spans="1:16">
      <c r="A31" s="112">
        <f t="shared" si="0"/>
        <v>13</v>
      </c>
      <c r="D31" s="113" t="s">
        <v>978</v>
      </c>
      <c r="E31" s="113" t="s">
        <v>979</v>
      </c>
      <c r="F31" s="699">
        <f>+F30/6</f>
        <v>0.10333333333333333</v>
      </c>
      <c r="G31" s="136" t="s">
        <v>980</v>
      </c>
    </row>
    <row r="32" spans="1:16">
      <c r="A32" s="112">
        <f t="shared" si="0"/>
        <v>14</v>
      </c>
      <c r="D32" s="113" t="s">
        <v>981</v>
      </c>
      <c r="E32" s="113" t="s">
        <v>982</v>
      </c>
      <c r="F32" s="699">
        <f>+F30/7</f>
        <v>8.8571428571428565E-2</v>
      </c>
      <c r="G32" s="136" t="s">
        <v>980</v>
      </c>
    </row>
    <row r="33" spans="1:7">
      <c r="A33" s="112">
        <f t="shared" si="0"/>
        <v>15</v>
      </c>
      <c r="D33" s="113" t="s">
        <v>983</v>
      </c>
      <c r="E33" s="113" t="s">
        <v>984</v>
      </c>
      <c r="F33" s="700">
        <f>+F31/16</f>
        <v>6.4583333333333333E-3</v>
      </c>
      <c r="G33" s="136" t="s">
        <v>985</v>
      </c>
    </row>
    <row r="34" spans="1:7">
      <c r="A34" s="112">
        <f t="shared" si="0"/>
        <v>16</v>
      </c>
      <c r="D34" s="113" t="s">
        <v>986</v>
      </c>
      <c r="E34" s="113" t="s">
        <v>987</v>
      </c>
      <c r="F34" s="700">
        <f>+F32/24</f>
        <v>3.6904761904761902E-3</v>
      </c>
      <c r="G34" s="136" t="s">
        <v>985</v>
      </c>
    </row>
    <row r="40" spans="1:7">
      <c r="A40" s="114" t="s">
        <v>988</v>
      </c>
    </row>
    <row r="42" spans="1:7">
      <c r="B42" s="113" t="str">
        <f>+D20</f>
        <v>Component Annual Revenue Requirements</v>
      </c>
      <c r="E42" s="130">
        <f>+D25</f>
        <v>31280737.434485309</v>
      </c>
    </row>
    <row r="43" spans="1:7">
      <c r="B43" s="553" t="s">
        <v>961</v>
      </c>
      <c r="E43" s="130">
        <f>+E25</f>
        <v>-912472</v>
      </c>
    </row>
    <row r="44" spans="1:7">
      <c r="B44" s="113" t="str">
        <f>+F20</f>
        <v>Net Revenue Requirements</v>
      </c>
      <c r="E44" s="130">
        <f>+F25</f>
        <v>30368265.434485313</v>
      </c>
    </row>
    <row r="45" spans="1:7">
      <c r="B45" s="113" t="str">
        <f>+G20</f>
        <v>Actual 2012 Load</v>
      </c>
      <c r="E45" s="134">
        <f>+G22</f>
        <v>948583.33333333337</v>
      </c>
    </row>
    <row r="46" spans="1:7">
      <c r="B46" s="113" t="str">
        <f>+H20</f>
        <v>Annual Rate</v>
      </c>
      <c r="E46" s="156">
        <f>+E44/E45</f>
        <v>32.01433587049317</v>
      </c>
    </row>
  </sheetData>
  <mergeCells count="2">
    <mergeCell ref="A3:H3"/>
    <mergeCell ref="A4:H4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  <oddFooter>&amp;L&amp;"Arial,Regular"&amp;10&amp;Z&amp;F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17"/>
  </sheetPr>
  <dimension ref="A2:BI234"/>
  <sheetViews>
    <sheetView topLeftCell="A97" zoomScale="60" zoomScaleNormal="60" zoomScalePageLayoutView="90" workbookViewId="0">
      <selection activeCell="C122" sqref="C122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27.77734375" customWidth="1"/>
    <col min="5" max="5" width="15.21875" style="897" customWidth="1"/>
    <col min="6" max="6" width="7.77734375" customWidth="1"/>
    <col min="7" max="7" width="6.5546875" customWidth="1"/>
    <col min="8" max="8" width="11.21875" customWidth="1"/>
    <col min="9" max="9" width="7.109375" customWidth="1"/>
    <col min="10" max="10" width="12.77734375" customWidth="1"/>
    <col min="11" max="11" width="1.21875" customWidth="1"/>
    <col min="12" max="12" width="1.88671875" customWidth="1"/>
    <col min="13" max="13" width="13.44140625" bestFit="1" customWidth="1"/>
  </cols>
  <sheetData>
    <row r="2" spans="1:61" ht="15.75">
      <c r="A2" s="12"/>
      <c r="B2" s="12"/>
      <c r="C2" s="12"/>
      <c r="D2" s="903"/>
      <c r="E2" s="48"/>
      <c r="F2" s="12"/>
      <c r="G2" s="12"/>
      <c r="I2" s="888" t="s">
        <v>605</v>
      </c>
      <c r="J2" s="905">
        <v>2011</v>
      </c>
      <c r="L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>
      <c r="A3" s="12"/>
      <c r="B3" s="12"/>
      <c r="C3" s="12"/>
      <c r="D3" s="12"/>
      <c r="E3" s="48"/>
      <c r="F3" s="12"/>
      <c r="G3" s="12"/>
      <c r="H3" s="12"/>
      <c r="I3" s="12"/>
      <c r="J3" s="12"/>
      <c r="K3" s="12"/>
      <c r="L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5" customHeight="1">
      <c r="A4" s="1168" t="s">
        <v>855</v>
      </c>
      <c r="B4" s="1168"/>
      <c r="C4" s="1168"/>
      <c r="D4" s="1168"/>
      <c r="E4" s="1168"/>
      <c r="F4" s="1168"/>
      <c r="G4" s="1168"/>
      <c r="H4" s="1168"/>
      <c r="I4" s="1168"/>
      <c r="J4" s="1168"/>
      <c r="K4" s="1168"/>
      <c r="L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5.75">
      <c r="A5" s="1167" t="s">
        <v>666</v>
      </c>
      <c r="B5" s="1167"/>
      <c r="C5" s="1167"/>
      <c r="D5" s="1167"/>
      <c r="E5" s="1167"/>
      <c r="F5" s="1167"/>
      <c r="G5" s="1167"/>
      <c r="H5" s="1167"/>
      <c r="I5" s="1167"/>
      <c r="J5" s="1167"/>
      <c r="K5" s="1167"/>
      <c r="L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>
      <c r="A6" s="12"/>
      <c r="B6" s="12"/>
      <c r="C6" s="2"/>
      <c r="D6" s="2"/>
      <c r="F6" s="2"/>
      <c r="G6" s="2"/>
      <c r="H6" s="2"/>
      <c r="I6" s="2"/>
      <c r="J6" s="2"/>
      <c r="K6" s="2"/>
      <c r="L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5" customHeight="1">
      <c r="A7" s="1166" t="s">
        <v>851</v>
      </c>
      <c r="B7" s="1166"/>
      <c r="C7" s="1166"/>
      <c r="D7" s="1166"/>
      <c r="E7" s="1166"/>
      <c r="F7" s="1166"/>
      <c r="G7" s="1166"/>
      <c r="H7" s="1166"/>
      <c r="I7" s="1166"/>
      <c r="J7" s="1166"/>
      <c r="K7" s="1166"/>
      <c r="L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>
      <c r="A8" s="26"/>
      <c r="B8" s="12"/>
      <c r="C8" s="2"/>
      <c r="D8" s="2"/>
      <c r="E8" s="52"/>
      <c r="F8" s="2"/>
      <c r="G8" s="2"/>
      <c r="H8" s="2"/>
      <c r="I8" s="2"/>
      <c r="J8" s="2"/>
      <c r="K8" s="2"/>
      <c r="L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>
      <c r="A9" s="12"/>
      <c r="B9" s="12"/>
      <c r="C9" s="4" t="s">
        <v>672</v>
      </c>
      <c r="D9" s="4" t="s">
        <v>673</v>
      </c>
      <c r="E9" s="905" t="s">
        <v>674</v>
      </c>
      <c r="F9" s="5" t="s">
        <v>665</v>
      </c>
      <c r="G9" s="5"/>
      <c r="H9" s="7" t="s">
        <v>675</v>
      </c>
      <c r="I9" s="5"/>
      <c r="J9" s="8" t="s">
        <v>676</v>
      </c>
      <c r="K9" s="5"/>
      <c r="L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15.75">
      <c r="A10" s="12"/>
      <c r="B10" s="12"/>
      <c r="C10" s="3"/>
      <c r="D10" s="22" t="s">
        <v>677</v>
      </c>
      <c r="E10" s="30"/>
      <c r="F10" s="5"/>
      <c r="G10" s="571" t="s">
        <v>448</v>
      </c>
      <c r="H10" s="26"/>
      <c r="I10" s="5"/>
      <c r="J10" s="27" t="s">
        <v>678</v>
      </c>
      <c r="K10" s="5"/>
      <c r="L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15.75">
      <c r="A11" s="26" t="s">
        <v>667</v>
      </c>
      <c r="B11" s="12"/>
      <c r="C11" s="3"/>
      <c r="D11" s="35" t="s">
        <v>679</v>
      </c>
      <c r="E11" s="898" t="s">
        <v>680</v>
      </c>
      <c r="F11" s="36"/>
      <c r="G11" s="725" t="s">
        <v>414</v>
      </c>
      <c r="H11" s="726"/>
      <c r="I11" s="36"/>
      <c r="J11" s="26" t="s">
        <v>681</v>
      </c>
      <c r="K11" s="5"/>
      <c r="L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16.5" thickBot="1">
      <c r="A12" s="31" t="s">
        <v>668</v>
      </c>
      <c r="B12" s="12"/>
      <c r="C12" s="13" t="s">
        <v>682</v>
      </c>
      <c r="D12" s="5"/>
      <c r="E12" s="30"/>
      <c r="F12" s="5"/>
      <c r="G12" s="5"/>
      <c r="H12" s="5"/>
      <c r="I12" s="5"/>
      <c r="J12" s="5"/>
      <c r="K12" s="5"/>
      <c r="L12" s="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>
      <c r="A13" s="26"/>
      <c r="B13" s="12"/>
      <c r="C13" s="3"/>
      <c r="D13" s="5"/>
      <c r="E13" s="913" t="s">
        <v>214</v>
      </c>
      <c r="F13" s="5"/>
      <c r="G13" s="5"/>
      <c r="H13" s="5"/>
      <c r="I13" s="5"/>
      <c r="J13" s="5"/>
      <c r="K13" s="5"/>
      <c r="L13" s="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>
      <c r="A14" s="26"/>
      <c r="B14" s="12"/>
      <c r="C14" s="3" t="s">
        <v>683</v>
      </c>
      <c r="D14" s="5"/>
      <c r="E14" s="30"/>
      <c r="F14" s="5"/>
      <c r="G14" s="5"/>
      <c r="H14" s="5"/>
      <c r="I14" s="5"/>
      <c r="J14" s="5"/>
      <c r="K14" s="5"/>
      <c r="L14" s="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>
      <c r="A15" s="26">
        <v>1</v>
      </c>
      <c r="B15" s="12"/>
      <c r="C15" s="3" t="s">
        <v>684</v>
      </c>
      <c r="D15" s="5" t="s">
        <v>364</v>
      </c>
      <c r="E15" s="913">
        <v>343679299</v>
      </c>
      <c r="F15" s="5"/>
      <c r="G15" s="5" t="s">
        <v>685</v>
      </c>
      <c r="H15" s="14" t="s">
        <v>665</v>
      </c>
      <c r="I15" s="5"/>
      <c r="J15" s="5" t="s">
        <v>665</v>
      </c>
      <c r="K15" s="5"/>
      <c r="L15" s="1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>
      <c r="A16" s="26">
        <f>+A15+1</f>
        <v>2</v>
      </c>
      <c r="B16" s="12"/>
      <c r="C16" s="3" t="s">
        <v>686</v>
      </c>
      <c r="D16" s="5" t="s">
        <v>550</v>
      </c>
      <c r="E16" s="913">
        <v>86841289</v>
      </c>
      <c r="F16" s="5"/>
      <c r="G16" s="5" t="s">
        <v>671</v>
      </c>
      <c r="H16" s="14">
        <f>+J144</f>
        <v>0.79286199999999996</v>
      </c>
      <c r="I16" s="5"/>
      <c r="J16" s="5">
        <f>+H16*E16</f>
        <v>68853158.079117998</v>
      </c>
      <c r="K16" s="5"/>
      <c r="L16" s="1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>
      <c r="A17" s="26">
        <f t="shared" ref="A17:A67" si="0">+A16+1</f>
        <v>3</v>
      </c>
      <c r="B17" s="12"/>
      <c r="C17" s="3" t="s">
        <v>803</v>
      </c>
      <c r="D17" s="5" t="str">
        <f>"See Workpaper 2 (line "&amp;'BHP WP2'!B19&amp;")"</f>
        <v>See Workpaper 2 (line 15)</v>
      </c>
      <c r="E17" s="30">
        <f>+'BHP WP2'!F19</f>
        <v>25503000</v>
      </c>
      <c r="F17" s="5"/>
      <c r="G17" s="5" t="s">
        <v>671</v>
      </c>
      <c r="H17" s="14">
        <f>+H16</f>
        <v>0.79286199999999996</v>
      </c>
      <c r="I17" s="5"/>
      <c r="J17" s="5">
        <f>+H17*E17</f>
        <v>20220359.585999999</v>
      </c>
      <c r="K17" s="5"/>
      <c r="L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>
      <c r="A18" s="26">
        <f t="shared" si="0"/>
        <v>4</v>
      </c>
      <c r="B18" s="12"/>
      <c r="C18" s="3" t="s">
        <v>803</v>
      </c>
      <c r="D18" s="5" t="str">
        <f>"See Workpaper 3 (line "&amp;'BHP WP3'!B22&amp;" col D)"</f>
        <v>See Workpaper 3 (line 19 col D)</v>
      </c>
      <c r="E18" s="30">
        <f>+'BHP WP3'!G22</f>
        <v>1254166.6666666667</v>
      </c>
      <c r="F18" s="5"/>
      <c r="G18" s="5" t="str">
        <f>+G17</f>
        <v>TP</v>
      </c>
      <c r="H18" s="14">
        <f>+H17</f>
        <v>0.79286199999999996</v>
      </c>
      <c r="I18" s="5"/>
      <c r="J18" s="5">
        <f>+H18*E18</f>
        <v>994381.09166666667</v>
      </c>
      <c r="K18" s="5"/>
      <c r="L18" s="1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>
      <c r="A19" s="26">
        <f t="shared" si="0"/>
        <v>5</v>
      </c>
      <c r="B19" s="12"/>
      <c r="C19" s="3" t="s">
        <v>687</v>
      </c>
      <c r="D19" s="5" t="s">
        <v>551</v>
      </c>
      <c r="E19" s="913">
        <v>264846537</v>
      </c>
      <c r="F19" s="5"/>
      <c r="G19" s="5" t="s">
        <v>685</v>
      </c>
      <c r="H19" s="811"/>
      <c r="I19" s="5"/>
      <c r="J19" s="5"/>
      <c r="K19" s="5"/>
      <c r="L19" s="1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>
      <c r="A20" s="26">
        <f t="shared" si="0"/>
        <v>6</v>
      </c>
      <c r="B20" s="12"/>
      <c r="C20" s="3" t="s">
        <v>688</v>
      </c>
      <c r="D20" s="5" t="s">
        <v>363</v>
      </c>
      <c r="E20" s="30">
        <f>'BHP WP4'!E12</f>
        <v>40365823</v>
      </c>
      <c r="F20" s="5"/>
      <c r="G20" s="5" t="s">
        <v>689</v>
      </c>
      <c r="H20" s="14">
        <f>J176</f>
        <v>6.0486191976633019E-2</v>
      </c>
      <c r="I20" s="5"/>
      <c r="J20" s="5">
        <f>+H20*E20</f>
        <v>2441574.9192727888</v>
      </c>
      <c r="K20" s="5"/>
      <c r="L20" s="1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>
      <c r="A21" s="26">
        <f t="shared" si="0"/>
        <v>7</v>
      </c>
      <c r="B21" s="12"/>
      <c r="C21" s="3" t="s">
        <v>571</v>
      </c>
      <c r="D21" s="5" t="s">
        <v>243</v>
      </c>
      <c r="E21" s="913">
        <v>7240603</v>
      </c>
      <c r="F21" s="5"/>
      <c r="G21" s="5" t="s">
        <v>689</v>
      </c>
      <c r="H21" s="14">
        <f>+H20</f>
        <v>6.0486191976633019E-2</v>
      </c>
      <c r="I21" s="5"/>
      <c r="J21" s="5">
        <f>+H21*E21</f>
        <v>437956.50308458495</v>
      </c>
      <c r="K21" s="5"/>
      <c r="L21" s="1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>
      <c r="A22" s="26">
        <f t="shared" si="0"/>
        <v>8</v>
      </c>
      <c r="B22" s="12"/>
      <c r="C22" s="3" t="s">
        <v>465</v>
      </c>
      <c r="D22" s="5" t="s">
        <v>464</v>
      </c>
      <c r="E22" s="913">
        <v>8089539</v>
      </c>
      <c r="F22" s="5"/>
      <c r="G22" s="5" t="s">
        <v>563</v>
      </c>
      <c r="H22" s="14">
        <f>+J181</f>
        <v>0.25517146865986395</v>
      </c>
      <c r="I22" s="5"/>
      <c r="J22" s="5">
        <f>+H22*E22</f>
        <v>2064219.5474112472</v>
      </c>
      <c r="K22" s="5"/>
      <c r="L22" s="1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15.75" thickBot="1">
      <c r="A23" s="26">
        <f t="shared" si="0"/>
        <v>9</v>
      </c>
      <c r="B23" s="12"/>
      <c r="C23" s="3" t="s">
        <v>690</v>
      </c>
      <c r="D23" s="5" t="s">
        <v>691</v>
      </c>
      <c r="E23" s="50">
        <v>0</v>
      </c>
      <c r="F23" s="5"/>
      <c r="G23" s="5" t="s">
        <v>743</v>
      </c>
      <c r="H23" s="14">
        <v>0</v>
      </c>
      <c r="I23" s="5"/>
      <c r="J23" s="32">
        <f>+H23*E23</f>
        <v>0</v>
      </c>
      <c r="K23" s="5"/>
      <c r="L23" s="1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>
      <c r="A24" s="26">
        <f t="shared" si="0"/>
        <v>10</v>
      </c>
      <c r="B24" s="12"/>
      <c r="C24" s="24" t="s">
        <v>171</v>
      </c>
      <c r="D24" s="5" t="str">
        <f>"(sum lines "&amp;A15&amp;" - "&amp;A23&amp;")"</f>
        <v>(sum lines 1 - 9)</v>
      </c>
      <c r="E24" s="30">
        <f>SUM(E15:E23)</f>
        <v>777820256.66666675</v>
      </c>
      <c r="F24" s="5"/>
      <c r="G24" s="5" t="s">
        <v>693</v>
      </c>
      <c r="H24" s="869">
        <f>+J24/E24</f>
        <v>0.12215116398963924</v>
      </c>
      <c r="I24" s="5"/>
      <c r="J24" s="5">
        <f>SUM(J15:J23)</f>
        <v>95011649.726553291</v>
      </c>
      <c r="K24" s="5"/>
      <c r="L24" s="2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>
      <c r="A25" s="26">
        <f t="shared" si="0"/>
        <v>11</v>
      </c>
      <c r="B25" s="12"/>
      <c r="C25" s="3"/>
      <c r="D25" s="5"/>
      <c r="E25" s="30"/>
      <c r="F25" s="5"/>
      <c r="G25" s="5"/>
      <c r="H25" s="16"/>
      <c r="I25" s="5"/>
      <c r="J25" s="5"/>
      <c r="K25" s="5"/>
      <c r="L25" s="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>
      <c r="A26" s="26">
        <f t="shared" si="0"/>
        <v>12</v>
      </c>
      <c r="B26" s="12"/>
      <c r="C26" s="3" t="s">
        <v>694</v>
      </c>
      <c r="D26" s="5"/>
      <c r="E26" s="30"/>
      <c r="F26" s="5"/>
      <c r="G26" s="5"/>
      <c r="H26" s="5"/>
      <c r="I26" s="5"/>
      <c r="J26" s="5"/>
      <c r="K26" s="5"/>
      <c r="L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>
      <c r="A27" s="26">
        <f t="shared" si="0"/>
        <v>13</v>
      </c>
      <c r="B27" s="12"/>
      <c r="C27" s="3" t="str">
        <f>+C15</f>
        <v xml:space="preserve">  Production</v>
      </c>
      <c r="D27" s="5" t="s">
        <v>552</v>
      </c>
      <c r="E27" s="913">
        <f>140784470+31605931</f>
        <v>172390401</v>
      </c>
      <c r="F27" s="5"/>
      <c r="G27" s="5" t="str">
        <f>+G15</f>
        <v>NA</v>
      </c>
      <c r="H27" s="14" t="str">
        <f>+H15</f>
        <v xml:space="preserve"> </v>
      </c>
      <c r="I27" s="5"/>
      <c r="J27" s="5" t="s">
        <v>665</v>
      </c>
      <c r="K27" s="5"/>
      <c r="L27" s="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>
      <c r="A28" s="26">
        <f t="shared" si="0"/>
        <v>14</v>
      </c>
      <c r="B28" s="12"/>
      <c r="C28" s="3" t="s">
        <v>686</v>
      </c>
      <c r="D28" s="5" t="s">
        <v>553</v>
      </c>
      <c r="E28" s="913">
        <v>26871389</v>
      </c>
      <c r="F28" s="5"/>
      <c r="G28" s="5" t="s">
        <v>411</v>
      </c>
      <c r="H28" s="14">
        <f>+J162</f>
        <v>0.79978700000000003</v>
      </c>
      <c r="I28" s="5"/>
      <c r="J28" s="30">
        <f>+H28*E28</f>
        <v>21491387.594143</v>
      </c>
      <c r="K28" s="5"/>
      <c r="L28" s="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>
      <c r="A29" s="26">
        <f t="shared" si="0"/>
        <v>15</v>
      </c>
      <c r="B29" s="12"/>
      <c r="C29" s="44" t="s">
        <v>802</v>
      </c>
      <c r="D29" s="5" t="str">
        <f>"See Workpaper 2 (line "&amp;'BHP WP2'!B56&amp;")"</f>
        <v>See Workpaper 2 (line 52)</v>
      </c>
      <c r="E29" s="30">
        <f>+'BHP WP2'!F56</f>
        <v>2773370.23448664</v>
      </c>
      <c r="F29" s="5"/>
      <c r="G29" s="5" t="str">
        <f>+G28</f>
        <v>TPA</v>
      </c>
      <c r="H29" s="14">
        <f>+H28</f>
        <v>0.79978700000000003</v>
      </c>
      <c r="I29" s="5"/>
      <c r="J29" s="5">
        <f>+H29*E29</f>
        <v>2218105.4597293665</v>
      </c>
      <c r="K29" s="5"/>
      <c r="L29" s="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>
      <c r="A30" s="26">
        <f t="shared" si="0"/>
        <v>16</v>
      </c>
      <c r="B30" s="12"/>
      <c r="C30" s="3" t="s">
        <v>687</v>
      </c>
      <c r="D30" s="5" t="s">
        <v>554</v>
      </c>
      <c r="E30" s="913">
        <v>87941541</v>
      </c>
      <c r="F30" s="5"/>
      <c r="G30" s="5" t="s">
        <v>685</v>
      </c>
      <c r="H30" s="14"/>
      <c r="I30" s="5"/>
      <c r="J30" s="5"/>
      <c r="K30" s="5"/>
      <c r="L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>
      <c r="A31" s="26">
        <f t="shared" si="0"/>
        <v>17</v>
      </c>
      <c r="B31" s="12"/>
      <c r="C31" s="3" t="str">
        <f>+C20</f>
        <v xml:space="preserve">  General &amp; Intangible</v>
      </c>
      <c r="D31" s="5" t="str">
        <f>"See Workpaper 4 (line "&amp;'BHP WP4'!A30&amp;" col 1)"</f>
        <v>See Workpaper 4 (line 24 col 1)</v>
      </c>
      <c r="E31" s="30">
        <f>'BHP WP4'!E30</f>
        <v>16911633.255899999</v>
      </c>
      <c r="F31" s="5"/>
      <c r="G31" s="5" t="str">
        <f>+G20</f>
        <v>W/S</v>
      </c>
      <c r="H31" s="14">
        <f>+H20</f>
        <v>6.0486191976633019E-2</v>
      </c>
      <c r="I31" s="5"/>
      <c r="J31" s="5">
        <f>+H31*E31</f>
        <v>1022920.2957547787</v>
      </c>
      <c r="K31" s="5"/>
      <c r="L31" s="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>
      <c r="A32" s="26">
        <f t="shared" si="0"/>
        <v>18</v>
      </c>
      <c r="B32" s="12"/>
      <c r="C32" s="3" t="s">
        <v>571</v>
      </c>
      <c r="D32" s="5" t="s">
        <v>244</v>
      </c>
      <c r="E32" s="913">
        <v>3818750</v>
      </c>
      <c r="F32" s="5"/>
      <c r="G32" s="5" t="str">
        <f>+G21</f>
        <v>W/S</v>
      </c>
      <c r="H32" s="14">
        <f>+H31</f>
        <v>6.0486191976633019E-2</v>
      </c>
      <c r="I32" s="5"/>
      <c r="J32" s="5">
        <f>+H32*E32</f>
        <v>230981.64561076733</v>
      </c>
      <c r="K32" s="5"/>
      <c r="L32" s="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>
      <c r="A33" s="26">
        <f t="shared" si="0"/>
        <v>19</v>
      </c>
      <c r="B33" s="12"/>
      <c r="C33" s="3" t="str">
        <f>+C22</f>
        <v xml:space="preserve">  Communication System</v>
      </c>
      <c r="D33" s="5" t="str">
        <f>"See Workpaper 4 (line "&amp;'BHP WP4'!A28&amp;" col 2)"</f>
        <v>See Workpaper 4 (line 22 col 2)</v>
      </c>
      <c r="E33" s="30">
        <f>'BHP WP4'!F28</f>
        <v>3882668.7440999998</v>
      </c>
      <c r="F33" s="5"/>
      <c r="G33" s="5" t="str">
        <f>+G22</f>
        <v>T&amp;D</v>
      </c>
      <c r="H33" s="14">
        <f>+H22</f>
        <v>0.25517146865986395</v>
      </c>
      <c r="I33" s="5"/>
      <c r="J33" s="5">
        <f>+H33*E33</f>
        <v>990746.28575174639</v>
      </c>
      <c r="K33" s="5"/>
      <c r="L33" s="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15.75" thickBot="1">
      <c r="A34" s="26">
        <f t="shared" si="0"/>
        <v>20</v>
      </c>
      <c r="B34" s="12"/>
      <c r="C34" s="3" t="str">
        <f>+C23</f>
        <v xml:space="preserve">  Common</v>
      </c>
      <c r="D34" s="5" t="s">
        <v>691</v>
      </c>
      <c r="E34" s="50">
        <v>0</v>
      </c>
      <c r="F34" s="5"/>
      <c r="G34" s="5" t="str">
        <f>+G23</f>
        <v>CE</v>
      </c>
      <c r="H34" s="14">
        <f>+H23</f>
        <v>0</v>
      </c>
      <c r="I34" s="5"/>
      <c r="J34" s="32">
        <f>+H34*E34</f>
        <v>0</v>
      </c>
      <c r="K34" s="5"/>
      <c r="L34" s="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>
      <c r="A35" s="26">
        <f t="shared" si="0"/>
        <v>21</v>
      </c>
      <c r="B35" s="12"/>
      <c r="C35" s="3" t="s">
        <v>173</v>
      </c>
      <c r="D35" s="5" t="str">
        <f>"(sum lines "&amp;A27&amp;" - "&amp;A34&amp;")"</f>
        <v>(sum lines 13 - 20)</v>
      </c>
      <c r="E35" s="30">
        <f>SUM(E27:E34)</f>
        <v>314589753.23448664</v>
      </c>
      <c r="F35" s="5"/>
      <c r="G35" s="5"/>
      <c r="H35" s="5"/>
      <c r="I35" s="5"/>
      <c r="J35" s="5">
        <f>SUM(J27:J34)</f>
        <v>25954141.280989658</v>
      </c>
      <c r="K35" s="5"/>
      <c r="L35" s="74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>
      <c r="A36" s="26">
        <f t="shared" si="0"/>
        <v>22</v>
      </c>
      <c r="B36" s="12"/>
      <c r="C36" s="12"/>
      <c r="D36" s="5" t="s">
        <v>665</v>
      </c>
      <c r="E36" s="48"/>
      <c r="F36" s="5"/>
      <c r="G36" s="5"/>
      <c r="H36" s="16"/>
      <c r="I36" s="5"/>
      <c r="J36" s="12"/>
      <c r="K36" s="5"/>
      <c r="L36" s="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>
      <c r="A37" s="26">
        <f t="shared" si="0"/>
        <v>23</v>
      </c>
      <c r="B37" s="12"/>
      <c r="C37" s="3" t="s">
        <v>696</v>
      </c>
      <c r="D37" s="5"/>
      <c r="E37" s="30"/>
      <c r="F37" s="5"/>
      <c r="G37" s="5"/>
      <c r="H37" s="5"/>
      <c r="I37" s="5"/>
      <c r="J37" s="5"/>
      <c r="K37" s="5"/>
      <c r="L37" s="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>
      <c r="A38" s="26">
        <f t="shared" si="0"/>
        <v>24</v>
      </c>
      <c r="B38" s="12"/>
      <c r="C38" s="3" t="str">
        <f>+C27</f>
        <v xml:space="preserve">  Production</v>
      </c>
      <c r="D38" s="5" t="str">
        <f>"(line "&amp;A15&amp;" - line "&amp;A27&amp;")"</f>
        <v>(line 1 - line 13)</v>
      </c>
      <c r="E38" s="30">
        <f>E15-E27</f>
        <v>171288898</v>
      </c>
      <c r="F38" s="5"/>
      <c r="G38" s="5" t="s">
        <v>446</v>
      </c>
      <c r="H38" s="16"/>
      <c r="I38" s="5"/>
      <c r="J38" s="5" t="s">
        <v>665</v>
      </c>
      <c r="K38" s="5"/>
      <c r="L38" s="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>
      <c r="A39" s="26">
        <f t="shared" si="0"/>
        <v>25</v>
      </c>
      <c r="B39" s="12"/>
      <c r="C39" s="3" t="s">
        <v>686</v>
      </c>
      <c r="D39" s="5" t="str">
        <f>"(line "&amp;A16&amp;" - line "&amp;A28&amp;")"</f>
        <v>(line 2 - line 14)</v>
      </c>
      <c r="E39" s="30">
        <f>E16-E28</f>
        <v>59969900</v>
      </c>
      <c r="F39" s="5"/>
      <c r="G39" s="5" t="s">
        <v>446</v>
      </c>
      <c r="H39" s="14"/>
      <c r="I39" s="5"/>
      <c r="J39" s="5">
        <f>J16-J28</f>
        <v>47361770.484974995</v>
      </c>
      <c r="K39" s="5"/>
      <c r="L39" s="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>
      <c r="A40" s="26">
        <f t="shared" si="0"/>
        <v>26</v>
      </c>
      <c r="B40" s="12"/>
      <c r="C40" s="3" t="str">
        <f>+C17</f>
        <v xml:space="preserve">  New Construction CUS Assets</v>
      </c>
      <c r="D40" s="5" t="str">
        <f>"(line "&amp;A17&amp;" - line "&amp;A29&amp;")"</f>
        <v>(line 3 - line 15)</v>
      </c>
      <c r="E40" s="30">
        <f>E17-E29</f>
        <v>22729629.765513361</v>
      </c>
      <c r="F40" s="5"/>
      <c r="G40" s="5" t="s">
        <v>446</v>
      </c>
      <c r="H40" s="14"/>
      <c r="I40" s="5"/>
      <c r="J40" s="5">
        <f>J17-J29</f>
        <v>18002254.126270633</v>
      </c>
      <c r="K40" s="5"/>
      <c r="L40" s="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>
      <c r="A41" s="26">
        <f t="shared" si="0"/>
        <v>27</v>
      </c>
      <c r="B41" s="12"/>
      <c r="C41" s="3" t="s">
        <v>803</v>
      </c>
      <c r="D41" s="5" t="str">
        <f>"(line "&amp;A18&amp;")"</f>
        <v>(line 4)</v>
      </c>
      <c r="E41" s="30">
        <f>E18</f>
        <v>1254166.6666666667</v>
      </c>
      <c r="F41" s="5"/>
      <c r="G41" s="5" t="s">
        <v>446</v>
      </c>
      <c r="H41" s="14"/>
      <c r="I41" s="5"/>
      <c r="J41" s="5">
        <f>J18</f>
        <v>994381.09166666667</v>
      </c>
      <c r="K41" s="5"/>
      <c r="L41" s="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>
      <c r="A42" s="26">
        <f t="shared" si="0"/>
        <v>28</v>
      </c>
      <c r="B42" s="12"/>
      <c r="C42" s="3" t="s">
        <v>804</v>
      </c>
      <c r="D42" s="5" t="str">
        <f>"(line "&amp;A19&amp;" - line "&amp;A30&amp;")"</f>
        <v>(line 5 - line 16)</v>
      </c>
      <c r="E42" s="30">
        <f t="shared" ref="E42:E47" si="1">E19-E30</f>
        <v>176904996</v>
      </c>
      <c r="F42" s="5"/>
      <c r="G42" s="5" t="s">
        <v>446</v>
      </c>
      <c r="H42" s="16"/>
      <c r="I42" s="5"/>
      <c r="J42" s="5"/>
      <c r="K42" s="5"/>
      <c r="L42" s="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>
      <c r="A43" s="26">
        <f t="shared" si="0"/>
        <v>29</v>
      </c>
      <c r="B43" s="12"/>
      <c r="C43" s="3" t="str">
        <f>+C31</f>
        <v xml:space="preserve">  General &amp; Intangible</v>
      </c>
      <c r="D43" s="5" t="str">
        <f>"(line "&amp;A20&amp;" - line "&amp;A31&amp;")"</f>
        <v>(line 6 - line 17)</v>
      </c>
      <c r="E43" s="30">
        <f t="shared" si="1"/>
        <v>23454189.744100001</v>
      </c>
      <c r="F43" s="5"/>
      <c r="G43" s="5" t="s">
        <v>446</v>
      </c>
      <c r="H43" s="16"/>
      <c r="I43" s="5"/>
      <c r="J43" s="5">
        <f>J20-J31</f>
        <v>1418654.6235180101</v>
      </c>
      <c r="K43" s="5"/>
      <c r="L43" s="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>
      <c r="A44" s="26">
        <f t="shared" si="0"/>
        <v>30</v>
      </c>
      <c r="B44" s="12"/>
      <c r="C44" s="3" t="s">
        <v>571</v>
      </c>
      <c r="D44" s="5" t="str">
        <f>"(line "&amp;A21&amp;" - line "&amp;A32&amp;")"</f>
        <v>(line 7 - line 18)</v>
      </c>
      <c r="E44" s="30">
        <f t="shared" si="1"/>
        <v>3421853</v>
      </c>
      <c r="F44" s="5"/>
      <c r="G44" s="5" t="s">
        <v>446</v>
      </c>
      <c r="H44" s="16"/>
      <c r="I44" s="5"/>
      <c r="J44" s="5">
        <f>J21-J32</f>
        <v>206974.85747381762</v>
      </c>
      <c r="K44" s="5"/>
      <c r="L44" s="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>
      <c r="A45" s="26">
        <f t="shared" si="0"/>
        <v>31</v>
      </c>
      <c r="B45" s="12"/>
      <c r="C45" s="3" t="str">
        <f>+C33</f>
        <v xml:space="preserve">  Communication System</v>
      </c>
      <c r="D45" s="5" t="str">
        <f>"(line "&amp;A22&amp;" - line "&amp;A33&amp;")"</f>
        <v>(line 8 - line 19)</v>
      </c>
      <c r="E45" s="30">
        <f t="shared" si="1"/>
        <v>4206870.2559000002</v>
      </c>
      <c r="F45" s="5"/>
      <c r="G45" s="5" t="s">
        <v>446</v>
      </c>
      <c r="H45" s="16"/>
      <c r="I45" s="5"/>
      <c r="J45" s="5">
        <f>J22-J33</f>
        <v>1073473.2616595007</v>
      </c>
      <c r="K45" s="5"/>
      <c r="L45" s="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15.75" thickBot="1">
      <c r="A46" s="26">
        <f t="shared" si="0"/>
        <v>32</v>
      </c>
      <c r="B46" s="12"/>
      <c r="C46" s="3" t="str">
        <f>+C34</f>
        <v xml:space="preserve">  Common</v>
      </c>
      <c r="D46" s="5" t="str">
        <f>"(line "&amp;A23&amp;" - line "&amp;A34&amp;")"</f>
        <v>(line 9 - line 20)</v>
      </c>
      <c r="E46" s="50">
        <f t="shared" si="1"/>
        <v>0</v>
      </c>
      <c r="F46" s="5"/>
      <c r="G46" s="5" t="s">
        <v>446</v>
      </c>
      <c r="H46" s="16"/>
      <c r="I46" s="5"/>
      <c r="J46" s="32">
        <f>J23-J34</f>
        <v>0</v>
      </c>
      <c r="K46" s="5"/>
      <c r="L46" s="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>
      <c r="A47" s="26">
        <f t="shared" si="0"/>
        <v>33</v>
      </c>
      <c r="B47" s="12"/>
      <c r="C47" s="3" t="s">
        <v>172</v>
      </c>
      <c r="D47" s="5" t="str">
        <f>"(sum lines "&amp;A38&amp;" - "&amp;A46&amp;")"</f>
        <v>(sum lines 24 - 32)</v>
      </c>
      <c r="E47" s="30">
        <f t="shared" si="1"/>
        <v>463230503.43218011</v>
      </c>
      <c r="F47" s="5"/>
      <c r="G47" s="5" t="s">
        <v>703</v>
      </c>
      <c r="H47" s="869">
        <f>+J47/E47</f>
        <v>0.14907806790334585</v>
      </c>
      <c r="I47" s="5"/>
      <c r="J47" s="5">
        <f>SUM(J38:J46)</f>
        <v>69057508.445563629</v>
      </c>
      <c r="K47" s="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>
      <c r="A48" s="26">
        <f t="shared" si="0"/>
        <v>34</v>
      </c>
      <c r="B48" s="12"/>
      <c r="C48" s="12"/>
      <c r="D48" s="5"/>
      <c r="E48" s="769"/>
      <c r="F48" s="5"/>
      <c r="G48" s="12"/>
      <c r="H48" s="12"/>
      <c r="I48" s="5"/>
      <c r="J48" s="12"/>
      <c r="K48" s="5"/>
      <c r="L48" s="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>
      <c r="A49" s="26">
        <f t="shared" si="0"/>
        <v>35</v>
      </c>
      <c r="B49" s="12"/>
      <c r="C49" s="24" t="s">
        <v>354</v>
      </c>
      <c r="D49" s="5"/>
      <c r="E49" s="30"/>
      <c r="F49" s="5"/>
      <c r="G49" s="5"/>
      <c r="H49" s="5"/>
      <c r="I49" s="5"/>
      <c r="J49" s="5"/>
      <c r="K49" s="5"/>
      <c r="L49" s="5" t="s">
        <v>665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>
      <c r="A50" s="26">
        <f t="shared" si="0"/>
        <v>36</v>
      </c>
      <c r="B50" s="12"/>
      <c r="C50" s="3" t="s">
        <v>764</v>
      </c>
      <c r="D50" s="5" t="s">
        <v>704</v>
      </c>
      <c r="E50" s="914">
        <v>1</v>
      </c>
      <c r="F50" s="30"/>
      <c r="G50" s="30" t="str">
        <f>+G27</f>
        <v>NA</v>
      </c>
      <c r="H50" s="42" t="s">
        <v>789</v>
      </c>
      <c r="I50" s="5"/>
      <c r="J50" s="741">
        <v>0</v>
      </c>
      <c r="K50" s="5"/>
      <c r="L50" s="1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>
      <c r="A51" s="26">
        <f t="shared" si="0"/>
        <v>37</v>
      </c>
      <c r="B51" s="12"/>
      <c r="C51" s="3" t="s">
        <v>765</v>
      </c>
      <c r="D51" s="5" t="s">
        <v>706</v>
      </c>
      <c r="E51" s="914">
        <v>-93252936</v>
      </c>
      <c r="F51" s="5"/>
      <c r="G51" s="5" t="s">
        <v>705</v>
      </c>
      <c r="H51" s="14">
        <f>+H47</f>
        <v>0.14907806790334585</v>
      </c>
      <c r="I51" s="5"/>
      <c r="J51" s="741">
        <f>E51*H51</f>
        <v>-13901967.525194366</v>
      </c>
      <c r="K51" s="5"/>
      <c r="L51" s="1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>
      <c r="A52" s="26">
        <f t="shared" si="0"/>
        <v>38</v>
      </c>
      <c r="B52" s="12"/>
      <c r="C52" s="3" t="s">
        <v>766</v>
      </c>
      <c r="D52" s="5" t="s">
        <v>707</v>
      </c>
      <c r="E52" s="915">
        <v>-19651985</v>
      </c>
      <c r="F52" s="5"/>
      <c r="G52" s="5" t="str">
        <f>+G51</f>
        <v>NP</v>
      </c>
      <c r="H52" s="14">
        <f>+H51</f>
        <v>0.14907806790334585</v>
      </c>
      <c r="I52" s="5"/>
      <c r="J52" s="741">
        <f>E52*H52</f>
        <v>-2929679.9542655339</v>
      </c>
      <c r="K52" s="5"/>
      <c r="L52" s="1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>
      <c r="A53" s="26">
        <f t="shared" si="0"/>
        <v>39</v>
      </c>
      <c r="B53" s="12"/>
      <c r="C53" s="3" t="s">
        <v>768</v>
      </c>
      <c r="D53" s="5" t="s">
        <v>708</v>
      </c>
      <c r="E53" s="915">
        <v>14844938</v>
      </c>
      <c r="F53" s="5"/>
      <c r="G53" s="5" t="str">
        <f>+G52</f>
        <v>NP</v>
      </c>
      <c r="H53" s="14">
        <f>+H52</f>
        <v>0.14907806790334585</v>
      </c>
      <c r="I53" s="5"/>
      <c r="J53" s="741">
        <f>E53*H53</f>
        <v>2213054.6751849591</v>
      </c>
      <c r="K53" s="5"/>
      <c r="L53" s="1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>
      <c r="A54" s="26">
        <f t="shared" si="0"/>
        <v>40</v>
      </c>
      <c r="B54" s="12"/>
      <c r="C54" s="12" t="s">
        <v>767</v>
      </c>
      <c r="D54" s="12" t="s">
        <v>556</v>
      </c>
      <c r="E54" s="915">
        <v>-113590</v>
      </c>
      <c r="F54" s="5"/>
      <c r="G54" s="5" t="str">
        <f>+G53</f>
        <v>NP</v>
      </c>
      <c r="H54" s="14">
        <f>+H52</f>
        <v>0.14907806790334585</v>
      </c>
      <c r="I54" s="5"/>
      <c r="J54" s="770">
        <f>E54*H54</f>
        <v>-16933.777733141054</v>
      </c>
      <c r="K54" s="5"/>
      <c r="L54" s="1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15.75" thickBot="1">
      <c r="A55" s="26">
        <f t="shared" si="0"/>
        <v>41</v>
      </c>
      <c r="B55" s="12"/>
      <c r="C55" s="3" t="s">
        <v>795</v>
      </c>
      <c r="D55" s="48" t="s">
        <v>889</v>
      </c>
      <c r="E55" s="916">
        <f>(7579283*0.35-61164*0.35-1215960*0.35)</f>
        <v>2205755.65</v>
      </c>
      <c r="F55" s="5"/>
      <c r="G55" s="5" t="str">
        <f>+G54</f>
        <v>NP</v>
      </c>
      <c r="H55" s="14">
        <f>+H54</f>
        <v>0.14907806790334585</v>
      </c>
      <c r="I55" s="5"/>
      <c r="J55" s="771">
        <f>+H55*E55</f>
        <v>328829.79056888877</v>
      </c>
      <c r="K55" s="5"/>
      <c r="L55" s="1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>
      <c r="A56" s="26">
        <f t="shared" si="0"/>
        <v>42</v>
      </c>
      <c r="B56" s="12"/>
      <c r="C56" s="3" t="s">
        <v>174</v>
      </c>
      <c r="D56" s="5" t="str">
        <f>"(sum lines "&amp;A50&amp;" - "&amp;A55&amp;")"</f>
        <v>(sum lines 36 - 41)</v>
      </c>
      <c r="E56" s="30"/>
      <c r="F56" s="5"/>
      <c r="G56" s="5"/>
      <c r="H56" s="5"/>
      <c r="I56" s="5"/>
      <c r="J56" s="741">
        <f>SUM(J50:J55)</f>
        <v>-14306696.791439194</v>
      </c>
      <c r="K56" s="5"/>
      <c r="L56" s="74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>
      <c r="A57" s="26">
        <f t="shared" si="0"/>
        <v>43</v>
      </c>
      <c r="B57" s="12"/>
      <c r="C57" s="12"/>
      <c r="D57" s="5"/>
      <c r="E57" s="48"/>
      <c r="F57" s="5"/>
      <c r="G57" s="5"/>
      <c r="H57" s="16"/>
      <c r="I57" s="5"/>
      <c r="J57" s="12"/>
      <c r="K57" s="5"/>
      <c r="L57" s="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>
      <c r="A58" s="26">
        <f t="shared" si="0"/>
        <v>44</v>
      </c>
      <c r="B58" s="12"/>
      <c r="C58" s="24" t="s">
        <v>709</v>
      </c>
      <c r="D58" s="5" t="s">
        <v>355</v>
      </c>
      <c r="E58" s="30">
        <v>0</v>
      </c>
      <c r="F58" s="5"/>
      <c r="G58" s="30" t="s">
        <v>1022</v>
      </c>
      <c r="H58" s="43">
        <v>0</v>
      </c>
      <c r="I58" s="5"/>
      <c r="J58" s="5">
        <f>+H58*E58</f>
        <v>0</v>
      </c>
      <c r="K58" s="5"/>
      <c r="L58" s="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>
      <c r="A59" s="26">
        <f t="shared" si="0"/>
        <v>45</v>
      </c>
      <c r="B59" s="12"/>
      <c r="C59" s="3"/>
      <c r="D59" s="5"/>
      <c r="E59" s="30"/>
      <c r="F59" s="5"/>
      <c r="G59" s="5"/>
      <c r="H59" s="5"/>
      <c r="I59" s="5"/>
      <c r="J59" s="5"/>
      <c r="K59" s="5"/>
      <c r="L59" s="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>
      <c r="A60" s="26">
        <f t="shared" si="0"/>
        <v>46</v>
      </c>
      <c r="B60" s="12"/>
      <c r="C60" s="3" t="s">
        <v>807</v>
      </c>
      <c r="D60" s="5" t="s">
        <v>665</v>
      </c>
      <c r="E60" s="30"/>
      <c r="F60" s="5"/>
      <c r="G60" s="5"/>
      <c r="H60" s="5"/>
      <c r="I60" s="5"/>
      <c r="J60" s="5"/>
      <c r="K60" s="5"/>
      <c r="L60" s="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>
      <c r="A61" s="26">
        <f t="shared" si="0"/>
        <v>47</v>
      </c>
      <c r="B61" s="12"/>
      <c r="C61" s="3" t="s">
        <v>786</v>
      </c>
      <c r="D61" s="48" t="str">
        <f>"(1/8 * line "&amp;A90&amp;")"</f>
        <v>(1/8 * line 63)</v>
      </c>
      <c r="E61" s="30">
        <f>+E90/8</f>
        <v>3113317.8958333335</v>
      </c>
      <c r="F61" s="5"/>
      <c r="G61" s="5" t="s">
        <v>446</v>
      </c>
      <c r="H61" s="16"/>
      <c r="I61" s="5"/>
      <c r="J61" s="5">
        <f>+J90/8</f>
        <v>254101.68576799444</v>
      </c>
      <c r="K61" s="2"/>
      <c r="L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>
      <c r="A62" s="26">
        <f t="shared" si="0"/>
        <v>48</v>
      </c>
      <c r="B62" s="12"/>
      <c r="C62" s="3" t="s">
        <v>921</v>
      </c>
      <c r="D62" s="5" t="s">
        <v>566</v>
      </c>
      <c r="E62" s="913">
        <v>4414174</v>
      </c>
      <c r="F62" s="5"/>
      <c r="G62" s="5" t="s">
        <v>563</v>
      </c>
      <c r="H62" s="14">
        <f>+J181</f>
        <v>0.25517146865986395</v>
      </c>
      <c r="I62" s="5"/>
      <c r="J62" s="5">
        <f>+H62*E62</f>
        <v>1126371.2625001862</v>
      </c>
      <c r="K62" s="5" t="s">
        <v>665</v>
      </c>
      <c r="L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>
      <c r="A63" s="26">
        <f t="shared" si="0"/>
        <v>49</v>
      </c>
      <c r="B63" s="12"/>
      <c r="C63" s="3" t="s">
        <v>921</v>
      </c>
      <c r="D63" s="5" t="s">
        <v>565</v>
      </c>
      <c r="E63" s="913">
        <v>88267</v>
      </c>
      <c r="F63" s="5"/>
      <c r="G63" s="5" t="s">
        <v>671</v>
      </c>
      <c r="H63" s="14">
        <f>+J144</f>
        <v>0.79286199999999996</v>
      </c>
      <c r="I63" s="5"/>
      <c r="J63" s="5">
        <f>+H63*E63</f>
        <v>69983.550153999997</v>
      </c>
      <c r="K63" s="5"/>
      <c r="L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15.75" thickBot="1">
      <c r="A64" s="26">
        <f t="shared" si="0"/>
        <v>50</v>
      </c>
      <c r="B64" s="12"/>
      <c r="C64" s="3" t="s">
        <v>769</v>
      </c>
      <c r="D64" s="5" t="s">
        <v>365</v>
      </c>
      <c r="E64" s="917">
        <v>1460374</v>
      </c>
      <c r="F64" s="5"/>
      <c r="G64" s="5" t="s">
        <v>711</v>
      </c>
      <c r="H64" s="14">
        <f>+H24</f>
        <v>0.12215116398963924</v>
      </c>
      <c r="I64" s="5"/>
      <c r="J64" s="32">
        <f>+H64*E64</f>
        <v>178386.38396020542</v>
      </c>
      <c r="K64" s="5"/>
      <c r="L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>
      <c r="A65" s="26">
        <f t="shared" si="0"/>
        <v>51</v>
      </c>
      <c r="B65" s="12"/>
      <c r="C65" s="3" t="s">
        <v>175</v>
      </c>
      <c r="D65" s="5" t="str">
        <f>"(sum lines "&amp;A61&amp;" - "&amp;A64&amp;")"</f>
        <v>(sum lines 47 - 50)</v>
      </c>
      <c r="E65" s="30"/>
      <c r="F65" s="2"/>
      <c r="G65" s="2"/>
      <c r="H65" s="2"/>
      <c r="I65" s="2"/>
      <c r="J65" s="5">
        <f>SUM(J61:J64)</f>
        <v>1628842.8823823861</v>
      </c>
      <c r="K65" s="2"/>
      <c r="L65" s="74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15.75" thickBot="1">
      <c r="A66" s="26">
        <f t="shared" si="0"/>
        <v>52</v>
      </c>
      <c r="B66" s="12"/>
      <c r="C66" s="12"/>
      <c r="D66" s="5"/>
      <c r="E66" s="899"/>
      <c r="F66" s="5"/>
      <c r="G66" s="5"/>
      <c r="H66" s="5"/>
      <c r="I66" s="5"/>
      <c r="J66" s="744"/>
      <c r="K66" s="5"/>
      <c r="L66" s="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15.75" thickBot="1">
      <c r="A67" s="26">
        <f t="shared" si="0"/>
        <v>53</v>
      </c>
      <c r="B67" s="12"/>
      <c r="C67" s="3" t="s">
        <v>176</v>
      </c>
      <c r="D67" s="5" t="str">
        <f>"(sum lines "&amp;A47&amp;", "&amp;A56&amp;", "&amp;A58&amp;", &amp; "&amp;A65&amp;")"</f>
        <v>(sum lines 33, 42, 44, &amp; 51)</v>
      </c>
      <c r="E67" s="56"/>
      <c r="F67" s="5"/>
      <c r="G67" s="5"/>
      <c r="H67" s="16"/>
      <c r="I67" s="5"/>
      <c r="J67" s="37">
        <f>+J65+J58+J56+J47</f>
        <v>56379654.536506817</v>
      </c>
      <c r="K67" s="5"/>
      <c r="L67" s="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ht="15.75" thickTop="1">
      <c r="A68" s="26"/>
      <c r="B68" s="12"/>
      <c r="C68" s="3"/>
      <c r="D68" s="5"/>
      <c r="E68" s="56"/>
      <c r="F68" s="5"/>
      <c r="G68" s="5"/>
      <c r="H68" s="16"/>
      <c r="I68" s="5"/>
      <c r="J68" s="55"/>
      <c r="K68" s="5"/>
      <c r="L68" s="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>
      <c r="A69" s="26"/>
      <c r="B69" s="12"/>
      <c r="C69" s="3"/>
      <c r="D69" s="5"/>
      <c r="E69" s="30"/>
      <c r="F69" s="5"/>
      <c r="G69" s="5"/>
      <c r="H69" s="5"/>
      <c r="I69" s="889" t="s">
        <v>605</v>
      </c>
      <c r="J69" s="2">
        <f>J2:K2</f>
        <v>2011</v>
      </c>
      <c r="K69" s="5"/>
      <c r="L69" s="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>
      <c r="A70" s="26"/>
      <c r="B70" s="12"/>
      <c r="C70" s="3"/>
      <c r="D70" s="5"/>
      <c r="E70" s="30"/>
      <c r="F70" s="5"/>
      <c r="G70" s="5"/>
      <c r="H70" s="5"/>
      <c r="I70" s="5"/>
      <c r="J70" s="5"/>
      <c r="K70" s="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ht="15.75">
      <c r="A71" s="1168" t="s">
        <v>855</v>
      </c>
      <c r="B71" s="1168"/>
      <c r="C71" s="1168"/>
      <c r="D71" s="1168"/>
      <c r="E71" s="1168"/>
      <c r="F71" s="1168"/>
      <c r="G71" s="1168"/>
      <c r="H71" s="1168"/>
      <c r="I71" s="1168"/>
      <c r="J71" s="1168"/>
      <c r="K71" s="1168"/>
      <c r="L71" s="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ht="15.75">
      <c r="A72" s="1167" t="s">
        <v>666</v>
      </c>
      <c r="B72" s="1167"/>
      <c r="C72" s="1167"/>
      <c r="D72" s="1167"/>
      <c r="E72" s="1167"/>
      <c r="F72" s="1167"/>
      <c r="G72" s="1167"/>
      <c r="H72" s="1167"/>
      <c r="I72" s="1167"/>
      <c r="J72" s="1167"/>
      <c r="K72" s="1167"/>
      <c r="L72" s="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>
      <c r="A73" s="12"/>
      <c r="B73" s="12"/>
      <c r="C73" s="2"/>
      <c r="D73" s="2"/>
      <c r="F73" s="2"/>
      <c r="G73" s="2"/>
      <c r="H73" s="2"/>
      <c r="I73" s="2"/>
      <c r="J73" s="2"/>
      <c r="K73" s="2"/>
      <c r="L73" s="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15.75">
      <c r="A74" s="1166" t="s">
        <v>851</v>
      </c>
      <c r="B74" s="1166"/>
      <c r="C74" s="1166"/>
      <c r="D74" s="1166"/>
      <c r="E74" s="1166"/>
      <c r="F74" s="1166"/>
      <c r="G74" s="1166"/>
      <c r="H74" s="1166"/>
      <c r="I74" s="1166"/>
      <c r="J74" s="1166"/>
      <c r="K74" s="1166"/>
      <c r="L74" s="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>
      <c r="A75" s="26"/>
      <c r="B75" s="12"/>
      <c r="C75" s="4" t="s">
        <v>672</v>
      </c>
      <c r="D75" s="4" t="s">
        <v>673</v>
      </c>
      <c r="E75" s="905" t="s">
        <v>674</v>
      </c>
      <c r="F75" s="5" t="s">
        <v>665</v>
      </c>
      <c r="G75" s="5"/>
      <c r="H75" s="7" t="s">
        <v>675</v>
      </c>
      <c r="I75" s="5"/>
      <c r="J75" s="8" t="s">
        <v>676</v>
      </c>
      <c r="K75" s="5"/>
      <c r="L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>
      <c r="A76" s="26"/>
      <c r="B76" s="12"/>
      <c r="C76" s="4"/>
      <c r="D76" s="25"/>
      <c r="E76" s="38"/>
      <c r="F76" s="25"/>
      <c r="G76" s="25"/>
      <c r="H76" s="25"/>
      <c r="I76" s="25"/>
      <c r="J76" s="25"/>
      <c r="K76" s="25"/>
      <c r="L76" s="2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ht="15.75">
      <c r="A77" s="26" t="s">
        <v>667</v>
      </c>
      <c r="B77" s="12"/>
      <c r="C77" s="3"/>
      <c r="D77" s="22" t="s">
        <v>677</v>
      </c>
      <c r="E77" s="30"/>
      <c r="F77" s="5"/>
      <c r="G77" s="36" t="str">
        <f>+G10</f>
        <v xml:space="preserve">      Allocator</v>
      </c>
      <c r="H77" s="26"/>
      <c r="I77" s="5"/>
      <c r="J77" s="27" t="s">
        <v>678</v>
      </c>
      <c r="K77" s="5"/>
      <c r="L77" s="2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ht="16.5" thickBot="1">
      <c r="A78" s="31" t="s">
        <v>668</v>
      </c>
      <c r="B78" s="12"/>
      <c r="C78" s="3"/>
      <c r="D78" s="35" t="s">
        <v>679</v>
      </c>
      <c r="E78" s="898" t="s">
        <v>680</v>
      </c>
      <c r="F78" s="36"/>
      <c r="G78" s="570" t="str">
        <f>+G11</f>
        <v xml:space="preserve">        (page 4)</v>
      </c>
      <c r="H78" s="12"/>
      <c r="I78" s="36"/>
      <c r="J78" s="26" t="s">
        <v>681</v>
      </c>
      <c r="K78" s="5"/>
      <c r="L78" s="2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ht="15.75">
      <c r="A79" s="12"/>
      <c r="B79" s="12"/>
      <c r="C79" s="3"/>
      <c r="D79" s="5"/>
      <c r="E79" s="900"/>
      <c r="F79" s="10"/>
      <c r="G79" s="11"/>
      <c r="H79" s="12"/>
      <c r="I79" s="10"/>
      <c r="J79" s="9"/>
      <c r="K79" s="5"/>
      <c r="L79" s="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>
      <c r="A80" s="26"/>
      <c r="B80" s="12"/>
      <c r="C80" s="3" t="s">
        <v>712</v>
      </c>
      <c r="D80" s="5"/>
      <c r="E80" s="30"/>
      <c r="F80" s="5"/>
      <c r="G80" s="5"/>
      <c r="H80" s="5"/>
      <c r="I80" s="5"/>
      <c r="J80" s="5"/>
      <c r="K80" s="5"/>
      <c r="L80" s="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>
      <c r="A81" s="26">
        <f>+A67+1</f>
        <v>54</v>
      </c>
      <c r="B81" s="12"/>
      <c r="C81" s="3" t="s">
        <v>713</v>
      </c>
      <c r="D81" s="5" t="s">
        <v>572</v>
      </c>
      <c r="E81" s="913">
        <v>18572681</v>
      </c>
      <c r="F81" s="5"/>
      <c r="G81" s="30" t="s">
        <v>671</v>
      </c>
      <c r="H81" s="43">
        <f>+J144</f>
        <v>0.79286199999999996</v>
      </c>
      <c r="I81" s="5"/>
      <c r="J81" s="5">
        <f>+H81*E81</f>
        <v>14725573.003021998</v>
      </c>
      <c r="K81" s="2"/>
      <c r="L81" s="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>
      <c r="A82" s="26">
        <f>+A81+1</f>
        <v>55</v>
      </c>
      <c r="B82" s="12"/>
      <c r="C82" s="3" t="s">
        <v>326</v>
      </c>
      <c r="D82" s="5" t="s">
        <v>479</v>
      </c>
      <c r="E82" s="913">
        <f>705100+151210+295912+16436790</f>
        <v>17589012</v>
      </c>
      <c r="F82" s="5"/>
      <c r="G82" s="30" t="str">
        <f>+G81</f>
        <v>TP</v>
      </c>
      <c r="H82" s="43">
        <f>+H81</f>
        <v>0.79286199999999996</v>
      </c>
      <c r="I82" s="5"/>
      <c r="J82" s="5">
        <f t="shared" ref="J82:J89" si="2">+H82*E82</f>
        <v>13945659.232344</v>
      </c>
      <c r="K82" s="2"/>
      <c r="L82" s="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>
      <c r="A83" s="26">
        <f t="shared" ref="A83:A122" si="3">+A82+1</f>
        <v>56</v>
      </c>
      <c r="B83" s="12"/>
      <c r="C83" s="3" t="s">
        <v>714</v>
      </c>
      <c r="D83" s="5" t="s">
        <v>557</v>
      </c>
      <c r="E83" s="913">
        <v>24284292</v>
      </c>
      <c r="F83" s="5"/>
      <c r="G83" s="5" t="s">
        <v>689</v>
      </c>
      <c r="H83" s="14">
        <f>+H31</f>
        <v>6.0486191976633019E-2</v>
      </c>
      <c r="I83" s="5"/>
      <c r="J83" s="5">
        <f t="shared" si="2"/>
        <v>1468864.3479286134</v>
      </c>
      <c r="K83" s="5"/>
      <c r="L83" s="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>
      <c r="A84" s="26">
        <f t="shared" si="3"/>
        <v>57</v>
      </c>
      <c r="B84" s="12"/>
      <c r="C84" s="3" t="s">
        <v>322</v>
      </c>
      <c r="D84" s="5" t="s">
        <v>568</v>
      </c>
      <c r="E84" s="913">
        <v>266364</v>
      </c>
      <c r="F84" s="5"/>
      <c r="G84" s="5" t="s">
        <v>1022</v>
      </c>
      <c r="H84" s="14">
        <v>1</v>
      </c>
      <c r="I84" s="5"/>
      <c r="J84" s="5">
        <f>E84*H84</f>
        <v>266364</v>
      </c>
      <c r="K84" s="5"/>
      <c r="L84" s="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>
      <c r="A85" s="26">
        <f t="shared" si="3"/>
        <v>58</v>
      </c>
      <c r="B85" s="12"/>
      <c r="C85" s="44" t="s">
        <v>798</v>
      </c>
      <c r="D85" s="30" t="s">
        <v>607</v>
      </c>
      <c r="E85" s="913">
        <v>227200</v>
      </c>
      <c r="F85" s="30"/>
      <c r="G85" s="5" t="str">
        <f>G83</f>
        <v>W/S</v>
      </c>
      <c r="H85" s="43">
        <f>+$J$176</f>
        <v>6.0486191976633019E-2</v>
      </c>
      <c r="I85" s="30"/>
      <c r="J85" s="5">
        <f t="shared" si="2"/>
        <v>13742.462817091022</v>
      </c>
      <c r="K85" s="5"/>
      <c r="L85" s="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>
      <c r="A86" s="26">
        <f t="shared" si="3"/>
        <v>59</v>
      </c>
      <c r="B86" s="12"/>
      <c r="C86" s="44" t="s">
        <v>799</v>
      </c>
      <c r="D86" s="30" t="s">
        <v>608</v>
      </c>
      <c r="E86" s="913">
        <f>220182.54+4698.96</f>
        <v>224881.5</v>
      </c>
      <c r="F86" s="30"/>
      <c r="G86" s="5" t="str">
        <f>+G85</f>
        <v>W/S</v>
      </c>
      <c r="H86" s="43">
        <f>+$J$176</f>
        <v>6.0486191976633019E-2</v>
      </c>
      <c r="I86" s="30"/>
      <c r="J86" s="5">
        <f t="shared" si="2"/>
        <v>13602.225580993198</v>
      </c>
      <c r="K86" s="5"/>
      <c r="L86" s="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>
      <c r="A87" s="26">
        <f t="shared" si="3"/>
        <v>60</v>
      </c>
      <c r="B87" s="12"/>
      <c r="C87" s="44" t="s">
        <v>325</v>
      </c>
      <c r="D87" s="933"/>
      <c r="E87" s="913">
        <f>0+0+(174910-871)</f>
        <v>174039</v>
      </c>
      <c r="F87" s="5"/>
      <c r="G87" s="5" t="str">
        <f>+G84</f>
        <v>DA</v>
      </c>
      <c r="H87" s="43">
        <f>+$J$176</f>
        <v>6.0486191976633019E-2</v>
      </c>
      <c r="I87" s="5"/>
      <c r="J87" s="5">
        <f t="shared" si="2"/>
        <v>10526.956365421234</v>
      </c>
      <c r="K87" s="5"/>
      <c r="L87" s="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>
      <c r="A88" s="26">
        <f t="shared" si="3"/>
        <v>61</v>
      </c>
      <c r="B88" s="12"/>
      <c r="C88" s="44" t="s">
        <v>323</v>
      </c>
      <c r="D88" s="30"/>
      <c r="E88" s="913">
        <f>+'BHP WP1'!D19</f>
        <v>76666.666666666672</v>
      </c>
      <c r="F88" s="30"/>
      <c r="G88" s="698" t="str">
        <f>+G81</f>
        <v>TP</v>
      </c>
      <c r="H88" s="43">
        <f>+H81</f>
        <v>0.79286199999999996</v>
      </c>
      <c r="I88" s="30"/>
      <c r="J88" s="30">
        <f>+H88*E88</f>
        <v>60786.08666666667</v>
      </c>
      <c r="K88" s="5"/>
      <c r="L88" s="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ht="15.75" thickBot="1">
      <c r="A89" s="26">
        <f t="shared" si="3"/>
        <v>62</v>
      </c>
      <c r="B89" s="12"/>
      <c r="C89" s="3" t="s">
        <v>690</v>
      </c>
      <c r="D89" s="5" t="str">
        <f>+D34</f>
        <v>356.1</v>
      </c>
      <c r="E89" s="50">
        <v>0</v>
      </c>
      <c r="F89" s="5"/>
      <c r="G89" s="5" t="s">
        <v>743</v>
      </c>
      <c r="H89" s="14">
        <f>+H34</f>
        <v>0</v>
      </c>
      <c r="I89" s="5"/>
      <c r="J89" s="32">
        <f t="shared" si="2"/>
        <v>0</v>
      </c>
      <c r="K89" s="5"/>
      <c r="L89" s="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>
      <c r="A90" s="26">
        <f t="shared" si="3"/>
        <v>63</v>
      </c>
      <c r="B90" s="12"/>
      <c r="C90" s="3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5"/>
      <c r="E90" s="56">
        <f>+E81-E82+E83-E84-E87+E89+E88+E85-E86</f>
        <v>24906543.166666668</v>
      </c>
      <c r="F90" s="5"/>
      <c r="G90" s="5"/>
      <c r="H90" s="5"/>
      <c r="I90" s="5"/>
      <c r="J90" s="55">
        <f>+J81-J82+J83-J84-J87+J89+J88+J85-J86</f>
        <v>2032813.4861439555</v>
      </c>
      <c r="K90" s="5"/>
      <c r="L90" s="74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>
      <c r="A91" s="26">
        <f t="shared" si="3"/>
        <v>64</v>
      </c>
      <c r="B91" s="12"/>
      <c r="C91" s="12"/>
      <c r="D91" s="5"/>
      <c r="E91" s="48"/>
      <c r="F91" s="5"/>
      <c r="G91" s="5"/>
      <c r="H91" s="5"/>
      <c r="I91" s="5"/>
      <c r="J91" s="12"/>
      <c r="K91" s="5"/>
      <c r="L91" s="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>
      <c r="A92" s="26">
        <f t="shared" si="3"/>
        <v>65</v>
      </c>
      <c r="B92" s="12"/>
      <c r="C92" s="3" t="s">
        <v>613</v>
      </c>
      <c r="D92" s="5"/>
      <c r="E92" s="30"/>
      <c r="F92" s="5"/>
      <c r="G92" s="5"/>
      <c r="H92" s="5"/>
      <c r="I92" s="5"/>
      <c r="J92" s="5"/>
      <c r="K92" s="5"/>
      <c r="L92" s="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>
      <c r="A93" s="26">
        <f t="shared" si="3"/>
        <v>66</v>
      </c>
      <c r="B93" s="12"/>
      <c r="C93" s="3" t="str">
        <f>+C16</f>
        <v xml:space="preserve">  Transmission</v>
      </c>
      <c r="D93" s="5" t="s">
        <v>366</v>
      </c>
      <c r="E93" s="913">
        <v>1716517</v>
      </c>
      <c r="F93" s="5"/>
      <c r="G93" s="5" t="s">
        <v>671</v>
      </c>
      <c r="H93" s="14">
        <f>+J144</f>
        <v>0.79286199999999996</v>
      </c>
      <c r="I93" s="5"/>
      <c r="J93" s="30">
        <f>+H93*E93</f>
        <v>1360961.1016539999</v>
      </c>
      <c r="K93" s="5"/>
      <c r="L93" s="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>
      <c r="A94" s="26">
        <f t="shared" si="3"/>
        <v>67</v>
      </c>
      <c r="B94" s="12"/>
      <c r="C94" s="3" t="str">
        <f>+C17</f>
        <v xml:space="preserve">  New Construction CUS Assets</v>
      </c>
      <c r="D94" s="3" t="str">
        <f>"See Workpaper 2 (line "&amp;'BHP WP2'!B21&amp;")"</f>
        <v>See Workpaper 2 (line 17)</v>
      </c>
      <c r="E94" s="30">
        <f>+'BHP WP2'!F21</f>
        <v>591669.6</v>
      </c>
      <c r="F94" s="5"/>
      <c r="G94" s="5" t="s">
        <v>671</v>
      </c>
      <c r="H94" s="14">
        <f>+H93</f>
        <v>0.79286199999999996</v>
      </c>
      <c r="I94" s="5"/>
      <c r="J94" s="5">
        <f>+H94*E94</f>
        <v>469112.34239519993</v>
      </c>
      <c r="K94" s="5"/>
      <c r="L94" s="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>
      <c r="A95" s="26">
        <f t="shared" si="3"/>
        <v>68</v>
      </c>
      <c r="B95" s="12"/>
      <c r="C95" s="3" t="str">
        <f>+C18</f>
        <v xml:space="preserve">  New Construction CUS Assets</v>
      </c>
      <c r="D95" s="3" t="str">
        <f>"See Workpaper 3 (line "&amp;'BHP WP3'!B26&amp;")"</f>
        <v>See Workpaper 3 (line 23)</v>
      </c>
      <c r="E95" s="30">
        <f>+'BHP WP3'!G26</f>
        <v>29096.666666666668</v>
      </c>
      <c r="F95" s="5"/>
      <c r="G95" s="5" t="str">
        <f>+G94</f>
        <v>TP</v>
      </c>
      <c r="H95" s="14">
        <f>+H94</f>
        <v>0.79286199999999996</v>
      </c>
      <c r="I95" s="5"/>
      <c r="J95" s="5">
        <f>+H95*E95</f>
        <v>23069.641326666668</v>
      </c>
      <c r="K95" s="5"/>
      <c r="L95" s="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>
      <c r="A96" s="26">
        <f t="shared" si="3"/>
        <v>69</v>
      </c>
      <c r="B96" s="12"/>
      <c r="C96" s="44" t="s">
        <v>800</v>
      </c>
      <c r="D96" s="30" t="s">
        <v>312</v>
      </c>
      <c r="E96" s="913">
        <v>2687436</v>
      </c>
      <c r="F96" s="5"/>
      <c r="G96" s="5" t="s">
        <v>689</v>
      </c>
      <c r="H96" s="14">
        <f>H85</f>
        <v>6.0486191976633019E-2</v>
      </c>
      <c r="I96" s="5"/>
      <c r="J96" s="5">
        <f>+H96*E96</f>
        <v>162552.76982091472</v>
      </c>
      <c r="K96" s="5"/>
      <c r="L96" s="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 ht="15.75" thickBot="1">
      <c r="A97" s="26">
        <f t="shared" si="3"/>
        <v>70</v>
      </c>
      <c r="B97" s="12"/>
      <c r="C97" s="3" t="str">
        <f>+C89</f>
        <v xml:space="preserve">  Common</v>
      </c>
      <c r="D97" s="5" t="s">
        <v>558</v>
      </c>
      <c r="E97" s="50">
        <v>0</v>
      </c>
      <c r="F97" s="5"/>
      <c r="G97" s="5" t="s">
        <v>743</v>
      </c>
      <c r="H97" s="14">
        <f>+H89</f>
        <v>0</v>
      </c>
      <c r="I97" s="5"/>
      <c r="J97" s="32">
        <f>+H97*E97</f>
        <v>0</v>
      </c>
      <c r="K97" s="5"/>
      <c r="L97" s="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>
      <c r="A98" s="26">
        <f t="shared" si="3"/>
        <v>71</v>
      </c>
      <c r="B98" s="12"/>
      <c r="C98" s="44" t="str">
        <f>"TOTAL DEPRECIATION (Sum lines "&amp;A93&amp;" - "&amp;A97&amp;")"</f>
        <v>TOTAL DEPRECIATION (Sum lines 66 - 70)</v>
      </c>
      <c r="D98" s="5"/>
      <c r="E98" s="30">
        <f>SUM(E93:E97)</f>
        <v>5024719.2666666666</v>
      </c>
      <c r="F98" s="5"/>
      <c r="G98" s="5"/>
      <c r="H98" s="5"/>
      <c r="I98" s="5"/>
      <c r="J98" s="5">
        <f>SUM(J93:J97)</f>
        <v>2015695.855196781</v>
      </c>
      <c r="K98" s="5"/>
      <c r="L98" s="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>
      <c r="A99" s="26">
        <f t="shared" si="3"/>
        <v>72</v>
      </c>
      <c r="B99" s="12"/>
      <c r="C99" s="3"/>
      <c r="D99" s="5"/>
      <c r="E99" s="30"/>
      <c r="F99" s="5"/>
      <c r="G99" s="5"/>
      <c r="H99" s="5"/>
      <c r="I99" s="5"/>
      <c r="J99" s="5"/>
      <c r="K99" s="5"/>
      <c r="L99" s="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>
      <c r="A100" s="26">
        <f t="shared" si="3"/>
        <v>73</v>
      </c>
      <c r="B100" s="12"/>
      <c r="C100" s="3" t="s">
        <v>444</v>
      </c>
      <c r="D100" s="12"/>
      <c r="E100" s="30"/>
      <c r="F100" s="5"/>
      <c r="G100" s="5"/>
      <c r="H100" s="5"/>
      <c r="I100" s="5"/>
      <c r="J100" s="5"/>
      <c r="K100" s="5"/>
      <c r="L100" s="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>
      <c r="A101" s="26">
        <f t="shared" si="3"/>
        <v>74</v>
      </c>
      <c r="B101" s="12"/>
      <c r="C101" s="3" t="s">
        <v>717</v>
      </c>
      <c r="D101" s="12"/>
      <c r="E101" s="48"/>
      <c r="F101" s="5"/>
      <c r="G101" s="5"/>
      <c r="H101" s="12"/>
      <c r="I101" s="5"/>
      <c r="J101" s="12"/>
      <c r="K101" s="5"/>
      <c r="L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>
      <c r="A102" s="26">
        <f t="shared" si="3"/>
        <v>75</v>
      </c>
      <c r="B102" s="12"/>
      <c r="C102" s="3" t="s">
        <v>718</v>
      </c>
      <c r="D102" s="5" t="s">
        <v>217</v>
      </c>
      <c r="E102" s="913">
        <f>21510+1908276+21967</f>
        <v>1951753</v>
      </c>
      <c r="F102" s="5"/>
      <c r="G102" s="5" t="s">
        <v>689</v>
      </c>
      <c r="H102" s="17">
        <f>+J176</f>
        <v>6.0486191976633019E-2</v>
      </c>
      <c r="I102" s="5"/>
      <c r="J102" s="5">
        <f>+H102*E102</f>
        <v>118054.10664896942</v>
      </c>
      <c r="K102" s="5"/>
      <c r="L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>
      <c r="A103" s="26">
        <f t="shared" si="3"/>
        <v>76</v>
      </c>
      <c r="B103" s="12"/>
      <c r="C103" s="3" t="s">
        <v>719</v>
      </c>
      <c r="D103" s="5" t="s">
        <v>367</v>
      </c>
      <c r="E103" s="30">
        <v>0</v>
      </c>
      <c r="F103" s="5"/>
      <c r="G103" s="5" t="str">
        <f>+G102</f>
        <v>W/S</v>
      </c>
      <c r="H103" s="17">
        <f>+H102</f>
        <v>6.0486191976633019E-2</v>
      </c>
      <c r="I103" s="5"/>
      <c r="J103" s="5">
        <f>+H103*E103</f>
        <v>0</v>
      </c>
      <c r="K103" s="5"/>
      <c r="L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>
      <c r="A104" s="26">
        <f t="shared" si="3"/>
        <v>77</v>
      </c>
      <c r="B104" s="12"/>
      <c r="C104" s="3" t="s">
        <v>720</v>
      </c>
      <c r="D104" s="5" t="s">
        <v>665</v>
      </c>
      <c r="E104" s="48"/>
      <c r="F104" s="5"/>
      <c r="G104" s="5"/>
      <c r="H104" s="12"/>
      <c r="I104" s="5"/>
      <c r="J104" s="12"/>
      <c r="K104" s="5"/>
      <c r="L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>
      <c r="A105" s="26">
        <f t="shared" si="3"/>
        <v>78</v>
      </c>
      <c r="B105" s="12"/>
      <c r="C105" s="3" t="s">
        <v>721</v>
      </c>
      <c r="D105" s="5" t="s">
        <v>368</v>
      </c>
      <c r="E105" s="913">
        <v>4344184</v>
      </c>
      <c r="F105" s="5"/>
      <c r="G105" s="5" t="s">
        <v>711</v>
      </c>
      <c r="H105" s="17">
        <f>+H24</f>
        <v>0.12215116398963924</v>
      </c>
      <c r="I105" s="5"/>
      <c r="J105" s="5">
        <f>+H105*E105</f>
        <v>530647.13218516693</v>
      </c>
      <c r="K105" s="5"/>
      <c r="L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>
      <c r="A106" s="26">
        <f t="shared" si="3"/>
        <v>79</v>
      </c>
      <c r="B106" s="12"/>
      <c r="C106" s="3" t="s">
        <v>722</v>
      </c>
      <c r="D106" s="5" t="s">
        <v>367</v>
      </c>
      <c r="E106" s="30">
        <v>0</v>
      </c>
      <c r="F106" s="5"/>
      <c r="G106" s="30" t="str">
        <f>+G50</f>
        <v>NA</v>
      </c>
      <c r="H106" s="45" t="s">
        <v>789</v>
      </c>
      <c r="I106" s="5"/>
      <c r="J106" s="5">
        <v>0</v>
      </c>
      <c r="K106" s="5"/>
      <c r="L106" s="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ht="15.75" thickBot="1">
      <c r="A107" s="26">
        <f t="shared" si="3"/>
        <v>80</v>
      </c>
      <c r="B107" s="12"/>
      <c r="C107" s="3" t="s">
        <v>723</v>
      </c>
      <c r="D107" s="5" t="str">
        <f>+D106</f>
        <v>263.i</v>
      </c>
      <c r="E107" s="50">
        <v>0</v>
      </c>
      <c r="F107" s="5"/>
      <c r="G107" s="5" t="str">
        <f>+G105</f>
        <v>GP</v>
      </c>
      <c r="H107" s="17">
        <f>+H105</f>
        <v>0.12215116398963924</v>
      </c>
      <c r="I107" s="5"/>
      <c r="J107" s="32">
        <f>+H107*E107</f>
        <v>0</v>
      </c>
      <c r="K107" s="5"/>
      <c r="L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>
      <c r="A108" s="26">
        <f t="shared" si="3"/>
        <v>81</v>
      </c>
      <c r="B108" s="12"/>
      <c r="C108" s="44" t="str">
        <f>"TOTAL OTHER TAXES  (sum lines "&amp;A102&amp;" - "&amp;A107&amp;")"</f>
        <v>TOTAL OTHER TAXES  (sum lines 75 - 80)</v>
      </c>
      <c r="D108" s="5"/>
      <c r="E108" s="56">
        <f>SUM(E102:E107)</f>
        <v>6295937</v>
      </c>
      <c r="F108" s="5"/>
      <c r="G108" s="5"/>
      <c r="H108" s="17"/>
      <c r="I108" s="5"/>
      <c r="J108" s="55">
        <f>SUM(J102:J107)</f>
        <v>648701.2388341364</v>
      </c>
      <c r="K108" s="5"/>
      <c r="L108" s="74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>
      <c r="A109" s="26">
        <f t="shared" si="3"/>
        <v>82</v>
      </c>
      <c r="B109" s="12"/>
      <c r="C109" s="3"/>
      <c r="D109" s="5"/>
      <c r="E109" s="30"/>
      <c r="F109" s="5"/>
      <c r="G109" s="5"/>
      <c r="H109" s="17"/>
      <c r="I109" s="5"/>
      <c r="J109" s="5"/>
      <c r="K109" s="5"/>
      <c r="L109" s="74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>
      <c r="A110" s="26">
        <f t="shared" si="3"/>
        <v>83</v>
      </c>
      <c r="B110" s="12"/>
      <c r="C110" s="3"/>
      <c r="D110" s="5"/>
      <c r="E110" s="30"/>
      <c r="F110" s="5"/>
      <c r="G110" s="5"/>
      <c r="H110" s="17"/>
      <c r="I110" s="5"/>
      <c r="J110" s="5"/>
      <c r="K110" s="5"/>
      <c r="L110" s="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>
      <c r="A111" s="26">
        <f t="shared" si="3"/>
        <v>84</v>
      </c>
      <c r="B111" s="12"/>
      <c r="C111" s="3" t="s">
        <v>726</v>
      </c>
      <c r="D111" s="5" t="s">
        <v>443</v>
      </c>
      <c r="E111" s="30"/>
      <c r="F111" s="5"/>
      <c r="G111" s="12"/>
      <c r="H111" s="877"/>
      <c r="I111" s="30"/>
      <c r="J111" s="48"/>
      <c r="K111" s="30"/>
      <c r="L111" s="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>
      <c r="A112" s="26">
        <f t="shared" si="3"/>
        <v>85</v>
      </c>
      <c r="B112" s="12"/>
      <c r="C112" s="23" t="s">
        <v>781</v>
      </c>
      <c r="D112" s="5"/>
      <c r="E112" s="40">
        <f>IF(E230&gt;0,1-(((1-E231)*(1-E230))/(1-E231*E230*E232)),0)</f>
        <v>0.35</v>
      </c>
      <c r="F112" s="5"/>
      <c r="G112" s="12"/>
      <c r="H112" s="30"/>
      <c r="I112" s="30"/>
      <c r="J112" s="48"/>
      <c r="K112" s="30"/>
      <c r="L112" s="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>
      <c r="A113" s="26">
        <f t="shared" si="3"/>
        <v>86</v>
      </c>
      <c r="B113" s="12"/>
      <c r="C113" s="12" t="s">
        <v>782</v>
      </c>
      <c r="D113" s="5"/>
      <c r="E113" s="40">
        <f>IF(J199&gt;0,(E112/(1-E112))*(1-J196/J199),0)</f>
        <v>0.36169669143238659</v>
      </c>
      <c r="F113" s="5"/>
      <c r="G113" s="12"/>
      <c r="H113" s="30"/>
      <c r="I113" s="30"/>
      <c r="J113" s="48"/>
      <c r="K113" s="30"/>
      <c r="L113" s="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>
      <c r="A114" s="26">
        <f t="shared" si="3"/>
        <v>87</v>
      </c>
      <c r="B114" s="12"/>
      <c r="C114" s="44" t="str">
        <f>"       where WCLTD=(line "&amp;A196&amp;") and R= (line "&amp;A199&amp;")"</f>
        <v xml:space="preserve">       where WCLTD=(line 156) and R= (line 159)</v>
      </c>
      <c r="D114" s="30"/>
      <c r="E114" s="30"/>
      <c r="F114" s="5"/>
      <c r="G114" s="12"/>
      <c r="H114" s="877"/>
      <c r="I114" s="30"/>
      <c r="J114" s="48"/>
      <c r="K114" s="30"/>
      <c r="L114" s="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>
      <c r="A115" s="26">
        <f t="shared" si="3"/>
        <v>88</v>
      </c>
      <c r="B115" s="12"/>
      <c r="C115" s="3" t="s">
        <v>445</v>
      </c>
      <c r="D115" s="5"/>
      <c r="E115" s="30"/>
      <c r="F115" s="5"/>
      <c r="G115" s="12"/>
      <c r="H115" s="877"/>
      <c r="I115" s="30"/>
      <c r="J115" s="48"/>
      <c r="K115" s="30"/>
      <c r="L115" s="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>
      <c r="A116" s="26">
        <f t="shared" si="3"/>
        <v>89</v>
      </c>
      <c r="B116" s="12"/>
      <c r="C116" s="831"/>
      <c r="D116" s="5"/>
      <c r="E116" s="41"/>
      <c r="F116" s="5"/>
      <c r="G116" s="12"/>
      <c r="H116" s="15"/>
      <c r="I116" s="5"/>
      <c r="J116" s="12"/>
      <c r="K116" s="5"/>
      <c r="L116" s="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>
      <c r="A117" s="26">
        <f t="shared" si="3"/>
        <v>90</v>
      </c>
      <c r="B117" s="12"/>
      <c r="C117" s="29" t="s">
        <v>771</v>
      </c>
      <c r="D117" s="12" t="str">
        <f>"(line "&amp;A113&amp;" * line "&amp;A120&amp;")"</f>
        <v>(line 86 * line 93)</v>
      </c>
      <c r="E117" s="39"/>
      <c r="F117" s="5"/>
      <c r="G117" s="5" t="s">
        <v>665</v>
      </c>
      <c r="H117" s="17" t="s">
        <v>665</v>
      </c>
      <c r="I117" s="5"/>
      <c r="J117" s="5">
        <f>E113*J120</f>
        <v>1868855.4409901162</v>
      </c>
      <c r="K117" s="5"/>
      <c r="L117" s="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>
      <c r="A118" s="26">
        <f t="shared" si="3"/>
        <v>91</v>
      </c>
      <c r="B118" s="12"/>
      <c r="C118" s="792"/>
      <c r="D118" s="793"/>
      <c r="E118" s="30"/>
      <c r="F118" s="30"/>
      <c r="G118" s="30"/>
      <c r="H118" s="794"/>
      <c r="I118" s="30"/>
      <c r="J118" s="30"/>
      <c r="K118" s="5"/>
      <c r="L118" s="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>
      <c r="A119" s="26">
        <f t="shared" si="3"/>
        <v>92</v>
      </c>
      <c r="B119" s="12"/>
      <c r="C119" s="3" t="s">
        <v>727</v>
      </c>
      <c r="D119" s="16"/>
      <c r="E119" s="30"/>
      <c r="F119" s="5"/>
      <c r="K119" s="5"/>
      <c r="L119" s="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 ht="17.25" customHeight="1">
      <c r="A120" s="26">
        <f t="shared" si="3"/>
        <v>93</v>
      </c>
      <c r="B120" s="12"/>
      <c r="C120" s="832" t="str">
        <f>"  [ Rate Base (line "&amp;A67&amp;") * R (line "&amp;A199&amp;")]"</f>
        <v xml:space="preserve">  [ Rate Base (line 53) * R (line 159)]</v>
      </c>
      <c r="D120" s="48"/>
      <c r="E120" s="30"/>
      <c r="F120" s="5"/>
      <c r="G120" s="5" t="s">
        <v>446</v>
      </c>
      <c r="H120" s="15"/>
      <c r="I120" s="5"/>
      <c r="J120" s="5">
        <f>+$J199*J67</f>
        <v>5166913.2874539131</v>
      </c>
      <c r="K120" s="5"/>
      <c r="L120" s="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>
      <c r="A121" s="26">
        <f t="shared" si="3"/>
        <v>94</v>
      </c>
      <c r="B121" s="12"/>
      <c r="C121" s="3"/>
      <c r="D121" s="12"/>
      <c r="E121" s="56"/>
      <c r="F121" s="5"/>
      <c r="G121" s="5"/>
      <c r="H121" s="15"/>
      <c r="I121" s="5"/>
      <c r="J121" s="55"/>
      <c r="K121" s="5"/>
      <c r="L121" s="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>
      <c r="A122" s="26">
        <f t="shared" si="3"/>
        <v>95</v>
      </c>
      <c r="B122" s="12"/>
      <c r="C122" s="44" t="str">
        <f>"ESTIMATED REVENUE REQUIREMENT  (sum lines "&amp;A90&amp;", "&amp;A98&amp;", "&amp;A108&amp;", "&amp;A117&amp;", "&amp;A120&amp;")"</f>
        <v>ESTIMATED REVENUE REQUIREMENT  (sum lines 63, 71, 81, 90, 93)</v>
      </c>
      <c r="D122" s="5"/>
      <c r="E122" s="901">
        <f>E117+E108+E98+E90</f>
        <v>36227199.433333337</v>
      </c>
      <c r="F122" s="5"/>
      <c r="G122" s="5"/>
      <c r="H122" s="5"/>
      <c r="I122" s="5"/>
      <c r="J122" s="875">
        <f>J117+J108+J98+J90+J120</f>
        <v>11732979.308618903</v>
      </c>
      <c r="K122" s="2"/>
      <c r="L122" s="1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>
      <c r="A123" s="26"/>
      <c r="B123" s="12"/>
      <c r="C123" s="12"/>
      <c r="D123" s="12"/>
      <c r="E123" s="48"/>
      <c r="F123" s="12"/>
      <c r="G123" s="12"/>
      <c r="H123" s="12"/>
      <c r="I123" s="12"/>
      <c r="J123" s="12"/>
      <c r="K123" s="5"/>
      <c r="L123" s="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>
      <c r="A124" s="26"/>
      <c r="B124" s="12"/>
      <c r="C124" s="12"/>
      <c r="D124" s="12"/>
      <c r="E124" s="48"/>
      <c r="F124" s="12"/>
      <c r="G124" s="12"/>
      <c r="H124" s="12"/>
      <c r="I124" s="12"/>
      <c r="J124" s="12"/>
      <c r="K124" s="5"/>
      <c r="L124" s="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>
      <c r="A125" s="26"/>
      <c r="B125" s="12"/>
      <c r="C125" s="12"/>
      <c r="D125" s="12"/>
      <c r="E125" s="48"/>
      <c r="F125" s="12"/>
      <c r="G125" s="12"/>
      <c r="H125" s="12"/>
      <c r="I125" s="889" t="s">
        <v>605</v>
      </c>
      <c r="J125" s="2">
        <f>J2</f>
        <v>2011</v>
      </c>
      <c r="K125" s="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 ht="15.75">
      <c r="A126" s="1168" t="s">
        <v>855</v>
      </c>
      <c r="B126" s="1168"/>
      <c r="C126" s="1168"/>
      <c r="D126" s="1168"/>
      <c r="E126" s="1168"/>
      <c r="F126" s="1168"/>
      <c r="G126" s="1168"/>
      <c r="H126" s="1168"/>
      <c r="I126" s="1168"/>
      <c r="J126" s="1168"/>
      <c r="K126" s="1168"/>
      <c r="L126" s="737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 ht="15.75">
      <c r="A127" s="1167" t="s">
        <v>666</v>
      </c>
      <c r="B127" s="1167"/>
      <c r="C127" s="1167"/>
      <c r="D127" s="1167"/>
      <c r="E127" s="1167"/>
      <c r="F127" s="1167"/>
      <c r="G127" s="1167"/>
      <c r="H127" s="1167"/>
      <c r="I127" s="1167"/>
      <c r="J127" s="1167"/>
      <c r="K127" s="1167"/>
      <c r="L127" s="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>
      <c r="A128" s="12"/>
      <c r="B128" s="12"/>
      <c r="C128" s="2"/>
      <c r="D128" s="2"/>
      <c r="F128" s="2"/>
      <c r="G128" s="2"/>
      <c r="H128" s="2"/>
      <c r="I128" s="2"/>
      <c r="J128" s="2"/>
      <c r="K128" s="2"/>
      <c r="L128" s="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1:61" ht="15.75">
      <c r="A129" s="1166" t="s">
        <v>851</v>
      </c>
      <c r="B129" s="1166"/>
      <c r="C129" s="1166"/>
      <c r="D129" s="1166"/>
      <c r="E129" s="1166"/>
      <c r="F129" s="1166"/>
      <c r="G129" s="1166"/>
      <c r="H129" s="1166"/>
      <c r="I129" s="1166"/>
      <c r="J129" s="1166"/>
      <c r="K129" s="1166"/>
      <c r="L129" s="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1:61">
      <c r="A130" s="26"/>
      <c r="B130" s="12"/>
      <c r="C130" s="12"/>
      <c r="D130" s="3"/>
      <c r="E130" s="44"/>
      <c r="F130" s="3"/>
      <c r="G130" s="3"/>
      <c r="H130" s="856"/>
      <c r="I130" s="3"/>
      <c r="J130" s="3"/>
      <c r="K130" s="3"/>
      <c r="L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1:61" ht="15" customHeight="1">
      <c r="A131" s="1165" t="s">
        <v>146</v>
      </c>
      <c r="B131" s="1165"/>
      <c r="C131" s="1165"/>
      <c r="D131" s="1165"/>
      <c r="E131" s="1165"/>
      <c r="F131" s="1165"/>
      <c r="G131" s="1165"/>
      <c r="H131" s="1165"/>
      <c r="I131" s="1165"/>
      <c r="J131" s="1165"/>
      <c r="K131" s="1165"/>
      <c r="L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1:61" ht="15.75">
      <c r="A132" s="26"/>
      <c r="B132" s="12"/>
      <c r="C132" s="13"/>
      <c r="D132" s="2"/>
      <c r="E132" s="47"/>
      <c r="F132" s="2"/>
      <c r="G132" s="2"/>
      <c r="H132" s="2"/>
      <c r="I132" s="2"/>
      <c r="J132" s="2"/>
      <c r="K132" s="5"/>
      <c r="L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1:61" ht="15.75">
      <c r="A133" s="26" t="s">
        <v>667</v>
      </c>
      <c r="B133" s="12"/>
      <c r="C133" s="13"/>
      <c r="D133" s="2"/>
      <c r="E133" s="47"/>
      <c r="F133" s="2"/>
      <c r="G133" s="2"/>
      <c r="H133" s="2"/>
      <c r="I133" s="2"/>
      <c r="J133" s="2"/>
      <c r="K133" s="5"/>
      <c r="L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1:61" ht="15.75" thickBot="1">
      <c r="A134" s="31" t="s">
        <v>668</v>
      </c>
      <c r="B134" s="12"/>
      <c r="C134" s="46" t="s">
        <v>533</v>
      </c>
      <c r="D134" s="47"/>
      <c r="E134" s="47"/>
      <c r="F134" s="47"/>
      <c r="G134" s="47"/>
      <c r="H134" s="47"/>
      <c r="I134" s="48"/>
      <c r="J134" s="48"/>
      <c r="K134" s="30"/>
      <c r="L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1:61" ht="15.75" thickBot="1">
      <c r="A135" s="26"/>
      <c r="B135" s="12"/>
      <c r="C135" s="46"/>
      <c r="D135" s="47"/>
      <c r="E135" s="50" t="s">
        <v>13</v>
      </c>
      <c r="F135" s="47"/>
      <c r="G135" s="47"/>
      <c r="H135" s="47"/>
      <c r="I135" s="47"/>
      <c r="J135" s="47"/>
      <c r="K135" s="30"/>
      <c r="L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1:61" ht="16.5" customHeight="1">
      <c r="A136" s="26">
        <f>+A122+1</f>
        <v>96</v>
      </c>
      <c r="B136" s="12"/>
      <c r="C136" s="38" t="s">
        <v>468</v>
      </c>
      <c r="D136" s="47"/>
      <c r="E136" s="30" t="str">
        <f>"Column (3) sum lines "&amp;A16&amp;" - "&amp;A18&amp;""</f>
        <v>Column (3) sum lines 2 - 4</v>
      </c>
      <c r="F136" s="30"/>
      <c r="G136" s="30"/>
      <c r="H136" s="30"/>
      <c r="I136" s="30"/>
      <c r="J136" s="30">
        <f>+E16+E17+E18</f>
        <v>113598455.66666667</v>
      </c>
      <c r="K136" s="30"/>
      <c r="L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1:61">
      <c r="A137" s="26">
        <f>+A136+1</f>
        <v>97</v>
      </c>
      <c r="B137" s="12"/>
      <c r="C137" s="38" t="s">
        <v>441</v>
      </c>
      <c r="D137" s="48"/>
      <c r="E137" s="48" t="s">
        <v>609</v>
      </c>
      <c r="F137" s="48"/>
      <c r="G137" s="48"/>
      <c r="H137" s="48"/>
      <c r="I137" s="48"/>
      <c r="J137" s="934">
        <v>24837913</v>
      </c>
      <c r="K137" s="30"/>
      <c r="L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1:61" ht="15.75" thickBot="1">
      <c r="A138" s="26">
        <f t="shared" ref="A138:A199" si="4">+A137+1</f>
        <v>98</v>
      </c>
      <c r="B138" s="12"/>
      <c r="C138" s="569" t="s">
        <v>442</v>
      </c>
      <c r="D138" s="49"/>
      <c r="E138" s="50"/>
      <c r="F138" s="30"/>
      <c r="G138" s="30"/>
      <c r="H138" s="51"/>
      <c r="I138" s="30"/>
      <c r="J138" s="50">
        <v>0</v>
      </c>
      <c r="K138" s="30"/>
      <c r="L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1:61">
      <c r="A139" s="26">
        <f t="shared" si="4"/>
        <v>99</v>
      </c>
      <c r="B139" s="12"/>
      <c r="C139" s="38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47"/>
      <c r="E139" s="30"/>
      <c r="F139" s="30"/>
      <c r="G139" s="30"/>
      <c r="H139" s="51"/>
      <c r="I139" s="30"/>
      <c r="J139" s="30">
        <f>J136-J137-J138</f>
        <v>88760542.666666672</v>
      </c>
      <c r="K139" s="30"/>
      <c r="L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1:61">
      <c r="A140" s="26">
        <f t="shared" si="4"/>
        <v>100</v>
      </c>
      <c r="B140" s="12"/>
      <c r="C140" s="38" t="str">
        <f>"Plus Common Use AC Facilities (line "&amp;A150&amp;")"</f>
        <v>Plus Common Use AC Facilities (line 110)</v>
      </c>
      <c r="D140" s="47"/>
      <c r="E140" s="30"/>
      <c r="F140" s="30"/>
      <c r="G140" s="30"/>
      <c r="H140" s="51"/>
      <c r="I140" s="30"/>
      <c r="J140" s="30">
        <f>+J150</f>
        <v>6311402</v>
      </c>
      <c r="K140" s="30"/>
      <c r="L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1:61">
      <c r="A141" s="26">
        <f t="shared" si="4"/>
        <v>101</v>
      </c>
      <c r="B141" s="12"/>
      <c r="C141" s="38" t="str">
        <f>"Total Gross Plant for the CUS System (line "&amp;A139&amp;" plus line "&amp;A140&amp;")"</f>
        <v>Total Gross Plant for the CUS System (line 99 plus line 100)</v>
      </c>
      <c r="D141" s="47"/>
      <c r="E141" s="30"/>
      <c r="F141" s="30"/>
      <c r="G141" s="30"/>
      <c r="H141" s="51"/>
      <c r="I141" s="30"/>
      <c r="J141" s="819">
        <f>SUM(J139:J140)</f>
        <v>95071944.666666672</v>
      </c>
      <c r="K141" s="30"/>
      <c r="L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1:61">
      <c r="A142" s="26">
        <f t="shared" si="4"/>
        <v>102</v>
      </c>
      <c r="B142" s="12"/>
      <c r="C142" s="38" t="str">
        <f>"Total CUS Plant (line "&amp;A136&amp;" plus line "&amp;A150&amp;")"</f>
        <v>Total CUS Plant (line 96 plus line 110)</v>
      </c>
      <c r="D142" s="47"/>
      <c r="E142" s="30"/>
      <c r="F142" s="30"/>
      <c r="G142" s="30"/>
      <c r="H142" s="51"/>
      <c r="I142" s="30"/>
      <c r="J142" s="56">
        <f>+J136+J150</f>
        <v>119909857.66666667</v>
      </c>
      <c r="K142" s="30"/>
      <c r="L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1:61">
      <c r="A143" s="26">
        <f t="shared" si="4"/>
        <v>103</v>
      </c>
      <c r="B143" s="12"/>
      <c r="C143" s="48"/>
      <c r="D143" s="47"/>
      <c r="E143" s="30"/>
      <c r="F143" s="30"/>
      <c r="G143" s="30"/>
      <c r="H143" s="51"/>
      <c r="I143" s="30"/>
      <c r="J143" s="48"/>
      <c r="K143" s="30"/>
      <c r="L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>
      <c r="A144" s="26">
        <f t="shared" si="4"/>
        <v>104</v>
      </c>
      <c r="B144" s="12"/>
      <c r="C144" s="38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52"/>
      <c r="E144" s="53"/>
      <c r="F144" s="53"/>
      <c r="G144" s="53"/>
      <c r="H144" s="54"/>
      <c r="I144" s="30" t="s">
        <v>730</v>
      </c>
      <c r="J144" s="810">
        <f>ROUND(IF(J142&gt;0,J141/J142,0),6)</f>
        <v>0.79286199999999996</v>
      </c>
      <c r="K144" s="30"/>
      <c r="L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1:61">
      <c r="A145" s="26">
        <f t="shared" si="4"/>
        <v>105</v>
      </c>
      <c r="B145" s="12"/>
      <c r="C145" s="48"/>
      <c r="D145" s="48"/>
      <c r="E145" s="48"/>
      <c r="F145" s="48"/>
      <c r="G145" s="48"/>
      <c r="H145" s="48"/>
      <c r="I145" s="48"/>
      <c r="J145" s="48"/>
      <c r="K145" s="30"/>
      <c r="L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1:61" ht="15.75" thickBot="1">
      <c r="A146" s="26">
        <f t="shared" si="4"/>
        <v>106</v>
      </c>
      <c r="B146" s="12"/>
      <c r="C146" s="46" t="s">
        <v>466</v>
      </c>
      <c r="D146" s="47"/>
      <c r="E146" s="50" t="s">
        <v>13</v>
      </c>
      <c r="F146" s="47"/>
      <c r="G146" s="47"/>
      <c r="H146" s="47"/>
      <c r="I146" s="47"/>
      <c r="J146" s="47"/>
      <c r="K146" s="12"/>
      <c r="L146" s="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1:61">
      <c r="A147" s="26">
        <f t="shared" si="4"/>
        <v>107</v>
      </c>
      <c r="B147" s="12"/>
      <c r="C147" s="38" t="s">
        <v>467</v>
      </c>
      <c r="D147" s="47"/>
      <c r="E147" s="30" t="str">
        <f>"Column (3) line "&amp;A19&amp;""</f>
        <v>Column (3) line 5</v>
      </c>
      <c r="F147" s="30"/>
      <c r="G147" s="30"/>
      <c r="H147" s="30"/>
      <c r="I147" s="30"/>
      <c r="J147" s="30">
        <f>E19</f>
        <v>264846537</v>
      </c>
      <c r="K147" s="12"/>
      <c r="L147" s="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1:61">
      <c r="A148" s="26">
        <f t="shared" si="4"/>
        <v>108</v>
      </c>
      <c r="B148" s="12"/>
      <c r="C148" s="38" t="s">
        <v>477</v>
      </c>
      <c r="D148" s="48"/>
      <c r="E148" s="48" t="s">
        <v>609</v>
      </c>
      <c r="F148" s="48"/>
      <c r="G148" s="48"/>
      <c r="H148" s="48"/>
      <c r="I148" s="48"/>
      <c r="J148" s="934">
        <v>258535135</v>
      </c>
      <c r="K148" s="12"/>
      <c r="L148" s="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1:61" ht="15.75" thickBot="1">
      <c r="A149" s="26">
        <f t="shared" si="4"/>
        <v>109</v>
      </c>
      <c r="B149" s="12"/>
      <c r="C149" s="569" t="s">
        <v>478</v>
      </c>
      <c r="D149" s="49"/>
      <c r="E149" s="50"/>
      <c r="F149" s="30"/>
      <c r="G149" s="30"/>
      <c r="H149" s="51"/>
      <c r="I149" s="30"/>
      <c r="J149" s="50">
        <v>0</v>
      </c>
      <c r="K149" s="12"/>
      <c r="L149" s="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1:61">
      <c r="A150" s="26">
        <f t="shared" si="4"/>
        <v>110</v>
      </c>
      <c r="B150" s="12"/>
      <c r="C150" s="38" t="str">
        <f>"Common Use AC Facilities (line "&amp;A147&amp;" less lines "&amp;A148&amp;" &amp; "&amp;A149&amp;")"</f>
        <v>Common Use AC Facilities (line 107 less lines 108 &amp; 109)</v>
      </c>
      <c r="D150" s="47"/>
      <c r="E150" s="30"/>
      <c r="F150" s="30"/>
      <c r="G150" s="30"/>
      <c r="H150" s="51"/>
      <c r="I150" s="30"/>
      <c r="J150" s="30">
        <f>J147-J148-J149</f>
        <v>6311402</v>
      </c>
      <c r="K150" s="12"/>
      <c r="L150" s="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1:61">
      <c r="A151" s="26">
        <f t="shared" si="4"/>
        <v>111</v>
      </c>
      <c r="B151" s="12"/>
      <c r="C151" s="48"/>
      <c r="D151" s="47"/>
      <c r="E151" s="30"/>
      <c r="F151" s="30"/>
      <c r="G151" s="30"/>
      <c r="H151" s="51"/>
      <c r="I151" s="30"/>
      <c r="J151" s="48"/>
      <c r="K151" s="12"/>
      <c r="L151" s="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1:61">
      <c r="A152" s="26">
        <f t="shared" si="4"/>
        <v>112</v>
      </c>
      <c r="B152" s="12"/>
      <c r="C152" s="38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52"/>
      <c r="E152" s="53"/>
      <c r="F152" s="53"/>
      <c r="G152" s="53"/>
      <c r="H152" s="54"/>
      <c r="I152" s="30" t="s">
        <v>469</v>
      </c>
      <c r="J152" s="810">
        <f>ROUND(IF(J147&gt;0,J150/J147,0),6)</f>
        <v>2.383E-2</v>
      </c>
      <c r="K152" s="12"/>
      <c r="L152" s="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>
      <c r="A153" s="26">
        <f t="shared" si="4"/>
        <v>113</v>
      </c>
      <c r="B153" s="12"/>
      <c r="C153" s="12"/>
      <c r="D153" s="2"/>
      <c r="E153" s="30"/>
      <c r="F153" s="5"/>
      <c r="G153" s="5"/>
      <c r="H153" s="6"/>
      <c r="I153" s="5"/>
      <c r="J153" s="48"/>
      <c r="K153" s="12"/>
      <c r="L153" s="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 ht="15.75" thickBot="1">
      <c r="A154" s="26">
        <f t="shared" si="4"/>
        <v>114</v>
      </c>
      <c r="B154" s="12"/>
      <c r="C154" s="46" t="s">
        <v>694</v>
      </c>
      <c r="D154" s="2"/>
      <c r="E154" s="50" t="s">
        <v>13</v>
      </c>
      <c r="F154" s="5"/>
      <c r="G154" s="5"/>
      <c r="H154" s="6"/>
      <c r="I154" s="5"/>
      <c r="J154" s="30"/>
      <c r="K154" s="12"/>
      <c r="L154" s="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>
      <c r="A155" s="26">
        <f t="shared" si="4"/>
        <v>115</v>
      </c>
      <c r="B155" s="12"/>
      <c r="C155" s="12" t="s">
        <v>409</v>
      </c>
      <c r="D155" s="2"/>
      <c r="E155" s="30" t="str">
        <f>"Column (3), sum lines "&amp;A28&amp;" - "&amp;A29&amp;""</f>
        <v>Column (3), sum lines 14 - 15</v>
      </c>
      <c r="F155" s="5"/>
      <c r="G155" s="5"/>
      <c r="H155" s="6"/>
      <c r="I155" s="5"/>
      <c r="J155" s="30">
        <f>SUM(E28:E29)</f>
        <v>29644759.234486639</v>
      </c>
      <c r="K155" s="12"/>
      <c r="L155" s="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>
      <c r="A156" s="26">
        <f t="shared" si="4"/>
        <v>116</v>
      </c>
      <c r="B156" s="12"/>
      <c r="C156" s="38" t="s">
        <v>441</v>
      </c>
      <c r="D156" s="2"/>
      <c r="E156" s="30" t="s">
        <v>609</v>
      </c>
      <c r="F156" s="5"/>
      <c r="G156" s="5"/>
      <c r="H156" s="6"/>
      <c r="I156" s="5"/>
      <c r="J156" s="934">
        <v>6590646</v>
      </c>
      <c r="K156" s="12"/>
      <c r="L156" s="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>
      <c r="A157" s="26">
        <f t="shared" si="4"/>
        <v>117</v>
      </c>
      <c r="B157" s="12"/>
      <c r="C157" s="820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821"/>
      <c r="E157" s="819"/>
      <c r="F157" s="5"/>
      <c r="G157" s="5"/>
      <c r="H157" s="6"/>
      <c r="I157" s="5"/>
      <c r="J157" s="819">
        <f>J155-J156</f>
        <v>23054113.234486639</v>
      </c>
      <c r="K157" s="12"/>
      <c r="L157" s="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1:61">
      <c r="A158" s="26">
        <f t="shared" si="4"/>
        <v>118</v>
      </c>
      <c r="B158" s="12"/>
      <c r="C158" s="38" t="str">
        <f>"Plus Common Use AC Facilities Accumulated Depreciation (line "&amp;A167&amp;")"</f>
        <v>Plus Common Use AC Facilities Accumulated Depreciation (line 127)</v>
      </c>
      <c r="D158" s="833"/>
      <c r="E158" s="56"/>
      <c r="F158" s="5"/>
      <c r="G158" s="5"/>
      <c r="H158" s="6"/>
      <c r="I158" s="5"/>
      <c r="J158" s="56">
        <f>+J167</f>
        <v>3273423</v>
      </c>
      <c r="K158" s="12"/>
      <c r="L158" s="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1:61">
      <c r="A159" s="26">
        <f t="shared" si="4"/>
        <v>119</v>
      </c>
      <c r="B159" s="12"/>
      <c r="C159" s="38" t="str">
        <f>"Total Accumulated Depreciation for the CUS System (line "&amp;A157&amp;" plus line "&amp;A158&amp;")"</f>
        <v>Total Accumulated Depreciation for the CUS System (line 117 plus line 118)</v>
      </c>
      <c r="D159" s="822"/>
      <c r="E159" s="56"/>
      <c r="F159" s="5"/>
      <c r="G159" s="5"/>
      <c r="H159" s="6"/>
      <c r="I159" s="5"/>
      <c r="J159" s="819">
        <f>SUM(J157:J158)</f>
        <v>26327536.234486639</v>
      </c>
      <c r="K159" s="12"/>
      <c r="L159" s="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1:61">
      <c r="A160" s="26">
        <f t="shared" si="4"/>
        <v>120</v>
      </c>
      <c r="B160" s="12"/>
      <c r="C160" s="38" t="str">
        <f>"Total CUS Accumulated Depreciation (line "&amp;A155&amp;" plus line "&amp;A158&amp;")"</f>
        <v>Total CUS Accumulated Depreciation (line 115 plus line 118)</v>
      </c>
      <c r="D160" s="822"/>
      <c r="E160" s="56"/>
      <c r="F160" s="5"/>
      <c r="G160" s="5"/>
      <c r="H160" s="6"/>
      <c r="I160" s="5"/>
      <c r="J160" s="56">
        <f>+J155+J158</f>
        <v>32918182.234486639</v>
      </c>
      <c r="K160" s="12"/>
      <c r="L160" s="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1:61">
      <c r="A161" s="26">
        <f t="shared" si="4"/>
        <v>121</v>
      </c>
      <c r="B161" s="12"/>
      <c r="C161" s="12"/>
      <c r="D161" s="2"/>
      <c r="E161" s="30"/>
      <c r="F161" s="5"/>
      <c r="G161" s="5"/>
      <c r="H161" s="6"/>
      <c r="I161" s="5"/>
      <c r="J161" s="30"/>
      <c r="K161" s="12"/>
      <c r="L161" s="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1:61">
      <c r="A162" s="26">
        <f t="shared" si="4"/>
        <v>122</v>
      </c>
      <c r="B162" s="12"/>
      <c r="C162" s="38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2"/>
      <c r="E162" s="30"/>
      <c r="F162" s="30"/>
      <c r="G162" s="30"/>
      <c r="H162" s="51"/>
      <c r="I162" s="5" t="s">
        <v>410</v>
      </c>
      <c r="J162" s="810">
        <f>ROUND(IF(J160&gt;0,J159/J160,0),6)</f>
        <v>0.79978700000000003</v>
      </c>
      <c r="K162" s="12"/>
      <c r="L162" s="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1:61">
      <c r="A163" s="26">
        <f t="shared" si="4"/>
        <v>123</v>
      </c>
      <c r="B163" s="12"/>
      <c r="C163" s="38"/>
      <c r="D163" s="2"/>
      <c r="E163" s="30"/>
      <c r="F163" s="30"/>
      <c r="G163" s="30"/>
      <c r="H163" s="51"/>
      <c r="I163" s="5"/>
      <c r="J163" s="810"/>
      <c r="K163" s="12"/>
      <c r="L163" s="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1:61" ht="15.75" thickBot="1">
      <c r="A164" s="26">
        <f t="shared" si="4"/>
        <v>124</v>
      </c>
      <c r="B164" s="12"/>
      <c r="C164" s="12"/>
      <c r="D164" s="2"/>
      <c r="E164" s="50" t="s">
        <v>732</v>
      </c>
      <c r="F164" s="5"/>
      <c r="G164" s="5"/>
      <c r="H164" s="6"/>
      <c r="I164" s="5"/>
      <c r="J164" s="30"/>
      <c r="K164" s="12"/>
      <c r="L164" s="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1:61">
      <c r="A165" s="26">
        <f t="shared" si="4"/>
        <v>125</v>
      </c>
      <c r="B165" s="12"/>
      <c r="C165" s="12" t="s">
        <v>412</v>
      </c>
      <c r="D165" s="2"/>
      <c r="E165" s="30" t="s">
        <v>554</v>
      </c>
      <c r="F165" s="5"/>
      <c r="G165" s="5"/>
      <c r="H165" s="6"/>
      <c r="I165" s="5"/>
      <c r="J165" s="30">
        <f>+E30</f>
        <v>87941541</v>
      </c>
      <c r="K165" s="12"/>
      <c r="L165" s="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1:61">
      <c r="A166" s="26">
        <f t="shared" si="4"/>
        <v>126</v>
      </c>
      <c r="B166" s="12"/>
      <c r="C166" s="12" t="s">
        <v>610</v>
      </c>
      <c r="D166" s="2"/>
      <c r="E166" s="30"/>
      <c r="F166" s="5"/>
      <c r="G166" s="5"/>
      <c r="H166" s="6"/>
      <c r="I166" s="5"/>
      <c r="J166" s="934">
        <v>84668118</v>
      </c>
      <c r="K166" s="12"/>
      <c r="L166" s="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1:61">
      <c r="A167" s="26">
        <f t="shared" si="4"/>
        <v>127</v>
      </c>
      <c r="B167" s="12"/>
      <c r="C167" s="834" t="str">
        <f>"Common Use AC Facilities (line "&amp;A165&amp;" less line "&amp;A166&amp;")"</f>
        <v>Common Use AC Facilities (line 125 less line 126)</v>
      </c>
      <c r="D167" s="835"/>
      <c r="E167" s="819"/>
      <c r="F167" s="5"/>
      <c r="G167" s="5"/>
      <c r="H167" s="6"/>
      <c r="I167" s="5"/>
      <c r="J167" s="819">
        <f>J165-J166</f>
        <v>3273423</v>
      </c>
      <c r="K167" s="12"/>
      <c r="L167" s="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>
      <c r="A168" s="26">
        <f t="shared" si="4"/>
        <v>128</v>
      </c>
      <c r="B168" s="12"/>
      <c r="C168" s="12"/>
      <c r="D168" s="2"/>
      <c r="E168" s="30"/>
      <c r="F168" s="5"/>
      <c r="G168" s="5"/>
      <c r="H168" s="6"/>
      <c r="I168" s="5"/>
      <c r="J168" s="30"/>
      <c r="K168" s="12"/>
      <c r="L168" s="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1:61">
      <c r="A169" s="26">
        <f t="shared" si="4"/>
        <v>129</v>
      </c>
      <c r="B169" s="12"/>
      <c r="C169" s="38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2"/>
      <c r="E169" s="30"/>
      <c r="F169" s="5"/>
      <c r="G169" s="5"/>
      <c r="H169" s="6"/>
      <c r="I169" s="5" t="s">
        <v>413</v>
      </c>
      <c r="J169" s="810">
        <f>ROUND(IF(J165&gt;0,J167/J165,0),6)</f>
        <v>3.7222999999999999E-2</v>
      </c>
      <c r="K169" s="12"/>
      <c r="L169" s="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>
      <c r="A170" s="26">
        <f t="shared" si="4"/>
        <v>130</v>
      </c>
      <c r="B170" s="12"/>
      <c r="C170" s="12"/>
      <c r="D170" s="2"/>
      <c r="E170" s="30"/>
      <c r="F170" s="5"/>
      <c r="G170" s="5"/>
      <c r="H170" s="6"/>
      <c r="I170" s="5"/>
      <c r="J170" s="30"/>
      <c r="K170" s="12"/>
      <c r="L170" s="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1:61">
      <c r="A171" s="26">
        <f t="shared" si="4"/>
        <v>131</v>
      </c>
      <c r="B171" s="12"/>
      <c r="C171" s="3" t="s">
        <v>731</v>
      </c>
      <c r="D171" s="5"/>
      <c r="E171" s="30"/>
      <c r="F171" s="5"/>
      <c r="G171" s="5"/>
      <c r="H171" s="5"/>
      <c r="I171" s="5"/>
      <c r="J171" s="30"/>
      <c r="K171" s="5"/>
      <c r="L171" s="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 ht="15.75" thickBot="1">
      <c r="A172" s="26">
        <f t="shared" si="4"/>
        <v>132</v>
      </c>
      <c r="B172" s="12"/>
      <c r="C172" s="3"/>
      <c r="D172" s="32" t="s">
        <v>732</v>
      </c>
      <c r="E172" s="837" t="s">
        <v>733</v>
      </c>
      <c r="F172" s="837" t="s">
        <v>671</v>
      </c>
      <c r="G172" s="5"/>
      <c r="H172" s="33" t="s">
        <v>734</v>
      </c>
      <c r="I172" s="55"/>
      <c r="J172" s="34"/>
      <c r="K172" s="5"/>
      <c r="L172" s="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1:61">
      <c r="A173" s="26">
        <f t="shared" si="4"/>
        <v>133</v>
      </c>
      <c r="B173" s="12"/>
      <c r="C173" s="3" t="s">
        <v>686</v>
      </c>
      <c r="D173" s="5" t="s">
        <v>559</v>
      </c>
      <c r="E173" s="913">
        <v>1109352</v>
      </c>
      <c r="F173" s="842">
        <f>+J144</f>
        <v>0.79286199999999996</v>
      </c>
      <c r="G173" s="12"/>
      <c r="H173" s="5">
        <f>E173*F173</f>
        <v>879563.04542399989</v>
      </c>
      <c r="I173" s="55"/>
      <c r="J173" s="745"/>
      <c r="K173" s="5"/>
      <c r="L173" s="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>
      <c r="A174" s="26">
        <f t="shared" si="4"/>
        <v>134</v>
      </c>
      <c r="B174" s="12"/>
      <c r="C174" s="3" t="s">
        <v>577</v>
      </c>
      <c r="D174" s="5" t="s">
        <v>578</v>
      </c>
      <c r="E174" s="913">
        <v>16029215</v>
      </c>
      <c r="F174" s="842">
        <v>0</v>
      </c>
      <c r="G174" s="19"/>
      <c r="H174" s="5">
        <f>E174*F174</f>
        <v>0</v>
      </c>
      <c r="I174" s="55"/>
      <c r="J174" s="34" t="s">
        <v>735</v>
      </c>
      <c r="K174" s="5"/>
      <c r="L174" s="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 ht="15.75" thickBot="1">
      <c r="A175" s="26">
        <f t="shared" si="4"/>
        <v>135</v>
      </c>
      <c r="B175" s="12"/>
      <c r="C175" s="3" t="s">
        <v>579</v>
      </c>
      <c r="D175" s="5" t="s">
        <v>580</v>
      </c>
      <c r="E175" s="918">
        <v>-1487664</v>
      </c>
      <c r="F175" s="842">
        <v>0</v>
      </c>
      <c r="G175" s="19"/>
      <c r="H175" s="32">
        <f>E175*F175</f>
        <v>0</v>
      </c>
      <c r="I175" s="55"/>
      <c r="J175" s="31" t="s">
        <v>253</v>
      </c>
      <c r="K175" s="5"/>
      <c r="L175" s="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1:61">
      <c r="A176" s="26">
        <f t="shared" si="4"/>
        <v>136</v>
      </c>
      <c r="B176" s="12"/>
      <c r="C176" s="3" t="str">
        <f>"  Adjusted Total  (sum lines "&amp;A174&amp;"-"&amp;A175&amp;")"</f>
        <v xml:space="preserve">  Adjusted Total  (sum lines 134-135)</v>
      </c>
      <c r="D176" s="5"/>
      <c r="E176" s="30">
        <f>SUM(E174:E175)</f>
        <v>14541551</v>
      </c>
      <c r="F176" s="5"/>
      <c r="G176" s="12"/>
      <c r="H176" s="5">
        <f>SUM(H173:H175)</f>
        <v>879563.04542399989</v>
      </c>
      <c r="I176" s="5" t="s">
        <v>447</v>
      </c>
      <c r="J176" s="14">
        <f>+H176/E176</f>
        <v>6.0486191976633019E-2</v>
      </c>
      <c r="K176" s="6"/>
      <c r="L176" s="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1:61">
      <c r="A177" s="26">
        <f t="shared" si="4"/>
        <v>137</v>
      </c>
      <c r="B177" s="12"/>
      <c r="D177" s="5"/>
      <c r="E177" s="30"/>
      <c r="F177" s="5"/>
      <c r="G177" s="5"/>
      <c r="H177" s="5"/>
      <c r="I177" s="5"/>
      <c r="J177" s="5"/>
      <c r="K177" s="5"/>
      <c r="L177" s="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 ht="15.75" thickBot="1">
      <c r="A178" s="26">
        <f t="shared" si="4"/>
        <v>138</v>
      </c>
      <c r="B178" s="12"/>
      <c r="C178" s="3" t="s">
        <v>560</v>
      </c>
      <c r="D178" s="5"/>
      <c r="E178" s="837" t="s">
        <v>733</v>
      </c>
      <c r="F178" s="33" t="s">
        <v>749</v>
      </c>
      <c r="G178" s="827" t="s">
        <v>671</v>
      </c>
      <c r="H178" s="828" t="s">
        <v>563</v>
      </c>
      <c r="I178" s="15"/>
      <c r="J178" s="16"/>
      <c r="K178" s="12"/>
      <c r="L178" s="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1:61">
      <c r="A179" s="26">
        <f t="shared" si="4"/>
        <v>139</v>
      </c>
      <c r="B179" s="12"/>
      <c r="C179" s="3" t="s">
        <v>561</v>
      </c>
      <c r="D179" s="30" t="str">
        <f>"lines "&amp;A39&amp;", "&amp;A40&amp;" &amp; "&amp;A41&amp;""</f>
        <v>lines 25, 26 &amp; 27</v>
      </c>
      <c r="E179" s="30">
        <f>+E39+E40+E41</f>
        <v>83953696.432180032</v>
      </c>
      <c r="F179" s="86">
        <f>+E179/E181</f>
        <v>0.32183591679241025</v>
      </c>
      <c r="G179" s="824">
        <f>+J144</f>
        <v>0.79286199999999996</v>
      </c>
      <c r="H179" s="825">
        <f>+G179*F179</f>
        <v>0.25517146865986395</v>
      </c>
      <c r="I179" s="28"/>
      <c r="J179" s="26"/>
      <c r="K179" s="5"/>
      <c r="L179" s="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>
      <c r="A180" s="26">
        <f t="shared" si="4"/>
        <v>140</v>
      </c>
      <c r="B180" s="12"/>
      <c r="C180" s="3" t="s">
        <v>562</v>
      </c>
      <c r="D180" s="30" t="str">
        <f>"line "&amp;A42&amp;""</f>
        <v>line 28</v>
      </c>
      <c r="E180" s="30">
        <f>+E42</f>
        <v>176904996</v>
      </c>
      <c r="F180" s="86">
        <f>+E180/E181</f>
        <v>0.6781640832075897</v>
      </c>
      <c r="G180" s="12"/>
      <c r="H180" s="17"/>
      <c r="I180" s="6"/>
      <c r="J180" s="17"/>
      <c r="K180" s="15"/>
      <c r="L180" s="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>
      <c r="A181" s="26">
        <f t="shared" si="4"/>
        <v>141</v>
      </c>
      <c r="B181" s="12"/>
      <c r="C181" s="3" t="str">
        <f>"  Total  (sum lines "&amp;A179&amp;" - "&amp;A180&amp;")"</f>
        <v xml:space="preserve">  Total  (sum lines 139 - 140)</v>
      </c>
      <c r="D181" s="5"/>
      <c r="E181" s="819">
        <f>SUM(E179:E180)</f>
        <v>260858692.43218005</v>
      </c>
      <c r="F181" s="781">
        <f>SUM(F179:F180)</f>
        <v>1</v>
      </c>
      <c r="G181" s="5"/>
      <c r="H181" s="5"/>
      <c r="I181" s="5" t="s">
        <v>564</v>
      </c>
      <c r="J181" s="826">
        <f>+H179</f>
        <v>0.25517146865986395</v>
      </c>
      <c r="K181" s="5"/>
      <c r="L181" s="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>
      <c r="A182" s="26">
        <f t="shared" si="4"/>
        <v>142</v>
      </c>
      <c r="B182" s="12"/>
      <c r="C182" s="3"/>
      <c r="D182" s="5"/>
      <c r="E182" s="48"/>
      <c r="F182" s="5"/>
      <c r="G182" s="5"/>
      <c r="H182" s="5"/>
      <c r="I182" s="5"/>
      <c r="J182" s="826"/>
      <c r="K182" s="5"/>
      <c r="L182" s="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s="830" customFormat="1" ht="15.75" thickBot="1">
      <c r="A183" s="26">
        <f t="shared" si="4"/>
        <v>143</v>
      </c>
      <c r="B183" s="836"/>
      <c r="C183" s="840" t="s">
        <v>747</v>
      </c>
      <c r="D183" s="827" t="s">
        <v>732</v>
      </c>
      <c r="E183" s="30"/>
      <c r="F183" s="30"/>
      <c r="G183" s="30"/>
      <c r="H183" s="30"/>
      <c r="I183" s="30"/>
      <c r="J183" s="837" t="s">
        <v>733</v>
      </c>
      <c r="K183" s="30"/>
      <c r="L183" s="829"/>
      <c r="M183" s="829"/>
    </row>
    <row r="184" spans="1:61">
      <c r="A184" s="26">
        <f t="shared" si="4"/>
        <v>144</v>
      </c>
      <c r="B184" s="836"/>
      <c r="C184" s="47" t="s">
        <v>890</v>
      </c>
      <c r="D184" s="30" t="s">
        <v>893</v>
      </c>
      <c r="E184" s="30"/>
      <c r="F184" s="30"/>
      <c r="G184" s="30"/>
      <c r="H184" s="30"/>
      <c r="I184" s="30"/>
      <c r="J184" s="914">
        <f>13268095+149486+160478</f>
        <v>13578059</v>
      </c>
      <c r="K184" s="30"/>
      <c r="L184" s="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1:61">
      <c r="A185" s="26">
        <f t="shared" si="4"/>
        <v>145</v>
      </c>
      <c r="B185" s="838"/>
      <c r="C185" s="44"/>
      <c r="D185" s="30"/>
      <c r="E185" s="30"/>
      <c r="F185" s="30"/>
      <c r="G185" s="30"/>
      <c r="H185" s="30"/>
      <c r="I185" s="30"/>
      <c r="J185" s="30"/>
      <c r="K185" s="30"/>
      <c r="L185" s="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1:61">
      <c r="A186" s="26">
        <f t="shared" si="4"/>
        <v>146</v>
      </c>
      <c r="B186" s="836"/>
      <c r="C186" s="44" t="s">
        <v>891</v>
      </c>
      <c r="D186" s="30" t="s">
        <v>892</v>
      </c>
      <c r="E186" s="30"/>
      <c r="F186" s="30"/>
      <c r="G186" s="30"/>
      <c r="H186" s="30"/>
      <c r="I186" s="30"/>
      <c r="J186" s="769">
        <v>0</v>
      </c>
      <c r="K186" s="30"/>
      <c r="L186" s="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1:61">
      <c r="A187" s="26">
        <f t="shared" si="4"/>
        <v>147</v>
      </c>
      <c r="B187" s="836"/>
      <c r="C187" s="44"/>
      <c r="D187" s="30"/>
      <c r="E187" s="30"/>
      <c r="F187" s="30"/>
      <c r="G187" s="30"/>
      <c r="H187" s="30"/>
      <c r="I187" s="30"/>
      <c r="J187" s="30"/>
      <c r="K187" s="30"/>
      <c r="L187" s="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1:61">
      <c r="A188" s="26">
        <f t="shared" si="4"/>
        <v>148</v>
      </c>
      <c r="B188" s="836"/>
      <c r="C188" s="840" t="s">
        <v>894</v>
      </c>
      <c r="D188" s="827" t="s">
        <v>732</v>
      </c>
      <c r="E188" s="30"/>
      <c r="F188" s="30"/>
      <c r="G188" s="30"/>
      <c r="H188" s="30"/>
      <c r="I188" s="30"/>
      <c r="J188" s="30"/>
      <c r="K188" s="30"/>
      <c r="L188" s="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1:61">
      <c r="A189" s="26">
        <f t="shared" si="4"/>
        <v>149</v>
      </c>
      <c r="B189" s="836"/>
      <c r="C189" s="44" t="s">
        <v>239</v>
      </c>
      <c r="D189" s="30" t="s">
        <v>895</v>
      </c>
      <c r="E189" s="47"/>
      <c r="F189" s="30"/>
      <c r="G189" s="30"/>
      <c r="H189" s="30"/>
      <c r="I189" s="30"/>
      <c r="J189" s="914">
        <v>278198213</v>
      </c>
      <c r="K189" s="30"/>
      <c r="L189" s="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1:61">
      <c r="A190" s="26">
        <f t="shared" si="4"/>
        <v>150</v>
      </c>
      <c r="B190" s="836"/>
      <c r="C190" s="44" t="s">
        <v>897</v>
      </c>
      <c r="D190" s="30" t="s">
        <v>898</v>
      </c>
      <c r="E190" s="30"/>
      <c r="F190" s="30"/>
      <c r="G190" s="30"/>
      <c r="H190" s="30"/>
      <c r="I190" s="30"/>
      <c r="J190" s="769">
        <v>0</v>
      </c>
      <c r="K190" s="30"/>
      <c r="L190" s="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1:61">
      <c r="A191" s="26">
        <f t="shared" si="4"/>
        <v>151</v>
      </c>
      <c r="B191" s="836"/>
      <c r="C191" s="44" t="s">
        <v>899</v>
      </c>
      <c r="D191" s="30" t="s">
        <v>900</v>
      </c>
      <c r="E191" s="30"/>
      <c r="F191" s="30"/>
      <c r="G191" s="30"/>
      <c r="H191" s="30"/>
      <c r="I191" s="30"/>
      <c r="J191" s="896">
        <v>0</v>
      </c>
      <c r="K191" s="30"/>
      <c r="L191" s="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1:61" ht="15.75" thickBot="1">
      <c r="A192" s="26">
        <f t="shared" si="4"/>
        <v>152</v>
      </c>
      <c r="B192" s="836"/>
      <c r="C192" s="44" t="s">
        <v>901</v>
      </c>
      <c r="D192" s="30" t="s">
        <v>902</v>
      </c>
      <c r="E192" s="30"/>
      <c r="F192" s="30"/>
      <c r="G192" s="30"/>
      <c r="H192" s="30"/>
      <c r="I192" s="30"/>
      <c r="J192" s="916">
        <v>-1213092</v>
      </c>
      <c r="K192" s="30"/>
      <c r="L192" s="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1:61">
      <c r="A193" s="26">
        <f t="shared" si="4"/>
        <v>153</v>
      </c>
      <c r="B193" s="836"/>
      <c r="C193" s="841" t="s">
        <v>903</v>
      </c>
      <c r="D193" s="30"/>
      <c r="E193" s="47" t="str">
        <f>"(sum lines "&amp;A189&amp;"-"&amp;A192&amp;")"</f>
        <v>(sum lines 149-152)</v>
      </c>
      <c r="F193" s="47"/>
      <c r="G193" s="47"/>
      <c r="H193" s="47"/>
      <c r="I193" s="47"/>
      <c r="J193" s="769">
        <f>SUM(J189:J192)</f>
        <v>276985121</v>
      </c>
      <c r="K193" s="30"/>
      <c r="L193" s="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1:61">
      <c r="A194" s="26">
        <f t="shared" si="4"/>
        <v>154</v>
      </c>
      <c r="B194" s="12"/>
      <c r="C194" s="3"/>
      <c r="D194" s="5"/>
      <c r="E194" s="30"/>
      <c r="F194" s="5"/>
      <c r="G194" s="5"/>
      <c r="H194" s="6"/>
      <c r="I194" s="5"/>
      <c r="J194" s="5"/>
      <c r="K194" s="5"/>
      <c r="L194" s="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1:61" ht="15.75" thickBot="1">
      <c r="A195" s="26">
        <f t="shared" si="4"/>
        <v>155</v>
      </c>
      <c r="B195" s="12"/>
      <c r="C195" s="3"/>
      <c r="D195" s="32" t="s">
        <v>732</v>
      </c>
      <c r="E195" s="839" t="s">
        <v>733</v>
      </c>
      <c r="F195" s="31" t="s">
        <v>749</v>
      </c>
      <c r="G195" s="5"/>
      <c r="H195" s="31" t="s">
        <v>748</v>
      </c>
      <c r="I195" s="5"/>
      <c r="J195" s="31" t="s">
        <v>750</v>
      </c>
      <c r="K195" s="5"/>
      <c r="L195" s="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1:61">
      <c r="A196" s="26">
        <f t="shared" si="4"/>
        <v>156</v>
      </c>
      <c r="B196" s="12"/>
      <c r="C196" s="24" t="s">
        <v>885</v>
      </c>
      <c r="D196" s="780" t="s">
        <v>23</v>
      </c>
      <c r="E196" s="913">
        <f>329069001-(180000000*0.75)</f>
        <v>194069001</v>
      </c>
      <c r="F196" s="740">
        <v>0.43</v>
      </c>
      <c r="G196" s="20"/>
      <c r="H196" s="87">
        <f>+J184/E196</f>
        <v>6.9965109986834015E-2</v>
      </c>
      <c r="I196" s="12"/>
      <c r="J196" s="86">
        <f>H196*F196</f>
        <v>3.0084997294338625E-2</v>
      </c>
      <c r="K196" s="21"/>
      <c r="L196" s="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1:61">
      <c r="A197" s="26">
        <f t="shared" si="4"/>
        <v>157</v>
      </c>
      <c r="B197" s="12"/>
      <c r="C197" s="24" t="s">
        <v>886</v>
      </c>
      <c r="D197" s="726" t="s">
        <v>898</v>
      </c>
      <c r="E197" s="30">
        <v>0</v>
      </c>
      <c r="F197" s="740">
        <f>IF($E$199&gt;0,E197/$E$199,0)</f>
        <v>0</v>
      </c>
      <c r="G197" s="20"/>
      <c r="H197" s="86">
        <f>IF(E197&gt;0,#REF!/E197,0)</f>
        <v>0</v>
      </c>
      <c r="I197" s="12"/>
      <c r="J197" s="86">
        <f>H197*F197</f>
        <v>0</v>
      </c>
      <c r="K197" s="5"/>
      <c r="L197" s="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1:61" ht="15.75" thickBot="1">
      <c r="A198" s="26">
        <f t="shared" si="4"/>
        <v>158</v>
      </c>
      <c r="B198" s="12"/>
      <c r="C198" s="841" t="s">
        <v>904</v>
      </c>
      <c r="D198" s="726" t="str">
        <f>"(see above line "&amp;A193&amp;")"</f>
        <v>(see above line 153)</v>
      </c>
      <c r="E198" s="50">
        <f>+J193</f>
        <v>276985121</v>
      </c>
      <c r="F198" s="740">
        <v>0.56999999999999995</v>
      </c>
      <c r="G198" s="12" t="s">
        <v>612</v>
      </c>
      <c r="H198" s="87">
        <v>0.108</v>
      </c>
      <c r="I198" s="12" t="s">
        <v>612</v>
      </c>
      <c r="J198" s="88">
        <f>H198*F198</f>
        <v>6.1559999999999997E-2</v>
      </c>
      <c r="K198" s="5"/>
      <c r="L198" s="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1:61">
      <c r="A199" s="26">
        <f t="shared" si="4"/>
        <v>159</v>
      </c>
      <c r="B199" s="12"/>
      <c r="C199" s="3" t="str">
        <f>"Total  (sum lines "&amp;A196&amp;"-"&amp;A198&amp;")"</f>
        <v>Total  (sum lines 156-158)</v>
      </c>
      <c r="D199" s="48"/>
      <c r="E199" s="30">
        <f>E198+E197+E196</f>
        <v>471054122</v>
      </c>
      <c r="F199" s="5" t="s">
        <v>665</v>
      </c>
      <c r="G199" s="5"/>
      <c r="H199" s="5"/>
      <c r="I199" s="5" t="s">
        <v>920</v>
      </c>
      <c r="J199" s="86">
        <f>SUM(J196:J198)</f>
        <v>9.1644997294338615E-2</v>
      </c>
      <c r="K199" s="21"/>
      <c r="L199" s="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1:61">
      <c r="A200" s="12"/>
      <c r="B200" s="12"/>
      <c r="C200" s="12"/>
      <c r="D200" s="12"/>
      <c r="E200" s="48"/>
      <c r="F200" s="5"/>
      <c r="G200" s="5"/>
      <c r="H200" s="5"/>
      <c r="I200" s="5"/>
      <c r="J200" s="12"/>
      <c r="K200" s="12"/>
      <c r="L200" s="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1:61">
      <c r="A201" s="26"/>
      <c r="B201" s="12"/>
      <c r="C201" s="3"/>
      <c r="D201" s="2"/>
      <c r="E201" s="30"/>
      <c r="F201" s="5"/>
      <c r="G201" s="5"/>
      <c r="H201" s="5"/>
      <c r="I201" s="889" t="str">
        <f>I2</f>
        <v>Service Year</v>
      </c>
      <c r="J201" s="2">
        <f>J2</f>
        <v>2011</v>
      </c>
      <c r="K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1:61" ht="15.75">
      <c r="A202" s="26"/>
      <c r="B202" s="12"/>
      <c r="C202" s="3"/>
      <c r="D202" s="2"/>
      <c r="E202" s="30"/>
      <c r="F202" s="5"/>
      <c r="G202" s="5"/>
      <c r="H202" s="5"/>
      <c r="I202" s="2"/>
      <c r="J202" s="5"/>
      <c r="K202" s="2"/>
      <c r="L202" s="737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1:61">
      <c r="A203" s="12"/>
      <c r="B203" s="12"/>
      <c r="C203" s="2"/>
      <c r="D203" s="2"/>
      <c r="F203" s="2"/>
      <c r="G203" s="2"/>
      <c r="H203" s="2"/>
      <c r="I203" s="2"/>
      <c r="J203" s="2"/>
      <c r="K203" s="2"/>
      <c r="L203" s="2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1:61" ht="15.75">
      <c r="A204" s="1168" t="s">
        <v>855</v>
      </c>
      <c r="B204" s="1168"/>
      <c r="C204" s="1168"/>
      <c r="D204" s="1168"/>
      <c r="E204" s="1168"/>
      <c r="F204" s="1168"/>
      <c r="G204" s="1168"/>
      <c r="H204" s="1168"/>
      <c r="I204" s="1168"/>
      <c r="J204" s="1168"/>
      <c r="K204" s="1168"/>
      <c r="L204" s="26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1:61" ht="15.75">
      <c r="A205" s="1167" t="s">
        <v>666</v>
      </c>
      <c r="B205" s="1167"/>
      <c r="C205" s="1167"/>
      <c r="D205" s="1167"/>
      <c r="E205" s="1167"/>
      <c r="F205" s="1167"/>
      <c r="G205" s="1167"/>
      <c r="H205" s="1167"/>
      <c r="I205" s="1167"/>
      <c r="J205" s="1167"/>
      <c r="K205" s="1167"/>
      <c r="L205" s="26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1:61">
      <c r="A206" s="12"/>
      <c r="B206" s="25"/>
      <c r="C206" s="24"/>
      <c r="D206" s="26"/>
      <c r="E206" s="30"/>
      <c r="F206" s="5"/>
      <c r="G206" s="5"/>
      <c r="H206" s="5"/>
      <c r="I206" s="25"/>
      <c r="J206" s="5"/>
      <c r="K206" s="25"/>
      <c r="L206" s="2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1:61" ht="15.75">
      <c r="A207" s="1166" t="s">
        <v>851</v>
      </c>
      <c r="B207" s="1166"/>
      <c r="C207" s="1166"/>
      <c r="D207" s="1166"/>
      <c r="E207" s="1166"/>
      <c r="F207" s="1166"/>
      <c r="G207" s="1166"/>
      <c r="H207" s="1166"/>
      <c r="I207" s="1166"/>
      <c r="J207" s="1166"/>
      <c r="K207" s="1166"/>
      <c r="L207" s="2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1:61">
      <c r="A208" s="26"/>
      <c r="B208" s="25"/>
      <c r="C208" s="24"/>
      <c r="D208" s="26"/>
      <c r="E208" s="30"/>
      <c r="F208" s="5"/>
      <c r="G208" s="5"/>
      <c r="H208" s="5"/>
      <c r="I208" s="25"/>
      <c r="J208" s="5"/>
      <c r="K208" s="25"/>
      <c r="L208" s="26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1:61">
      <c r="A209" s="26" t="s">
        <v>751</v>
      </c>
      <c r="B209" s="25"/>
      <c r="C209" s="24"/>
      <c r="D209" s="25"/>
      <c r="E209" s="30"/>
      <c r="F209" s="5"/>
      <c r="G209" s="5"/>
      <c r="H209" s="5"/>
      <c r="I209" s="25"/>
      <c r="J209" s="5"/>
      <c r="K209" s="25"/>
      <c r="L209" s="26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1:61" ht="15.75" thickBot="1">
      <c r="A210" s="31" t="s">
        <v>752</v>
      </c>
      <c r="B210" s="25"/>
      <c r="C210" s="24"/>
      <c r="D210" s="25"/>
      <c r="E210" s="30"/>
      <c r="F210" s="5"/>
      <c r="G210" s="5"/>
      <c r="H210" s="5"/>
      <c r="I210" s="25"/>
      <c r="J210" s="5"/>
      <c r="K210" s="25"/>
      <c r="L210" s="26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1:61">
      <c r="A211" s="26"/>
      <c r="B211" s="25"/>
      <c r="C211" s="46"/>
      <c r="D211" s="38"/>
      <c r="E211" s="30"/>
      <c r="F211" s="30"/>
      <c r="G211" s="30"/>
      <c r="H211" s="30"/>
      <c r="I211" s="38"/>
      <c r="J211" s="30"/>
      <c r="K211" s="38"/>
      <c r="L211" s="746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1:61">
      <c r="A212" s="12"/>
      <c r="B212" s="12"/>
      <c r="C212" s="12"/>
      <c r="D212" s="12"/>
      <c r="E212" s="48"/>
      <c r="F212" s="12"/>
      <c r="G212" s="12"/>
      <c r="H212" s="12"/>
      <c r="I212" s="12"/>
      <c r="J212" s="38"/>
      <c r="K212" s="38"/>
      <c r="L212" s="746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1:61">
      <c r="A213" s="26" t="s">
        <v>753</v>
      </c>
      <c r="B213" s="25"/>
      <c r="C213" s="38" t="s">
        <v>922</v>
      </c>
      <c r="D213" s="38"/>
      <c r="E213" s="38"/>
      <c r="F213" s="38"/>
      <c r="G213" s="38"/>
      <c r="H213" s="38"/>
      <c r="I213" s="38"/>
      <c r="J213" s="38"/>
      <c r="K213" s="38"/>
      <c r="L213" s="74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1:61">
      <c r="A214" s="26"/>
      <c r="B214" s="25"/>
      <c r="C214" s="38" t="s">
        <v>415</v>
      </c>
      <c r="D214" s="38"/>
      <c r="E214" s="38"/>
      <c r="F214" s="38"/>
      <c r="G214" s="38"/>
      <c r="H214" s="38"/>
      <c r="I214" s="38"/>
      <c r="J214" s="38"/>
      <c r="K214" s="38"/>
      <c r="L214" s="746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1:61">
      <c r="A215" s="26"/>
      <c r="B215" s="25"/>
      <c r="C215" s="38" t="s">
        <v>505</v>
      </c>
      <c r="D215" s="38"/>
      <c r="E215" s="38"/>
      <c r="F215" s="38"/>
      <c r="G215" s="38"/>
      <c r="H215" s="38"/>
      <c r="I215" s="38"/>
      <c r="J215" s="38"/>
      <c r="K215" s="38"/>
      <c r="L215" s="746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1:61">
      <c r="A216" s="26" t="s">
        <v>754</v>
      </c>
      <c r="B216" s="25"/>
      <c r="C216" s="38" t="s">
        <v>760</v>
      </c>
      <c r="D216" s="38"/>
      <c r="E216" s="38"/>
      <c r="F216" s="38"/>
      <c r="G216" s="38"/>
      <c r="H216" s="38"/>
      <c r="I216" s="38"/>
      <c r="J216" s="38"/>
      <c r="K216" s="38"/>
      <c r="L216" s="746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1:61">
      <c r="A217" s="26" t="s">
        <v>755</v>
      </c>
      <c r="B217" s="25"/>
      <c r="C217" s="38" t="s">
        <v>369</v>
      </c>
      <c r="D217" s="38"/>
      <c r="E217" s="38"/>
      <c r="F217" s="38"/>
      <c r="G217" s="38"/>
      <c r="H217" s="38"/>
      <c r="I217" s="38"/>
      <c r="J217" s="38"/>
      <c r="K217" s="38"/>
      <c r="L217" s="746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1:61">
      <c r="A218" s="26" t="s">
        <v>756</v>
      </c>
      <c r="B218" s="25"/>
      <c r="C218" s="38" t="s">
        <v>440</v>
      </c>
      <c r="D218" s="38"/>
      <c r="E218" s="38"/>
      <c r="F218" s="38"/>
      <c r="G218" s="38"/>
      <c r="H218" s="38"/>
      <c r="I218" s="38"/>
      <c r="J218" s="38"/>
      <c r="K218" s="38"/>
      <c r="L218" s="746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1:61">
      <c r="A219" s="26" t="s">
        <v>757</v>
      </c>
      <c r="B219" s="25"/>
      <c r="C219" s="38" t="s">
        <v>310</v>
      </c>
      <c r="D219" s="38"/>
      <c r="E219" s="38"/>
      <c r="F219" s="38"/>
      <c r="G219" s="38"/>
      <c r="H219" s="38"/>
      <c r="I219" s="38"/>
      <c r="J219" s="38"/>
      <c r="K219" s="38"/>
      <c r="L219" s="746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1:61">
      <c r="A220" s="26"/>
      <c r="B220" s="25"/>
      <c r="C220" s="48" t="s">
        <v>311</v>
      </c>
      <c r="D220" s="38"/>
      <c r="E220" s="38"/>
      <c r="F220" s="38"/>
      <c r="G220" s="38"/>
      <c r="H220" s="38"/>
      <c r="I220" s="38"/>
      <c r="J220" s="38"/>
      <c r="K220" s="38"/>
      <c r="L220" s="746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1:61">
      <c r="A221" s="26" t="s">
        <v>758</v>
      </c>
      <c r="B221" s="25"/>
      <c r="C221" s="38" t="s">
        <v>763</v>
      </c>
      <c r="D221" s="38"/>
      <c r="E221" s="38"/>
      <c r="F221" s="38"/>
      <c r="G221" s="38"/>
      <c r="H221" s="38"/>
      <c r="I221" s="38"/>
      <c r="J221" s="38"/>
      <c r="K221" s="38"/>
      <c r="L221" s="746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1:61">
      <c r="A222" s="26"/>
      <c r="B222" s="25"/>
      <c r="C222" s="38" t="s">
        <v>652</v>
      </c>
      <c r="D222" s="38"/>
      <c r="E222" s="38"/>
      <c r="F222" s="38"/>
      <c r="G222" s="38"/>
      <c r="H222" s="38"/>
      <c r="I222" s="38"/>
      <c r="J222" s="38"/>
      <c r="K222" s="38"/>
      <c r="L222" s="746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1:61">
      <c r="A223" s="26"/>
      <c r="B223" s="25"/>
      <c r="C223" s="38" t="s">
        <v>790</v>
      </c>
      <c r="D223" s="38"/>
      <c r="E223" s="38"/>
      <c r="F223" s="38"/>
      <c r="G223" s="38"/>
      <c r="H223" s="38"/>
      <c r="I223" s="38"/>
      <c r="J223" s="38"/>
      <c r="K223" s="38"/>
      <c r="L223" s="746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1:61">
      <c r="A224" s="26" t="s">
        <v>759</v>
      </c>
      <c r="B224" s="25"/>
      <c r="C224" s="38" t="s">
        <v>770</v>
      </c>
      <c r="D224" s="38"/>
      <c r="E224" s="38"/>
      <c r="F224" s="38"/>
      <c r="G224" s="38"/>
      <c r="H224" s="38"/>
      <c r="I224" s="38"/>
      <c r="J224" s="38"/>
      <c r="K224" s="38"/>
      <c r="L224" s="746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1:61">
      <c r="A225" s="26"/>
      <c r="B225" s="25"/>
      <c r="C225" s="38" t="s">
        <v>772</v>
      </c>
      <c r="D225" s="38"/>
      <c r="E225" s="38"/>
      <c r="F225" s="38"/>
      <c r="G225" s="38"/>
      <c r="H225" s="38"/>
      <c r="I225" s="38"/>
      <c r="J225" s="38"/>
      <c r="K225" s="38"/>
      <c r="L225" s="746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1:61">
      <c r="A226" s="26"/>
      <c r="B226" s="25"/>
      <c r="C226" s="38" t="s">
        <v>773</v>
      </c>
      <c r="D226" s="38"/>
      <c r="E226" s="38"/>
      <c r="F226" s="38"/>
      <c r="G226" s="38"/>
      <c r="H226" s="38"/>
      <c r="I226" s="38"/>
      <c r="J226" s="38"/>
      <c r="K226" s="38"/>
      <c r="L226" s="746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1:61">
      <c r="A227" s="26"/>
      <c r="B227" s="25"/>
      <c r="C227" s="38" t="s">
        <v>774</v>
      </c>
      <c r="D227" s="38"/>
      <c r="E227" s="38"/>
      <c r="F227" s="38"/>
      <c r="G227" s="38"/>
      <c r="H227" s="38"/>
      <c r="I227" s="38"/>
      <c r="J227" s="38"/>
      <c r="K227" s="38"/>
      <c r="L227" s="746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1:61">
      <c r="A228" s="26"/>
      <c r="B228" s="25"/>
      <c r="C228" s="38" t="s">
        <v>775</v>
      </c>
      <c r="D228" s="38"/>
      <c r="E228" s="38"/>
      <c r="F228" s="38"/>
      <c r="G228" s="38"/>
      <c r="H228" s="38"/>
      <c r="I228" s="38"/>
      <c r="J228" s="38"/>
      <c r="K228" s="38"/>
      <c r="L228" s="746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1:61">
      <c r="A229" s="26"/>
      <c r="B229" s="25"/>
      <c r="C229" s="38" t="s">
        <v>506</v>
      </c>
      <c r="D229" s="38"/>
      <c r="E229" s="38"/>
      <c r="F229" s="38"/>
      <c r="G229" s="38"/>
      <c r="H229" s="38"/>
      <c r="I229" s="38"/>
      <c r="J229" s="38"/>
      <c r="K229" s="38"/>
      <c r="L229" s="746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1:61">
      <c r="A230" s="26" t="s">
        <v>665</v>
      </c>
      <c r="B230" s="25"/>
      <c r="C230" s="38" t="s">
        <v>783</v>
      </c>
      <c r="D230" s="38" t="s">
        <v>776</v>
      </c>
      <c r="E230" s="902">
        <v>0.35</v>
      </c>
      <c r="F230" s="38"/>
      <c r="G230" s="38"/>
      <c r="H230" s="38"/>
      <c r="I230" s="38"/>
      <c r="J230" s="38"/>
      <c r="K230" s="38"/>
      <c r="L230" s="746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1:61">
      <c r="A231" s="26"/>
      <c r="B231" s="25"/>
      <c r="C231" s="38"/>
      <c r="D231" s="38" t="s">
        <v>777</v>
      </c>
      <c r="E231" s="902">
        <v>0</v>
      </c>
      <c r="F231" s="38" t="s">
        <v>778</v>
      </c>
      <c r="G231" s="38"/>
      <c r="H231" s="38"/>
      <c r="I231" s="38"/>
      <c r="J231" s="38"/>
      <c r="K231" s="38"/>
      <c r="L231" s="746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</row>
    <row r="232" spans="1:61">
      <c r="A232" s="26"/>
      <c r="B232" s="25"/>
      <c r="C232" s="38"/>
      <c r="D232" s="38" t="s">
        <v>779</v>
      </c>
      <c r="E232" s="902">
        <v>0</v>
      </c>
      <c r="F232" s="38" t="s">
        <v>780</v>
      </c>
      <c r="G232" s="38"/>
      <c r="H232" s="38"/>
      <c r="I232" s="38"/>
      <c r="J232" s="38"/>
      <c r="K232" s="38"/>
      <c r="L232" s="74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1:61">
      <c r="A233" s="855" t="s">
        <v>761</v>
      </c>
      <c r="B233" s="12"/>
      <c r="C233" s="48" t="s">
        <v>358</v>
      </c>
      <c r="D233" s="48"/>
      <c r="E233" s="48"/>
      <c r="F233" s="48"/>
      <c r="G233" s="48"/>
      <c r="H233" s="48"/>
      <c r="I233" s="48"/>
      <c r="J233" s="48"/>
      <c r="K233" s="12"/>
      <c r="L233" s="12"/>
    </row>
    <row r="234" spans="1:61">
      <c r="A234" s="867" t="s">
        <v>762</v>
      </c>
      <c r="C234" s="46" t="s">
        <v>313</v>
      </c>
    </row>
  </sheetData>
  <mergeCells count="13">
    <mergeCell ref="A4:K4"/>
    <mergeCell ref="A5:K5"/>
    <mergeCell ref="A7:K7"/>
    <mergeCell ref="A71:K71"/>
    <mergeCell ref="A127:K127"/>
    <mergeCell ref="A129:K129"/>
    <mergeCell ref="A131:K131"/>
    <mergeCell ref="A207:K207"/>
    <mergeCell ref="A205:K205"/>
    <mergeCell ref="A72:K72"/>
    <mergeCell ref="A74:K74"/>
    <mergeCell ref="A204:K204"/>
    <mergeCell ref="A126:K126"/>
  </mergeCells>
  <phoneticPr fontId="29" type="noConversion"/>
  <printOptions horizontalCentered="1"/>
  <pageMargins left="0.5" right="0.5" top="0.75" bottom="0.75" header="0.5" footer="0.5"/>
  <pageSetup scale="55" fitToHeight="5" orientation="portrait" r:id="rId1"/>
  <headerFooter alignWithMargins="0">
    <oddHeader>&amp;L
&amp;C&amp;"Arial MT,Bold"ESTIMATED SERVICE YEAR ATRR
BLACK HILLS POWER, INC.&amp;RPage &amp;P of &amp;N</oddHeader>
  </headerFooter>
  <rowBreaks count="3" manualBreakCount="3">
    <brk id="67" max="12" man="1"/>
    <brk id="123" max="12" man="1"/>
    <brk id="200" max="1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BD242"/>
  <sheetViews>
    <sheetView topLeftCell="A4" zoomScale="75" zoomScaleNormal="66" workbookViewId="0">
      <pane xSplit="3" ySplit="11" topLeftCell="D107" activePane="bottomRight" state="frozen"/>
      <selection activeCell="A4" sqref="A4"/>
      <selection pane="topRight" activeCell="D4" sqref="D4"/>
      <selection pane="bottomLeft" activeCell="A15" sqref="A15"/>
      <selection pane="bottomRight" activeCell="J115" sqref="J115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41.21875" customWidth="1"/>
    <col min="5" max="5" width="15.21875" customWidth="1"/>
    <col min="6" max="6" width="7.77734375" customWidth="1"/>
    <col min="7" max="7" width="5.6640625" customWidth="1"/>
    <col min="8" max="8" width="14" customWidth="1"/>
    <col min="9" max="9" width="7.109375" customWidth="1"/>
    <col min="10" max="10" width="12.77734375" customWidth="1"/>
    <col min="11" max="11" width="1.21875" customWidth="1"/>
    <col min="12" max="12" width="14.21875" hidden="1" customWidth="1"/>
    <col min="13" max="13" width="16.21875" hidden="1" customWidth="1"/>
    <col min="14" max="14" width="11.77734375" hidden="1" customWidth="1"/>
    <col min="15" max="15" width="13.88671875" hidden="1" customWidth="1"/>
    <col min="16" max="16" width="11.77734375" style="1154" bestFit="1" customWidth="1"/>
    <col min="17" max="17" width="9.77734375" style="1154" bestFit="1" customWidth="1"/>
    <col min="18" max="18" width="9.21875" style="1154" customWidth="1"/>
  </cols>
  <sheetData>
    <row r="1" spans="1:56">
      <c r="A1" s="969"/>
      <c r="B1" s="969"/>
      <c r="C1" s="969"/>
      <c r="D1" s="969"/>
      <c r="E1" s="969"/>
      <c r="F1" s="969"/>
      <c r="G1" s="969"/>
      <c r="H1" s="969"/>
      <c r="I1" s="969"/>
      <c r="J1" s="969"/>
      <c r="K1" s="969"/>
    </row>
    <row r="2" spans="1:56" ht="15.75">
      <c r="A2" s="956"/>
      <c r="B2" s="956"/>
      <c r="C2" s="956"/>
      <c r="D2" s="1101"/>
      <c r="E2" s="956"/>
      <c r="F2" s="956"/>
      <c r="G2" s="956"/>
      <c r="H2" s="969"/>
      <c r="I2" s="974" t="s">
        <v>605</v>
      </c>
      <c r="J2" s="960">
        <v>2012</v>
      </c>
      <c r="K2" s="969"/>
      <c r="L2" s="2"/>
      <c r="P2" s="1155"/>
      <c r="Q2" s="1155"/>
      <c r="R2" s="1155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>
      <c r="A3" s="956"/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2"/>
      <c r="P3" s="1155"/>
      <c r="Q3" s="1155"/>
      <c r="R3" s="1155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15" customHeight="1">
      <c r="A4" s="1171" t="s">
        <v>855</v>
      </c>
      <c r="B4" s="1171"/>
      <c r="C4" s="1171"/>
      <c r="D4" s="1171"/>
      <c r="E4" s="1171"/>
      <c r="F4" s="1171"/>
      <c r="G4" s="1171"/>
      <c r="H4" s="1171"/>
      <c r="I4" s="1171"/>
      <c r="J4" s="1171"/>
      <c r="K4" s="1171"/>
      <c r="L4" s="2"/>
      <c r="P4" s="1155"/>
      <c r="Q4" s="1155"/>
      <c r="R4" s="1155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5.75">
      <c r="A5" s="1172" t="s">
        <v>666</v>
      </c>
      <c r="B5" s="1172"/>
      <c r="C5" s="1172"/>
      <c r="D5" s="1172"/>
      <c r="E5" s="1172"/>
      <c r="F5" s="1172"/>
      <c r="G5" s="1172"/>
      <c r="H5" s="1172"/>
      <c r="I5" s="1172"/>
      <c r="J5" s="1172"/>
      <c r="K5" s="1172"/>
      <c r="L5" s="2"/>
      <c r="P5" s="1155"/>
      <c r="Q5" s="1155"/>
      <c r="R5" s="115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>
      <c r="A6" s="956"/>
      <c r="B6" s="956"/>
      <c r="C6" s="960"/>
      <c r="D6" s="960"/>
      <c r="E6" s="969"/>
      <c r="F6" s="960"/>
      <c r="G6" s="960"/>
      <c r="H6" s="960"/>
      <c r="I6" s="960"/>
      <c r="J6" s="960"/>
      <c r="K6" s="960"/>
      <c r="L6" s="2"/>
      <c r="P6" s="1155"/>
      <c r="Q6" s="1155"/>
      <c r="R6" s="1155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15" customHeight="1">
      <c r="A7" s="1169" t="s">
        <v>851</v>
      </c>
      <c r="B7" s="1169"/>
      <c r="C7" s="1169"/>
      <c r="D7" s="1169"/>
      <c r="E7" s="1169"/>
      <c r="F7" s="1169"/>
      <c r="G7" s="1169"/>
      <c r="H7" s="1169"/>
      <c r="I7" s="1169"/>
      <c r="J7" s="1169"/>
      <c r="K7" s="1169"/>
      <c r="L7" s="2"/>
      <c r="P7" s="1155"/>
      <c r="Q7" s="1155"/>
      <c r="R7" s="115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5.75">
      <c r="A8" s="966"/>
      <c r="B8" s="956"/>
      <c r="C8" s="960"/>
      <c r="D8" s="960"/>
      <c r="E8" s="983"/>
      <c r="F8" s="960"/>
      <c r="G8" s="960"/>
      <c r="H8" s="960"/>
      <c r="I8" s="960"/>
      <c r="J8" s="960"/>
      <c r="K8" s="960"/>
      <c r="L8" s="2"/>
      <c r="M8" s="949"/>
      <c r="P8" s="1155"/>
      <c r="Q8" s="1155"/>
      <c r="R8" s="1155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>
      <c r="A9" s="956"/>
      <c r="B9" s="956"/>
      <c r="C9" s="1102" t="s">
        <v>672</v>
      </c>
      <c r="D9" s="1102" t="s">
        <v>673</v>
      </c>
      <c r="E9" s="1102" t="s">
        <v>674</v>
      </c>
      <c r="F9" s="951" t="s">
        <v>665</v>
      </c>
      <c r="G9" s="951"/>
      <c r="H9" s="1103" t="s">
        <v>675</v>
      </c>
      <c r="I9" s="951"/>
      <c r="J9" s="985" t="s">
        <v>676</v>
      </c>
      <c r="K9" s="951"/>
      <c r="L9" s="4"/>
      <c r="M9" s="8"/>
      <c r="P9" s="1155"/>
      <c r="Q9" s="1155"/>
      <c r="R9" s="1155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5.75">
      <c r="A10" s="956"/>
      <c r="B10" s="956"/>
      <c r="C10" s="970"/>
      <c r="D10" s="1087" t="s">
        <v>677</v>
      </c>
      <c r="E10" s="951"/>
      <c r="F10" s="951"/>
      <c r="G10" s="1104" t="s">
        <v>448</v>
      </c>
      <c r="H10" s="966"/>
      <c r="I10" s="951"/>
      <c r="J10" s="1086" t="s">
        <v>678</v>
      </c>
      <c r="K10" s="951"/>
      <c r="L10" s="4"/>
      <c r="M10" s="27"/>
      <c r="P10" s="1155"/>
      <c r="Q10" s="1155"/>
      <c r="R10" s="1155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5.75">
      <c r="A11" s="966" t="s">
        <v>667</v>
      </c>
      <c r="B11" s="956"/>
      <c r="C11" s="970"/>
      <c r="D11" s="1105" t="s">
        <v>679</v>
      </c>
      <c r="E11" s="1086" t="s">
        <v>680</v>
      </c>
      <c r="F11" s="1106"/>
      <c r="G11" s="1107" t="s">
        <v>414</v>
      </c>
      <c r="H11" s="1011"/>
      <c r="I11" s="1106"/>
      <c r="J11" s="966" t="s">
        <v>681</v>
      </c>
      <c r="K11" s="951"/>
      <c r="L11" s="4"/>
      <c r="M11" s="26"/>
      <c r="P11" s="1155"/>
      <c r="Q11" s="1155"/>
      <c r="R11" s="1155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6.5" thickBot="1">
      <c r="A12" s="977" t="s">
        <v>668</v>
      </c>
      <c r="B12" s="956"/>
      <c r="C12" s="976" t="s">
        <v>682</v>
      </c>
      <c r="D12" s="951"/>
      <c r="E12" s="951"/>
      <c r="F12" s="951"/>
      <c r="G12" s="951"/>
      <c r="H12" s="951"/>
      <c r="I12" s="951"/>
      <c r="J12" s="951"/>
      <c r="K12" s="951"/>
      <c r="L12" s="1167" t="s">
        <v>1057</v>
      </c>
      <c r="M12" s="1167"/>
      <c r="N12" s="1167"/>
      <c r="O12" s="1167"/>
      <c r="P12" s="1155"/>
      <c r="Q12" s="1155"/>
      <c r="R12" s="1155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>
      <c r="A13" s="966"/>
      <c r="B13" s="956"/>
      <c r="C13" s="970"/>
      <c r="D13" s="951"/>
      <c r="E13" s="951"/>
      <c r="F13" s="951"/>
      <c r="G13" s="951"/>
      <c r="H13" s="951"/>
      <c r="I13" s="951"/>
      <c r="J13" s="951"/>
      <c r="K13" s="951"/>
      <c r="L13" s="5"/>
      <c r="M13" s="5"/>
      <c r="P13" s="1155"/>
      <c r="Q13" s="1155"/>
      <c r="R13" s="1155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>
      <c r="A14" s="966"/>
      <c r="B14" s="956"/>
      <c r="C14" s="970" t="s">
        <v>683</v>
      </c>
      <c r="D14" s="951"/>
      <c r="E14" s="951"/>
      <c r="F14" s="951"/>
      <c r="G14" s="951"/>
      <c r="H14" s="951"/>
      <c r="I14" s="951"/>
      <c r="J14" s="951"/>
      <c r="K14" s="951"/>
      <c r="L14" s="5"/>
      <c r="M14" s="1135" t="s">
        <v>1083</v>
      </c>
      <c r="P14" s="1155"/>
      <c r="Q14" s="1155"/>
      <c r="R14" s="1155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15.75">
      <c r="A15" s="966">
        <v>1</v>
      </c>
      <c r="B15" s="956"/>
      <c r="C15" s="970" t="s">
        <v>684</v>
      </c>
      <c r="D15" s="951" t="s">
        <v>280</v>
      </c>
      <c r="E15" s="951">
        <f>+'True-Up Rate Base'!R15</f>
        <v>515048255.7361539</v>
      </c>
      <c r="F15" s="951"/>
      <c r="G15" s="951" t="s">
        <v>685</v>
      </c>
      <c r="H15" s="950" t="s">
        <v>665</v>
      </c>
      <c r="I15" s="951"/>
      <c r="J15" s="951" t="s">
        <v>665</v>
      </c>
      <c r="K15" s="951"/>
      <c r="L15" s="1167" t="s">
        <v>1058</v>
      </c>
      <c r="M15" s="1167"/>
      <c r="N15" s="1167"/>
      <c r="O15" s="1068"/>
      <c r="P15" s="1155"/>
      <c r="Q15" s="1155"/>
      <c r="R15" s="1155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>
      <c r="A16" s="966">
        <f>+A15+1</f>
        <v>2</v>
      </c>
      <c r="B16" s="956"/>
      <c r="C16" s="970" t="s">
        <v>686</v>
      </c>
      <c r="D16" s="951" t="s">
        <v>281</v>
      </c>
      <c r="E16" s="951">
        <f>+'True-Up Rate Base'!R16</f>
        <v>115188836.24076924</v>
      </c>
      <c r="F16" s="951"/>
      <c r="G16" s="951" t="s">
        <v>671</v>
      </c>
      <c r="H16" s="950">
        <f>+J143</f>
        <v>0.81261899999999998</v>
      </c>
      <c r="I16" s="951"/>
      <c r="J16" s="951">
        <f>+H16*E16</f>
        <v>93604636.917137653</v>
      </c>
      <c r="K16" s="951"/>
      <c r="L16" s="1035">
        <v>0.79769000000000001</v>
      </c>
      <c r="M16" s="1020">
        <v>92005849</v>
      </c>
      <c r="N16" s="1036">
        <f>J16-M16</f>
        <v>1598787.9171376526</v>
      </c>
      <c r="P16" s="1155"/>
      <c r="Q16" s="1155"/>
      <c r="R16" s="1155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>
      <c r="A17" s="966">
        <f t="shared" ref="A17:A62" si="0">+A16+1</f>
        <v>3</v>
      </c>
      <c r="B17" s="956"/>
      <c r="C17" s="970" t="s">
        <v>687</v>
      </c>
      <c r="D17" s="951" t="s">
        <v>282</v>
      </c>
      <c r="E17" s="951">
        <f>+'True-Up Rate Base'!R17</f>
        <v>296825106.44692314</v>
      </c>
      <c r="F17" s="951"/>
      <c r="G17" s="951" t="s">
        <v>685</v>
      </c>
      <c r="H17" s="952"/>
      <c r="I17" s="951"/>
      <c r="J17" s="951"/>
      <c r="K17" s="951"/>
      <c r="L17" s="1035"/>
      <c r="M17" s="1020"/>
      <c r="N17" s="1036">
        <f t="shared" ref="N17:N22" si="1">J17-M17</f>
        <v>0</v>
      </c>
      <c r="P17" s="1155"/>
      <c r="Q17" s="1155"/>
      <c r="R17" s="115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>
      <c r="A18" s="966">
        <f t="shared" si="0"/>
        <v>4</v>
      </c>
      <c r="B18" s="956"/>
      <c r="C18" s="970" t="s">
        <v>688</v>
      </c>
      <c r="D18" s="951" t="s">
        <v>283</v>
      </c>
      <c r="E18" s="951">
        <f>+'True-Up Rate Base'!R18</f>
        <v>35016504.516923077</v>
      </c>
      <c r="F18" s="951"/>
      <c r="G18" s="951" t="s">
        <v>689</v>
      </c>
      <c r="H18" s="950">
        <f>J175</f>
        <v>9.1473447304423611E-2</v>
      </c>
      <c r="I18" s="951"/>
      <c r="J18" s="951">
        <f>+H18*E18</f>
        <v>3203080.3807138745</v>
      </c>
      <c r="K18" s="951"/>
      <c r="L18" s="1035">
        <v>5.3949999999999998E-2</v>
      </c>
      <c r="M18" s="1020">
        <v>2131263</v>
      </c>
      <c r="N18" s="1036">
        <f t="shared" si="1"/>
        <v>1071817.3807138745</v>
      </c>
      <c r="P18" s="1155"/>
      <c r="Q18" s="1155"/>
      <c r="R18" s="1155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>
      <c r="A19" s="966">
        <f t="shared" si="0"/>
        <v>5</v>
      </c>
      <c r="B19" s="956"/>
      <c r="C19" s="970" t="s">
        <v>571</v>
      </c>
      <c r="D19" s="951" t="s">
        <v>284</v>
      </c>
      <c r="E19" s="951">
        <f>+'True-Up Rate Base'!R19</f>
        <v>25908863.923076924</v>
      </c>
      <c r="F19" s="951"/>
      <c r="G19" s="951" t="s">
        <v>689</v>
      </c>
      <c r="H19" s="950">
        <f>+H18</f>
        <v>9.1473447304423611E-2</v>
      </c>
      <c r="I19" s="951"/>
      <c r="J19" s="951">
        <f>+H19*E19</f>
        <v>2369973.0987850591</v>
      </c>
      <c r="K19" s="951"/>
      <c r="L19" s="1035">
        <v>5.3949999999999998E-2</v>
      </c>
      <c r="M19" s="1020">
        <v>1295636</v>
      </c>
      <c r="N19" s="1036">
        <f t="shared" si="1"/>
        <v>1074337.0987850591</v>
      </c>
      <c r="P19" s="1155"/>
      <c r="Q19" s="1155"/>
      <c r="R19" s="1155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>
      <c r="A20" s="966">
        <f t="shared" si="0"/>
        <v>6</v>
      </c>
      <c r="B20" s="956"/>
      <c r="C20" s="970" t="s">
        <v>465</v>
      </c>
      <c r="D20" s="951" t="s">
        <v>285</v>
      </c>
      <c r="E20" s="951">
        <f>+'True-Up Rate Base'!R20</f>
        <v>8095577.7030769233</v>
      </c>
      <c r="F20" s="951"/>
      <c r="G20" s="951" t="s">
        <v>563</v>
      </c>
      <c r="H20" s="950">
        <f>+J181</f>
        <v>0.23533588221970458</v>
      </c>
      <c r="I20" s="951"/>
      <c r="J20" s="951">
        <f>+H20*E20</f>
        <v>1905179.9208317774</v>
      </c>
      <c r="K20" s="951"/>
      <c r="L20" s="1035">
        <v>0.24676000000000001</v>
      </c>
      <c r="M20" s="1020">
        <v>2025926</v>
      </c>
      <c r="N20" s="1036">
        <f t="shared" si="1"/>
        <v>-120746.07916822261</v>
      </c>
      <c r="P20" s="1155"/>
      <c r="Q20" s="1155"/>
      <c r="R20" s="1155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15.75" thickBot="1">
      <c r="A21" s="966">
        <f t="shared" si="0"/>
        <v>7</v>
      </c>
      <c r="B21" s="956"/>
      <c r="C21" s="970" t="s">
        <v>690</v>
      </c>
      <c r="D21" s="951" t="s">
        <v>286</v>
      </c>
      <c r="E21" s="953">
        <f>+'True-Up Rate Base'!R21</f>
        <v>0</v>
      </c>
      <c r="F21" s="951"/>
      <c r="G21" s="951" t="s">
        <v>743</v>
      </c>
      <c r="H21" s="950">
        <v>0</v>
      </c>
      <c r="I21" s="951"/>
      <c r="J21" s="953">
        <f>+H21*E21</f>
        <v>0</v>
      </c>
      <c r="K21" s="951"/>
      <c r="L21" s="1035">
        <v>0</v>
      </c>
      <c r="M21" s="1019">
        <v>0</v>
      </c>
      <c r="N21" s="1037">
        <f t="shared" si="1"/>
        <v>0</v>
      </c>
      <c r="P21" s="1155"/>
      <c r="Q21" s="1155"/>
      <c r="R21" s="1155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>
      <c r="A22" s="966">
        <f t="shared" si="0"/>
        <v>8</v>
      </c>
      <c r="B22" s="956"/>
      <c r="C22" s="978" t="s">
        <v>171</v>
      </c>
      <c r="D22" s="951" t="str">
        <f>"(sum lines "&amp;A15&amp;" - "&amp;A21&amp;")"</f>
        <v>(sum lines 1 - 7)</v>
      </c>
      <c r="E22" s="951">
        <f>SUM(E15:E21)</f>
        <v>996083144.56692314</v>
      </c>
      <c r="F22" s="951"/>
      <c r="G22" s="951" t="s">
        <v>693</v>
      </c>
      <c r="H22" s="954">
        <f>IF(E22&gt;0,+J22/E22,0)</f>
        <v>0.10148035419414428</v>
      </c>
      <c r="I22" s="951"/>
      <c r="J22" s="951">
        <f>SUM(J15:J21)</f>
        <v>101082870.31746837</v>
      </c>
      <c r="K22" s="951"/>
      <c r="L22" s="1088">
        <v>0.10009999999999999</v>
      </c>
      <c r="M22" s="1020">
        <v>97458674</v>
      </c>
      <c r="N22" s="1036">
        <f t="shared" si="1"/>
        <v>3624196.317468375</v>
      </c>
      <c r="P22" s="1155"/>
      <c r="Q22" s="1155"/>
      <c r="R22" s="1155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>
      <c r="A23" s="966">
        <f t="shared" si="0"/>
        <v>9</v>
      </c>
      <c r="B23" s="956"/>
      <c r="C23" s="970"/>
      <c r="D23" s="951"/>
      <c r="E23" s="951"/>
      <c r="F23" s="951"/>
      <c r="G23" s="951"/>
      <c r="H23" s="954"/>
      <c r="I23" s="951"/>
      <c r="J23" s="951"/>
      <c r="K23" s="951"/>
      <c r="L23" s="1035"/>
      <c r="M23" s="1020"/>
      <c r="N23" s="1036"/>
      <c r="P23" s="1155"/>
      <c r="Q23" s="1155"/>
      <c r="R23" s="1155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>
      <c r="A24" s="966">
        <f t="shared" si="0"/>
        <v>10</v>
      </c>
      <c r="B24" s="956"/>
      <c r="C24" s="970" t="s">
        <v>694</v>
      </c>
      <c r="D24" s="951"/>
      <c r="E24" s="951"/>
      <c r="F24" s="951"/>
      <c r="G24" s="951"/>
      <c r="H24" s="951"/>
      <c r="I24" s="951"/>
      <c r="J24" s="951"/>
      <c r="K24" s="951"/>
      <c r="L24" s="1035"/>
      <c r="M24" s="1020"/>
      <c r="N24" s="1036"/>
      <c r="P24" s="1155"/>
      <c r="Q24" s="1155"/>
      <c r="R24" s="1155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>
      <c r="A25" s="966">
        <f t="shared" si="0"/>
        <v>11</v>
      </c>
      <c r="B25" s="956"/>
      <c r="C25" s="970" t="str">
        <f>+C15</f>
        <v xml:space="preserve">  Production</v>
      </c>
      <c r="D25" s="951" t="s">
        <v>287</v>
      </c>
      <c r="E25" s="951">
        <f>+'True-Up Rate Base'!R25</f>
        <v>182690480.3869231</v>
      </c>
      <c r="F25" s="951"/>
      <c r="G25" s="951" t="str">
        <f>+G15</f>
        <v>NA</v>
      </c>
      <c r="H25" s="950" t="str">
        <f>+H15</f>
        <v xml:space="preserve"> </v>
      </c>
      <c r="I25" s="951"/>
      <c r="J25" s="951" t="s">
        <v>665</v>
      </c>
      <c r="K25" s="951"/>
      <c r="L25" s="1035" t="s">
        <v>665</v>
      </c>
      <c r="M25" s="1020" t="s">
        <v>665</v>
      </c>
      <c r="N25" s="1036"/>
      <c r="P25" s="1155"/>
      <c r="Q25" s="1155"/>
      <c r="R25" s="1155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>
      <c r="A26" s="966">
        <f t="shared" si="0"/>
        <v>12</v>
      </c>
      <c r="B26" s="956"/>
      <c r="C26" s="970" t="s">
        <v>686</v>
      </c>
      <c r="D26" s="951" t="s">
        <v>288</v>
      </c>
      <c r="E26" s="951">
        <f>+'True-Up Rate Base'!R26</f>
        <v>30514178.919703688</v>
      </c>
      <c r="F26" s="951"/>
      <c r="G26" s="951" t="s">
        <v>411</v>
      </c>
      <c r="H26" s="950">
        <f>+J161</f>
        <v>0.81306900000000004</v>
      </c>
      <c r="I26" s="951"/>
      <c r="J26" s="951">
        <f>+H26*E26</f>
        <v>24810132.940064561</v>
      </c>
      <c r="K26" s="951"/>
      <c r="L26" s="1035">
        <v>0.79584999999999995</v>
      </c>
      <c r="M26" s="1020">
        <v>22992131</v>
      </c>
      <c r="N26" s="1036">
        <f>J26-M26</f>
        <v>1818001.9400645606</v>
      </c>
      <c r="P26" s="1155"/>
      <c r="Q26" s="1155"/>
      <c r="R26" s="1155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>
      <c r="A27" s="966">
        <f t="shared" si="0"/>
        <v>13</v>
      </c>
      <c r="B27" s="956"/>
      <c r="C27" s="970" t="s">
        <v>687</v>
      </c>
      <c r="D27" s="951" t="s">
        <v>289</v>
      </c>
      <c r="E27" s="951">
        <f>+'True-Up Rate Base'!R27</f>
        <v>96415052.397692308</v>
      </c>
      <c r="F27" s="951"/>
      <c r="G27" s="951" t="s">
        <v>685</v>
      </c>
      <c r="H27" s="950"/>
      <c r="I27" s="951"/>
      <c r="J27" s="951"/>
      <c r="K27" s="951"/>
      <c r="L27" s="1035"/>
      <c r="M27" s="1020"/>
      <c r="N27" s="1036">
        <f t="shared" ref="N27:N32" si="2">J27-M27</f>
        <v>0</v>
      </c>
      <c r="P27" s="1155"/>
      <c r="Q27" s="1155"/>
      <c r="R27" s="1155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>
      <c r="A28" s="966">
        <f t="shared" si="0"/>
        <v>14</v>
      </c>
      <c r="B28" s="956"/>
      <c r="C28" s="970" t="str">
        <f>+C18</f>
        <v xml:space="preserve">  General &amp; Intangible</v>
      </c>
      <c r="D28" s="951" t="s">
        <v>290</v>
      </c>
      <c r="E28" s="951">
        <f>+'True-Up Rate Base'!R28</f>
        <v>20211384.430158079</v>
      </c>
      <c r="F28" s="951"/>
      <c r="G28" s="951" t="str">
        <f>+G18</f>
        <v>W/S</v>
      </c>
      <c r="H28" s="950">
        <f>+H18</f>
        <v>9.1473447304423611E-2</v>
      </c>
      <c r="I28" s="951"/>
      <c r="J28" s="951">
        <f>+H28*E28</f>
        <v>1848805.0086215129</v>
      </c>
      <c r="K28" s="951"/>
      <c r="L28" s="1035">
        <v>5.3949999999999998E-2</v>
      </c>
      <c r="M28" s="1020">
        <v>1183452</v>
      </c>
      <c r="N28" s="1036">
        <f t="shared" si="2"/>
        <v>665353.00862151291</v>
      </c>
      <c r="P28" s="1156"/>
      <c r="Q28" s="1156"/>
      <c r="R28" s="1155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>
      <c r="A29" s="966">
        <f t="shared" si="0"/>
        <v>15</v>
      </c>
      <c r="B29" s="956"/>
      <c r="C29" s="970" t="s">
        <v>571</v>
      </c>
      <c r="D29" s="951" t="s">
        <v>291</v>
      </c>
      <c r="E29" s="951">
        <f>+'True-Up Rate Base'!R29</f>
        <v>17798162.886923078</v>
      </c>
      <c r="F29" s="951"/>
      <c r="G29" s="951" t="str">
        <f>+G19</f>
        <v>W/S</v>
      </c>
      <c r="H29" s="950">
        <f>+H28</f>
        <v>9.1473447304423611E-2</v>
      </c>
      <c r="I29" s="951"/>
      <c r="J29" s="951">
        <f>+H29*E29</f>
        <v>1628059.3149525062</v>
      </c>
      <c r="K29" s="951"/>
      <c r="L29" s="1035">
        <v>5.3949999999999998E-2</v>
      </c>
      <c r="M29" s="1020">
        <v>964351</v>
      </c>
      <c r="N29" s="1036">
        <f t="shared" si="2"/>
        <v>663708.31495250622</v>
      </c>
      <c r="P29" s="1156"/>
      <c r="Q29" s="1156"/>
      <c r="R29" s="1156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>
      <c r="A30" s="966">
        <f t="shared" si="0"/>
        <v>16</v>
      </c>
      <c r="B30" s="956"/>
      <c r="C30" s="970" t="str">
        <f>+C20</f>
        <v xml:space="preserve">  Communication System</v>
      </c>
      <c r="D30" s="951" t="s">
        <v>292</v>
      </c>
      <c r="E30" s="951">
        <f>+'True-Up Rate Base'!R30</f>
        <v>2210318.6528824614</v>
      </c>
      <c r="F30" s="951"/>
      <c r="G30" s="951" t="str">
        <f>+G20</f>
        <v>T&amp;D</v>
      </c>
      <c r="H30" s="950">
        <f>+H20</f>
        <v>0.23533588221970458</v>
      </c>
      <c r="I30" s="951"/>
      <c r="J30" s="951">
        <f>+H30*E30</f>
        <v>520167.29016276303</v>
      </c>
      <c r="K30" s="951"/>
      <c r="L30" s="1035">
        <v>0.24676000000000001</v>
      </c>
      <c r="M30" s="1020">
        <v>420331</v>
      </c>
      <c r="N30" s="1036">
        <f t="shared" si="2"/>
        <v>99836.290162763034</v>
      </c>
      <c r="P30" s="1156"/>
      <c r="Q30" s="1156"/>
      <c r="R30" s="1156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1:56" ht="15.75" thickBot="1">
      <c r="A31" s="966">
        <f t="shared" si="0"/>
        <v>17</v>
      </c>
      <c r="B31" s="956"/>
      <c r="C31" s="970" t="str">
        <f>+C21</f>
        <v xml:space="preserve">  Common</v>
      </c>
      <c r="D31" s="951" t="s">
        <v>293</v>
      </c>
      <c r="E31" s="953">
        <f>+'True-Up Rate Base'!R31</f>
        <v>0</v>
      </c>
      <c r="F31" s="951"/>
      <c r="G31" s="951" t="str">
        <f>+G21</f>
        <v>CE</v>
      </c>
      <c r="H31" s="950">
        <f>+H21</f>
        <v>0</v>
      </c>
      <c r="I31" s="951"/>
      <c r="J31" s="953">
        <f>+H31*E31</f>
        <v>0</v>
      </c>
      <c r="K31" s="951"/>
      <c r="L31" s="1035">
        <v>0</v>
      </c>
      <c r="M31" s="1019">
        <v>0</v>
      </c>
      <c r="N31" s="1037">
        <f t="shared" si="2"/>
        <v>0</v>
      </c>
      <c r="P31" s="1156"/>
      <c r="Q31" s="1156"/>
      <c r="R31" s="1156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1:56">
      <c r="A32" s="966">
        <f t="shared" si="0"/>
        <v>18</v>
      </c>
      <c r="B32" s="956"/>
      <c r="C32" s="970" t="s">
        <v>173</v>
      </c>
      <c r="D32" s="951" t="str">
        <f>"(sum lines "&amp;A25&amp;" - "&amp;A31&amp;")"</f>
        <v>(sum lines 11 - 17)</v>
      </c>
      <c r="E32" s="951">
        <f>SUM(E25:E31)</f>
        <v>349839577.67428273</v>
      </c>
      <c r="F32" s="951"/>
      <c r="G32" s="951"/>
      <c r="H32" s="951"/>
      <c r="I32" s="951"/>
      <c r="J32" s="951">
        <f>SUM(J25:J31)</f>
        <v>28807164.553801347</v>
      </c>
      <c r="K32" s="951"/>
      <c r="L32" s="1038"/>
      <c r="M32" s="1020">
        <v>25560265</v>
      </c>
      <c r="N32" s="1036">
        <f t="shared" si="2"/>
        <v>3246899.5538013466</v>
      </c>
      <c r="P32" s="1156"/>
      <c r="Q32" s="1156"/>
      <c r="R32" s="1156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1:56">
      <c r="A33" s="966">
        <f t="shared" si="0"/>
        <v>19</v>
      </c>
      <c r="B33" s="956"/>
      <c r="C33" s="956"/>
      <c r="D33" s="951" t="s">
        <v>665</v>
      </c>
      <c r="E33" s="956"/>
      <c r="F33" s="951"/>
      <c r="G33" s="951"/>
      <c r="H33" s="954"/>
      <c r="I33" s="951"/>
      <c r="J33" s="956"/>
      <c r="K33" s="951"/>
      <c r="L33" s="1035"/>
      <c r="M33" s="1039"/>
      <c r="N33" s="1036"/>
      <c r="P33" s="1156"/>
      <c r="Q33" s="1156"/>
      <c r="R33" s="1156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1:56">
      <c r="A34" s="966">
        <f t="shared" si="0"/>
        <v>20</v>
      </c>
      <c r="B34" s="956"/>
      <c r="C34" s="970" t="s">
        <v>696</v>
      </c>
      <c r="D34" s="951"/>
      <c r="E34" s="951"/>
      <c r="F34" s="951"/>
      <c r="G34" s="951"/>
      <c r="H34" s="951"/>
      <c r="I34" s="951"/>
      <c r="J34" s="951"/>
      <c r="K34" s="951"/>
      <c r="L34" s="1035"/>
      <c r="M34" s="1020"/>
      <c r="N34" s="1036"/>
      <c r="P34" s="1156"/>
      <c r="Q34" s="1156"/>
      <c r="R34" s="1156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1:56">
      <c r="A35" s="966">
        <f t="shared" si="0"/>
        <v>21</v>
      </c>
      <c r="B35" s="956"/>
      <c r="C35" s="970" t="str">
        <f>+C25</f>
        <v xml:space="preserve">  Production</v>
      </c>
      <c r="D35" s="951" t="str">
        <f t="shared" ref="D35:D41" si="3">"(line "&amp;A15&amp;" - line "&amp;A25&amp;")"</f>
        <v>(line 1 - line 11)</v>
      </c>
      <c r="E35" s="951">
        <f t="shared" ref="E35:E42" si="4">E15-E25</f>
        <v>332357775.34923077</v>
      </c>
      <c r="F35" s="951"/>
      <c r="G35" s="951" t="s">
        <v>446</v>
      </c>
      <c r="H35" s="954"/>
      <c r="I35" s="951"/>
      <c r="J35" s="951" t="s">
        <v>665</v>
      </c>
      <c r="K35" s="951"/>
      <c r="L35" s="1035"/>
      <c r="M35" s="1020" t="s">
        <v>665</v>
      </c>
      <c r="N35" s="1036"/>
      <c r="P35" s="1156"/>
      <c r="Q35" s="1156"/>
      <c r="R35" s="1155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1:56">
      <c r="A36" s="966">
        <f t="shared" si="0"/>
        <v>22</v>
      </c>
      <c r="B36" s="956"/>
      <c r="C36" s="970" t="s">
        <v>686</v>
      </c>
      <c r="D36" s="951" t="str">
        <f t="shared" si="3"/>
        <v>(line 2 - line 12)</v>
      </c>
      <c r="E36" s="951">
        <f t="shared" si="4"/>
        <v>84674657.321065545</v>
      </c>
      <c r="F36" s="951"/>
      <c r="G36" s="951" t="s">
        <v>446</v>
      </c>
      <c r="H36" s="950"/>
      <c r="I36" s="951"/>
      <c r="J36" s="951">
        <f>J16-J26</f>
        <v>68794503.977073088</v>
      </c>
      <c r="K36" s="951"/>
      <c r="L36" s="1035"/>
      <c r="M36" s="1020">
        <v>69013718</v>
      </c>
      <c r="N36" s="1036">
        <f>J36-M36</f>
        <v>-219214.02292691171</v>
      </c>
      <c r="P36" s="1155"/>
      <c r="Q36" s="1155"/>
      <c r="R36" s="1155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1:56">
      <c r="A37" s="966">
        <f t="shared" si="0"/>
        <v>23</v>
      </c>
      <c r="B37" s="956"/>
      <c r="C37" s="970" t="s">
        <v>804</v>
      </c>
      <c r="D37" s="951" t="str">
        <f t="shared" si="3"/>
        <v>(line 3 - line 13)</v>
      </c>
      <c r="E37" s="951">
        <f t="shared" si="4"/>
        <v>200410054.04923081</v>
      </c>
      <c r="F37" s="951"/>
      <c r="G37" s="951" t="s">
        <v>446</v>
      </c>
      <c r="H37" s="954"/>
      <c r="I37" s="951"/>
      <c r="J37" s="951"/>
      <c r="K37" s="951"/>
      <c r="L37" s="1035"/>
      <c r="M37" s="1020"/>
      <c r="N37" s="1036">
        <f t="shared" ref="N37:N42" si="5">J37-M37</f>
        <v>0</v>
      </c>
      <c r="P37" s="1155"/>
      <c r="Q37" s="1155"/>
      <c r="R37" s="1155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1:56">
      <c r="A38" s="966">
        <f t="shared" si="0"/>
        <v>24</v>
      </c>
      <c r="B38" s="956"/>
      <c r="C38" s="970" t="str">
        <f>+C28</f>
        <v xml:space="preserve">  General &amp; Intangible</v>
      </c>
      <c r="D38" s="951" t="str">
        <f t="shared" si="3"/>
        <v>(line 4 - line 14)</v>
      </c>
      <c r="E38" s="951">
        <f t="shared" si="4"/>
        <v>14805120.086764999</v>
      </c>
      <c r="F38" s="951"/>
      <c r="G38" s="951" t="s">
        <v>446</v>
      </c>
      <c r="H38" s="954"/>
      <c r="I38" s="951"/>
      <c r="J38" s="951">
        <f>J18-J28</f>
        <v>1354275.3720923616</v>
      </c>
      <c r="K38" s="951"/>
      <c r="L38" s="1035"/>
      <c r="M38" s="1020">
        <v>947811</v>
      </c>
      <c r="N38" s="1036">
        <f t="shared" si="5"/>
        <v>406464.37209236156</v>
      </c>
      <c r="P38" s="1155"/>
      <c r="Q38" s="1155"/>
      <c r="R38" s="1155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1:56">
      <c r="A39" s="966">
        <f t="shared" si="0"/>
        <v>25</v>
      </c>
      <c r="B39" s="956"/>
      <c r="C39" s="970" t="s">
        <v>571</v>
      </c>
      <c r="D39" s="951" t="str">
        <f t="shared" si="3"/>
        <v>(line 5 - line 15)</v>
      </c>
      <c r="E39" s="951">
        <f t="shared" si="4"/>
        <v>8110701.0361538455</v>
      </c>
      <c r="F39" s="951"/>
      <c r="G39" s="951" t="s">
        <v>446</v>
      </c>
      <c r="H39" s="954"/>
      <c r="I39" s="951"/>
      <c r="J39" s="951">
        <f>J19-J29</f>
        <v>741913.78383255284</v>
      </c>
      <c r="K39" s="951"/>
      <c r="L39" s="1035"/>
      <c r="M39" s="1020">
        <v>331285</v>
      </c>
      <c r="N39" s="1036">
        <f t="shared" si="5"/>
        <v>410628.78383255284</v>
      </c>
      <c r="P39" s="1155"/>
      <c r="Q39" s="1155"/>
      <c r="R39" s="1155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1:56">
      <c r="A40" s="966">
        <f t="shared" si="0"/>
        <v>26</v>
      </c>
      <c r="B40" s="956"/>
      <c r="C40" s="970" t="str">
        <f>+C30</f>
        <v xml:space="preserve">  Communication System</v>
      </c>
      <c r="D40" s="951" t="str">
        <f t="shared" si="3"/>
        <v>(line 6 - line 16)</v>
      </c>
      <c r="E40" s="951">
        <f t="shared" si="4"/>
        <v>5885259.0501944618</v>
      </c>
      <c r="F40" s="951"/>
      <c r="G40" s="951" t="s">
        <v>446</v>
      </c>
      <c r="H40" s="954"/>
      <c r="I40" s="951"/>
      <c r="J40" s="951">
        <f>J20-J30</f>
        <v>1385012.6306690143</v>
      </c>
      <c r="K40" s="951"/>
      <c r="L40" s="1035"/>
      <c r="M40" s="1020">
        <v>1605595</v>
      </c>
      <c r="N40" s="1036">
        <f t="shared" si="5"/>
        <v>-220582.3693309857</v>
      </c>
      <c r="P40" s="1155"/>
      <c r="Q40" s="1155"/>
      <c r="R40" s="1155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1:56" ht="15.75" thickBot="1">
      <c r="A41" s="966">
        <f t="shared" si="0"/>
        <v>27</v>
      </c>
      <c r="B41" s="956"/>
      <c r="C41" s="970" t="str">
        <f>+C31</f>
        <v xml:space="preserve">  Common</v>
      </c>
      <c r="D41" s="951" t="str">
        <f t="shared" si="3"/>
        <v>(line 7 - line 17)</v>
      </c>
      <c r="E41" s="953">
        <f t="shared" si="4"/>
        <v>0</v>
      </c>
      <c r="F41" s="951"/>
      <c r="G41" s="951" t="s">
        <v>446</v>
      </c>
      <c r="H41" s="954"/>
      <c r="I41" s="951"/>
      <c r="J41" s="953">
        <f>J21-J31</f>
        <v>0</v>
      </c>
      <c r="K41" s="951"/>
      <c r="L41" s="1035"/>
      <c r="M41" s="1019">
        <v>0</v>
      </c>
      <c r="N41" s="1037">
        <f t="shared" si="5"/>
        <v>0</v>
      </c>
      <c r="P41" s="1155"/>
      <c r="Q41" s="1155"/>
      <c r="R41" s="1155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1:56">
      <c r="A42" s="966">
        <f t="shared" si="0"/>
        <v>28</v>
      </c>
      <c r="B42" s="956"/>
      <c r="C42" s="970" t="s">
        <v>172</v>
      </c>
      <c r="D42" s="951" t="str">
        <f>"(sum lines "&amp;A35&amp;" - "&amp;A41&amp;")"</f>
        <v>(sum lines 21 - 27)</v>
      </c>
      <c r="E42" s="951">
        <f t="shared" si="4"/>
        <v>646243566.89264035</v>
      </c>
      <c r="F42" s="951"/>
      <c r="G42" s="951" t="s">
        <v>703</v>
      </c>
      <c r="H42" s="954">
        <f>IF(E42&gt;0,+J42/E42,0)</f>
        <v>0.11183972957934929</v>
      </c>
      <c r="I42" s="951"/>
      <c r="J42" s="951">
        <f>SUM(J35:J41)</f>
        <v>72275705.763667017</v>
      </c>
      <c r="K42" s="951"/>
      <c r="L42" s="1038">
        <v>0.11358</v>
      </c>
      <c r="M42" s="1020">
        <v>71898409</v>
      </c>
      <c r="N42" s="1036">
        <f t="shared" si="5"/>
        <v>377296.76366701722</v>
      </c>
      <c r="P42" s="1155"/>
      <c r="Q42" s="1155"/>
      <c r="R42" s="1155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  <row r="43" spans="1:56">
      <c r="A43" s="966">
        <f t="shared" si="0"/>
        <v>29</v>
      </c>
      <c r="B43" s="956"/>
      <c r="C43" s="956"/>
      <c r="D43" s="951"/>
      <c r="E43" s="955"/>
      <c r="F43" s="951"/>
      <c r="G43" s="956"/>
      <c r="H43" s="956"/>
      <c r="I43" s="951"/>
      <c r="J43" s="956"/>
      <c r="K43" s="951"/>
      <c r="L43" s="1035"/>
      <c r="M43" s="1039"/>
      <c r="N43" s="1036"/>
      <c r="P43" s="1155"/>
      <c r="Q43" s="1155"/>
      <c r="R43" s="1155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1:56">
      <c r="A44" s="966">
        <f t="shared" si="0"/>
        <v>30</v>
      </c>
      <c r="B44" s="956"/>
      <c r="C44" s="978" t="s">
        <v>273</v>
      </c>
      <c r="D44" s="951"/>
      <c r="E44" s="951"/>
      <c r="F44" s="951"/>
      <c r="G44" s="951"/>
      <c r="H44" s="951"/>
      <c r="I44" s="951"/>
      <c r="J44" s="951"/>
      <c r="K44" s="951"/>
      <c r="L44" s="1035"/>
      <c r="M44" s="1020"/>
      <c r="N44" s="1036"/>
      <c r="P44" s="1155"/>
      <c r="Q44" s="1155"/>
      <c r="R44" s="1155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1:56">
      <c r="A45" s="966">
        <f t="shared" si="0"/>
        <v>31</v>
      </c>
      <c r="B45" s="956"/>
      <c r="C45" s="970" t="s">
        <v>764</v>
      </c>
      <c r="D45" s="951" t="s">
        <v>294</v>
      </c>
      <c r="E45" s="955">
        <f>+'True-Up Rate Base'!G50</f>
        <v>0</v>
      </c>
      <c r="F45" s="951"/>
      <c r="G45" s="951" t="str">
        <f>+G25</f>
        <v>NA</v>
      </c>
      <c r="H45" s="957" t="s">
        <v>789</v>
      </c>
      <c r="I45" s="951"/>
      <c r="J45" s="955">
        <v>0</v>
      </c>
      <c r="K45" s="951"/>
      <c r="L45" s="1040" t="s">
        <v>789</v>
      </c>
      <c r="M45" s="1034" t="s">
        <v>1056</v>
      </c>
      <c r="N45" s="1036"/>
      <c r="P45" s="1155"/>
      <c r="Q45" s="1155"/>
      <c r="R45" s="1155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1:56">
      <c r="A46" s="966">
        <f t="shared" si="0"/>
        <v>32</v>
      </c>
      <c r="B46" s="956"/>
      <c r="C46" s="970" t="s">
        <v>765</v>
      </c>
      <c r="D46" s="951" t="s">
        <v>295</v>
      </c>
      <c r="E46" s="955">
        <f>+'True-Up Rate Base'!G51</f>
        <v>-155301717.57981247</v>
      </c>
      <c r="F46" s="951"/>
      <c r="G46" s="951" t="s">
        <v>705</v>
      </c>
      <c r="H46" s="950">
        <f>+H42</f>
        <v>0.11183972957934929</v>
      </c>
      <c r="I46" s="951"/>
      <c r="J46" s="955">
        <f>E46*H46</f>
        <v>-17368902.097334702</v>
      </c>
      <c r="K46" s="951"/>
      <c r="L46" s="1040">
        <v>0.11358</v>
      </c>
      <c r="M46" s="1034">
        <v>-13534760</v>
      </c>
      <c r="N46" s="1036">
        <f t="shared" ref="N46:N51" si="6">J46-M46</f>
        <v>-3834142.0973347016</v>
      </c>
      <c r="P46" s="1155"/>
      <c r="Q46" s="1155"/>
      <c r="R46" s="1155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1:56">
      <c r="A47" s="966">
        <f t="shared" si="0"/>
        <v>33</v>
      </c>
      <c r="B47" s="956"/>
      <c r="C47" s="970" t="s">
        <v>766</v>
      </c>
      <c r="D47" s="951" t="s">
        <v>296</v>
      </c>
      <c r="E47" s="955">
        <f>+'True-Up Rate Base'!G52</f>
        <v>-17666474</v>
      </c>
      <c r="F47" s="951"/>
      <c r="G47" s="951" t="str">
        <f>+G46</f>
        <v>NP</v>
      </c>
      <c r="H47" s="950">
        <f>H42</f>
        <v>0.11183972957934929</v>
      </c>
      <c r="I47" s="951"/>
      <c r="J47" s="955">
        <f>E47*H47</f>
        <v>-1975813.6747806051</v>
      </c>
      <c r="K47" s="951"/>
      <c r="L47" s="1040">
        <v>0.11358</v>
      </c>
      <c r="M47" s="1034">
        <v>-1967782</v>
      </c>
      <c r="N47" s="1036">
        <f t="shared" si="6"/>
        <v>-8031.674780605128</v>
      </c>
      <c r="P47" s="1155"/>
      <c r="Q47" s="1155"/>
      <c r="R47" s="1155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1:56">
      <c r="A48" s="966">
        <f t="shared" si="0"/>
        <v>34</v>
      </c>
      <c r="B48" s="956"/>
      <c r="C48" s="970" t="s">
        <v>768</v>
      </c>
      <c r="D48" s="951" t="s">
        <v>297</v>
      </c>
      <c r="E48" s="769">
        <f>+'True-Up Rate Base'!G53</f>
        <v>40910081</v>
      </c>
      <c r="F48" s="951"/>
      <c r="G48" s="951" t="str">
        <f>+G47</f>
        <v>NP</v>
      </c>
      <c r="H48" s="950">
        <f>+H47</f>
        <v>0.11183972957934929</v>
      </c>
      <c r="I48" s="951"/>
      <c r="J48" s="955">
        <f>E48*H48</f>
        <v>4575372.3961092755</v>
      </c>
      <c r="K48" s="951"/>
      <c r="L48" s="1040">
        <v>0.11358</v>
      </c>
      <c r="M48" s="1034">
        <v>3905506</v>
      </c>
      <c r="N48" s="1036">
        <f t="shared" si="6"/>
        <v>669866.39610927552</v>
      </c>
      <c r="P48" s="1155"/>
      <c r="Q48" s="1155"/>
      <c r="R48" s="1155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1:56">
      <c r="A49" s="966">
        <f t="shared" si="0"/>
        <v>35</v>
      </c>
      <c r="B49" s="956"/>
      <c r="C49" s="956" t="s">
        <v>767</v>
      </c>
      <c r="D49" s="951" t="s">
        <v>298</v>
      </c>
      <c r="E49" s="955">
        <f>+'True-Up Rate Base'!G54</f>
        <v>0</v>
      </c>
      <c r="F49" s="951"/>
      <c r="G49" s="951" t="str">
        <f>+G48</f>
        <v>NP</v>
      </c>
      <c r="H49" s="950">
        <f>+H47</f>
        <v>0.11183972957934929</v>
      </c>
      <c r="I49" s="951"/>
      <c r="J49" s="958">
        <f>E49*H49</f>
        <v>0</v>
      </c>
      <c r="K49" s="951"/>
      <c r="L49" s="1040">
        <v>0.11358</v>
      </c>
      <c r="M49" s="1033">
        <v>-878</v>
      </c>
      <c r="N49" s="1036">
        <f t="shared" si="6"/>
        <v>878</v>
      </c>
      <c r="P49" s="1155"/>
      <c r="Q49" s="1155"/>
      <c r="R49" s="1155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1:56" ht="15.75" thickBot="1">
      <c r="A50" s="966">
        <f t="shared" si="0"/>
        <v>36</v>
      </c>
      <c r="B50" s="956"/>
      <c r="C50" s="970" t="s">
        <v>795</v>
      </c>
      <c r="D50" s="951" t="s">
        <v>299</v>
      </c>
      <c r="E50" s="959">
        <f>+'True-Up Rate Base'!G55</f>
        <v>2749782</v>
      </c>
      <c r="F50" s="951"/>
      <c r="G50" s="951" t="str">
        <f>+G49</f>
        <v>NP</v>
      </c>
      <c r="H50" s="950">
        <f>+H49</f>
        <v>0.11183972957934929</v>
      </c>
      <c r="I50" s="951"/>
      <c r="J50" s="959">
        <f>+H50*E50</f>
        <v>307534.87528216228</v>
      </c>
      <c r="K50" s="951"/>
      <c r="L50" s="1040">
        <v>0.11358</v>
      </c>
      <c r="M50" s="1041">
        <v>341875</v>
      </c>
      <c r="N50" s="1037">
        <f t="shared" si="6"/>
        <v>-34340.124717837723</v>
      </c>
      <c r="P50" s="1155"/>
      <c r="Q50" s="1155"/>
      <c r="R50" s="1155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1:56">
      <c r="A51" s="966">
        <f t="shared" si="0"/>
        <v>37</v>
      </c>
      <c r="B51" s="956"/>
      <c r="C51" s="970" t="s">
        <v>174</v>
      </c>
      <c r="D51" s="951" t="str">
        <f>"(sum lines "&amp;A45&amp;" - "&amp;A50&amp;")"</f>
        <v>(sum lines 31 - 36)</v>
      </c>
      <c r="E51" s="951"/>
      <c r="F51" s="951"/>
      <c r="G51" s="951"/>
      <c r="H51" s="951"/>
      <c r="I51" s="951"/>
      <c r="J51" s="955">
        <f>SUM(J45:J50)</f>
        <v>-14461808.500723867</v>
      </c>
      <c r="K51" s="951"/>
      <c r="L51" s="1038"/>
      <c r="M51" s="1034">
        <v>-11256038</v>
      </c>
      <c r="N51" s="1042">
        <f t="shared" si="6"/>
        <v>-3205770.5007238667</v>
      </c>
      <c r="P51" s="1155"/>
      <c r="Q51" s="1155"/>
      <c r="R51" s="1155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1:56">
      <c r="A52" s="966">
        <f t="shared" si="0"/>
        <v>38</v>
      </c>
      <c r="B52" s="956"/>
      <c r="C52" s="956"/>
      <c r="D52" s="951"/>
      <c r="E52" s="956"/>
      <c r="F52" s="951"/>
      <c r="G52" s="951"/>
      <c r="H52" s="954"/>
      <c r="I52" s="951"/>
      <c r="J52" s="956"/>
      <c r="K52" s="951"/>
      <c r="L52" s="1035"/>
      <c r="M52" s="1039"/>
      <c r="N52" s="1036"/>
      <c r="P52" s="1155"/>
      <c r="Q52" s="1155"/>
      <c r="R52" s="1155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1:56">
      <c r="A53" s="966">
        <f t="shared" si="0"/>
        <v>39</v>
      </c>
      <c r="B53" s="956"/>
      <c r="C53" s="978" t="s">
        <v>709</v>
      </c>
      <c r="D53" s="951" t="s">
        <v>808</v>
      </c>
      <c r="E53" s="951">
        <f>+'True-Up Rate Base'!G58</f>
        <v>0</v>
      </c>
      <c r="F53" s="951"/>
      <c r="G53" s="951" t="s">
        <v>1022</v>
      </c>
      <c r="H53" s="950">
        <v>0</v>
      </c>
      <c r="I53" s="951"/>
      <c r="J53" s="951">
        <f>+H53*E53</f>
        <v>0</v>
      </c>
      <c r="K53" s="951"/>
      <c r="L53" s="1043">
        <v>0</v>
      </c>
      <c r="M53" s="1020">
        <v>0</v>
      </c>
      <c r="N53" s="1036"/>
      <c r="P53" s="1155"/>
      <c r="Q53" s="1155"/>
      <c r="R53" s="1155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1:56">
      <c r="A54" s="966">
        <f t="shared" si="0"/>
        <v>40</v>
      </c>
      <c r="B54" s="956"/>
      <c r="C54" s="970"/>
      <c r="D54" s="951"/>
      <c r="E54" s="951"/>
      <c r="F54" s="951"/>
      <c r="G54" s="951"/>
      <c r="H54" s="951"/>
      <c r="I54" s="951"/>
      <c r="J54" s="951"/>
      <c r="K54" s="951"/>
      <c r="L54" s="1035"/>
      <c r="M54" s="1020"/>
      <c r="N54" s="1036"/>
      <c r="P54" s="1155"/>
      <c r="Q54" s="1155"/>
      <c r="R54" s="1155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1:56">
      <c r="A55" s="966">
        <f t="shared" si="0"/>
        <v>41</v>
      </c>
      <c r="B55" s="956"/>
      <c r="C55" s="970" t="s">
        <v>807</v>
      </c>
      <c r="D55" s="951" t="s">
        <v>665</v>
      </c>
      <c r="E55" s="951"/>
      <c r="F55" s="951"/>
      <c r="G55" s="951"/>
      <c r="H55" s="951"/>
      <c r="I55" s="951"/>
      <c r="J55" s="951"/>
      <c r="K55" s="951"/>
      <c r="L55" s="1035"/>
      <c r="M55" s="1020"/>
      <c r="N55" s="1036"/>
      <c r="P55" s="1155"/>
      <c r="Q55" s="1155"/>
      <c r="R55" s="1155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1:56">
      <c r="A56" s="966">
        <f t="shared" si="0"/>
        <v>42</v>
      </c>
      <c r="B56" s="956"/>
      <c r="C56" s="970" t="s">
        <v>786</v>
      </c>
      <c r="D56" s="956" t="str">
        <f>"(1/8 * line "&amp;A85&amp;")"</f>
        <v>(1/8 * line 58)</v>
      </c>
      <c r="E56" s="951">
        <f>+E85/8</f>
        <v>3508672.875</v>
      </c>
      <c r="F56" s="951"/>
      <c r="G56" s="951" t="s">
        <v>446</v>
      </c>
      <c r="H56" s="954"/>
      <c r="I56" s="951"/>
      <c r="J56" s="951">
        <f>+J85/8</f>
        <v>385752.04119403561</v>
      </c>
      <c r="K56" s="960"/>
      <c r="L56" s="1040"/>
      <c r="M56" s="1020">
        <v>193807</v>
      </c>
      <c r="N56" s="1036">
        <f>J56-M56</f>
        <v>191945.04119403561</v>
      </c>
      <c r="P56" s="1155"/>
      <c r="Q56" s="1155"/>
      <c r="R56" s="1155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1:56">
      <c r="A57" s="966">
        <f t="shared" si="0"/>
        <v>43</v>
      </c>
      <c r="B57" s="956"/>
      <c r="C57" s="970" t="s">
        <v>921</v>
      </c>
      <c r="D57" s="951" t="s">
        <v>300</v>
      </c>
      <c r="E57" s="951">
        <f>+'True-Up Rate Base'!G62</f>
        <v>3938799.5</v>
      </c>
      <c r="F57" s="951"/>
      <c r="G57" s="951" t="s">
        <v>563</v>
      </c>
      <c r="H57" s="950">
        <f>+J181</f>
        <v>0.23533588221970458</v>
      </c>
      <c r="I57" s="951"/>
      <c r="J57" s="951">
        <f>+H57*E57</f>
        <v>926940.85521903133</v>
      </c>
      <c r="K57" s="951" t="s">
        <v>665</v>
      </c>
      <c r="L57" s="1040">
        <v>0.24676000000000001</v>
      </c>
      <c r="M57" s="1020">
        <v>1000455</v>
      </c>
      <c r="N57" s="1036">
        <f>J57-M57</f>
        <v>-73514.144780968665</v>
      </c>
      <c r="P57" s="1155"/>
      <c r="Q57" s="1155"/>
      <c r="R57" s="1155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1:56">
      <c r="A58" s="966">
        <f t="shared" si="0"/>
        <v>44</v>
      </c>
      <c r="B58" s="956"/>
      <c r="C58" s="970" t="s">
        <v>921</v>
      </c>
      <c r="D58" s="951" t="s">
        <v>301</v>
      </c>
      <c r="E58" s="951">
        <f>+'True-Up Rate Base'!G63</f>
        <v>43250</v>
      </c>
      <c r="F58" s="951"/>
      <c r="G58" s="951" t="s">
        <v>671</v>
      </c>
      <c r="H58" s="950">
        <f>+J143</f>
        <v>0.81261899999999998</v>
      </c>
      <c r="I58" s="951"/>
      <c r="J58" s="951">
        <f>+H58*E58</f>
        <v>35145.77175</v>
      </c>
      <c r="K58" s="951"/>
      <c r="L58" s="1040">
        <v>0.79769000000000001</v>
      </c>
      <c r="M58" s="1020">
        <v>43524</v>
      </c>
      <c r="N58" s="1036">
        <f>J58-M58</f>
        <v>-8378.2282500000001</v>
      </c>
      <c r="P58" s="1155"/>
      <c r="Q58" s="1155"/>
      <c r="R58" s="1155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1:56" ht="15.75" thickBot="1">
      <c r="A59" s="966">
        <f t="shared" si="0"/>
        <v>45</v>
      </c>
      <c r="B59" s="956"/>
      <c r="C59" s="970" t="s">
        <v>769</v>
      </c>
      <c r="D59" s="951" t="s">
        <v>302</v>
      </c>
      <c r="E59" s="951">
        <f>+'True-Up Rate Base'!G64</f>
        <v>3830616</v>
      </c>
      <c r="F59" s="951"/>
      <c r="G59" s="951" t="s">
        <v>711</v>
      </c>
      <c r="H59" s="950">
        <f>+H22</f>
        <v>0.10148035419414428</v>
      </c>
      <c r="I59" s="951"/>
      <c r="J59" s="953">
        <f>+H59*E59</f>
        <v>388732.26846175618</v>
      </c>
      <c r="K59" s="951"/>
      <c r="L59" s="1040">
        <v>0.10009999999999999</v>
      </c>
      <c r="M59" s="1019">
        <v>1108475</v>
      </c>
      <c r="N59" s="1037">
        <f>J59-M59</f>
        <v>-719742.73153824382</v>
      </c>
      <c r="P59" s="1155"/>
      <c r="Q59" s="1155"/>
      <c r="R59" s="1155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1:56">
      <c r="A60" s="966">
        <f t="shared" si="0"/>
        <v>46</v>
      </c>
      <c r="B60" s="956"/>
      <c r="C60" s="970" t="s">
        <v>175</v>
      </c>
      <c r="D60" s="951" t="str">
        <f>"(sum lines "&amp;A56&amp;" - "&amp;A59&amp;")"</f>
        <v>(sum lines 42 - 45)</v>
      </c>
      <c r="E60" s="951"/>
      <c r="F60" s="960"/>
      <c r="G60" s="960"/>
      <c r="H60" s="960"/>
      <c r="I60" s="960"/>
      <c r="J60" s="951">
        <f>SUM(J56:J59)</f>
        <v>1736570.9366248231</v>
      </c>
      <c r="K60" s="960"/>
      <c r="L60" s="1044"/>
      <c r="M60" s="1020">
        <v>2346262</v>
      </c>
      <c r="N60" s="1042">
        <f>J60-M60</f>
        <v>-609691.06337517686</v>
      </c>
      <c r="P60" s="1155"/>
      <c r="Q60" s="1155"/>
      <c r="R60" s="1155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1:56" ht="15.75" thickBot="1">
      <c r="A61" s="966">
        <f t="shared" si="0"/>
        <v>47</v>
      </c>
      <c r="B61" s="956"/>
      <c r="C61" s="956"/>
      <c r="D61" s="951"/>
      <c r="E61" s="1108"/>
      <c r="F61" s="951"/>
      <c r="G61" s="951"/>
      <c r="H61" s="951"/>
      <c r="I61" s="951"/>
      <c r="J61" s="1109"/>
      <c r="K61" s="951"/>
      <c r="L61" s="1020"/>
      <c r="M61" s="1045"/>
      <c r="N61" s="1036"/>
      <c r="P61" s="1155"/>
      <c r="Q61" s="1155"/>
      <c r="R61" s="1155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1:56" ht="15.75" thickBot="1">
      <c r="A62" s="966">
        <f t="shared" si="0"/>
        <v>48</v>
      </c>
      <c r="B62" s="956"/>
      <c r="C62" s="970" t="s">
        <v>176</v>
      </c>
      <c r="D62" s="951" t="str">
        <f>"(sum lines "&amp;A42&amp;", "&amp;A51&amp;", "&amp;A53&amp;", &amp; "&amp;A60&amp;")"</f>
        <v>(sum lines 28, 37, 39, &amp; 46)</v>
      </c>
      <c r="E62" s="963"/>
      <c r="F62" s="951"/>
      <c r="G62" s="951"/>
      <c r="H62" s="954"/>
      <c r="I62" s="951"/>
      <c r="J62" s="1110">
        <f>+J60+J53+J51+J42</f>
        <v>59550468.199567974</v>
      </c>
      <c r="K62" s="951"/>
      <c r="L62" s="1020"/>
      <c r="M62" s="1046">
        <v>62988632</v>
      </c>
      <c r="N62" s="1036">
        <f>N42+N51+N60</f>
        <v>-3438164.8004320264</v>
      </c>
      <c r="P62" s="1155"/>
      <c r="Q62" s="1155"/>
      <c r="R62" s="1155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1:56" ht="15.75" thickTop="1">
      <c r="A63" s="966"/>
      <c r="B63" s="956"/>
      <c r="C63" s="970"/>
      <c r="D63" s="951"/>
      <c r="E63" s="963"/>
      <c r="F63" s="951"/>
      <c r="G63" s="951"/>
      <c r="H63" s="954"/>
      <c r="I63" s="951"/>
      <c r="J63" s="963"/>
      <c r="K63" s="951"/>
      <c r="L63" s="1020"/>
      <c r="M63" s="1047"/>
      <c r="N63" s="1036"/>
      <c r="P63" s="1155"/>
      <c r="Q63" s="1155"/>
      <c r="R63" s="1155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1:56">
      <c r="A64" s="966"/>
      <c r="B64" s="956"/>
      <c r="C64" s="970"/>
      <c r="D64" s="951"/>
      <c r="E64" s="951"/>
      <c r="F64" s="951"/>
      <c r="G64" s="951"/>
      <c r="H64" s="969"/>
      <c r="I64" s="974" t="str">
        <f>$I$2</f>
        <v>Service Year</v>
      </c>
      <c r="J64" s="960">
        <f>$J$2</f>
        <v>2012</v>
      </c>
      <c r="K64" s="969"/>
      <c r="L64" s="1020"/>
      <c r="M64" s="1048">
        <v>2011</v>
      </c>
      <c r="N64" s="1036"/>
      <c r="P64" s="1155"/>
      <c r="Q64" s="1155"/>
      <c r="R64" s="1155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1:56">
      <c r="A65" s="966"/>
      <c r="B65" s="956"/>
      <c r="C65" s="970"/>
      <c r="D65" s="951"/>
      <c r="E65" s="951"/>
      <c r="F65" s="951"/>
      <c r="G65" s="951"/>
      <c r="H65" s="951"/>
      <c r="I65" s="951"/>
      <c r="J65" s="951"/>
      <c r="K65" s="951"/>
      <c r="L65" s="1020"/>
      <c r="M65" s="1049"/>
      <c r="N65" s="1036"/>
      <c r="P65" s="1155"/>
      <c r="Q65" s="1155"/>
      <c r="R65" s="1155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1:56" ht="15.75">
      <c r="A66" s="1171" t="s">
        <v>855</v>
      </c>
      <c r="B66" s="1171"/>
      <c r="C66" s="1171"/>
      <c r="D66" s="1171"/>
      <c r="E66" s="1171"/>
      <c r="F66" s="1171"/>
      <c r="G66" s="1171"/>
      <c r="H66" s="1171"/>
      <c r="I66" s="1171"/>
      <c r="J66" s="1171"/>
      <c r="K66" s="1171"/>
      <c r="L66" s="1020"/>
      <c r="M66" s="1049"/>
      <c r="N66" s="1036"/>
      <c r="P66" s="1155"/>
      <c r="Q66" s="1155"/>
      <c r="R66" s="1155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1:56" ht="15.75">
      <c r="A67" s="1172" t="s">
        <v>666</v>
      </c>
      <c r="B67" s="1172"/>
      <c r="C67" s="1172"/>
      <c r="D67" s="1172"/>
      <c r="E67" s="1172"/>
      <c r="F67" s="1172"/>
      <c r="G67" s="1172"/>
      <c r="H67" s="1172"/>
      <c r="I67" s="1172"/>
      <c r="J67" s="1172"/>
      <c r="K67" s="1172"/>
      <c r="L67" s="1020"/>
      <c r="M67" s="1049"/>
      <c r="N67" s="1036"/>
      <c r="P67" s="1155"/>
      <c r="Q67" s="1155"/>
      <c r="R67" s="1155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1:56">
      <c r="A68" s="956"/>
      <c r="B68" s="956"/>
      <c r="C68" s="960"/>
      <c r="D68" s="960"/>
      <c r="E68" s="969"/>
      <c r="F68" s="960"/>
      <c r="G68" s="960"/>
      <c r="H68" s="960"/>
      <c r="I68" s="960"/>
      <c r="J68" s="960"/>
      <c r="K68" s="960"/>
      <c r="L68" s="1020"/>
      <c r="M68" s="1049"/>
      <c r="N68" s="1036"/>
      <c r="P68" s="1155"/>
      <c r="Q68" s="1155"/>
      <c r="R68" s="1155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1:56" ht="15.75">
      <c r="A69" s="1169" t="s">
        <v>851</v>
      </c>
      <c r="B69" s="1169"/>
      <c r="C69" s="1169"/>
      <c r="D69" s="1169"/>
      <c r="E69" s="1169"/>
      <c r="F69" s="1169"/>
      <c r="G69" s="1169"/>
      <c r="H69" s="1169"/>
      <c r="I69" s="1169"/>
      <c r="J69" s="1169"/>
      <c r="K69" s="1169"/>
      <c r="L69" s="1020"/>
      <c r="M69" s="1049" t="s">
        <v>19</v>
      </c>
      <c r="N69" s="1036"/>
      <c r="P69" s="1155"/>
      <c r="Q69" s="1155"/>
      <c r="R69" s="1155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1:56">
      <c r="A70" s="966"/>
      <c r="B70" s="956"/>
      <c r="C70" s="1102" t="s">
        <v>672</v>
      </c>
      <c r="D70" s="1102" t="s">
        <v>673</v>
      </c>
      <c r="E70" s="1102" t="s">
        <v>674</v>
      </c>
      <c r="F70" s="951" t="s">
        <v>665</v>
      </c>
      <c r="G70" s="951"/>
      <c r="H70" s="1103" t="s">
        <v>675</v>
      </c>
      <c r="I70" s="951"/>
      <c r="J70" s="985" t="s">
        <v>676</v>
      </c>
      <c r="K70" s="951"/>
      <c r="L70" s="1048"/>
      <c r="M70" s="1049"/>
      <c r="N70" s="1036"/>
      <c r="P70" s="1155"/>
      <c r="Q70" s="1155"/>
      <c r="R70" s="1155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1:56">
      <c r="A71" s="966"/>
      <c r="B71" s="956"/>
      <c r="C71" s="1102"/>
      <c r="D71" s="979"/>
      <c r="E71" s="979"/>
      <c r="F71" s="979"/>
      <c r="G71" s="979"/>
      <c r="H71" s="979"/>
      <c r="I71" s="979"/>
      <c r="J71" s="979"/>
      <c r="K71" s="979"/>
      <c r="L71" s="1050"/>
      <c r="M71" s="1049"/>
      <c r="N71" s="1036"/>
      <c r="P71" s="1155"/>
      <c r="Q71" s="1155"/>
      <c r="R71" s="1155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1:56" ht="15.75">
      <c r="A72" s="966" t="s">
        <v>667</v>
      </c>
      <c r="B72" s="956"/>
      <c r="C72" s="970"/>
      <c r="D72" s="1087" t="s">
        <v>677</v>
      </c>
      <c r="E72" s="951"/>
      <c r="F72" s="951"/>
      <c r="G72" s="1106" t="str">
        <f>+G10</f>
        <v xml:space="preserve">      Allocator</v>
      </c>
      <c r="H72" s="966"/>
      <c r="I72" s="951"/>
      <c r="J72" s="1086" t="s">
        <v>678</v>
      </c>
      <c r="K72" s="951"/>
      <c r="L72" s="1051"/>
      <c r="M72" s="1052" t="s">
        <v>678</v>
      </c>
      <c r="N72" s="1036"/>
      <c r="P72" s="1155"/>
      <c r="Q72" s="1155"/>
      <c r="R72" s="1155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1:56" ht="16.5" thickBot="1">
      <c r="A73" s="977" t="s">
        <v>668</v>
      </c>
      <c r="B73" s="956"/>
      <c r="C73" s="970"/>
      <c r="D73" s="1105" t="s">
        <v>679</v>
      </c>
      <c r="E73" s="1086" t="s">
        <v>680</v>
      </c>
      <c r="F73" s="1106"/>
      <c r="G73" s="1107" t="str">
        <f>+G11</f>
        <v xml:space="preserve">        (page 4)</v>
      </c>
      <c r="H73" s="956"/>
      <c r="I73" s="1106"/>
      <c r="J73" s="966" t="s">
        <v>681</v>
      </c>
      <c r="K73" s="951"/>
      <c r="L73" s="1052"/>
      <c r="M73" s="1051" t="s">
        <v>681</v>
      </c>
      <c r="N73" s="1036"/>
      <c r="P73" s="1155"/>
      <c r="Q73" s="1155"/>
      <c r="R73" s="1155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1:56" ht="15.75">
      <c r="A74" s="956"/>
      <c r="B74" s="956"/>
      <c r="C74" s="970"/>
      <c r="D74" s="951"/>
      <c r="E74" s="1111"/>
      <c r="F74" s="1112"/>
      <c r="G74" s="1085"/>
      <c r="H74" s="956"/>
      <c r="I74" s="1112"/>
      <c r="J74" s="1111"/>
      <c r="K74" s="951"/>
      <c r="L74" s="1020"/>
      <c r="M74" s="1053"/>
      <c r="N74" s="1036"/>
      <c r="P74" s="1155"/>
      <c r="Q74" s="1155"/>
      <c r="R74" s="1155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1:56">
      <c r="A75" s="966"/>
      <c r="B75" s="956"/>
      <c r="C75" s="970" t="s">
        <v>712</v>
      </c>
      <c r="D75" s="951"/>
      <c r="E75" s="951"/>
      <c r="F75" s="951"/>
      <c r="G75" s="951"/>
      <c r="H75" s="951"/>
      <c r="I75" s="951"/>
      <c r="J75" s="951"/>
      <c r="K75" s="951"/>
      <c r="L75" s="1020"/>
      <c r="M75" s="1020"/>
      <c r="N75" s="1036"/>
      <c r="P75" s="1155"/>
      <c r="Q75" s="1155"/>
      <c r="R75" s="1155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1:56">
      <c r="A76" s="966">
        <f>+A62+1</f>
        <v>49</v>
      </c>
      <c r="B76" s="956"/>
      <c r="C76" s="970" t="s">
        <v>713</v>
      </c>
      <c r="D76" s="951" t="s">
        <v>572</v>
      </c>
      <c r="E76" s="1131">
        <v>22916512</v>
      </c>
      <c r="F76" s="951"/>
      <c r="G76" s="951" t="s">
        <v>671</v>
      </c>
      <c r="H76" s="950">
        <f>+J143</f>
        <v>0.81261899999999998</v>
      </c>
      <c r="I76" s="951"/>
      <c r="J76" s="951">
        <f>+H76*E76</f>
        <v>18622393.064927999</v>
      </c>
      <c r="K76" s="960"/>
      <c r="L76" s="1058">
        <v>0.79769000000000001</v>
      </c>
      <c r="M76" s="1020">
        <v>18407656</v>
      </c>
      <c r="N76" s="1036">
        <f>J76-M76</f>
        <v>214737.06492799893</v>
      </c>
      <c r="P76" s="1155"/>
      <c r="Q76" s="1155"/>
      <c r="R76" s="1155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1:56">
      <c r="A77" s="966">
        <f>+A76+1</f>
        <v>50</v>
      </c>
      <c r="B77" s="956"/>
      <c r="C77" s="970" t="s">
        <v>326</v>
      </c>
      <c r="D77" s="951" t="s">
        <v>1086</v>
      </c>
      <c r="E77" s="1131">
        <v>21664105</v>
      </c>
      <c r="F77" s="951"/>
      <c r="G77" s="951" t="str">
        <f>+G76</f>
        <v>TP</v>
      </c>
      <c r="H77" s="950">
        <f>+H76</f>
        <v>0.81261899999999998</v>
      </c>
      <c r="I77" s="951"/>
      <c r="J77" s="951">
        <f t="shared" ref="J77:J84" si="7">+H77*E77</f>
        <v>17604663.340994999</v>
      </c>
      <c r="K77" s="960"/>
      <c r="L77" s="1058">
        <v>0.79769000000000001</v>
      </c>
      <c r="M77" s="1020">
        <v>17552030</v>
      </c>
      <c r="N77" s="1036">
        <f t="shared" ref="N77:N84" si="8">J77-M77</f>
        <v>52633.340994998813</v>
      </c>
      <c r="O77" t="s">
        <v>1044</v>
      </c>
      <c r="P77" s="1155"/>
      <c r="Q77" s="1155"/>
      <c r="R77" s="1155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1:56">
      <c r="A78" s="966">
        <f t="shared" ref="A78:A119" si="9">+A77+1</f>
        <v>51</v>
      </c>
      <c r="B78" s="956"/>
      <c r="C78" s="970" t="s">
        <v>714</v>
      </c>
      <c r="D78" s="951" t="s">
        <v>557</v>
      </c>
      <c r="E78" s="1131">
        <v>27429194</v>
      </c>
      <c r="F78" s="951"/>
      <c r="G78" s="951" t="s">
        <v>689</v>
      </c>
      <c r="H78" s="1142">
        <f>+H28</f>
        <v>9.1473447304423611E-2</v>
      </c>
      <c r="I78" s="951"/>
      <c r="J78" s="951">
        <f t="shared" si="7"/>
        <v>2509042.9319618121</v>
      </c>
      <c r="K78" s="951"/>
      <c r="L78" s="1058">
        <v>5.3949999999999998E-2</v>
      </c>
      <c r="M78" s="1020">
        <v>1239795</v>
      </c>
      <c r="N78" s="1036">
        <f t="shared" si="8"/>
        <v>1269247.9319618121</v>
      </c>
      <c r="P78" s="1155"/>
      <c r="Q78" s="1155"/>
      <c r="R78" s="1155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1:56">
      <c r="A79" s="966">
        <f t="shared" si="9"/>
        <v>52</v>
      </c>
      <c r="B79" s="956"/>
      <c r="C79" s="970" t="s">
        <v>322</v>
      </c>
      <c r="D79" s="951" t="s">
        <v>568</v>
      </c>
      <c r="E79" s="1131">
        <v>423493</v>
      </c>
      <c r="F79" s="951"/>
      <c r="G79" s="951" t="s">
        <v>1022</v>
      </c>
      <c r="H79" s="950">
        <v>1</v>
      </c>
      <c r="I79" s="951"/>
      <c r="J79" s="951">
        <f t="shared" si="7"/>
        <v>423493</v>
      </c>
      <c r="K79" s="951"/>
      <c r="L79" s="1058">
        <v>1</v>
      </c>
      <c r="M79" s="1020">
        <v>583887</v>
      </c>
      <c r="N79" s="1054">
        <f t="shared" si="8"/>
        <v>-160394</v>
      </c>
      <c r="O79" t="s">
        <v>1044</v>
      </c>
      <c r="P79" s="1155"/>
      <c r="Q79" s="1155"/>
      <c r="R79" s="1155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1:56">
      <c r="A80" s="966">
        <f t="shared" si="9"/>
        <v>53</v>
      </c>
      <c r="B80" s="956"/>
      <c r="C80" s="970" t="s">
        <v>798</v>
      </c>
      <c r="D80" s="951" t="s">
        <v>607</v>
      </c>
      <c r="E80" s="1143">
        <v>227200</v>
      </c>
      <c r="F80" s="951"/>
      <c r="G80" s="951" t="str">
        <f>G78</f>
        <v>W/S</v>
      </c>
      <c r="H80" s="950">
        <f>H78</f>
        <v>9.1473447304423611E-2</v>
      </c>
      <c r="I80" s="951"/>
      <c r="J80" s="951">
        <f t="shared" si="7"/>
        <v>20782.767227565044</v>
      </c>
      <c r="K80" s="951"/>
      <c r="L80" s="1058">
        <v>5.3949999999999998E-2</v>
      </c>
      <c r="M80" s="1020">
        <v>12258</v>
      </c>
      <c r="N80" s="1036">
        <f t="shared" si="8"/>
        <v>8524.7672275650439</v>
      </c>
      <c r="P80" s="1155"/>
      <c r="Q80" s="1155"/>
      <c r="R80" s="1155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1:56">
      <c r="A81" s="966">
        <f t="shared" si="9"/>
        <v>54</v>
      </c>
      <c r="B81" s="956"/>
      <c r="C81" s="970" t="s">
        <v>799</v>
      </c>
      <c r="D81" s="951" t="s">
        <v>608</v>
      </c>
      <c r="E81" s="1143">
        <v>224882</v>
      </c>
      <c r="F81" s="951"/>
      <c r="G81" s="951" t="str">
        <f>+G80</f>
        <v>W/S</v>
      </c>
      <c r="H81" s="950">
        <f>+H80</f>
        <v>9.1473447304423611E-2</v>
      </c>
      <c r="I81" s="951"/>
      <c r="J81" s="951">
        <f t="shared" si="7"/>
        <v>20570.73177671339</v>
      </c>
      <c r="K81" s="951"/>
      <c r="L81" s="1058">
        <v>5.3949999999999998E-2</v>
      </c>
      <c r="M81" s="1020">
        <v>12133</v>
      </c>
      <c r="N81" s="1036">
        <f t="shared" si="8"/>
        <v>8437.73177671339</v>
      </c>
      <c r="O81" t="s">
        <v>1044</v>
      </c>
      <c r="P81" s="1155"/>
      <c r="Q81" s="1155"/>
      <c r="R81" s="1155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1:56">
      <c r="A82" s="966">
        <f t="shared" si="9"/>
        <v>55</v>
      </c>
      <c r="B82" s="956"/>
      <c r="C82" s="970" t="s">
        <v>325</v>
      </c>
      <c r="D82" s="951"/>
      <c r="E82" s="1131">
        <v>191043</v>
      </c>
      <c r="F82" s="951"/>
      <c r="G82" s="951" t="str">
        <f>G78</f>
        <v>W/S</v>
      </c>
      <c r="H82" s="950">
        <f>H78</f>
        <v>9.1473447304423611E-2</v>
      </c>
      <c r="I82" s="951"/>
      <c r="J82" s="951">
        <f t="shared" si="7"/>
        <v>17475.361793379001</v>
      </c>
      <c r="K82" s="951"/>
      <c r="L82" s="1058">
        <v>5.3949999999999998E-2</v>
      </c>
      <c r="M82" s="1020">
        <v>22359</v>
      </c>
      <c r="N82" s="1036">
        <f t="shared" si="8"/>
        <v>-4883.638206620999</v>
      </c>
      <c r="O82" t="s">
        <v>1044</v>
      </c>
      <c r="P82" s="1155"/>
      <c r="Q82" s="1155"/>
      <c r="R82" s="115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1:56">
      <c r="A83" s="966">
        <f t="shared" si="9"/>
        <v>56</v>
      </c>
      <c r="B83" s="956"/>
      <c r="C83" s="970" t="s">
        <v>324</v>
      </c>
      <c r="D83" s="951"/>
      <c r="E83" s="30">
        <v>0</v>
      </c>
      <c r="F83" s="951"/>
      <c r="G83" s="962" t="str">
        <f>+G76</f>
        <v>TP</v>
      </c>
      <c r="H83" s="950">
        <f>+H76</f>
        <v>0.81261899999999998</v>
      </c>
      <c r="I83" s="951"/>
      <c r="J83" s="951">
        <f>+H83*E83</f>
        <v>0</v>
      </c>
      <c r="K83" s="951"/>
      <c r="L83" s="1058">
        <v>0.79769000000000001</v>
      </c>
      <c r="M83" s="1020">
        <v>61156</v>
      </c>
      <c r="N83" s="1036">
        <f t="shared" si="8"/>
        <v>-61156</v>
      </c>
      <c r="P83" s="1155"/>
      <c r="Q83" s="1155"/>
      <c r="R83" s="1155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1:56" ht="15.75" thickBot="1">
      <c r="A84" s="966">
        <f t="shared" si="9"/>
        <v>57</v>
      </c>
      <c r="B84" s="956"/>
      <c r="C84" s="970" t="s">
        <v>690</v>
      </c>
      <c r="D84" s="951" t="str">
        <f>+D31</f>
        <v>BHP-11, page 7, line 17, (n)</v>
      </c>
      <c r="E84" s="953"/>
      <c r="F84" s="951"/>
      <c r="G84" s="951" t="s">
        <v>743</v>
      </c>
      <c r="H84" s="950">
        <f>+H31</f>
        <v>0</v>
      </c>
      <c r="I84" s="951"/>
      <c r="J84" s="953">
        <f t="shared" si="7"/>
        <v>0</v>
      </c>
      <c r="K84" s="951"/>
      <c r="L84" s="1058">
        <v>0</v>
      </c>
      <c r="M84" s="1019">
        <v>0</v>
      </c>
      <c r="N84" s="1037">
        <f t="shared" si="8"/>
        <v>0</v>
      </c>
      <c r="P84" s="1155"/>
      <c r="Q84" s="1155"/>
      <c r="R84" s="1155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1:56">
      <c r="A85" s="966">
        <f t="shared" si="9"/>
        <v>58</v>
      </c>
      <c r="B85" s="956"/>
      <c r="C85" s="970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951"/>
      <c r="E85" s="951">
        <f>+E76-E77+E78-E79-E82+E84+E83+E80-E81</f>
        <v>28069383</v>
      </c>
      <c r="F85" s="951"/>
      <c r="G85" s="951"/>
      <c r="H85" s="951"/>
      <c r="I85" s="951"/>
      <c r="J85" s="951">
        <f>+J76-J77+J78-J79-J82+J84+J83+J80-J81</f>
        <v>3086016.3295522849</v>
      </c>
      <c r="K85" s="951"/>
      <c r="L85" s="1059"/>
      <c r="M85" s="1047">
        <v>1550455</v>
      </c>
      <c r="N85" s="1055">
        <f>+N76-N77+N78-N79-N82+N84+N83+N80-N81</f>
        <v>1535560.3295522847</v>
      </c>
      <c r="P85" s="1155"/>
      <c r="Q85" s="1155"/>
      <c r="R85" s="1155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1:56">
      <c r="A86" s="966">
        <f t="shared" si="9"/>
        <v>59</v>
      </c>
      <c r="B86" s="956"/>
      <c r="C86" s="956"/>
      <c r="D86" s="951"/>
      <c r="E86" s="956"/>
      <c r="F86" s="951"/>
      <c r="G86" s="951"/>
      <c r="H86" s="951"/>
      <c r="I86" s="951"/>
      <c r="J86" s="956"/>
      <c r="K86" s="951"/>
      <c r="L86" s="1058"/>
      <c r="M86" s="1039"/>
      <c r="N86" s="1036"/>
      <c r="P86" s="1155"/>
      <c r="Q86" s="1155"/>
      <c r="R86" s="1155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1:56">
      <c r="A87" s="966">
        <f t="shared" si="9"/>
        <v>60</v>
      </c>
      <c r="B87" s="956"/>
      <c r="C87" s="970" t="s">
        <v>613</v>
      </c>
      <c r="D87" s="951"/>
      <c r="E87" s="951"/>
      <c r="F87" s="951"/>
      <c r="G87" s="951"/>
      <c r="H87" s="951"/>
      <c r="I87" s="951"/>
      <c r="J87" s="951"/>
      <c r="K87" s="951"/>
      <c r="L87" s="1058"/>
      <c r="M87" s="1020"/>
      <c r="N87" s="1036"/>
      <c r="P87" s="1155"/>
      <c r="Q87" s="1155"/>
      <c r="R87" s="1155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1:56">
      <c r="A88" s="966">
        <f t="shared" si="9"/>
        <v>61</v>
      </c>
      <c r="B88" s="956"/>
      <c r="C88" s="970" t="str">
        <f>+C16</f>
        <v xml:space="preserve">  Transmission</v>
      </c>
      <c r="D88" s="951" t="s">
        <v>1064</v>
      </c>
      <c r="E88" s="30">
        <f>E16*'BHP WP5'!H24</f>
        <v>2672381.0007858463</v>
      </c>
      <c r="F88" s="951"/>
      <c r="G88" s="951" t="s">
        <v>671</v>
      </c>
      <c r="H88" s="950">
        <f>+J143</f>
        <v>0.81261899999999998</v>
      </c>
      <c r="I88" s="951"/>
      <c r="J88" s="951">
        <f>+H88*E88</f>
        <v>2171627.5764775937</v>
      </c>
      <c r="K88" s="951"/>
      <c r="L88" s="1058">
        <v>0.79769000000000001</v>
      </c>
      <c r="M88" s="1020">
        <v>1832585</v>
      </c>
      <c r="N88" s="1036">
        <f>J88-M88</f>
        <v>339042.57647759374</v>
      </c>
      <c r="P88" s="1155"/>
      <c r="Q88" s="1155"/>
      <c r="R88" s="1155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1:56">
      <c r="A89" s="966">
        <f t="shared" si="9"/>
        <v>62</v>
      </c>
      <c r="B89" s="956"/>
      <c r="C89" s="970" t="s">
        <v>800</v>
      </c>
      <c r="D89" s="951" t="s">
        <v>1065</v>
      </c>
      <c r="E89" s="30">
        <f>(E18+E20)*'BHP WP5'!H38</f>
        <v>2815218.9689659998</v>
      </c>
      <c r="F89" s="951"/>
      <c r="G89" s="951" t="s">
        <v>689</v>
      </c>
      <c r="H89" s="950">
        <f>H78</f>
        <v>9.1473447304423611E-2</v>
      </c>
      <c r="I89" s="951"/>
      <c r="J89" s="951">
        <f>+H89*E89</f>
        <v>257517.78400812516</v>
      </c>
      <c r="K89" s="951"/>
      <c r="L89" s="1058">
        <v>5.3949999999999998E-2</v>
      </c>
      <c r="M89" s="1020">
        <v>147047</v>
      </c>
      <c r="N89" s="1036">
        <f>J89-M89</f>
        <v>110470.78400812516</v>
      </c>
      <c r="P89" s="1155"/>
      <c r="Q89" s="1155"/>
      <c r="R89" s="1155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1:56" ht="15.75" thickBot="1">
      <c r="A90" s="966">
        <f t="shared" si="9"/>
        <v>63</v>
      </c>
      <c r="B90" s="956"/>
      <c r="C90" s="970" t="str">
        <f>+C84</f>
        <v xml:space="preserve">  Common</v>
      </c>
      <c r="D90" s="951" t="s">
        <v>558</v>
      </c>
      <c r="E90" s="953">
        <v>0</v>
      </c>
      <c r="F90" s="951"/>
      <c r="G90" s="951" t="s">
        <v>743</v>
      </c>
      <c r="H90" s="950">
        <f>+H84</f>
        <v>0</v>
      </c>
      <c r="I90" s="951"/>
      <c r="J90" s="953">
        <f>+H90*E90</f>
        <v>0</v>
      </c>
      <c r="K90" s="951"/>
      <c r="L90" s="1058">
        <v>0</v>
      </c>
      <c r="M90" s="1019">
        <v>0</v>
      </c>
      <c r="N90" s="1037"/>
      <c r="P90" s="1155"/>
      <c r="Q90" s="1155"/>
      <c r="R90" s="1155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1:56">
      <c r="A91" s="966">
        <f t="shared" si="9"/>
        <v>64</v>
      </c>
      <c r="B91" s="956"/>
      <c r="C91" s="970" t="str">
        <f>"TOTAL DEPRECIATION (Sum lines "&amp;A88&amp;" - "&amp;A90&amp;")"</f>
        <v>TOTAL DEPRECIATION (Sum lines 61 - 63)</v>
      </c>
      <c r="D91" s="951"/>
      <c r="E91" s="951">
        <f>SUM(E88:E90)</f>
        <v>5487599.969751846</v>
      </c>
      <c r="F91" s="951"/>
      <c r="G91" s="951"/>
      <c r="H91" s="951"/>
      <c r="I91" s="951"/>
      <c r="J91" s="951">
        <f>SUM(J88:J90)</f>
        <v>2429145.3604857191</v>
      </c>
      <c r="K91" s="951"/>
      <c r="L91" s="1058"/>
      <c r="M91" s="1020">
        <v>1979632</v>
      </c>
      <c r="N91" s="1036">
        <f>SUM(N88:N90)</f>
        <v>449513.36048571893</v>
      </c>
      <c r="P91" s="1155"/>
      <c r="Q91" s="1155"/>
      <c r="R91" s="1155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1:56">
      <c r="A92" s="966">
        <f t="shared" si="9"/>
        <v>65</v>
      </c>
      <c r="B92" s="956"/>
      <c r="C92" s="970"/>
      <c r="D92" s="951"/>
      <c r="E92" s="951"/>
      <c r="F92" s="951"/>
      <c r="G92" s="951"/>
      <c r="H92" s="951"/>
      <c r="I92" s="951"/>
      <c r="J92" s="951"/>
      <c r="K92" s="951"/>
      <c r="L92" s="1058"/>
      <c r="M92" s="1020"/>
      <c r="N92" s="1036"/>
      <c r="P92" s="1155"/>
      <c r="Q92" s="1155"/>
      <c r="R92" s="1155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1:56">
      <c r="A93" s="966">
        <f t="shared" si="9"/>
        <v>66</v>
      </c>
      <c r="B93" s="956"/>
      <c r="C93" s="970" t="s">
        <v>444</v>
      </c>
      <c r="D93" s="956"/>
      <c r="E93" s="951"/>
      <c r="F93" s="951"/>
      <c r="G93" s="951"/>
      <c r="H93" s="951"/>
      <c r="I93" s="951"/>
      <c r="J93" s="951"/>
      <c r="K93" s="951"/>
      <c r="L93" s="1058"/>
      <c r="M93" s="1020"/>
      <c r="N93" s="1036"/>
      <c r="P93" s="1155"/>
      <c r="Q93" s="1155"/>
      <c r="R93" s="1155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1:56">
      <c r="A94" s="966">
        <f t="shared" si="9"/>
        <v>67</v>
      </c>
      <c r="B94" s="956"/>
      <c r="C94" s="970" t="s">
        <v>717</v>
      </c>
      <c r="D94" s="956"/>
      <c r="E94" s="964"/>
      <c r="F94" s="951"/>
      <c r="G94" s="951"/>
      <c r="H94" s="956"/>
      <c r="I94" s="951"/>
      <c r="J94" s="956"/>
      <c r="K94" s="951"/>
      <c r="L94" s="1060"/>
      <c r="M94" s="1039"/>
      <c r="N94" s="1036"/>
      <c r="P94" s="1155"/>
      <c r="Q94" s="1155"/>
      <c r="R94" s="1155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1:56">
      <c r="A95" s="966">
        <f t="shared" si="9"/>
        <v>68</v>
      </c>
      <c r="B95" s="956"/>
      <c r="C95" s="970" t="s">
        <v>718</v>
      </c>
      <c r="D95" s="951" t="s">
        <v>1087</v>
      </c>
      <c r="E95" s="1131">
        <f>12523+1840079+4269+48741+23089</f>
        <v>1928701</v>
      </c>
      <c r="F95" s="951"/>
      <c r="G95" s="951" t="s">
        <v>689</v>
      </c>
      <c r="H95" s="965">
        <f>+J175</f>
        <v>9.1473447304423611E-2</v>
      </c>
      <c r="I95" s="951"/>
      <c r="J95" s="951">
        <f>+H95*E95</f>
        <v>176424.92928948911</v>
      </c>
      <c r="K95" s="951"/>
      <c r="L95" s="1060">
        <v>5.3949999999999998E-2</v>
      </c>
      <c r="M95" s="1020">
        <v>76467</v>
      </c>
      <c r="N95" s="1036">
        <f>J95-M95</f>
        <v>99957.929289489111</v>
      </c>
      <c r="P95" s="1155"/>
      <c r="Q95" s="1155"/>
      <c r="R95" s="1155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1:56">
      <c r="A96" s="966">
        <f t="shared" si="9"/>
        <v>69</v>
      </c>
      <c r="B96" s="956"/>
      <c r="C96" s="970" t="s">
        <v>719</v>
      </c>
      <c r="D96" s="951" t="s">
        <v>367</v>
      </c>
      <c r="E96" s="951">
        <v>0</v>
      </c>
      <c r="F96" s="951"/>
      <c r="G96" s="951" t="str">
        <f>+G95</f>
        <v>W/S</v>
      </c>
      <c r="H96" s="965">
        <f>+H95</f>
        <v>9.1473447304423611E-2</v>
      </c>
      <c r="I96" s="951"/>
      <c r="J96" s="951">
        <f>+H96*E96</f>
        <v>0</v>
      </c>
      <c r="K96" s="951"/>
      <c r="L96" s="1060">
        <v>5.3949999999999998E-2</v>
      </c>
      <c r="M96" s="1020">
        <v>0</v>
      </c>
      <c r="N96" s="1036"/>
      <c r="P96" s="1155"/>
      <c r="Q96" s="1155"/>
      <c r="R96" s="1155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1:56">
      <c r="A97" s="966">
        <f t="shared" si="9"/>
        <v>70</v>
      </c>
      <c r="B97" s="956"/>
      <c r="C97" s="970" t="s">
        <v>720</v>
      </c>
      <c r="D97" s="951" t="s">
        <v>665</v>
      </c>
      <c r="E97" s="956"/>
      <c r="F97" s="951"/>
      <c r="G97" s="951"/>
      <c r="H97" s="956"/>
      <c r="I97" s="951"/>
      <c r="J97" s="956"/>
      <c r="K97" s="951"/>
      <c r="L97" s="1060"/>
      <c r="M97" s="1039"/>
      <c r="N97" s="1036"/>
      <c r="P97" s="1155"/>
      <c r="Q97" s="1155"/>
      <c r="R97" s="1155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1:56">
      <c r="A98" s="966">
        <f t="shared" si="9"/>
        <v>71</v>
      </c>
      <c r="B98" s="956"/>
      <c r="C98" s="970" t="s">
        <v>721</v>
      </c>
      <c r="D98" s="951" t="s">
        <v>1088</v>
      </c>
      <c r="E98" s="1131">
        <v>4753399</v>
      </c>
      <c r="F98" s="951"/>
      <c r="G98" s="951" t="s">
        <v>711</v>
      </c>
      <c r="H98" s="965">
        <f>+H22</f>
        <v>0.10148035419414428</v>
      </c>
      <c r="I98" s="951"/>
      <c r="J98" s="951">
        <f>+H98*E98</f>
        <v>482376.61414609122</v>
      </c>
      <c r="K98" s="951"/>
      <c r="L98" s="1060">
        <v>0.10009999999999999</v>
      </c>
      <c r="M98" s="1020">
        <v>491593</v>
      </c>
      <c r="N98" s="1036">
        <f>J98-M98</f>
        <v>-9216.3858539087814</v>
      </c>
      <c r="P98" s="1155"/>
      <c r="Q98" s="1155"/>
      <c r="R98" s="1155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1:56">
      <c r="A99" s="966">
        <f t="shared" si="9"/>
        <v>72</v>
      </c>
      <c r="B99" s="956"/>
      <c r="C99" s="970" t="s">
        <v>722</v>
      </c>
      <c r="D99" s="951" t="s">
        <v>367</v>
      </c>
      <c r="E99" s="951">
        <v>0</v>
      </c>
      <c r="F99" s="951"/>
      <c r="G99" s="951" t="str">
        <f>+G45</f>
        <v>NA</v>
      </c>
      <c r="H99" s="1113" t="s">
        <v>789</v>
      </c>
      <c r="I99" s="951"/>
      <c r="J99" s="951">
        <v>0</v>
      </c>
      <c r="K99" s="951"/>
      <c r="L99" s="1060" t="s">
        <v>789</v>
      </c>
      <c r="M99" s="1020">
        <v>0</v>
      </c>
      <c r="N99" s="1036"/>
      <c r="P99" s="1155"/>
      <c r="Q99" s="1155"/>
      <c r="R99" s="1155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1:56" ht="15.75" thickBot="1">
      <c r="A100" s="966">
        <f t="shared" si="9"/>
        <v>73</v>
      </c>
      <c r="B100" s="956"/>
      <c r="C100" s="970" t="s">
        <v>723</v>
      </c>
      <c r="D100" s="951" t="str">
        <f>+D99</f>
        <v>263.i</v>
      </c>
      <c r="E100" s="953">
        <v>0</v>
      </c>
      <c r="F100" s="951"/>
      <c r="G100" s="951" t="str">
        <f>+G98</f>
        <v>GP</v>
      </c>
      <c r="H100" s="965">
        <f>+H98</f>
        <v>0.10148035419414428</v>
      </c>
      <c r="I100" s="951"/>
      <c r="J100" s="953">
        <f>+H100*E100</f>
        <v>0</v>
      </c>
      <c r="K100" s="951"/>
      <c r="L100" s="1060">
        <v>0.10009999999999999</v>
      </c>
      <c r="M100" s="1019">
        <v>0</v>
      </c>
      <c r="N100" s="1037"/>
      <c r="P100" s="1155"/>
      <c r="Q100" s="1155"/>
      <c r="R100" s="1155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1:56">
      <c r="A101" s="966">
        <f t="shared" si="9"/>
        <v>74</v>
      </c>
      <c r="B101" s="956"/>
      <c r="C101" s="970" t="str">
        <f>"TOTAL OTHER TAXES  (sum lines "&amp;A95&amp;" - "&amp;A100&amp;")"</f>
        <v>TOTAL OTHER TAXES  (sum lines 68 - 73)</v>
      </c>
      <c r="D101" s="951"/>
      <c r="E101" s="951">
        <f>SUM(E95:E100)</f>
        <v>6682100</v>
      </c>
      <c r="F101" s="951"/>
      <c r="G101" s="951"/>
      <c r="H101" s="965"/>
      <c r="I101" s="951"/>
      <c r="J101" s="951">
        <f>SUM(J95:J100)</f>
        <v>658801.54343558033</v>
      </c>
      <c r="K101" s="951"/>
      <c r="L101" s="1044"/>
      <c r="M101" s="1047">
        <v>568060</v>
      </c>
      <c r="N101" s="1036">
        <f>SUM(N95:N100)</f>
        <v>90741.54343558033</v>
      </c>
      <c r="P101" s="1155"/>
      <c r="Q101" s="1155"/>
      <c r="R101" s="1155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1:56">
      <c r="A102" s="966">
        <f t="shared" si="9"/>
        <v>75</v>
      </c>
      <c r="B102" s="956"/>
      <c r="C102" s="970"/>
      <c r="D102" s="951"/>
      <c r="E102" s="951"/>
      <c r="F102" s="951"/>
      <c r="G102" s="951"/>
      <c r="H102" s="965"/>
      <c r="I102" s="951"/>
      <c r="J102" s="951"/>
      <c r="K102" s="951"/>
      <c r="L102" s="1044"/>
      <c r="M102" s="1020"/>
      <c r="N102" s="1036"/>
      <c r="P102" s="1155"/>
      <c r="Q102" s="1155"/>
      <c r="R102" s="1155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1:56">
      <c r="A103" s="966">
        <f t="shared" si="9"/>
        <v>76</v>
      </c>
      <c r="B103" s="956"/>
      <c r="C103" s="970"/>
      <c r="D103" s="951"/>
      <c r="E103" s="951"/>
      <c r="F103" s="951"/>
      <c r="G103" s="951"/>
      <c r="H103" s="965"/>
      <c r="I103" s="951"/>
      <c r="J103" s="951"/>
      <c r="K103" s="951"/>
      <c r="L103" s="1020"/>
      <c r="M103" s="1020"/>
      <c r="N103" s="1036"/>
      <c r="P103" s="1155"/>
      <c r="Q103" s="1155"/>
      <c r="R103" s="1155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1:56">
      <c r="A104" s="966">
        <f t="shared" si="9"/>
        <v>77</v>
      </c>
      <c r="B104" s="956"/>
      <c r="C104" s="970" t="s">
        <v>726</v>
      </c>
      <c r="D104" s="951" t="s">
        <v>443</v>
      </c>
      <c r="E104" s="951"/>
      <c r="F104" s="951"/>
      <c r="G104" s="956"/>
      <c r="H104" s="968"/>
      <c r="I104" s="951"/>
      <c r="J104" s="956"/>
      <c r="K104" s="951"/>
      <c r="L104" s="1020"/>
      <c r="M104" s="1039"/>
      <c r="N104" s="1036"/>
      <c r="P104" s="1155"/>
      <c r="Q104" s="1155"/>
      <c r="R104" s="1155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1:56">
      <c r="A105" s="966">
        <f t="shared" si="9"/>
        <v>78</v>
      </c>
      <c r="B105" s="956"/>
      <c r="C105" s="1114" t="s">
        <v>781</v>
      </c>
      <c r="D105" s="951"/>
      <c r="E105" s="1115">
        <f>IF(E232&gt;0,1-(((1-E233)*(1-E232))/(1-E233*E232*E234)),0)</f>
        <v>0.35</v>
      </c>
      <c r="F105" s="951"/>
      <c r="G105" s="956"/>
      <c r="H105" s="968"/>
      <c r="I105" s="951"/>
      <c r="J105" s="956"/>
      <c r="K105" s="951"/>
      <c r="L105" s="1020"/>
      <c r="M105" s="1039"/>
      <c r="N105" s="1036"/>
      <c r="P105" s="1155"/>
      <c r="Q105" s="1155"/>
      <c r="R105" s="1155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1:56">
      <c r="A106" s="966">
        <f t="shared" si="9"/>
        <v>79</v>
      </c>
      <c r="B106" s="956"/>
      <c r="C106" s="956" t="s">
        <v>782</v>
      </c>
      <c r="D106" s="951"/>
      <c r="E106" s="1115">
        <f>IF(J199&gt;0,(E105/(1-E105))*(1-J196/J199),0)</f>
        <v>0.36875219721613234</v>
      </c>
      <c r="F106" s="951"/>
      <c r="G106" s="956"/>
      <c r="H106" s="968"/>
      <c r="I106" s="951"/>
      <c r="J106" s="956"/>
      <c r="K106" s="951"/>
      <c r="L106" s="1020"/>
      <c r="M106" s="1039"/>
      <c r="N106" s="1036"/>
      <c r="P106" s="1155"/>
      <c r="Q106" s="1155"/>
      <c r="R106" s="1155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1:56">
      <c r="A107" s="966">
        <f t="shared" si="9"/>
        <v>80</v>
      </c>
      <c r="B107" s="956"/>
      <c r="C107" s="970" t="str">
        <f>"       where WCLTD=(line "&amp;A196&amp;") and R= (line "&amp;A199&amp;")"</f>
        <v xml:space="preserve">       where WCLTD=(line 154) and R= (line 157)</v>
      </c>
      <c r="D107" s="951"/>
      <c r="E107" s="951"/>
      <c r="F107" s="951"/>
      <c r="G107" s="956"/>
      <c r="H107" s="968"/>
      <c r="I107" s="951"/>
      <c r="J107" s="956"/>
      <c r="K107" s="951"/>
      <c r="L107" s="1020"/>
      <c r="M107" s="1039"/>
      <c r="N107" s="1036"/>
      <c r="P107" s="1155"/>
      <c r="Q107" s="1155"/>
      <c r="R107" s="1155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1:56">
      <c r="A108" s="966">
        <f t="shared" si="9"/>
        <v>81</v>
      </c>
      <c r="B108" s="956"/>
      <c r="C108" s="970" t="s">
        <v>445</v>
      </c>
      <c r="D108" s="951"/>
      <c r="E108" s="951"/>
      <c r="F108" s="951"/>
      <c r="G108" s="956"/>
      <c r="H108" s="968"/>
      <c r="I108" s="951"/>
      <c r="J108" s="956"/>
      <c r="K108" s="951"/>
      <c r="L108" s="1020"/>
      <c r="M108" s="1039"/>
      <c r="N108" s="1036"/>
      <c r="P108" s="1155"/>
      <c r="Q108" s="1155"/>
      <c r="R108" s="1155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1:56">
      <c r="A109" s="966">
        <f t="shared" si="9"/>
        <v>82</v>
      </c>
      <c r="B109" s="956"/>
      <c r="C109" s="1114"/>
      <c r="D109" s="951"/>
      <c r="E109" s="1116"/>
      <c r="F109" s="951"/>
      <c r="G109" s="956"/>
      <c r="H109" s="968"/>
      <c r="I109" s="951"/>
      <c r="J109" s="956"/>
      <c r="K109" s="951"/>
      <c r="L109" s="1020"/>
      <c r="M109" s="1039"/>
      <c r="N109" s="1036"/>
      <c r="P109" s="1155"/>
      <c r="Q109" s="1155"/>
      <c r="R109" s="1155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1:56">
      <c r="A110" s="966">
        <f t="shared" si="9"/>
        <v>83</v>
      </c>
      <c r="B110" s="956"/>
      <c r="C110" s="967" t="s">
        <v>771</v>
      </c>
      <c r="D110" s="956" t="str">
        <f>"(line "&amp;A106&amp;" * line "&amp;A113&amp;")"</f>
        <v>(line 79 * line 86)</v>
      </c>
      <c r="E110" s="1117"/>
      <c r="F110" s="951"/>
      <c r="G110" s="951" t="s">
        <v>665</v>
      </c>
      <c r="H110" s="965" t="s">
        <v>665</v>
      </c>
      <c r="I110" s="951"/>
      <c r="J110" s="951">
        <f>E106*J112</f>
        <v>1973960.5966582948</v>
      </c>
      <c r="K110" s="951"/>
      <c r="L110" s="1020"/>
      <c r="M110" s="1020">
        <v>2087928</v>
      </c>
      <c r="N110" s="1036">
        <f>J110-M110</f>
        <v>-113967.40334170521</v>
      </c>
      <c r="P110" s="1155"/>
      <c r="Q110" s="1155"/>
      <c r="R110" s="1155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1:56">
      <c r="A111" s="966">
        <f t="shared" si="9"/>
        <v>84</v>
      </c>
      <c r="B111" s="956"/>
      <c r="C111" s="1118"/>
      <c r="D111" s="1119"/>
      <c r="E111" s="951"/>
      <c r="F111" s="951"/>
      <c r="G111" s="951"/>
      <c r="H111" s="965"/>
      <c r="I111" s="951"/>
      <c r="J111" s="951"/>
      <c r="K111" s="951"/>
      <c r="L111" s="1020"/>
      <c r="M111" s="1020"/>
      <c r="N111" s="1036"/>
      <c r="P111" s="1155"/>
      <c r="Q111" s="1155"/>
      <c r="R111" s="1155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1:56">
      <c r="A112" s="966">
        <f t="shared" si="9"/>
        <v>85</v>
      </c>
      <c r="B112" s="956"/>
      <c r="C112" s="970" t="s">
        <v>727</v>
      </c>
      <c r="D112" s="954"/>
      <c r="E112" s="951"/>
      <c r="F112" s="951"/>
      <c r="G112" s="951" t="s">
        <v>446</v>
      </c>
      <c r="H112" s="968"/>
      <c r="I112" s="951"/>
      <c r="J112" s="951">
        <f>+$J199*J62</f>
        <v>5353081.5858469876</v>
      </c>
      <c r="K112" s="951"/>
      <c r="L112" s="1020"/>
      <c r="M112" s="1020">
        <v>6477842</v>
      </c>
      <c r="N112" s="1036">
        <f>J112-M112</f>
        <v>-1124760.4141530124</v>
      </c>
      <c r="P112" s="1155"/>
      <c r="Q112" s="1155"/>
      <c r="R112" s="1155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1:56" ht="17.25" customHeight="1">
      <c r="A113" s="966">
        <f t="shared" si="9"/>
        <v>86</v>
      </c>
      <c r="B113" s="956"/>
      <c r="C113" s="967" t="str">
        <f>"  [ Rate Base (line "&amp;A62&amp;") * R (line "&amp;A199&amp;")]"</f>
        <v xml:space="preserve">  [ Rate Base (line 48) * R (line 157)]</v>
      </c>
      <c r="D113" s="956"/>
      <c r="E113" s="951"/>
      <c r="F113" s="951"/>
      <c r="G113" s="951"/>
      <c r="H113" s="968"/>
      <c r="I113" s="951"/>
      <c r="J113" s="951"/>
      <c r="K113" s="951"/>
      <c r="L113" s="1020"/>
      <c r="M113" s="1049"/>
      <c r="N113" s="1036"/>
      <c r="P113" s="1155"/>
      <c r="Q113" s="1155"/>
      <c r="R113" s="1155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1:56">
      <c r="A114" s="966">
        <f t="shared" si="9"/>
        <v>87</v>
      </c>
      <c r="B114" s="956"/>
      <c r="C114" s="970"/>
      <c r="D114" s="956"/>
      <c r="E114" s="963"/>
      <c r="F114" s="951"/>
      <c r="G114" s="951"/>
      <c r="H114" s="968"/>
      <c r="I114" s="951"/>
      <c r="J114" s="963"/>
      <c r="K114" s="951"/>
      <c r="L114" s="1020"/>
      <c r="M114" s="1047"/>
      <c r="N114" s="1036"/>
      <c r="P114" s="1155"/>
      <c r="Q114" s="1155"/>
      <c r="R114" s="1155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1:56" ht="15.75" thickBot="1">
      <c r="A115" s="966">
        <f t="shared" si="9"/>
        <v>88</v>
      </c>
      <c r="B115" s="956"/>
      <c r="C115" s="970" t="str">
        <f>"REVENUE REQUIREMENT  (sum lines "&amp;A85&amp;", "&amp;A91&amp;", "&amp;A101&amp;", "&amp;A110&amp;", "&amp;A112&amp;")"</f>
        <v>REVENUE REQUIREMENT  (sum lines 58, 64, 74, 83, 85)</v>
      </c>
      <c r="D115" s="951"/>
      <c r="E115" s="971">
        <f>E110+E101+E91+E85</f>
        <v>40239082.96975185</v>
      </c>
      <c r="F115" s="951"/>
      <c r="G115" s="951"/>
      <c r="H115" s="951"/>
      <c r="I115" s="951"/>
      <c r="J115" s="972">
        <f>J110+J101+J91+J85+J112</f>
        <v>13501005.415978868</v>
      </c>
      <c r="K115" s="960"/>
      <c r="L115" s="1056"/>
      <c r="M115" s="1057">
        <v>12663918</v>
      </c>
      <c r="N115" s="1057">
        <f>N110+N101+N91+N85+N112</f>
        <v>837087.41597886616</v>
      </c>
      <c r="P115" s="1155">
        <v>13611646.473855004</v>
      </c>
      <c r="Q115" s="1155">
        <f>J115-P115</f>
        <v>-110641.05787613615</v>
      </c>
      <c r="R115" s="1155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1:56" ht="15.75" thickTop="1">
      <c r="A116" s="966">
        <f t="shared" si="9"/>
        <v>89</v>
      </c>
      <c r="B116" s="956"/>
      <c r="C116" s="956"/>
      <c r="D116" s="956"/>
      <c r="E116" s="956"/>
      <c r="F116" s="956"/>
      <c r="G116" s="956"/>
      <c r="H116" s="956"/>
      <c r="I116" s="956"/>
      <c r="J116" s="956"/>
      <c r="K116" s="951"/>
      <c r="L116" s="1020"/>
      <c r="M116" s="1049"/>
      <c r="N116" s="1049"/>
      <c r="P116" s="1155"/>
      <c r="Q116" s="1155"/>
      <c r="R116" s="1155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1:56">
      <c r="A117" s="966">
        <f t="shared" si="9"/>
        <v>90</v>
      </c>
      <c r="B117" s="956"/>
      <c r="C117" s="970" t="str">
        <f>"ESTIMATED REVENUE REQUIREMENT (pg. 3 line "&amp;Estimate!A122&amp;")"</f>
        <v>ESTIMATED REVENUE REQUIREMENT (pg. 3 line 95)</v>
      </c>
      <c r="D117" s="956"/>
      <c r="E117" s="956"/>
      <c r="F117" s="956"/>
      <c r="G117" s="956"/>
      <c r="H117" s="956"/>
      <c r="I117" s="956"/>
      <c r="J117" s="1126">
        <v>12190043</v>
      </c>
      <c r="K117" s="951"/>
      <c r="L117" s="1020" t="s">
        <v>306</v>
      </c>
      <c r="M117" s="1049"/>
      <c r="N117" s="1049"/>
      <c r="P117" s="1155"/>
      <c r="Q117" s="1155"/>
      <c r="R117" s="1155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1:56">
      <c r="A118" s="966">
        <f t="shared" si="9"/>
        <v>91</v>
      </c>
      <c r="B118" s="956"/>
      <c r="C118" s="956"/>
      <c r="D118" s="956"/>
      <c r="E118" s="956"/>
      <c r="F118" s="956"/>
      <c r="G118" s="956"/>
      <c r="H118" s="956"/>
      <c r="I118" s="956"/>
      <c r="J118" s="956"/>
      <c r="K118" s="951"/>
      <c r="L118" s="1020" t="s">
        <v>1074</v>
      </c>
      <c r="M118" s="1049"/>
      <c r="N118" s="1049"/>
      <c r="P118" s="1155"/>
      <c r="Q118" s="1155"/>
      <c r="R118" s="1155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1:56" ht="15.75" thickBot="1">
      <c r="A119" s="966">
        <f t="shared" si="9"/>
        <v>92</v>
      </c>
      <c r="B119" s="956"/>
      <c r="C119" s="956" t="str">
        <f>"TRUE-UP AMOUNT TO BE (REFUNDED)/PAID (line "&amp;A115&amp;" - line "&amp;A117&amp;")"</f>
        <v>TRUE-UP AMOUNT TO BE (REFUNDED)/PAID (line 88 - line 90)</v>
      </c>
      <c r="D119" s="956"/>
      <c r="E119" s="956"/>
      <c r="F119" s="956"/>
      <c r="G119" s="956"/>
      <c r="H119" s="956"/>
      <c r="I119" s="956"/>
      <c r="J119" s="971">
        <f>+J115-J117</f>
        <v>1310962.4159788676</v>
      </c>
      <c r="K119" s="951"/>
      <c r="L119" s="1020"/>
      <c r="M119" s="1049"/>
      <c r="N119" s="1049"/>
      <c r="P119" s="1155"/>
      <c r="Q119" s="1155"/>
      <c r="R119" s="1155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1:56" ht="15.75" thickTop="1">
      <c r="A120" s="966"/>
      <c r="B120" s="956"/>
      <c r="C120" s="956"/>
      <c r="D120" s="956"/>
      <c r="E120" s="956"/>
      <c r="F120" s="956"/>
      <c r="G120" s="956"/>
      <c r="H120" s="956"/>
      <c r="I120" s="956"/>
      <c r="J120" s="956"/>
      <c r="K120" s="951"/>
      <c r="L120" s="951"/>
      <c r="M120" s="969"/>
      <c r="O120" s="1141" t="s">
        <v>1082</v>
      </c>
      <c r="P120" s="1155"/>
      <c r="Q120" s="1155"/>
      <c r="R120" s="1155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1:56">
      <c r="A121" s="966"/>
      <c r="B121" s="956"/>
      <c r="C121" s="956"/>
      <c r="D121" s="956"/>
      <c r="E121" s="956"/>
      <c r="F121" s="956"/>
      <c r="G121" s="956"/>
      <c r="H121" s="956"/>
      <c r="I121" s="956"/>
      <c r="J121" s="956"/>
      <c r="K121" s="951"/>
      <c r="L121" s="951"/>
      <c r="M121" s="969"/>
      <c r="N121" s="1084" t="s">
        <v>1061</v>
      </c>
      <c r="O121" s="1084"/>
      <c r="P121" s="1155"/>
      <c r="Q121" s="1155"/>
      <c r="R121" s="1155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1:56">
      <c r="A122" s="966"/>
      <c r="B122" s="956"/>
      <c r="C122" s="956"/>
      <c r="D122" s="956"/>
      <c r="E122" s="956"/>
      <c r="F122" s="956"/>
      <c r="G122" s="956"/>
      <c r="H122" s="956"/>
      <c r="I122" s="956"/>
      <c r="J122" s="956"/>
      <c r="K122" s="951"/>
      <c r="L122" s="951"/>
      <c r="M122" s="969"/>
      <c r="N122" s="1084"/>
      <c r="O122" s="1136">
        <v>12663918</v>
      </c>
      <c r="P122" s="1155"/>
      <c r="Q122" s="1155"/>
      <c r="R122" s="1155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1:56">
      <c r="A123" s="966"/>
      <c r="B123" s="956"/>
      <c r="C123" s="956"/>
      <c r="D123" s="956"/>
      <c r="E123" s="956"/>
      <c r="F123" s="956"/>
      <c r="G123" s="956"/>
      <c r="H123" s="969"/>
      <c r="I123" s="974" t="str">
        <f>$I$2</f>
        <v>Service Year</v>
      </c>
      <c r="J123" s="960">
        <v>2012</v>
      </c>
      <c r="K123" s="969"/>
      <c r="L123" s="951"/>
      <c r="M123" s="969"/>
      <c r="N123" s="1137" t="s">
        <v>1060</v>
      </c>
      <c r="O123" s="1138">
        <v>-1226625</v>
      </c>
      <c r="P123" s="1155"/>
      <c r="Q123" s="1155"/>
      <c r="R123" s="1155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1:56">
      <c r="A124" s="966"/>
      <c r="B124" s="956"/>
      <c r="C124" s="956"/>
      <c r="D124" s="956"/>
      <c r="E124" s="956"/>
      <c r="F124" s="956"/>
      <c r="G124" s="956"/>
      <c r="H124" s="956"/>
      <c r="I124" s="956"/>
      <c r="J124" s="956"/>
      <c r="K124" s="951"/>
      <c r="L124" s="969"/>
      <c r="M124" s="969"/>
      <c r="N124" s="1137" t="s">
        <v>1059</v>
      </c>
      <c r="O124" s="1139">
        <v>579543</v>
      </c>
      <c r="P124" s="1155"/>
      <c r="Q124" s="1155"/>
      <c r="R124" s="1155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1:56" ht="15.75">
      <c r="A125" s="1171" t="s">
        <v>855</v>
      </c>
      <c r="B125" s="1171"/>
      <c r="C125" s="1171"/>
      <c r="D125" s="1171"/>
      <c r="E125" s="1171"/>
      <c r="F125" s="1171"/>
      <c r="G125" s="1171"/>
      <c r="H125" s="1171"/>
      <c r="I125" s="1171"/>
      <c r="J125" s="1171"/>
      <c r="K125" s="1171"/>
      <c r="L125" s="975"/>
      <c r="M125" s="969"/>
      <c r="N125" s="1137" t="s">
        <v>1062</v>
      </c>
      <c r="O125" s="1139">
        <f>N91</f>
        <v>449513.36048571893</v>
      </c>
      <c r="P125" s="1155"/>
      <c r="Q125" s="1155"/>
      <c r="R125" s="1155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1:56" ht="15.75">
      <c r="A126" s="1172" t="s">
        <v>666</v>
      </c>
      <c r="B126" s="1172"/>
      <c r="C126" s="1172"/>
      <c r="D126" s="1172"/>
      <c r="E126" s="1172"/>
      <c r="F126" s="1172"/>
      <c r="G126" s="1172"/>
      <c r="H126" s="1172"/>
      <c r="I126" s="1172"/>
      <c r="J126" s="1172"/>
      <c r="K126" s="1172"/>
      <c r="L126" s="951"/>
      <c r="M126" s="969"/>
      <c r="N126" s="1140" t="s">
        <v>1063</v>
      </c>
      <c r="O126" s="1139">
        <v>109189</v>
      </c>
      <c r="P126" s="1155"/>
      <c r="Q126" s="1155"/>
      <c r="R126" s="1155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1:56">
      <c r="A127" s="956"/>
      <c r="B127" s="956"/>
      <c r="C127" s="960"/>
      <c r="D127" s="960"/>
      <c r="E127" s="969"/>
      <c r="F127" s="960"/>
      <c r="G127" s="960"/>
      <c r="H127" s="960"/>
      <c r="I127" s="960"/>
      <c r="J127" s="960"/>
      <c r="K127" s="960"/>
      <c r="L127" s="951"/>
      <c r="M127" s="969"/>
      <c r="N127" s="1137" t="s">
        <v>797</v>
      </c>
      <c r="O127" s="1136">
        <v>53016.45</v>
      </c>
      <c r="P127" s="1155"/>
      <c r="Q127" s="1155"/>
      <c r="R127" s="1155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1:56" ht="15.75">
      <c r="A128" s="1169" t="s">
        <v>851</v>
      </c>
      <c r="B128" s="1169"/>
      <c r="C128" s="1169"/>
      <c r="D128" s="1169"/>
      <c r="E128" s="1169"/>
      <c r="F128" s="1169"/>
      <c r="G128" s="1169"/>
      <c r="H128" s="1169"/>
      <c r="I128" s="1169"/>
      <c r="J128" s="1169"/>
      <c r="K128" s="1169"/>
      <c r="L128" s="951"/>
      <c r="M128" s="969"/>
      <c r="N128" s="1084"/>
      <c r="O128" s="1084">
        <f>SUM(O122:O127)</f>
        <v>12628554.810485719</v>
      </c>
      <c r="P128" s="1155"/>
      <c r="Q128" s="1155"/>
      <c r="R128" s="1155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</row>
    <row r="129" spans="1:56">
      <c r="A129" s="966"/>
      <c r="B129" s="956"/>
      <c r="C129" s="956"/>
      <c r="D129" s="970"/>
      <c r="E129" s="970"/>
      <c r="F129" s="970"/>
      <c r="G129" s="970"/>
      <c r="H129" s="970"/>
      <c r="I129" s="970"/>
      <c r="J129" s="970"/>
      <c r="K129" s="970"/>
      <c r="L129" s="970"/>
      <c r="M129" s="969"/>
      <c r="N129" s="1084"/>
      <c r="O129" s="1084">
        <v>12573178</v>
      </c>
      <c r="P129" s="1155"/>
      <c r="Q129" s="1155"/>
      <c r="R129" s="1155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</row>
    <row r="130" spans="1:56" ht="15.75">
      <c r="A130" s="1170" t="s">
        <v>146</v>
      </c>
      <c r="B130" s="1170"/>
      <c r="C130" s="1170"/>
      <c r="D130" s="1170"/>
      <c r="E130" s="1170"/>
      <c r="F130" s="1170"/>
      <c r="G130" s="1170"/>
      <c r="H130" s="1170"/>
      <c r="I130" s="1170"/>
      <c r="J130" s="1170"/>
      <c r="K130" s="1170"/>
      <c r="L130" s="960"/>
      <c r="M130" s="969"/>
      <c r="N130" s="1084"/>
      <c r="O130" s="1084">
        <f>O128-O129</f>
        <v>55376.810485718772</v>
      </c>
      <c r="P130" s="1155"/>
      <c r="Q130" s="1155"/>
      <c r="R130" s="1155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</row>
    <row r="131" spans="1:56" ht="15.75">
      <c r="A131" s="966"/>
      <c r="B131" s="956"/>
      <c r="C131" s="976"/>
      <c r="D131" s="960"/>
      <c r="E131" s="960"/>
      <c r="F131" s="960"/>
      <c r="G131" s="960"/>
      <c r="H131" s="960"/>
      <c r="I131" s="960"/>
      <c r="J131" s="960"/>
      <c r="K131" s="951"/>
      <c r="L131" s="960"/>
      <c r="M131" s="969"/>
      <c r="N131" s="1084"/>
      <c r="O131" s="1084"/>
      <c r="P131" s="1155"/>
      <c r="Q131" s="1155"/>
      <c r="R131" s="1155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</row>
    <row r="132" spans="1:56" ht="15.75">
      <c r="A132" s="966" t="s">
        <v>667</v>
      </c>
      <c r="B132" s="956"/>
      <c r="C132" s="976"/>
      <c r="D132" s="960"/>
      <c r="E132" s="960"/>
      <c r="F132" s="960"/>
      <c r="G132" s="960"/>
      <c r="H132" s="960"/>
      <c r="I132" s="960"/>
      <c r="J132" s="960"/>
      <c r="K132" s="951"/>
      <c r="L132" s="960"/>
      <c r="M132" s="969"/>
      <c r="P132" s="1155"/>
      <c r="Q132" s="1155"/>
      <c r="R132" s="1155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</row>
    <row r="133" spans="1:56" ht="15.75" thickBot="1">
      <c r="A133" s="977" t="s">
        <v>668</v>
      </c>
      <c r="B133" s="956"/>
      <c r="C133" s="978" t="s">
        <v>533</v>
      </c>
      <c r="D133" s="960"/>
      <c r="E133" s="960"/>
      <c r="F133" s="960"/>
      <c r="G133" s="960"/>
      <c r="H133" s="960"/>
      <c r="I133" s="956"/>
      <c r="J133" s="956"/>
      <c r="K133" s="951"/>
      <c r="L133" s="960"/>
      <c r="M133" s="969"/>
      <c r="P133" s="1155"/>
      <c r="Q133" s="1155"/>
      <c r="R133" s="1155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</row>
    <row r="134" spans="1:56" ht="16.5" thickBot="1">
      <c r="A134" s="966"/>
      <c r="B134" s="956"/>
      <c r="C134" s="978"/>
      <c r="D134" s="960"/>
      <c r="E134" s="953" t="s">
        <v>732</v>
      </c>
      <c r="F134" s="960"/>
      <c r="G134" s="960"/>
      <c r="H134" s="960"/>
      <c r="I134" s="960"/>
      <c r="J134" s="960"/>
      <c r="K134" s="951"/>
      <c r="L134" s="1170" t="s">
        <v>1058</v>
      </c>
      <c r="M134" s="1170"/>
      <c r="N134" s="1170"/>
      <c r="P134" s="1155"/>
      <c r="Q134" s="1155"/>
      <c r="R134" s="1155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1:56" ht="16.5" customHeight="1">
      <c r="A135" s="966">
        <f>+A119+1</f>
        <v>93</v>
      </c>
      <c r="B135" s="956"/>
      <c r="C135" s="979" t="s">
        <v>468</v>
      </c>
      <c r="D135" s="960"/>
      <c r="E135" s="951" t="s">
        <v>274</v>
      </c>
      <c r="F135" s="951"/>
      <c r="G135" s="951"/>
      <c r="H135" s="951"/>
      <c r="I135" s="951"/>
      <c r="J135" s="951">
        <f>'True-Up Rate Base'!R16</f>
        <v>115188836.24076924</v>
      </c>
      <c r="K135" s="951"/>
      <c r="L135" s="1020"/>
      <c r="M135" s="1074">
        <v>115341080</v>
      </c>
      <c r="N135" s="1049"/>
      <c r="P135" s="1155"/>
      <c r="Q135" s="1155"/>
      <c r="R135" s="1155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1:56">
      <c r="A136" s="966">
        <f>+A135+1</f>
        <v>94</v>
      </c>
      <c r="B136" s="956"/>
      <c r="C136" s="979" t="s">
        <v>441</v>
      </c>
      <c r="D136" s="956"/>
      <c r="E136" s="956" t="s">
        <v>609</v>
      </c>
      <c r="F136" s="956"/>
      <c r="G136" s="956"/>
      <c r="H136" s="956"/>
      <c r="I136" s="956"/>
      <c r="J136" s="1020">
        <v>23556379</v>
      </c>
      <c r="K136" s="951"/>
      <c r="L136" s="1020"/>
      <c r="M136" s="1074">
        <v>23833742</v>
      </c>
      <c r="N136" s="1049"/>
      <c r="P136" s="1155"/>
      <c r="Q136" s="1155"/>
      <c r="R136" s="1155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pans="1:56" ht="15.75" thickBot="1">
      <c r="A137" s="966">
        <f t="shared" ref="A137:A199" si="10">+A136+1</f>
        <v>95</v>
      </c>
      <c r="B137" s="956"/>
      <c r="C137" s="980" t="s">
        <v>442</v>
      </c>
      <c r="D137" s="981"/>
      <c r="E137" s="953" t="s">
        <v>609</v>
      </c>
      <c r="F137" s="951"/>
      <c r="G137" s="951"/>
      <c r="H137" s="961"/>
      <c r="I137" s="951"/>
      <c r="J137" s="953"/>
      <c r="K137" s="951"/>
      <c r="L137" s="1020"/>
      <c r="M137" s="1073"/>
      <c r="N137" s="1049"/>
      <c r="P137" s="1155"/>
      <c r="Q137" s="1155"/>
      <c r="R137" s="1155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pans="1:56">
      <c r="A138" s="966">
        <f t="shared" si="10"/>
        <v>96</v>
      </c>
      <c r="B138" s="956"/>
      <c r="C138" s="979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960"/>
      <c r="E138" s="951"/>
      <c r="F138" s="951"/>
      <c r="G138" s="951"/>
      <c r="H138" s="961"/>
      <c r="I138" s="951"/>
      <c r="J138" s="951">
        <f>J135-J136-J137</f>
        <v>91632457.240769237</v>
      </c>
      <c r="K138" s="951"/>
      <c r="L138" s="1020"/>
      <c r="M138" s="1074">
        <v>91507338</v>
      </c>
      <c r="N138" s="1049"/>
      <c r="P138" s="1155"/>
      <c r="Q138" s="1155"/>
      <c r="R138" s="1155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</row>
    <row r="139" spans="1:56">
      <c r="A139" s="966">
        <f t="shared" si="10"/>
        <v>97</v>
      </c>
      <c r="B139" s="956"/>
      <c r="C139" s="979" t="str">
        <f>"Plus Common Use AC Facilities (line "&amp;A149&amp;")"</f>
        <v>Plus Common Use AC Facilities (line 107)</v>
      </c>
      <c r="D139" s="960"/>
      <c r="E139" s="951"/>
      <c r="F139" s="951"/>
      <c r="G139" s="951"/>
      <c r="H139" s="961"/>
      <c r="I139" s="951"/>
      <c r="J139" s="951">
        <f>+J149</f>
        <v>10525048</v>
      </c>
      <c r="K139" s="951"/>
      <c r="L139" s="1020"/>
      <c r="M139" s="1072">
        <v>2463783</v>
      </c>
      <c r="N139" s="1049"/>
      <c r="P139" s="1155"/>
      <c r="Q139" s="1155"/>
      <c r="R139" s="1155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</row>
    <row r="140" spans="1:56">
      <c r="A140" s="966">
        <f t="shared" si="10"/>
        <v>98</v>
      </c>
      <c r="B140" s="956"/>
      <c r="C140" s="979" t="str">
        <f>"Total Gross Plant for the CUS System (line "&amp;A138&amp;" plus line "&amp;A139&amp;")"</f>
        <v>Total Gross Plant for the CUS System (line 96 plus line 97)</v>
      </c>
      <c r="D140" s="960"/>
      <c r="E140" s="951"/>
      <c r="F140" s="951"/>
      <c r="G140" s="951"/>
      <c r="H140" s="961"/>
      <c r="I140" s="951"/>
      <c r="J140" s="982">
        <f>SUM(J138:J139)</f>
        <v>102157505.24076924</v>
      </c>
      <c r="K140" s="951"/>
      <c r="L140" s="1020"/>
      <c r="M140" s="1074">
        <v>93971121</v>
      </c>
      <c r="N140" s="1049"/>
      <c r="P140" s="1155"/>
      <c r="Q140" s="1155"/>
      <c r="R140" s="1155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</row>
    <row r="141" spans="1:56">
      <c r="A141" s="966">
        <f t="shared" si="10"/>
        <v>99</v>
      </c>
      <c r="B141" s="956"/>
      <c r="C141" s="979" t="str">
        <f>"Total CUS Plant (line "&amp;A135&amp;" plus line "&amp;A149&amp;")"</f>
        <v>Total CUS Plant (line 93 plus line 107)</v>
      </c>
      <c r="D141" s="960"/>
      <c r="E141" s="951"/>
      <c r="F141" s="951"/>
      <c r="G141" s="951"/>
      <c r="H141" s="961"/>
      <c r="I141" s="951"/>
      <c r="J141" s="963">
        <f>J135+J149</f>
        <v>125713884.24076924</v>
      </c>
      <c r="K141" s="951"/>
      <c r="L141" s="1020"/>
      <c r="M141" s="1074">
        <v>117804863</v>
      </c>
      <c r="N141" s="1049"/>
      <c r="P141" s="1155"/>
      <c r="Q141" s="1155"/>
      <c r="R141" s="1155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</row>
    <row r="142" spans="1:56">
      <c r="A142" s="966">
        <f t="shared" si="10"/>
        <v>100</v>
      </c>
      <c r="B142" s="956"/>
      <c r="C142" s="956"/>
      <c r="D142" s="960"/>
      <c r="E142" s="951"/>
      <c r="F142" s="951"/>
      <c r="G142" s="951"/>
      <c r="H142" s="961"/>
      <c r="I142" s="951"/>
      <c r="J142" s="956"/>
      <c r="K142" s="951"/>
      <c r="L142" s="1020"/>
      <c r="M142" s="1074"/>
      <c r="N142" s="1049"/>
      <c r="P142" s="1155"/>
      <c r="Q142" s="1155"/>
      <c r="R142" s="1155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1:56">
      <c r="A143" s="966">
        <f t="shared" si="10"/>
        <v>101</v>
      </c>
      <c r="B143" s="956"/>
      <c r="C143" s="979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983"/>
      <c r="E143" s="984"/>
      <c r="F143" s="984"/>
      <c r="G143" s="984"/>
      <c r="H143" s="985"/>
      <c r="I143" s="951" t="s">
        <v>730</v>
      </c>
      <c r="J143" s="986">
        <f>ROUND(IF(J141&gt;0,J140/J141,0),6)</f>
        <v>0.81261899999999998</v>
      </c>
      <c r="K143" s="951"/>
      <c r="L143" s="1020"/>
      <c r="M143" s="1071">
        <v>0.79768499999999998</v>
      </c>
      <c r="N143" s="1069">
        <f>J143-M143</f>
        <v>1.4934000000000003E-2</v>
      </c>
      <c r="P143" s="1155"/>
      <c r="Q143" s="1155"/>
      <c r="R143" s="1155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1:56">
      <c r="A144" s="966">
        <f t="shared" si="10"/>
        <v>102</v>
      </c>
      <c r="B144" s="956"/>
      <c r="C144" s="956"/>
      <c r="D144" s="956"/>
      <c r="E144" s="956"/>
      <c r="F144" s="956"/>
      <c r="G144" s="956"/>
      <c r="H144" s="956"/>
      <c r="I144" s="956"/>
      <c r="J144" s="956"/>
      <c r="K144" s="951"/>
      <c r="L144" s="1020"/>
      <c r="M144" s="1074"/>
      <c r="N144" s="1069"/>
      <c r="P144" s="1155"/>
      <c r="Q144" s="1155"/>
      <c r="R144" s="1155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1:56" ht="15.75" thickBot="1">
      <c r="A145" s="966">
        <f t="shared" si="10"/>
        <v>103</v>
      </c>
      <c r="B145" s="956"/>
      <c r="C145" s="978" t="s">
        <v>466</v>
      </c>
      <c r="D145" s="960"/>
      <c r="E145" s="953" t="s">
        <v>732</v>
      </c>
      <c r="F145" s="960"/>
      <c r="G145" s="960"/>
      <c r="H145" s="960"/>
      <c r="I145" s="960"/>
      <c r="J145" s="960"/>
      <c r="K145" s="956"/>
      <c r="L145" s="1020"/>
      <c r="M145" s="1074"/>
      <c r="N145" s="1069"/>
      <c r="P145" s="1155"/>
      <c r="Q145" s="1155"/>
      <c r="R145" s="1155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1:56">
      <c r="A146" s="966">
        <f t="shared" si="10"/>
        <v>104</v>
      </c>
      <c r="B146" s="956"/>
      <c r="C146" s="979" t="s">
        <v>467</v>
      </c>
      <c r="D146" s="960"/>
      <c r="E146" s="951" t="s">
        <v>275</v>
      </c>
      <c r="F146" s="951"/>
      <c r="G146" s="951"/>
      <c r="H146" s="951"/>
      <c r="I146" s="951"/>
      <c r="J146" s="951">
        <f>'True-Up Rate Base'!R17</f>
        <v>296825106.44692314</v>
      </c>
      <c r="K146" s="956"/>
      <c r="L146" s="1020"/>
      <c r="M146" s="1074">
        <v>278901320</v>
      </c>
      <c r="N146" s="1069"/>
      <c r="P146" s="1155"/>
      <c r="Q146" s="1155"/>
      <c r="R146" s="1155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1:56">
      <c r="A147" s="966">
        <f t="shared" si="10"/>
        <v>105</v>
      </c>
      <c r="B147" s="956"/>
      <c r="C147" s="979" t="s">
        <v>477</v>
      </c>
      <c r="D147" s="956"/>
      <c r="E147" s="956" t="s">
        <v>609</v>
      </c>
      <c r="F147" s="956"/>
      <c r="G147" s="956"/>
      <c r="H147" s="956"/>
      <c r="I147" s="956"/>
      <c r="J147" s="951">
        <f>+J146-J149</f>
        <v>286300058.44692314</v>
      </c>
      <c r="K147" s="956"/>
      <c r="L147" s="1020"/>
      <c r="M147" s="1074">
        <v>276437537</v>
      </c>
      <c r="N147" s="1069"/>
      <c r="P147" s="1155"/>
      <c r="Q147" s="1155"/>
      <c r="R147" s="1155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1:56" ht="15.75" thickBot="1">
      <c r="A148" s="966">
        <f t="shared" si="10"/>
        <v>106</v>
      </c>
      <c r="B148" s="956"/>
      <c r="C148" s="980" t="s">
        <v>478</v>
      </c>
      <c r="D148" s="981"/>
      <c r="E148" s="953" t="s">
        <v>609</v>
      </c>
      <c r="F148" s="951"/>
      <c r="G148" s="951"/>
      <c r="H148" s="961"/>
      <c r="I148" s="951"/>
      <c r="J148" s="953"/>
      <c r="K148" s="956"/>
      <c r="L148" s="1020"/>
      <c r="M148" s="1073"/>
      <c r="N148" s="1069"/>
      <c r="P148" s="1155"/>
      <c r="Q148" s="1155"/>
      <c r="R148" s="1155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</row>
    <row r="149" spans="1:56">
      <c r="A149" s="966">
        <f t="shared" si="10"/>
        <v>107</v>
      </c>
      <c r="B149" s="956"/>
      <c r="C149" s="979" t="str">
        <f>"Common Use AC Facilities (line "&amp;A146&amp;" less lines "&amp;A147&amp;" &amp; "&amp;A148&amp;")"</f>
        <v>Common Use AC Facilities (line 104 less lines 105 &amp; 106)</v>
      </c>
      <c r="D149" s="960"/>
      <c r="E149" s="951"/>
      <c r="F149" s="951"/>
      <c r="G149" s="951"/>
      <c r="H149" s="961"/>
      <c r="I149" s="951"/>
      <c r="J149" s="1020">
        <v>10525048</v>
      </c>
      <c r="K149" s="956"/>
      <c r="L149" s="1020"/>
      <c r="M149" s="1074">
        <v>2463783</v>
      </c>
      <c r="N149" s="1069"/>
      <c r="P149" s="1155"/>
      <c r="Q149" s="1155"/>
      <c r="R149" s="1155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</row>
    <row r="150" spans="1:56">
      <c r="A150" s="966">
        <f t="shared" si="10"/>
        <v>108</v>
      </c>
      <c r="B150" s="956"/>
      <c r="C150" s="956"/>
      <c r="D150" s="960"/>
      <c r="E150" s="951"/>
      <c r="F150" s="951"/>
      <c r="G150" s="951"/>
      <c r="H150" s="961"/>
      <c r="I150" s="951"/>
      <c r="J150" s="956"/>
      <c r="K150" s="956"/>
      <c r="L150" s="1020"/>
      <c r="M150" s="1074"/>
      <c r="N150" s="1069"/>
      <c r="P150" s="1155"/>
      <c r="Q150" s="1155"/>
      <c r="R150" s="1155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</row>
    <row r="151" spans="1:56">
      <c r="A151" s="966">
        <f t="shared" si="10"/>
        <v>109</v>
      </c>
      <c r="B151" s="956"/>
      <c r="C151" s="979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983"/>
      <c r="E151" s="984"/>
      <c r="F151" s="984"/>
      <c r="G151" s="984"/>
      <c r="H151" s="985"/>
      <c r="I151" s="951" t="s">
        <v>469</v>
      </c>
      <c r="J151" s="986">
        <f>ROUND(IF(J146&gt;0,J149/J146,0),6)</f>
        <v>3.5458999999999997E-2</v>
      </c>
      <c r="K151" s="956"/>
      <c r="L151" s="1020"/>
      <c r="M151" s="1071">
        <v>8.8339999999999998E-3</v>
      </c>
      <c r="N151" s="1069">
        <f>J151-M151</f>
        <v>2.6624999999999996E-2</v>
      </c>
      <c r="P151" s="1155"/>
      <c r="Q151" s="1155"/>
      <c r="R151" s="1155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</row>
    <row r="152" spans="1:56">
      <c r="A152" s="966">
        <f t="shared" si="10"/>
        <v>110</v>
      </c>
      <c r="B152" s="956"/>
      <c r="C152" s="956"/>
      <c r="D152" s="960"/>
      <c r="E152" s="951"/>
      <c r="F152" s="951"/>
      <c r="G152" s="951"/>
      <c r="H152" s="961"/>
      <c r="I152" s="951"/>
      <c r="J152" s="956"/>
      <c r="K152" s="956"/>
      <c r="L152" s="1020"/>
      <c r="M152" s="1074"/>
      <c r="N152" s="1069"/>
      <c r="P152" s="1155"/>
      <c r="Q152" s="1155"/>
      <c r="R152" s="1155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1:56" ht="15.75" thickBot="1">
      <c r="A153" s="966">
        <f t="shared" si="10"/>
        <v>111</v>
      </c>
      <c r="B153" s="956"/>
      <c r="C153" s="978" t="s">
        <v>694</v>
      </c>
      <c r="D153" s="960"/>
      <c r="E153" s="953" t="s">
        <v>732</v>
      </c>
      <c r="F153" s="951"/>
      <c r="G153" s="951"/>
      <c r="H153" s="961"/>
      <c r="I153" s="951"/>
      <c r="J153" s="951"/>
      <c r="K153" s="956"/>
      <c r="L153" s="1020"/>
      <c r="M153" s="1074"/>
      <c r="N153" s="1069"/>
      <c r="P153" s="1155"/>
      <c r="Q153" s="1155"/>
      <c r="R153" s="1155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pans="1:56">
      <c r="A154" s="966">
        <f t="shared" si="10"/>
        <v>112</v>
      </c>
      <c r="B154" s="956"/>
      <c r="C154" s="956" t="s">
        <v>409</v>
      </c>
      <c r="D154" s="960"/>
      <c r="E154" s="951" t="s">
        <v>276</v>
      </c>
      <c r="F154" s="951"/>
      <c r="G154" s="951"/>
      <c r="H154" s="961"/>
      <c r="I154" s="951"/>
      <c r="J154" s="951">
        <f>'True-Up Rate Base'!R26</f>
        <v>30514178.919703688</v>
      </c>
      <c r="K154" s="956"/>
      <c r="L154" s="1020"/>
      <c r="M154" s="1074">
        <v>28890176</v>
      </c>
      <c r="N154" s="1069"/>
      <c r="P154" s="1155"/>
      <c r="Q154" s="1155"/>
      <c r="R154" s="1155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pans="1:56">
      <c r="A155" s="966">
        <f t="shared" si="10"/>
        <v>113</v>
      </c>
      <c r="B155" s="956"/>
      <c r="C155" s="979" t="s">
        <v>441</v>
      </c>
      <c r="D155" s="960"/>
      <c r="E155" s="951" t="s">
        <v>609</v>
      </c>
      <c r="F155" s="951"/>
      <c r="G155" s="951"/>
      <c r="H155" s="961"/>
      <c r="I155" s="951"/>
      <c r="J155" s="1020">
        <v>6264013</v>
      </c>
      <c r="K155" s="956"/>
      <c r="L155" s="1020"/>
      <c r="M155" s="1072">
        <v>5915017</v>
      </c>
      <c r="N155" s="1069"/>
      <c r="P155" s="1155"/>
      <c r="Q155" s="1155"/>
      <c r="R155" s="1155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pans="1:56">
      <c r="A156" s="966">
        <f t="shared" si="10"/>
        <v>114</v>
      </c>
      <c r="B156" s="956"/>
      <c r="C156" s="987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988"/>
      <c r="E156" s="982"/>
      <c r="F156" s="951"/>
      <c r="G156" s="951"/>
      <c r="H156" s="961"/>
      <c r="I156" s="951"/>
      <c r="J156" s="982">
        <f>J154-J155</f>
        <v>24250165.919703688</v>
      </c>
      <c r="K156" s="956"/>
      <c r="L156" s="1020"/>
      <c r="M156" s="1074">
        <v>22975159</v>
      </c>
      <c r="N156" s="1069"/>
      <c r="P156" s="1155"/>
      <c r="Q156" s="1155"/>
      <c r="R156" s="1155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</row>
    <row r="157" spans="1:56">
      <c r="A157" s="966">
        <f t="shared" si="10"/>
        <v>115</v>
      </c>
      <c r="B157" s="956"/>
      <c r="C157" s="979" t="str">
        <f>"Plus Common Use AC Facilities Accumulated Depreciation (line "&amp;A166&amp;")"</f>
        <v>Plus Common Use AC Facilities Accumulated Depreciation (line 124)</v>
      </c>
      <c r="D157" s="989"/>
      <c r="E157" s="963"/>
      <c r="F157" s="951"/>
      <c r="G157" s="951"/>
      <c r="H157" s="961"/>
      <c r="I157" s="951"/>
      <c r="J157" s="56">
        <f>J166</f>
        <v>2995510</v>
      </c>
      <c r="K157" s="956"/>
      <c r="L157" s="1020"/>
      <c r="M157" s="1072">
        <v>83067</v>
      </c>
      <c r="N157" s="1069"/>
      <c r="P157" s="1155"/>
      <c r="Q157" s="1155"/>
      <c r="R157" s="1155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1:56">
      <c r="A158" s="966">
        <f t="shared" si="10"/>
        <v>116</v>
      </c>
      <c r="B158" s="956"/>
      <c r="C158" s="979" t="str">
        <f>"Total Accumulated Depreciation for the CUS System (line "&amp;A156&amp;" plus line "&amp;A157&amp;")"</f>
        <v>Total Accumulated Depreciation for the CUS System (line 114 plus line 115)</v>
      </c>
      <c r="D158" s="989"/>
      <c r="E158" s="963"/>
      <c r="F158" s="951"/>
      <c r="G158" s="951"/>
      <c r="H158" s="961"/>
      <c r="I158" s="951"/>
      <c r="J158" s="982">
        <f>SUM(J156:J157)</f>
        <v>27245675.919703688</v>
      </c>
      <c r="K158" s="956"/>
      <c r="L158" s="1020"/>
      <c r="M158" s="1074">
        <v>23058226</v>
      </c>
      <c r="N158" s="1069"/>
      <c r="P158" s="1155"/>
      <c r="Q158" s="1155"/>
      <c r="R158" s="1155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</row>
    <row r="159" spans="1:56">
      <c r="A159" s="966">
        <f t="shared" si="10"/>
        <v>117</v>
      </c>
      <c r="B159" s="956"/>
      <c r="C159" s="979" t="str">
        <f>"Total CUS Accumulated Depreciation (line "&amp;A154&amp;" plus line "&amp;A157&amp;")"</f>
        <v>Total CUS Accumulated Depreciation (line 112 plus line 115)</v>
      </c>
      <c r="D159" s="989"/>
      <c r="E159" s="963"/>
      <c r="F159" s="951"/>
      <c r="G159" s="951"/>
      <c r="H159" s="961"/>
      <c r="I159" s="951"/>
      <c r="J159" s="963">
        <f>+J154+J157</f>
        <v>33509688.919703688</v>
      </c>
      <c r="K159" s="956"/>
      <c r="L159" s="1020"/>
      <c r="M159" s="1074">
        <v>28973243</v>
      </c>
      <c r="N159" s="1069"/>
      <c r="P159" s="1155"/>
      <c r="Q159" s="1155"/>
      <c r="R159" s="1155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1:56">
      <c r="A160" s="966">
        <f t="shared" si="10"/>
        <v>118</v>
      </c>
      <c r="B160" s="956"/>
      <c r="C160" s="956"/>
      <c r="D160" s="960"/>
      <c r="E160" s="951"/>
      <c r="F160" s="951"/>
      <c r="G160" s="951"/>
      <c r="H160" s="961"/>
      <c r="I160" s="951"/>
      <c r="J160" s="951"/>
      <c r="K160" s="956"/>
      <c r="L160" s="1020"/>
      <c r="M160" s="1074"/>
      <c r="N160" s="1069"/>
      <c r="P160" s="1155"/>
      <c r="Q160" s="1155"/>
      <c r="R160" s="1155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</row>
    <row r="161" spans="1:56">
      <c r="A161" s="966">
        <f t="shared" si="10"/>
        <v>119</v>
      </c>
      <c r="B161" s="956"/>
      <c r="C161" s="979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960"/>
      <c r="E161" s="951"/>
      <c r="F161" s="951"/>
      <c r="G161" s="951"/>
      <c r="H161" s="961"/>
      <c r="I161" s="951" t="s">
        <v>410</v>
      </c>
      <c r="J161" s="986">
        <f>ROUND(IF(J159&gt;0,J158/J159,0),6)</f>
        <v>0.81306900000000004</v>
      </c>
      <c r="K161" s="956"/>
      <c r="L161" s="1020"/>
      <c r="M161" s="1071">
        <v>0.79584600000000005</v>
      </c>
      <c r="N161" s="1069">
        <f>J161-M161</f>
        <v>1.7222999999999988E-2</v>
      </c>
      <c r="P161" s="1155"/>
      <c r="Q161" s="1155"/>
      <c r="R161" s="1155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</row>
    <row r="162" spans="1:56">
      <c r="A162" s="966">
        <f t="shared" si="10"/>
        <v>120</v>
      </c>
      <c r="B162" s="956"/>
      <c r="C162" s="956"/>
      <c r="D162" s="960"/>
      <c r="E162" s="951"/>
      <c r="F162" s="951"/>
      <c r="G162" s="951"/>
      <c r="H162" s="961"/>
      <c r="I162" s="951"/>
      <c r="J162" s="951"/>
      <c r="K162" s="956"/>
      <c r="L162" s="1020"/>
      <c r="M162" s="1074"/>
      <c r="N162" s="1069"/>
      <c r="P162" s="1155"/>
      <c r="Q162" s="1155"/>
      <c r="R162" s="1155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</row>
    <row r="163" spans="1:56" ht="15.75" thickBot="1">
      <c r="A163" s="966">
        <f t="shared" si="10"/>
        <v>121</v>
      </c>
      <c r="B163" s="956"/>
      <c r="C163" s="956"/>
      <c r="D163" s="960"/>
      <c r="E163" s="953" t="s">
        <v>732</v>
      </c>
      <c r="F163" s="951"/>
      <c r="G163" s="951"/>
      <c r="H163" s="961"/>
      <c r="I163" s="951"/>
      <c r="J163" s="951"/>
      <c r="K163" s="956"/>
      <c r="L163" s="1020"/>
      <c r="M163" s="1074"/>
      <c r="N163" s="1069"/>
      <c r="P163" s="1155"/>
      <c r="Q163" s="1155"/>
      <c r="R163" s="1155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</row>
    <row r="164" spans="1:56">
      <c r="A164" s="966">
        <f t="shared" si="10"/>
        <v>122</v>
      </c>
      <c r="B164" s="956"/>
      <c r="C164" s="956" t="s">
        <v>412</v>
      </c>
      <c r="D164" s="960"/>
      <c r="E164" s="951" t="s">
        <v>277</v>
      </c>
      <c r="F164" s="951"/>
      <c r="G164" s="951"/>
      <c r="H164" s="961"/>
      <c r="I164" s="951"/>
      <c r="J164" s="951">
        <f>'True-Up Rate Base'!R27</f>
        <v>96415052.397692308</v>
      </c>
      <c r="K164" s="956"/>
      <c r="L164" s="1020"/>
      <c r="M164" s="1074">
        <v>88723122</v>
      </c>
      <c r="N164" s="1069"/>
      <c r="P164" s="1155"/>
      <c r="Q164" s="1155"/>
      <c r="R164" s="1155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</row>
    <row r="165" spans="1:56">
      <c r="A165" s="966">
        <f t="shared" si="10"/>
        <v>123</v>
      </c>
      <c r="B165" s="956"/>
      <c r="C165" s="956" t="s">
        <v>611</v>
      </c>
      <c r="D165" s="960"/>
      <c r="E165" s="951"/>
      <c r="F165" s="951"/>
      <c r="G165" s="951"/>
      <c r="H165" s="961"/>
      <c r="I165" s="951"/>
      <c r="J165" s="951">
        <f>+J164-J166</f>
        <v>93419542.397692308</v>
      </c>
      <c r="K165" s="956"/>
      <c r="L165" s="1020"/>
      <c r="M165" s="1072">
        <v>88640055</v>
      </c>
      <c r="N165" s="1069"/>
      <c r="P165" s="1155"/>
      <c r="Q165" s="1155"/>
      <c r="R165" s="1155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</row>
    <row r="166" spans="1:56">
      <c r="A166" s="966">
        <f t="shared" si="10"/>
        <v>124</v>
      </c>
      <c r="B166" s="956"/>
      <c r="C166" s="990" t="str">
        <f>"Common Use AC Facilities (line "&amp;A164&amp;" less line "&amp;A165&amp;")"</f>
        <v>Common Use AC Facilities (line 122 less line 123)</v>
      </c>
      <c r="D166" s="988"/>
      <c r="E166" s="982"/>
      <c r="F166" s="951"/>
      <c r="G166" s="951"/>
      <c r="H166" s="961"/>
      <c r="I166" s="951"/>
      <c r="J166" s="1128">
        <v>2995510</v>
      </c>
      <c r="K166" s="956"/>
      <c r="L166" s="1020"/>
      <c r="M166" s="1074">
        <v>83067</v>
      </c>
      <c r="N166" s="1069"/>
      <c r="P166" s="1155"/>
      <c r="Q166" s="1155"/>
      <c r="R166" s="1155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1:56">
      <c r="A167" s="966">
        <f t="shared" si="10"/>
        <v>125</v>
      </c>
      <c r="B167" s="956"/>
      <c r="C167" s="956"/>
      <c r="D167" s="960"/>
      <c r="E167" s="951"/>
      <c r="F167" s="951"/>
      <c r="G167" s="951"/>
      <c r="H167" s="961"/>
      <c r="I167" s="951"/>
      <c r="J167" s="951"/>
      <c r="K167" s="956"/>
      <c r="L167" s="1020"/>
      <c r="M167" s="1074"/>
      <c r="N167" s="1069"/>
      <c r="P167" s="1155"/>
      <c r="Q167" s="1155"/>
      <c r="R167" s="1155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1:56">
      <c r="A168" s="966">
        <f t="shared" si="10"/>
        <v>126</v>
      </c>
      <c r="B168" s="956"/>
      <c r="C168" s="979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960"/>
      <c r="E168" s="951"/>
      <c r="F168" s="951"/>
      <c r="G168" s="951"/>
      <c r="H168" s="961"/>
      <c r="I168" s="951" t="s">
        <v>413</v>
      </c>
      <c r="J168" s="986">
        <f>ROUND(IF(J164&gt;0,J166/J164,0),6)</f>
        <v>3.1068999999999999E-2</v>
      </c>
      <c r="K168" s="956"/>
      <c r="L168" s="1020"/>
      <c r="M168" s="1071">
        <v>9.3599999999999998E-4</v>
      </c>
      <c r="N168" s="1069">
        <f>J168-M168</f>
        <v>3.0133E-2</v>
      </c>
      <c r="P168" s="1155"/>
      <c r="Q168" s="1155"/>
      <c r="R168" s="1155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1:56">
      <c r="A169" s="966">
        <f t="shared" si="10"/>
        <v>127</v>
      </c>
      <c r="B169" s="956"/>
      <c r="C169" s="956"/>
      <c r="D169" s="960"/>
      <c r="E169" s="951"/>
      <c r="F169" s="951"/>
      <c r="G169" s="951"/>
      <c r="H169" s="961"/>
      <c r="I169" s="951"/>
      <c r="J169" s="951"/>
      <c r="K169" s="956"/>
      <c r="L169" s="951"/>
      <c r="M169" s="969"/>
      <c r="P169" s="1155"/>
      <c r="Q169" s="1155"/>
      <c r="R169" s="1155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  <row r="170" spans="1:56">
      <c r="A170" s="966">
        <f t="shared" si="10"/>
        <v>128</v>
      </c>
      <c r="B170" s="956"/>
      <c r="C170" s="970" t="s">
        <v>731</v>
      </c>
      <c r="D170" s="951"/>
      <c r="E170" s="951"/>
      <c r="F170" s="951"/>
      <c r="G170" s="951"/>
      <c r="H170" s="951"/>
      <c r="I170" s="951"/>
      <c r="J170" s="951"/>
      <c r="K170" s="951"/>
      <c r="L170" s="951"/>
      <c r="M170" s="969"/>
      <c r="P170" s="1155"/>
      <c r="Q170" s="1155"/>
      <c r="R170" s="1155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</row>
    <row r="171" spans="1:56" ht="15.75" thickBot="1">
      <c r="A171" s="966">
        <f t="shared" si="10"/>
        <v>129</v>
      </c>
      <c r="B171" s="956"/>
      <c r="C171" s="970"/>
      <c r="D171" s="953" t="s">
        <v>732</v>
      </c>
      <c r="E171" s="991" t="s">
        <v>733</v>
      </c>
      <c r="F171" s="991" t="s">
        <v>671</v>
      </c>
      <c r="G171" s="951"/>
      <c r="H171" s="991" t="s">
        <v>734</v>
      </c>
      <c r="I171" s="963"/>
      <c r="J171" s="992"/>
      <c r="K171" s="951"/>
      <c r="L171" s="951"/>
      <c r="M171" s="969"/>
      <c r="P171" s="1155"/>
      <c r="Q171" s="1155"/>
      <c r="R171" s="1155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1:56">
      <c r="A172" s="966">
        <f t="shared" si="10"/>
        <v>130</v>
      </c>
      <c r="B172" s="956"/>
      <c r="C172" s="970" t="s">
        <v>686</v>
      </c>
      <c r="D172" s="951" t="s">
        <v>559</v>
      </c>
      <c r="E172" s="1131">
        <v>1278270</v>
      </c>
      <c r="F172" s="993">
        <f>+J143</f>
        <v>0.81261899999999998</v>
      </c>
      <c r="G172" s="956"/>
      <c r="H172" s="951">
        <f>E172*F172</f>
        <v>1038746.48913</v>
      </c>
      <c r="I172" s="963"/>
      <c r="J172" s="994"/>
      <c r="K172" s="951"/>
      <c r="L172" s="951"/>
      <c r="M172" s="969"/>
      <c r="P172" s="1155"/>
      <c r="Q172" s="1155"/>
      <c r="R172" s="1155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</row>
    <row r="173" spans="1:56">
      <c r="A173" s="966">
        <f t="shared" si="10"/>
        <v>131</v>
      </c>
      <c r="B173" s="956"/>
      <c r="C173" s="970" t="s">
        <v>577</v>
      </c>
      <c r="D173" s="951" t="s">
        <v>578</v>
      </c>
      <c r="E173" s="1131">
        <v>19239933</v>
      </c>
      <c r="F173" s="993">
        <v>0</v>
      </c>
      <c r="G173" s="993"/>
      <c r="H173" s="951">
        <f>E173*F173</f>
        <v>0</v>
      </c>
      <c r="I173" s="963"/>
      <c r="J173" s="992" t="s">
        <v>735</v>
      </c>
      <c r="K173" s="951"/>
      <c r="L173" s="951"/>
      <c r="M173" s="969"/>
      <c r="P173" s="1155"/>
      <c r="Q173" s="1155"/>
      <c r="R173" s="1155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</row>
    <row r="174" spans="1:56" ht="15.75" thickBot="1">
      <c r="A174" s="966">
        <f t="shared" si="10"/>
        <v>132</v>
      </c>
      <c r="B174" s="956"/>
      <c r="C174" s="970" t="s">
        <v>579</v>
      </c>
      <c r="D174" s="951" t="s">
        <v>580</v>
      </c>
      <c r="E174" s="1134">
        <v>-7884217</v>
      </c>
      <c r="F174" s="993">
        <v>0</v>
      </c>
      <c r="G174" s="993"/>
      <c r="H174" s="953">
        <f>E174*F174</f>
        <v>0</v>
      </c>
      <c r="I174" s="963"/>
      <c r="J174" s="977" t="s">
        <v>737</v>
      </c>
      <c r="K174" s="951"/>
      <c r="L174" s="951"/>
      <c r="M174" s="969"/>
      <c r="P174" s="1155"/>
      <c r="Q174" s="1155"/>
      <c r="R174" s="1155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1:56">
      <c r="A175" s="966">
        <f t="shared" si="10"/>
        <v>133</v>
      </c>
      <c r="B175" s="956"/>
      <c r="C175" s="970" t="str">
        <f>"  Adjusted Total  (sum lines "&amp;A173&amp;"-"&amp;A174&amp;")"</f>
        <v xml:space="preserve">  Adjusted Total  (sum lines 131-132)</v>
      </c>
      <c r="D175" s="951"/>
      <c r="E175" s="951">
        <f>SUM(E173:E174)</f>
        <v>11355716</v>
      </c>
      <c r="F175" s="951"/>
      <c r="G175" s="956"/>
      <c r="H175" s="951">
        <f>SUM(H172:H174)</f>
        <v>1038746.48913</v>
      </c>
      <c r="I175" s="951" t="s">
        <v>447</v>
      </c>
      <c r="J175" s="950">
        <f>IF(E175&gt;0,+H175/E175,0)</f>
        <v>9.1473447304423611E-2</v>
      </c>
      <c r="K175" s="961"/>
      <c r="L175" s="951"/>
      <c r="M175" s="969"/>
      <c r="P175" s="1155"/>
      <c r="Q175" s="1155"/>
      <c r="R175" s="1155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1:56">
      <c r="A176" s="966">
        <f t="shared" si="10"/>
        <v>134</v>
      </c>
      <c r="B176" s="956"/>
      <c r="C176" s="970"/>
      <c r="D176" s="951"/>
      <c r="E176" s="951"/>
      <c r="F176" s="951"/>
      <c r="G176" s="951"/>
      <c r="H176" s="951"/>
      <c r="I176" s="951"/>
      <c r="J176" s="951"/>
      <c r="K176" s="951"/>
      <c r="L176" s="951"/>
      <c r="M176" s="995"/>
      <c r="P176" s="1155"/>
      <c r="Q176" s="1155"/>
      <c r="R176" s="1155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1:56">
      <c r="A177" s="966">
        <f t="shared" si="10"/>
        <v>135</v>
      </c>
      <c r="B177" s="956"/>
      <c r="C177" s="970" t="s">
        <v>560</v>
      </c>
      <c r="D177" s="951"/>
      <c r="E177" s="951"/>
      <c r="F177" s="951"/>
      <c r="G177" s="951"/>
      <c r="H177" s="951"/>
      <c r="I177" s="951"/>
      <c r="J177" s="951"/>
      <c r="K177" s="951"/>
      <c r="L177" s="951"/>
      <c r="M177" s="969"/>
      <c r="P177" s="1155"/>
      <c r="Q177" s="1155"/>
      <c r="R177" s="1155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1:56" ht="15.75" thickBot="1">
      <c r="A178" s="966">
        <f t="shared" si="10"/>
        <v>136</v>
      </c>
      <c r="B178" s="956"/>
      <c r="C178" s="970"/>
      <c r="D178" s="951"/>
      <c r="E178" s="991" t="s">
        <v>733</v>
      </c>
      <c r="F178" s="991" t="s">
        <v>749</v>
      </c>
      <c r="G178" s="973" t="s">
        <v>671</v>
      </c>
      <c r="H178" s="996" t="s">
        <v>563</v>
      </c>
      <c r="I178" s="968"/>
      <c r="J178" s="954"/>
      <c r="K178" s="956"/>
      <c r="L178" s="951"/>
      <c r="M178" s="969"/>
      <c r="P178" s="1155"/>
      <c r="Q178" s="1155"/>
      <c r="R178" s="1155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</row>
    <row r="179" spans="1:56">
      <c r="A179" s="966">
        <f t="shared" si="10"/>
        <v>137</v>
      </c>
      <c r="B179" s="956"/>
      <c r="C179" s="970" t="s">
        <v>561</v>
      </c>
      <c r="D179" s="997" t="s">
        <v>278</v>
      </c>
      <c r="E179" s="951">
        <f>'True-Up Rate Base'!Q36</f>
        <v>83436790.619710669</v>
      </c>
      <c r="F179" s="998">
        <f>IF(E181&gt;0,+E179/E181,0)</f>
        <v>0.28960174721450593</v>
      </c>
      <c r="G179" s="999">
        <f>+J143</f>
        <v>0.81261899999999998</v>
      </c>
      <c r="H179" s="1000">
        <f>IF(F179&gt;0,+G179*F179,0)</f>
        <v>0.23533588221970458</v>
      </c>
      <c r="I179" s="1001"/>
      <c r="J179" s="966"/>
      <c r="K179" s="951"/>
      <c r="L179" s="951"/>
      <c r="M179" s="969"/>
      <c r="P179" s="1155"/>
      <c r="Q179" s="1155"/>
      <c r="R179" s="1155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</row>
    <row r="180" spans="1:56">
      <c r="A180" s="966">
        <f t="shared" si="10"/>
        <v>138</v>
      </c>
      <c r="B180" s="956"/>
      <c r="C180" s="970" t="s">
        <v>562</v>
      </c>
      <c r="D180" s="997" t="s">
        <v>279</v>
      </c>
      <c r="E180" s="951">
        <f>'True-Up Rate Base'!Q37</f>
        <v>204671936.00999999</v>
      </c>
      <c r="F180" s="998">
        <f>IF(E181&gt;0,+E180/E181,0)</f>
        <v>0.71039825278549396</v>
      </c>
      <c r="G180" s="956"/>
      <c r="H180" s="965"/>
      <c r="I180" s="961"/>
      <c r="J180" s="965"/>
      <c r="K180" s="968"/>
      <c r="L180" s="951"/>
      <c r="M180" s="969"/>
      <c r="P180" s="1155"/>
      <c r="Q180" s="1155"/>
      <c r="R180" s="1155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  <row r="181" spans="1:56">
      <c r="A181" s="966">
        <f t="shared" si="10"/>
        <v>139</v>
      </c>
      <c r="B181" s="956"/>
      <c r="C181" s="970" t="str">
        <f>"  Total  (sum lines "&amp;A179&amp;" - "&amp;A180&amp;")"</f>
        <v xml:space="preserve">  Total  (sum lines 137 - 138)</v>
      </c>
      <c r="D181" s="951"/>
      <c r="E181" s="982">
        <f>SUM(E179:E180)</f>
        <v>288108726.62971067</v>
      </c>
      <c r="F181" s="1002">
        <f>SUM(F179:F180)</f>
        <v>0.99999999999999989</v>
      </c>
      <c r="G181" s="951"/>
      <c r="H181" s="951"/>
      <c r="I181" s="951" t="s">
        <v>564</v>
      </c>
      <c r="J181" s="1003">
        <f>+H179</f>
        <v>0.23533588221970458</v>
      </c>
      <c r="K181" s="951"/>
      <c r="L181" s="951"/>
      <c r="M181" s="969"/>
      <c r="P181" s="1155"/>
      <c r="Q181" s="1155"/>
      <c r="R181" s="1155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</row>
    <row r="182" spans="1:56">
      <c r="A182" s="966">
        <f t="shared" si="10"/>
        <v>140</v>
      </c>
      <c r="B182" s="956"/>
      <c r="C182" s="970"/>
      <c r="D182" s="951"/>
      <c r="E182" s="956"/>
      <c r="F182" s="951"/>
      <c r="G182" s="951"/>
      <c r="H182" s="951"/>
      <c r="I182" s="951"/>
      <c r="J182" s="1003"/>
      <c r="K182" s="951"/>
      <c r="L182" s="951"/>
      <c r="M182" s="969"/>
      <c r="P182" s="1157"/>
      <c r="Q182" s="1157"/>
      <c r="R182" s="1155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</row>
    <row r="183" spans="1:56" s="830" customFormat="1" ht="15.75" thickBot="1">
      <c r="A183" s="966">
        <f t="shared" si="10"/>
        <v>141</v>
      </c>
      <c r="B183" s="1004"/>
      <c r="C183" s="1005" t="s">
        <v>747</v>
      </c>
      <c r="D183" s="973" t="s">
        <v>732</v>
      </c>
      <c r="E183" s="951"/>
      <c r="F183" s="951"/>
      <c r="G183" s="951"/>
      <c r="H183" s="951"/>
      <c r="I183" s="951"/>
      <c r="J183" s="991" t="s">
        <v>733</v>
      </c>
      <c r="K183" s="951"/>
      <c r="L183" s="995"/>
      <c r="M183" s="969"/>
      <c r="P183" s="1155"/>
      <c r="Q183" s="1155"/>
      <c r="R183" s="1157"/>
    </row>
    <row r="184" spans="1:56">
      <c r="A184" s="966">
        <f t="shared" si="10"/>
        <v>142</v>
      </c>
      <c r="B184" s="1004"/>
      <c r="C184" s="960" t="s">
        <v>890</v>
      </c>
      <c r="D184" s="951" t="s">
        <v>893</v>
      </c>
      <c r="E184" s="951"/>
      <c r="F184" s="951"/>
      <c r="G184" s="951"/>
      <c r="H184" s="951"/>
      <c r="I184" s="951"/>
      <c r="J184" s="1130">
        <f>17290858+230534+264466</f>
        <v>17785858</v>
      </c>
      <c r="K184" s="951"/>
      <c r="L184" s="951"/>
      <c r="M184" s="969"/>
      <c r="P184" s="1155"/>
      <c r="Q184" s="1155"/>
      <c r="R184" s="1155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</row>
    <row r="185" spans="1:56">
      <c r="A185" s="966">
        <f t="shared" si="10"/>
        <v>143</v>
      </c>
      <c r="B185" s="1006"/>
      <c r="C185" s="970"/>
      <c r="D185" s="951"/>
      <c r="E185" s="951"/>
      <c r="F185" s="951"/>
      <c r="G185" s="951"/>
      <c r="H185" s="951"/>
      <c r="I185" s="951"/>
      <c r="J185" s="951"/>
      <c r="K185" s="951"/>
      <c r="L185" s="951"/>
      <c r="M185" s="969"/>
      <c r="P185" s="1155"/>
      <c r="Q185" s="1155"/>
      <c r="R185" s="1155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</row>
    <row r="186" spans="1:56">
      <c r="A186" s="966">
        <f t="shared" si="10"/>
        <v>144</v>
      </c>
      <c r="B186" s="1004"/>
      <c r="C186" s="970" t="s">
        <v>891</v>
      </c>
      <c r="D186" s="951" t="s">
        <v>892</v>
      </c>
      <c r="E186" s="951"/>
      <c r="F186" s="951"/>
      <c r="G186" s="951"/>
      <c r="H186" s="951"/>
      <c r="I186" s="951"/>
      <c r="J186" s="955">
        <v>0</v>
      </c>
      <c r="K186" s="951"/>
      <c r="L186" s="951"/>
      <c r="M186" s="969"/>
      <c r="P186" s="1155"/>
      <c r="Q186" s="1155"/>
      <c r="R186" s="1155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</row>
    <row r="187" spans="1:56">
      <c r="A187" s="966">
        <f t="shared" si="10"/>
        <v>145</v>
      </c>
      <c r="B187" s="1004"/>
      <c r="C187" s="970"/>
      <c r="D187" s="951"/>
      <c r="E187" s="951"/>
      <c r="F187" s="951"/>
      <c r="G187" s="951"/>
      <c r="H187" s="951"/>
      <c r="I187" s="951"/>
      <c r="J187" s="951"/>
      <c r="K187" s="951"/>
      <c r="L187" s="951"/>
      <c r="M187" s="969"/>
      <c r="P187" s="1155"/>
      <c r="Q187" s="1155"/>
      <c r="R187" s="1155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</row>
    <row r="188" spans="1:56">
      <c r="A188" s="966">
        <f t="shared" si="10"/>
        <v>146</v>
      </c>
      <c r="B188" s="1004"/>
      <c r="C188" s="1005" t="s">
        <v>894</v>
      </c>
      <c r="D188" s="973" t="s">
        <v>732</v>
      </c>
      <c r="E188" s="951"/>
      <c r="F188" s="951"/>
      <c r="G188" s="951"/>
      <c r="H188" s="951"/>
      <c r="I188" s="951"/>
      <c r="J188" s="951"/>
      <c r="K188" s="951"/>
      <c r="L188" s="951"/>
      <c r="M188" s="969"/>
      <c r="P188" s="1155"/>
      <c r="Q188" s="1155"/>
      <c r="R188" s="1155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</row>
    <row r="189" spans="1:56">
      <c r="A189" s="966">
        <f t="shared" si="10"/>
        <v>147</v>
      </c>
      <c r="B189" s="1004"/>
      <c r="C189" s="970" t="s">
        <v>239</v>
      </c>
      <c r="D189" s="951" t="s">
        <v>895</v>
      </c>
      <c r="E189" s="960"/>
      <c r="F189" s="951"/>
      <c r="G189" s="951"/>
      <c r="H189" s="951"/>
      <c r="I189" s="951"/>
      <c r="J189" s="1130">
        <v>319458461</v>
      </c>
      <c r="K189" s="951"/>
      <c r="L189" s="951"/>
      <c r="M189" s="969"/>
      <c r="P189" s="1155"/>
      <c r="Q189" s="1155"/>
      <c r="R189" s="1155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</row>
    <row r="190" spans="1:56">
      <c r="A190" s="966">
        <f t="shared" si="10"/>
        <v>148</v>
      </c>
      <c r="B190" s="1004"/>
      <c r="C190" s="970" t="s">
        <v>897</v>
      </c>
      <c r="D190" s="951" t="s">
        <v>898</v>
      </c>
      <c r="E190" s="951"/>
      <c r="F190" s="951"/>
      <c r="G190" s="951"/>
      <c r="H190" s="951"/>
      <c r="I190" s="951"/>
      <c r="J190" s="955"/>
      <c r="K190" s="951"/>
      <c r="L190" s="951"/>
      <c r="M190" s="969"/>
      <c r="P190" s="1155"/>
      <c r="Q190" s="1155"/>
      <c r="R190" s="1155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</row>
    <row r="191" spans="1:56">
      <c r="A191" s="966">
        <f t="shared" si="10"/>
        <v>149</v>
      </c>
      <c r="B191" s="1004"/>
      <c r="C191" s="970" t="s">
        <v>899</v>
      </c>
      <c r="D191" s="951" t="s">
        <v>900</v>
      </c>
      <c r="E191" s="951"/>
      <c r="F191" s="951"/>
      <c r="G191" s="951"/>
      <c r="H191" s="951"/>
      <c r="I191" s="951"/>
      <c r="J191" s="958"/>
      <c r="K191" s="951"/>
      <c r="L191" s="951"/>
      <c r="M191" s="969"/>
      <c r="P191" s="1155"/>
      <c r="Q191" s="1155"/>
      <c r="R191" s="1155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</row>
    <row r="192" spans="1:56" ht="15.75" thickBot="1">
      <c r="A192" s="966">
        <f t="shared" si="10"/>
        <v>150</v>
      </c>
      <c r="B192" s="1004"/>
      <c r="C192" s="970" t="s">
        <v>901</v>
      </c>
      <c r="D192" s="951" t="s">
        <v>902</v>
      </c>
      <c r="E192" s="951"/>
      <c r="F192" s="951"/>
      <c r="G192" s="951"/>
      <c r="H192" s="951"/>
      <c r="I192" s="951"/>
      <c r="J192" s="1129">
        <v>1420133</v>
      </c>
      <c r="K192" s="951"/>
      <c r="L192" s="951"/>
      <c r="M192" s="969"/>
      <c r="P192" s="1155"/>
      <c r="Q192" s="1155"/>
      <c r="R192" s="1155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</row>
    <row r="193" spans="1:56">
      <c r="A193" s="966">
        <f t="shared" si="10"/>
        <v>151</v>
      </c>
      <c r="B193" s="1004"/>
      <c r="C193" s="1007" t="s">
        <v>903</v>
      </c>
      <c r="D193" s="951"/>
      <c r="E193" s="960" t="str">
        <f>"(sum lines "&amp;A189&amp;"-"&amp;A192&amp;")"</f>
        <v>(sum lines 147-150)</v>
      </c>
      <c r="F193" s="960"/>
      <c r="G193" s="960"/>
      <c r="H193" s="960"/>
      <c r="I193" s="960"/>
      <c r="J193" s="955">
        <f>SUM(J189:J192)</f>
        <v>320878594</v>
      </c>
      <c r="K193" s="951"/>
      <c r="L193" s="951"/>
      <c r="M193" s="969"/>
      <c r="P193" s="1155"/>
      <c r="Q193" s="1155"/>
      <c r="R193" s="1155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</row>
    <row r="194" spans="1:56">
      <c r="A194" s="966">
        <f t="shared" si="10"/>
        <v>152</v>
      </c>
      <c r="B194" s="956"/>
      <c r="C194" s="970"/>
      <c r="D194" s="951"/>
      <c r="E194" s="951"/>
      <c r="F194" s="951"/>
      <c r="G194" s="951"/>
      <c r="H194" s="961"/>
      <c r="I194" s="951"/>
      <c r="J194" s="951"/>
      <c r="K194" s="951"/>
      <c r="L194" s="951"/>
      <c r="M194" s="969"/>
      <c r="P194" s="1155"/>
      <c r="Q194" s="1155"/>
      <c r="R194" s="1155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</row>
    <row r="195" spans="1:56" ht="15.75" thickBot="1">
      <c r="A195" s="966">
        <f t="shared" si="10"/>
        <v>153</v>
      </c>
      <c r="B195" s="956"/>
      <c r="C195" s="970"/>
      <c r="D195" s="50" t="s">
        <v>732</v>
      </c>
      <c r="E195" s="1100" t="s">
        <v>733</v>
      </c>
      <c r="F195" s="977" t="s">
        <v>749</v>
      </c>
      <c r="G195" s="951"/>
      <c r="H195" s="977" t="s">
        <v>748</v>
      </c>
      <c r="I195" s="951"/>
      <c r="J195" s="977" t="s">
        <v>750</v>
      </c>
      <c r="K195" s="951"/>
      <c r="L195" s="951"/>
      <c r="M195" s="969"/>
      <c r="P195" s="1155"/>
      <c r="Q195" s="1155"/>
      <c r="R195" s="1155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</row>
    <row r="196" spans="1:56">
      <c r="A196" s="966">
        <f t="shared" si="10"/>
        <v>154</v>
      </c>
      <c r="B196" s="956"/>
      <c r="C196" s="978" t="s">
        <v>885</v>
      </c>
      <c r="D196" s="780" t="s">
        <v>1069</v>
      </c>
      <c r="E196" s="1131">
        <v>269943910</v>
      </c>
      <c r="F196" s="1008">
        <v>0.43</v>
      </c>
      <c r="G196" s="1009"/>
      <c r="H196" s="998">
        <f>IF(E196&gt;0,+J184/E196,0)</f>
        <v>6.5887235611279391E-2</v>
      </c>
      <c r="I196" s="956"/>
      <c r="J196" s="998">
        <f>H196*F196</f>
        <v>2.8331511312850138E-2</v>
      </c>
      <c r="K196" s="1010"/>
      <c r="L196" s="951"/>
      <c r="M196" s="969"/>
      <c r="P196" s="1155"/>
      <c r="Q196" s="1155"/>
      <c r="R196" s="1155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</row>
    <row r="197" spans="1:56">
      <c r="A197" s="966">
        <f t="shared" si="10"/>
        <v>155</v>
      </c>
      <c r="B197" s="956"/>
      <c r="C197" s="978" t="s">
        <v>886</v>
      </c>
      <c r="D197" s="1011" t="s">
        <v>898</v>
      </c>
      <c r="E197" s="951"/>
      <c r="F197" s="1008">
        <f>IF($E$199&gt;0,E197/$E$199,0)</f>
        <v>0</v>
      </c>
      <c r="G197" s="1009"/>
      <c r="H197" s="998">
        <f>IF(E197&gt;0,J186/E197,0)</f>
        <v>0</v>
      </c>
      <c r="I197" s="956"/>
      <c r="J197" s="998">
        <f>H197*F197</f>
        <v>0</v>
      </c>
      <c r="K197" s="951"/>
      <c r="L197" s="951"/>
      <c r="M197" s="969"/>
      <c r="P197" s="1155"/>
      <c r="Q197" s="1155"/>
      <c r="R197" s="1155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</row>
    <row r="198" spans="1:56" ht="15.75" thickBot="1">
      <c r="A198" s="966">
        <f t="shared" si="10"/>
        <v>156</v>
      </c>
      <c r="B198" s="956"/>
      <c r="C198" s="1007" t="s">
        <v>904</v>
      </c>
      <c r="D198" s="1011" t="str">
        <f>"(see above line "&amp;A193&amp;")"</f>
        <v>(see above line 151)</v>
      </c>
      <c r="E198" s="953">
        <f>+J193</f>
        <v>320878594</v>
      </c>
      <c r="F198" s="1008">
        <v>0.56999999999999995</v>
      </c>
      <c r="G198" s="956" t="s">
        <v>612</v>
      </c>
      <c r="H198" s="998">
        <v>0.108</v>
      </c>
      <c r="I198" s="956" t="s">
        <v>612</v>
      </c>
      <c r="J198" s="1012">
        <f>H198*F198</f>
        <v>6.1559999999999997E-2</v>
      </c>
      <c r="K198" s="951"/>
      <c r="L198" s="951"/>
      <c r="M198" s="969"/>
      <c r="P198" s="1155"/>
      <c r="Q198" s="1155"/>
      <c r="R198" s="1155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</row>
    <row r="199" spans="1:56">
      <c r="A199" s="966">
        <f t="shared" si="10"/>
        <v>157</v>
      </c>
      <c r="B199" s="956"/>
      <c r="C199" s="970" t="str">
        <f>"Total  (sum lines "&amp;A196&amp;"-"&amp;A198&amp;")"</f>
        <v>Total  (sum lines 154-156)</v>
      </c>
      <c r="D199" s="956"/>
      <c r="E199" s="951">
        <f>E198+E197+E196</f>
        <v>590822504</v>
      </c>
      <c r="F199" s="951" t="s">
        <v>665</v>
      </c>
      <c r="G199" s="951"/>
      <c r="H199" s="951"/>
      <c r="I199" s="951" t="s">
        <v>920</v>
      </c>
      <c r="J199" s="998">
        <f>SUM(J196:J198)</f>
        <v>8.9891511312850142E-2</v>
      </c>
      <c r="K199" s="1010"/>
      <c r="L199" s="951"/>
      <c r="M199" s="969"/>
      <c r="P199" s="1155"/>
      <c r="Q199" s="1155"/>
      <c r="R199" s="1155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</row>
    <row r="200" spans="1:56">
      <c r="A200" s="966"/>
      <c r="B200" s="956"/>
      <c r="C200" s="970"/>
      <c r="D200" s="956"/>
      <c r="E200" s="951"/>
      <c r="F200" s="951"/>
      <c r="G200" s="951"/>
      <c r="H200" s="951"/>
      <c r="I200" s="951"/>
      <c r="J200" s="998"/>
      <c r="K200" s="1010"/>
      <c r="L200" s="951"/>
      <c r="M200" s="969"/>
      <c r="P200" s="1155"/>
      <c r="Q200" s="1155"/>
      <c r="R200" s="1155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</row>
    <row r="201" spans="1:56">
      <c r="A201" s="956"/>
      <c r="B201" s="956"/>
      <c r="C201" s="956"/>
      <c r="D201" s="956"/>
      <c r="E201" s="956"/>
      <c r="F201" s="951"/>
      <c r="G201" s="951"/>
      <c r="H201" s="969"/>
      <c r="I201" s="974" t="str">
        <f>$I$2</f>
        <v>Service Year</v>
      </c>
      <c r="J201" s="960">
        <f>$J$2</f>
        <v>2012</v>
      </c>
      <c r="K201" s="969"/>
      <c r="L201" s="951"/>
      <c r="M201" s="969"/>
      <c r="P201" s="1155"/>
      <c r="Q201" s="1155"/>
      <c r="R201" s="1155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</row>
    <row r="202" spans="1:56" ht="15.75">
      <c r="A202" s="966"/>
      <c r="B202" s="956"/>
      <c r="C202" s="970"/>
      <c r="D202" s="960"/>
      <c r="E202" s="951"/>
      <c r="F202" s="951"/>
      <c r="G202" s="951"/>
      <c r="H202" s="951"/>
      <c r="I202" s="960"/>
      <c r="J202" s="951"/>
      <c r="K202" s="960"/>
      <c r="L202" s="975"/>
      <c r="M202" s="969"/>
      <c r="P202" s="1155"/>
      <c r="Q202" s="1155"/>
      <c r="R202" s="1155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</row>
    <row r="203" spans="1:56" ht="15.75">
      <c r="A203" s="1171" t="s">
        <v>855</v>
      </c>
      <c r="B203" s="1171"/>
      <c r="C203" s="1171"/>
      <c r="D203" s="1171"/>
      <c r="E203" s="1171"/>
      <c r="F203" s="1171"/>
      <c r="G203" s="1171"/>
      <c r="H203" s="1171"/>
      <c r="I203" s="1171"/>
      <c r="J203" s="1171"/>
      <c r="K203" s="1171"/>
      <c r="L203" s="966"/>
      <c r="M203" s="969"/>
      <c r="P203" s="1155"/>
      <c r="Q203" s="1155"/>
      <c r="R203" s="1155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</row>
    <row r="204" spans="1:56" ht="15.75">
      <c r="A204" s="1172" t="s">
        <v>666</v>
      </c>
      <c r="B204" s="1172"/>
      <c r="C204" s="1172"/>
      <c r="D204" s="1172"/>
      <c r="E204" s="1172"/>
      <c r="F204" s="1172"/>
      <c r="G204" s="1172"/>
      <c r="H204" s="1172"/>
      <c r="I204" s="1172"/>
      <c r="J204" s="1172"/>
      <c r="K204" s="1172"/>
      <c r="L204" s="966"/>
      <c r="M204" s="969"/>
      <c r="P204" s="1155"/>
      <c r="Q204" s="1155"/>
      <c r="R204" s="1155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</row>
    <row r="205" spans="1:56">
      <c r="A205" s="956"/>
      <c r="B205" s="956"/>
      <c r="C205" s="960"/>
      <c r="D205" s="960"/>
      <c r="E205" s="969"/>
      <c r="F205" s="960"/>
      <c r="G205" s="960"/>
      <c r="H205" s="960"/>
      <c r="I205" s="960"/>
      <c r="J205" s="960"/>
      <c r="K205" s="960"/>
      <c r="L205" s="966"/>
      <c r="M205" s="969"/>
      <c r="P205" s="1155"/>
      <c r="Q205" s="1155"/>
      <c r="R205" s="1155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</row>
    <row r="206" spans="1:56" ht="15.75">
      <c r="A206" s="1169" t="s">
        <v>851</v>
      </c>
      <c r="B206" s="1169"/>
      <c r="C206" s="1169"/>
      <c r="D206" s="1169"/>
      <c r="E206" s="1169"/>
      <c r="F206" s="1169"/>
      <c r="G206" s="1169"/>
      <c r="H206" s="1169"/>
      <c r="I206" s="1169"/>
      <c r="J206" s="1169"/>
      <c r="K206" s="1169"/>
      <c r="L206" s="966"/>
      <c r="M206" s="969"/>
      <c r="P206" s="1155"/>
      <c r="Q206" s="1155"/>
      <c r="R206" s="1155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</row>
    <row r="207" spans="1:56">
      <c r="A207" s="966"/>
      <c r="B207" s="979"/>
      <c r="C207" s="1013"/>
      <c r="D207" s="966"/>
      <c r="E207" s="951"/>
      <c r="F207" s="951"/>
      <c r="G207" s="951"/>
      <c r="H207" s="951"/>
      <c r="I207" s="979"/>
      <c r="J207" s="1014"/>
      <c r="K207" s="1015"/>
      <c r="L207" s="966"/>
      <c r="M207" s="969"/>
      <c r="P207" s="1155"/>
      <c r="Q207" s="1155"/>
      <c r="R207" s="1155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</row>
    <row r="208" spans="1:56">
      <c r="A208" s="956"/>
      <c r="B208" s="979"/>
      <c r="C208" s="978"/>
      <c r="D208" s="966"/>
      <c r="E208" s="951"/>
      <c r="F208" s="951"/>
      <c r="G208" s="951"/>
      <c r="H208" s="951"/>
      <c r="I208" s="979"/>
      <c r="J208" s="951"/>
      <c r="K208" s="979"/>
      <c r="L208" s="966"/>
      <c r="M208" s="969"/>
      <c r="P208" s="1155"/>
      <c r="Q208" s="1155"/>
      <c r="R208" s="1155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</row>
    <row r="209" spans="1:56">
      <c r="A209" s="966"/>
      <c r="B209" s="979"/>
      <c r="C209" s="978"/>
      <c r="D209" s="966"/>
      <c r="E209" s="951"/>
      <c r="F209" s="951"/>
      <c r="G209" s="951"/>
      <c r="H209" s="951"/>
      <c r="I209" s="979"/>
      <c r="J209" s="951"/>
      <c r="K209" s="979"/>
      <c r="L209" s="966"/>
      <c r="M209" s="969"/>
      <c r="P209" s="1155"/>
      <c r="Q209" s="1155"/>
      <c r="R209" s="1155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</row>
    <row r="210" spans="1:56">
      <c r="A210" s="966"/>
      <c r="B210" s="979"/>
      <c r="C210" s="978"/>
      <c r="D210" s="966"/>
      <c r="E210" s="951"/>
      <c r="F210" s="951"/>
      <c r="G210" s="951"/>
      <c r="H210" s="951"/>
      <c r="I210" s="979"/>
      <c r="J210" s="951"/>
      <c r="K210" s="979"/>
      <c r="L210" s="966"/>
      <c r="M210" s="969"/>
      <c r="P210" s="1155"/>
      <c r="Q210" s="1155"/>
      <c r="R210" s="1155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</row>
    <row r="211" spans="1:56">
      <c r="A211" s="966" t="s">
        <v>751</v>
      </c>
      <c r="B211" s="979"/>
      <c r="C211" s="978"/>
      <c r="D211" s="979"/>
      <c r="E211" s="951"/>
      <c r="F211" s="951"/>
      <c r="G211" s="951"/>
      <c r="H211" s="951"/>
      <c r="I211" s="979"/>
      <c r="J211" s="951"/>
      <c r="K211" s="979"/>
      <c r="L211" s="966"/>
      <c r="M211" s="969"/>
      <c r="P211" s="1155"/>
      <c r="Q211" s="1155"/>
      <c r="R211" s="1155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</row>
    <row r="212" spans="1:56" ht="15.75" thickBot="1">
      <c r="A212" s="977" t="s">
        <v>752</v>
      </c>
      <c r="B212" s="979"/>
      <c r="C212" s="978"/>
      <c r="D212" s="979"/>
      <c r="E212" s="951"/>
      <c r="F212" s="951"/>
      <c r="G212" s="951"/>
      <c r="H212" s="951"/>
      <c r="I212" s="979"/>
      <c r="J212" s="951"/>
      <c r="K212" s="979"/>
      <c r="L212" s="966"/>
      <c r="M212" s="969"/>
      <c r="P212" s="1155"/>
      <c r="Q212" s="1155"/>
      <c r="R212" s="1155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</row>
    <row r="213" spans="1:56">
      <c r="A213" s="966"/>
      <c r="B213" s="979"/>
      <c r="C213" s="978"/>
      <c r="D213" s="979"/>
      <c r="E213" s="951"/>
      <c r="F213" s="951"/>
      <c r="G213" s="951"/>
      <c r="H213" s="951"/>
      <c r="I213" s="979"/>
      <c r="J213" s="951"/>
      <c r="K213" s="979"/>
      <c r="L213" s="966"/>
      <c r="M213" s="969"/>
      <c r="P213" s="1155"/>
      <c r="Q213" s="1155"/>
      <c r="R213" s="1155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</row>
    <row r="214" spans="1:56">
      <c r="A214" s="956"/>
      <c r="B214" s="956"/>
      <c r="C214" s="956"/>
      <c r="D214" s="956"/>
      <c r="E214" s="956"/>
      <c r="F214" s="956"/>
      <c r="G214" s="956"/>
      <c r="H214" s="956"/>
      <c r="I214" s="956"/>
      <c r="J214" s="979"/>
      <c r="K214" s="979"/>
      <c r="L214" s="966"/>
      <c r="M214" s="969"/>
      <c r="P214" s="1155"/>
      <c r="Q214" s="1155"/>
      <c r="R214" s="1155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</row>
    <row r="215" spans="1:56">
      <c r="A215" s="966" t="s">
        <v>753</v>
      </c>
      <c r="B215" s="979"/>
      <c r="C215" s="979" t="s">
        <v>922</v>
      </c>
      <c r="D215" s="979"/>
      <c r="E215" s="979"/>
      <c r="F215" s="979"/>
      <c r="G215" s="979"/>
      <c r="H215" s="979"/>
      <c r="I215" s="979"/>
      <c r="J215" s="979"/>
      <c r="K215" s="979"/>
      <c r="L215" s="966"/>
      <c r="M215" s="969"/>
      <c r="P215" s="1155"/>
      <c r="Q215" s="1155"/>
      <c r="R215" s="1155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</row>
    <row r="216" spans="1:56">
      <c r="A216" s="966"/>
      <c r="B216" s="979"/>
      <c r="C216" s="979" t="s">
        <v>415</v>
      </c>
      <c r="D216" s="979"/>
      <c r="E216" s="979"/>
      <c r="F216" s="979"/>
      <c r="G216" s="979"/>
      <c r="H216" s="979"/>
      <c r="I216" s="979"/>
      <c r="J216" s="979"/>
      <c r="K216" s="979"/>
      <c r="L216" s="966"/>
      <c r="M216" s="969"/>
      <c r="P216" s="1155"/>
      <c r="Q216" s="1155"/>
      <c r="R216" s="1155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</row>
    <row r="217" spans="1:56">
      <c r="A217" s="966"/>
      <c r="B217" s="979"/>
      <c r="C217" s="979" t="s">
        <v>505</v>
      </c>
      <c r="D217" s="979"/>
      <c r="E217" s="979"/>
      <c r="F217" s="979"/>
      <c r="G217" s="979"/>
      <c r="H217" s="979"/>
      <c r="I217" s="979"/>
      <c r="J217" s="979"/>
      <c r="K217" s="979"/>
      <c r="L217" s="966"/>
      <c r="M217" s="969"/>
      <c r="P217" s="1155"/>
      <c r="Q217" s="1155"/>
      <c r="R217" s="1155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</row>
    <row r="218" spans="1:56">
      <c r="A218" s="966" t="s">
        <v>754</v>
      </c>
      <c r="B218" s="979"/>
      <c r="C218" s="979" t="s">
        <v>760</v>
      </c>
      <c r="D218" s="979"/>
      <c r="E218" s="979"/>
      <c r="F218" s="979"/>
      <c r="G218" s="979"/>
      <c r="H218" s="979"/>
      <c r="I218" s="979"/>
      <c r="J218" s="979"/>
      <c r="K218" s="979"/>
      <c r="L218" s="966"/>
      <c r="M218" s="969"/>
      <c r="P218" s="1155"/>
      <c r="Q218" s="1155"/>
      <c r="R218" s="1155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</row>
    <row r="219" spans="1:56">
      <c r="A219" s="966" t="s">
        <v>755</v>
      </c>
      <c r="B219" s="979"/>
      <c r="C219" s="979" t="s">
        <v>370</v>
      </c>
      <c r="D219" s="979"/>
      <c r="E219" s="979"/>
      <c r="F219" s="979"/>
      <c r="G219" s="979"/>
      <c r="H219" s="979"/>
      <c r="I219" s="979"/>
      <c r="J219" s="979"/>
      <c r="K219" s="979"/>
      <c r="L219" s="966"/>
      <c r="M219" s="969"/>
      <c r="P219" s="1155"/>
      <c r="Q219" s="1155"/>
      <c r="R219" s="1155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</row>
    <row r="220" spans="1:56">
      <c r="A220" s="746" t="s">
        <v>756</v>
      </c>
      <c r="B220" s="38"/>
      <c r="C220" s="38" t="s">
        <v>440</v>
      </c>
      <c r="D220" s="979"/>
      <c r="E220" s="979"/>
      <c r="F220" s="979"/>
      <c r="G220" s="979"/>
      <c r="H220" s="979"/>
      <c r="I220" s="979"/>
      <c r="J220" s="979"/>
      <c r="K220" s="979"/>
      <c r="L220" s="966"/>
      <c r="M220" s="969"/>
      <c r="P220" s="1155"/>
      <c r="Q220" s="1155"/>
      <c r="R220" s="1155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</row>
    <row r="221" spans="1:56">
      <c r="A221" s="966" t="s">
        <v>757</v>
      </c>
      <c r="B221" s="979"/>
      <c r="C221" s="979" t="s">
        <v>569</v>
      </c>
      <c r="D221" s="979"/>
      <c r="E221" s="979"/>
      <c r="F221" s="979"/>
      <c r="G221" s="979"/>
      <c r="H221" s="979"/>
      <c r="I221" s="979"/>
      <c r="J221" s="979"/>
      <c r="K221" s="979"/>
      <c r="L221" s="966"/>
      <c r="M221" s="969"/>
      <c r="P221" s="1155"/>
      <c r="Q221" s="1155"/>
      <c r="R221" s="1155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</row>
    <row r="222" spans="1:56">
      <c r="A222" s="966"/>
      <c r="B222" s="979"/>
      <c r="C222" s="956" t="s">
        <v>570</v>
      </c>
      <c r="D222" s="979"/>
      <c r="E222" s="979"/>
      <c r="F222" s="979"/>
      <c r="G222" s="979"/>
      <c r="H222" s="979"/>
      <c r="I222" s="979"/>
      <c r="J222" s="979"/>
      <c r="K222" s="979"/>
      <c r="L222" s="966"/>
      <c r="M222" s="969"/>
      <c r="P222" s="1155"/>
      <c r="Q222" s="1155"/>
      <c r="R222" s="1155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</row>
    <row r="223" spans="1:56">
      <c r="A223" s="966" t="s">
        <v>758</v>
      </c>
      <c r="B223" s="979"/>
      <c r="C223" s="979" t="s">
        <v>763</v>
      </c>
      <c r="D223" s="979"/>
      <c r="E223" s="979"/>
      <c r="F223" s="979"/>
      <c r="G223" s="979"/>
      <c r="H223" s="979"/>
      <c r="I223" s="979"/>
      <c r="J223" s="979"/>
      <c r="K223" s="979"/>
      <c r="L223" s="966"/>
      <c r="M223" s="969"/>
      <c r="P223" s="1155"/>
      <c r="Q223" s="1155"/>
      <c r="R223" s="1155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</row>
    <row r="224" spans="1:56">
      <c r="A224" s="966"/>
      <c r="B224" s="979"/>
      <c r="C224" s="979" t="s">
        <v>652</v>
      </c>
      <c r="D224" s="979"/>
      <c r="E224" s="979"/>
      <c r="F224" s="979"/>
      <c r="G224" s="979"/>
      <c r="H224" s="979"/>
      <c r="I224" s="979"/>
      <c r="J224" s="979"/>
      <c r="K224" s="979"/>
      <c r="L224" s="966"/>
      <c r="M224" s="969"/>
      <c r="P224" s="1155"/>
      <c r="Q224" s="1155"/>
      <c r="R224" s="1155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</row>
    <row r="225" spans="1:56">
      <c r="A225" s="966"/>
      <c r="B225" s="979"/>
      <c r="C225" s="979" t="s">
        <v>790</v>
      </c>
      <c r="D225" s="979"/>
      <c r="E225" s="979"/>
      <c r="F225" s="979"/>
      <c r="G225" s="979"/>
      <c r="H225" s="979"/>
      <c r="I225" s="979"/>
      <c r="J225" s="979"/>
      <c r="K225" s="979"/>
      <c r="L225" s="966"/>
      <c r="M225" s="969"/>
      <c r="P225" s="1155"/>
      <c r="Q225" s="1155"/>
      <c r="R225" s="1155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</row>
    <row r="226" spans="1:56">
      <c r="A226" s="966" t="s">
        <v>759</v>
      </c>
      <c r="B226" s="979"/>
      <c r="C226" s="979" t="s">
        <v>770</v>
      </c>
      <c r="D226" s="979"/>
      <c r="E226" s="979"/>
      <c r="F226" s="979"/>
      <c r="G226" s="979"/>
      <c r="H226" s="979"/>
      <c r="I226" s="979"/>
      <c r="J226" s="979"/>
      <c r="K226" s="979"/>
      <c r="L226" s="966"/>
      <c r="M226" s="969"/>
      <c r="P226" s="1155"/>
      <c r="Q226" s="1155"/>
      <c r="R226" s="1155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</row>
    <row r="227" spans="1:56">
      <c r="A227" s="966"/>
      <c r="B227" s="979"/>
      <c r="C227" s="979" t="s">
        <v>772</v>
      </c>
      <c r="D227" s="979"/>
      <c r="E227" s="979"/>
      <c r="F227" s="979"/>
      <c r="G227" s="979"/>
      <c r="H227" s="979"/>
      <c r="I227" s="979"/>
      <c r="J227" s="979"/>
      <c r="K227" s="979"/>
      <c r="L227" s="966"/>
      <c r="M227" s="969"/>
      <c r="P227" s="1155"/>
      <c r="Q227" s="1155"/>
      <c r="R227" s="1155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</row>
    <row r="228" spans="1:56">
      <c r="A228" s="966"/>
      <c r="B228" s="979"/>
      <c r="C228" s="979" t="s">
        <v>773</v>
      </c>
      <c r="D228" s="979"/>
      <c r="E228" s="979"/>
      <c r="F228" s="979"/>
      <c r="G228" s="979"/>
      <c r="H228" s="979"/>
      <c r="I228" s="979"/>
      <c r="J228" s="979"/>
      <c r="K228" s="979"/>
      <c r="L228" s="966"/>
      <c r="M228" s="969"/>
      <c r="P228" s="1155"/>
      <c r="Q228" s="1155"/>
      <c r="R228" s="1155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</row>
    <row r="229" spans="1:56">
      <c r="A229" s="966"/>
      <c r="B229" s="979"/>
      <c r="C229" s="979" t="s">
        <v>774</v>
      </c>
      <c r="D229" s="979"/>
      <c r="E229" s="979"/>
      <c r="F229" s="979"/>
      <c r="G229" s="979"/>
      <c r="H229" s="979"/>
      <c r="I229" s="979"/>
      <c r="J229" s="979"/>
      <c r="K229" s="979"/>
      <c r="L229" s="966"/>
      <c r="M229" s="969"/>
      <c r="P229" s="1155"/>
      <c r="Q229" s="1155"/>
      <c r="R229" s="1155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</row>
    <row r="230" spans="1:56">
      <c r="A230" s="966"/>
      <c r="B230" s="979"/>
      <c r="C230" s="979" t="s">
        <v>775</v>
      </c>
      <c r="D230" s="979"/>
      <c r="E230" s="979"/>
      <c r="F230" s="979"/>
      <c r="G230" s="979"/>
      <c r="H230" s="979"/>
      <c r="I230" s="979"/>
      <c r="J230" s="979"/>
      <c r="K230" s="979"/>
      <c r="L230" s="966"/>
      <c r="M230" s="969"/>
      <c r="P230" s="1155"/>
      <c r="Q230" s="1155"/>
      <c r="R230" s="1155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</row>
    <row r="231" spans="1:56">
      <c r="A231" s="966"/>
      <c r="B231" s="979"/>
      <c r="C231" s="979" t="s">
        <v>506</v>
      </c>
      <c r="D231" s="979"/>
      <c r="E231" s="979"/>
      <c r="F231" s="979"/>
      <c r="G231" s="979"/>
      <c r="H231" s="979"/>
      <c r="I231" s="979"/>
      <c r="J231" s="979"/>
      <c r="K231" s="979"/>
      <c r="L231" s="966"/>
      <c r="M231" s="969"/>
      <c r="P231" s="1155"/>
      <c r="Q231" s="1155"/>
      <c r="R231" s="1155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</row>
    <row r="232" spans="1:56">
      <c r="A232" s="966" t="s">
        <v>665</v>
      </c>
      <c r="B232" s="979"/>
      <c r="C232" s="979" t="s">
        <v>783</v>
      </c>
      <c r="D232" s="979" t="s">
        <v>776</v>
      </c>
      <c r="E232" s="1016">
        <v>0.35</v>
      </c>
      <c r="F232" s="979"/>
      <c r="G232" s="979"/>
      <c r="H232" s="979"/>
      <c r="I232" s="979"/>
      <c r="J232" s="979"/>
      <c r="K232" s="979"/>
      <c r="L232" s="966"/>
      <c r="M232" s="969"/>
      <c r="P232" s="1155"/>
      <c r="Q232" s="1155"/>
      <c r="R232" s="1155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</row>
    <row r="233" spans="1:56">
      <c r="A233" s="966"/>
      <c r="B233" s="979"/>
      <c r="C233" s="979"/>
      <c r="D233" s="979" t="s">
        <v>777</v>
      </c>
      <c r="E233" s="1016">
        <v>0</v>
      </c>
      <c r="F233" s="979" t="s">
        <v>778</v>
      </c>
      <c r="G233" s="979"/>
      <c r="H233" s="979"/>
      <c r="I233" s="979"/>
      <c r="J233" s="979"/>
      <c r="K233" s="979"/>
      <c r="L233" s="966"/>
      <c r="M233" s="969"/>
      <c r="P233" s="1155"/>
      <c r="Q233" s="1155"/>
      <c r="R233" s="1155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</row>
    <row r="234" spans="1:56">
      <c r="A234" s="966"/>
      <c r="B234" s="979"/>
      <c r="C234" s="979"/>
      <c r="D234" s="979" t="s">
        <v>779</v>
      </c>
      <c r="E234" s="1016">
        <v>0</v>
      </c>
      <c r="F234" s="979" t="s">
        <v>780</v>
      </c>
      <c r="G234" s="979"/>
      <c r="H234" s="979"/>
      <c r="I234" s="979"/>
      <c r="J234" s="979"/>
      <c r="K234" s="979"/>
      <c r="L234" s="966"/>
      <c r="M234" s="969"/>
      <c r="R234" s="1155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</row>
    <row r="235" spans="1:56">
      <c r="A235" s="1017" t="s">
        <v>761</v>
      </c>
      <c r="B235" s="956"/>
      <c r="C235" s="956" t="s">
        <v>357</v>
      </c>
      <c r="D235" s="956"/>
      <c r="E235" s="956"/>
      <c r="F235" s="956"/>
      <c r="G235" s="956"/>
      <c r="H235" s="956"/>
      <c r="I235" s="956"/>
      <c r="J235" s="956"/>
      <c r="K235" s="956"/>
      <c r="L235" s="956"/>
      <c r="M235" s="969"/>
    </row>
    <row r="236" spans="1:56">
      <c r="A236" s="969"/>
      <c r="B236" s="969"/>
      <c r="C236" s="978" t="s">
        <v>356</v>
      </c>
      <c r="D236" s="969"/>
      <c r="E236" s="969"/>
      <c r="F236" s="969"/>
      <c r="G236" s="969"/>
      <c r="H236" s="969"/>
      <c r="I236" s="969"/>
      <c r="J236" s="969"/>
      <c r="K236" s="969"/>
      <c r="L236" s="969"/>
      <c r="M236" s="969"/>
    </row>
    <row r="237" spans="1:56">
      <c r="A237" s="1018" t="s">
        <v>762</v>
      </c>
      <c r="B237" s="969"/>
      <c r="C237" s="978" t="s">
        <v>313</v>
      </c>
      <c r="D237" s="969"/>
      <c r="E237" s="969"/>
      <c r="F237" s="969"/>
      <c r="G237" s="969"/>
      <c r="H237" s="969"/>
      <c r="I237" s="969"/>
      <c r="J237" s="969"/>
      <c r="K237" s="969"/>
      <c r="L237" s="969"/>
      <c r="M237" s="969"/>
    </row>
    <row r="238" spans="1:56">
      <c r="A238" s="969"/>
      <c r="B238" s="969"/>
      <c r="C238" s="969"/>
      <c r="D238" s="969"/>
      <c r="E238" s="969"/>
      <c r="F238" s="969"/>
      <c r="G238" s="969"/>
      <c r="H238" s="969"/>
      <c r="I238" s="969"/>
      <c r="J238" s="969"/>
      <c r="K238" s="969"/>
      <c r="L238" s="969"/>
      <c r="M238" s="969"/>
    </row>
    <row r="239" spans="1:56">
      <c r="A239" s="969"/>
      <c r="B239" s="969"/>
      <c r="C239" s="969"/>
      <c r="D239" s="969"/>
      <c r="E239" s="969"/>
      <c r="F239" s="969"/>
      <c r="G239" s="969"/>
      <c r="H239" s="969"/>
      <c r="I239" s="969"/>
      <c r="J239" s="969"/>
      <c r="K239" s="969"/>
      <c r="L239" s="969"/>
      <c r="M239" s="969"/>
    </row>
    <row r="240" spans="1:56">
      <c r="A240" s="969"/>
      <c r="B240" s="969"/>
      <c r="C240" s="969"/>
      <c r="D240" s="969"/>
      <c r="E240" s="969"/>
      <c r="F240" s="969"/>
      <c r="G240" s="969"/>
      <c r="H240" s="969"/>
      <c r="I240" s="969"/>
      <c r="J240" s="969"/>
      <c r="K240" s="969"/>
      <c r="L240" s="969"/>
      <c r="M240" s="969"/>
    </row>
    <row r="241" spans="1:13">
      <c r="A241" s="969"/>
      <c r="B241" s="969"/>
      <c r="C241" s="969"/>
      <c r="D241" s="969"/>
      <c r="E241" s="969"/>
      <c r="F241" s="969"/>
      <c r="G241" s="969"/>
      <c r="H241" s="969"/>
      <c r="I241" s="969"/>
      <c r="J241" s="969"/>
      <c r="K241" s="969"/>
      <c r="L241" s="969"/>
      <c r="M241" s="969"/>
    </row>
    <row r="242" spans="1:13">
      <c r="A242" s="969"/>
      <c r="B242" s="969"/>
      <c r="C242" s="969"/>
      <c r="D242" s="969"/>
      <c r="E242" s="969"/>
      <c r="F242" s="969"/>
      <c r="G242" s="969"/>
      <c r="H242" s="969"/>
      <c r="I242" s="969"/>
      <c r="J242" s="969"/>
      <c r="K242" s="969"/>
      <c r="L242" s="969"/>
      <c r="M242" s="969"/>
    </row>
  </sheetData>
  <mergeCells count="16">
    <mergeCell ref="A203:K203"/>
    <mergeCell ref="A204:K204"/>
    <mergeCell ref="A206:K206"/>
    <mergeCell ref="A130:K130"/>
    <mergeCell ref="A4:K4"/>
    <mergeCell ref="A5:K5"/>
    <mergeCell ref="A7:K7"/>
    <mergeCell ref="A66:K66"/>
    <mergeCell ref="A67:K67"/>
    <mergeCell ref="A69:K69"/>
    <mergeCell ref="L12:O12"/>
    <mergeCell ref="L15:N15"/>
    <mergeCell ref="L134:N134"/>
    <mergeCell ref="A125:K125"/>
    <mergeCell ref="A126:K126"/>
    <mergeCell ref="A128:K128"/>
  </mergeCells>
  <phoneticPr fontId="29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3" manualBreakCount="3">
    <brk id="62" max="12" man="1"/>
    <brk id="122" max="12" man="1"/>
    <brk id="199" max="12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P75"/>
  <sheetViews>
    <sheetView topLeftCell="A10" zoomScaleNormal="100" zoomScalePageLayoutView="81" workbookViewId="0">
      <selection activeCell="J37" sqref="J37"/>
    </sheetView>
  </sheetViews>
  <sheetFormatPr defaultRowHeight="12.75"/>
  <cols>
    <col min="1" max="1" width="3.77734375" style="802" customWidth="1"/>
    <col min="2" max="2" width="2.5546875" style="802" customWidth="1"/>
    <col min="3" max="3" width="3" style="802" customWidth="1"/>
    <col min="4" max="4" width="2.44140625" style="802" customWidth="1"/>
    <col min="5" max="6" width="8.88671875" style="802"/>
    <col min="7" max="7" width="1.77734375" style="802" customWidth="1"/>
    <col min="8" max="11" width="8.88671875" style="802"/>
    <col min="12" max="12" width="15" style="802" customWidth="1"/>
    <col min="13" max="13" width="11.88671875" style="802" customWidth="1"/>
    <col min="14" max="14" width="9.77734375" style="802" customWidth="1"/>
    <col min="15" max="16384" width="8.88671875" style="802"/>
  </cols>
  <sheetData>
    <row r="1" spans="1:16" ht="15.75">
      <c r="B1" s="892"/>
      <c r="C1" s="892"/>
      <c r="D1" s="892"/>
      <c r="E1" s="892"/>
      <c r="F1" s="892"/>
      <c r="G1" s="892"/>
      <c r="H1" s="892"/>
      <c r="I1" s="892"/>
      <c r="J1" s="892"/>
      <c r="K1" s="892"/>
      <c r="L1" s="892"/>
      <c r="M1" s="892"/>
      <c r="N1" s="892"/>
      <c r="O1" s="892"/>
      <c r="P1" s="892"/>
    </row>
    <row r="3" spans="1:16">
      <c r="A3" s="885" t="s">
        <v>667</v>
      </c>
      <c r="B3" s="890"/>
      <c r="C3" s="890"/>
      <c r="D3" s="890"/>
      <c r="E3" s="890"/>
      <c r="F3" s="890"/>
      <c r="G3" s="890"/>
      <c r="H3" s="890"/>
      <c r="I3" s="890"/>
      <c r="J3" s="890"/>
      <c r="K3" s="890"/>
      <c r="L3" s="890"/>
      <c r="M3" s="890"/>
      <c r="N3" s="890"/>
      <c r="O3" s="890"/>
      <c r="P3" s="890"/>
    </row>
    <row r="4" spans="1:16">
      <c r="A4" s="886" t="s">
        <v>668</v>
      </c>
    </row>
    <row r="5" spans="1:16" s="845" customFormat="1">
      <c r="A5" s="939">
        <v>1</v>
      </c>
      <c r="B5" s="1030" t="s">
        <v>1067</v>
      </c>
    </row>
    <row r="6" spans="1:16" s="845" customFormat="1">
      <c r="A6" s="939">
        <f>A5+1</f>
        <v>2</v>
      </c>
    </row>
    <row r="7" spans="1:16" s="845" customFormat="1">
      <c r="A7" s="939">
        <f t="shared" ref="A7:A71" si="0">A6+1</f>
        <v>3</v>
      </c>
      <c r="B7" s="845" t="s">
        <v>584</v>
      </c>
      <c r="D7" s="1030" t="s">
        <v>1068</v>
      </c>
    </row>
    <row r="8" spans="1:16" s="845" customFormat="1">
      <c r="A8" s="939">
        <f t="shared" si="0"/>
        <v>4</v>
      </c>
      <c r="E8" s="845" t="s">
        <v>588</v>
      </c>
    </row>
    <row r="9" spans="1:16" s="845" customFormat="1">
      <c r="A9" s="939">
        <f t="shared" si="0"/>
        <v>5</v>
      </c>
      <c r="E9" s="845" t="s">
        <v>585</v>
      </c>
    </row>
    <row r="10" spans="1:16" s="845" customFormat="1">
      <c r="A10" s="939">
        <f t="shared" si="0"/>
        <v>6</v>
      </c>
      <c r="E10" s="845" t="s">
        <v>586</v>
      </c>
    </row>
    <row r="11" spans="1:16" s="845" customFormat="1">
      <c r="A11" s="939">
        <f t="shared" si="0"/>
        <v>7</v>
      </c>
    </row>
    <row r="12" spans="1:16" s="845" customFormat="1">
      <c r="A12" s="939">
        <f t="shared" si="0"/>
        <v>8</v>
      </c>
      <c r="B12" s="845" t="s">
        <v>587</v>
      </c>
      <c r="D12" s="845" t="s">
        <v>589</v>
      </c>
    </row>
    <row r="13" spans="1:16" s="845" customFormat="1">
      <c r="A13" s="939">
        <f t="shared" si="0"/>
        <v>9</v>
      </c>
      <c r="E13" s="845" t="s">
        <v>590</v>
      </c>
    </row>
    <row r="14" spans="1:16" s="845" customFormat="1">
      <c r="A14" s="939">
        <f t="shared" si="0"/>
        <v>10</v>
      </c>
    </row>
    <row r="15" spans="1:16" s="845" customFormat="1">
      <c r="A15" s="939">
        <f t="shared" si="0"/>
        <v>11</v>
      </c>
      <c r="B15" s="845" t="s">
        <v>591</v>
      </c>
      <c r="D15" s="845" t="s">
        <v>592</v>
      </c>
    </row>
    <row r="16" spans="1:16" s="845" customFormat="1">
      <c r="A16" s="939">
        <f t="shared" si="0"/>
        <v>12</v>
      </c>
    </row>
    <row r="17" spans="1:8" s="845" customFormat="1">
      <c r="A17" s="939">
        <f t="shared" si="0"/>
        <v>13</v>
      </c>
      <c r="D17" s="845" t="s">
        <v>238</v>
      </c>
    </row>
    <row r="18" spans="1:8" s="845" customFormat="1">
      <c r="A18" s="939">
        <f t="shared" si="0"/>
        <v>14</v>
      </c>
    </row>
    <row r="19" spans="1:8" s="845" customFormat="1">
      <c r="A19" s="939">
        <f t="shared" si="0"/>
        <v>15</v>
      </c>
      <c r="D19" s="845" t="s">
        <v>593</v>
      </c>
      <c r="F19" s="940" t="s">
        <v>594</v>
      </c>
      <c r="G19" s="845" t="s">
        <v>236</v>
      </c>
    </row>
    <row r="20" spans="1:8" s="845" customFormat="1">
      <c r="A20" s="939">
        <f t="shared" si="0"/>
        <v>16</v>
      </c>
      <c r="H20" s="845" t="s">
        <v>528</v>
      </c>
    </row>
    <row r="21" spans="1:8" s="845" customFormat="1">
      <c r="A21" s="939">
        <f t="shared" si="0"/>
        <v>17</v>
      </c>
      <c r="H21" s="845" t="s">
        <v>237</v>
      </c>
    </row>
    <row r="22" spans="1:8" s="845" customFormat="1">
      <c r="A22" s="939">
        <f t="shared" si="0"/>
        <v>18</v>
      </c>
    </row>
    <row r="23" spans="1:8" s="845" customFormat="1">
      <c r="A23" s="939">
        <f t="shared" si="0"/>
        <v>19</v>
      </c>
      <c r="B23" s="941" t="s">
        <v>1045</v>
      </c>
    </row>
    <row r="24" spans="1:8" s="845" customFormat="1">
      <c r="A24" s="939">
        <f t="shared" si="0"/>
        <v>20</v>
      </c>
    </row>
    <row r="25" spans="1:8" s="845" customFormat="1">
      <c r="A25" s="939">
        <f t="shared" si="0"/>
        <v>21</v>
      </c>
      <c r="E25" s="803" t="s">
        <v>627</v>
      </c>
      <c r="F25" s="803" t="s">
        <v>628</v>
      </c>
      <c r="G25" s="942" t="s">
        <v>629</v>
      </c>
    </row>
    <row r="26" spans="1:8" s="845" customFormat="1">
      <c r="A26" s="939">
        <f t="shared" si="0"/>
        <v>22</v>
      </c>
      <c r="B26" s="943" t="s">
        <v>327</v>
      </c>
      <c r="E26" s="803"/>
      <c r="F26" s="803"/>
      <c r="G26" s="944"/>
    </row>
    <row r="27" spans="1:8" s="845" customFormat="1">
      <c r="A27" s="939">
        <f t="shared" si="0"/>
        <v>23</v>
      </c>
      <c r="C27" s="845" t="s">
        <v>330</v>
      </c>
      <c r="E27" s="803" t="s">
        <v>631</v>
      </c>
      <c r="F27" s="803">
        <v>2012</v>
      </c>
      <c r="G27" s="1031" t="s">
        <v>1046</v>
      </c>
    </row>
    <row r="28" spans="1:8" s="845" customFormat="1">
      <c r="A28" s="939">
        <f t="shared" si="0"/>
        <v>24</v>
      </c>
      <c r="C28" s="845" t="s">
        <v>331</v>
      </c>
      <c r="E28" s="803" t="s">
        <v>631</v>
      </c>
      <c r="F28" s="803">
        <v>2012</v>
      </c>
      <c r="G28" s="1031" t="s">
        <v>1047</v>
      </c>
    </row>
    <row r="29" spans="1:8" s="845" customFormat="1">
      <c r="A29" s="939">
        <f t="shared" si="0"/>
        <v>25</v>
      </c>
      <c r="C29" s="845" t="s">
        <v>332</v>
      </c>
      <c r="E29" s="803" t="str">
        <f>+E27</f>
        <v>May</v>
      </c>
      <c r="F29" s="803">
        <v>2012</v>
      </c>
      <c r="G29" s="1031" t="s">
        <v>1048</v>
      </c>
    </row>
    <row r="30" spans="1:8" s="845" customFormat="1">
      <c r="A30" s="939">
        <f t="shared" si="0"/>
        <v>26</v>
      </c>
      <c r="C30" s="845" t="s">
        <v>333</v>
      </c>
      <c r="E30" s="803" t="s">
        <v>328</v>
      </c>
      <c r="F30" s="803">
        <v>2012</v>
      </c>
      <c r="G30" s="942" t="s">
        <v>329</v>
      </c>
    </row>
    <row r="31" spans="1:8" s="845" customFormat="1">
      <c r="A31" s="939">
        <f t="shared" si="0"/>
        <v>27</v>
      </c>
      <c r="E31" s="803"/>
      <c r="F31" s="803"/>
      <c r="G31" s="942"/>
    </row>
    <row r="32" spans="1:8" s="845" customFormat="1">
      <c r="A32" s="939">
        <f t="shared" si="0"/>
        <v>28</v>
      </c>
      <c r="B32" s="943" t="s">
        <v>335</v>
      </c>
      <c r="E32" s="945"/>
      <c r="F32" s="803"/>
      <c r="G32" s="942"/>
    </row>
    <row r="33" spans="1:15" s="845" customFormat="1">
      <c r="A33" s="939">
        <f t="shared" si="0"/>
        <v>29</v>
      </c>
      <c r="C33" s="845" t="s">
        <v>334</v>
      </c>
      <c r="E33" s="803" t="s">
        <v>622</v>
      </c>
      <c r="F33" s="803">
        <v>2012</v>
      </c>
      <c r="G33" s="1031" t="s">
        <v>1049</v>
      </c>
    </row>
    <row r="34" spans="1:15" s="845" customFormat="1">
      <c r="A34" s="939">
        <f t="shared" si="0"/>
        <v>30</v>
      </c>
      <c r="C34" s="845" t="s">
        <v>336</v>
      </c>
      <c r="E34" s="803" t="s">
        <v>622</v>
      </c>
      <c r="F34" s="803">
        <v>2012</v>
      </c>
      <c r="G34" s="1031" t="s">
        <v>1050</v>
      </c>
    </row>
    <row r="35" spans="1:15" s="845" customFormat="1">
      <c r="A35" s="939">
        <f t="shared" si="0"/>
        <v>31</v>
      </c>
      <c r="C35" s="845" t="s">
        <v>337</v>
      </c>
      <c r="E35" s="803" t="s">
        <v>622</v>
      </c>
      <c r="F35" s="803">
        <v>2012</v>
      </c>
      <c r="G35" s="942" t="s">
        <v>314</v>
      </c>
    </row>
    <row r="36" spans="1:15" s="845" customFormat="1">
      <c r="A36" s="939">
        <f t="shared" si="0"/>
        <v>32</v>
      </c>
      <c r="C36" s="845" t="s">
        <v>338</v>
      </c>
      <c r="E36" s="803" t="s">
        <v>622</v>
      </c>
      <c r="F36" s="803">
        <v>2012</v>
      </c>
      <c r="G36" s="942" t="s">
        <v>340</v>
      </c>
    </row>
    <row r="37" spans="1:15" s="845" customFormat="1">
      <c r="A37" s="939">
        <f t="shared" si="0"/>
        <v>33</v>
      </c>
      <c r="C37" s="845" t="s">
        <v>339</v>
      </c>
      <c r="E37" s="803" t="s">
        <v>596</v>
      </c>
      <c r="F37" s="803">
        <v>2012</v>
      </c>
      <c r="G37" s="942" t="s">
        <v>241</v>
      </c>
    </row>
    <row r="38" spans="1:15" s="845" customFormat="1">
      <c r="A38" s="939">
        <f t="shared" si="0"/>
        <v>34</v>
      </c>
      <c r="C38" s="845" t="s">
        <v>240</v>
      </c>
      <c r="E38" s="945" t="s">
        <v>598</v>
      </c>
      <c r="F38" s="803">
        <v>2013</v>
      </c>
      <c r="G38" s="942" t="s">
        <v>341</v>
      </c>
    </row>
    <row r="39" spans="1:15" s="845" customFormat="1">
      <c r="A39" s="939">
        <f t="shared" si="0"/>
        <v>35</v>
      </c>
    </row>
    <row r="40" spans="1:15" s="845" customFormat="1">
      <c r="A40" s="939">
        <f t="shared" si="0"/>
        <v>36</v>
      </c>
      <c r="E40" s="845" t="s">
        <v>599</v>
      </c>
      <c r="F40" s="845" t="s">
        <v>600</v>
      </c>
    </row>
    <row r="41" spans="1:15" s="845" customFormat="1">
      <c r="A41" s="939">
        <f t="shared" si="0"/>
        <v>37</v>
      </c>
      <c r="F41" s="845" t="s">
        <v>601</v>
      </c>
    </row>
    <row r="42" spans="1:15" s="845" customFormat="1">
      <c r="A42" s="939">
        <f t="shared" si="0"/>
        <v>38</v>
      </c>
      <c r="F42" s="845" t="s">
        <v>602</v>
      </c>
    </row>
    <row r="43" spans="1:15" s="845" customFormat="1">
      <c r="A43" s="939">
        <f t="shared" si="0"/>
        <v>39</v>
      </c>
      <c r="F43" s="845" t="s">
        <v>529</v>
      </c>
    </row>
    <row r="44" spans="1:15" s="845" customFormat="1">
      <c r="A44" s="939">
        <f t="shared" si="0"/>
        <v>40</v>
      </c>
      <c r="F44" s="845" t="s">
        <v>614</v>
      </c>
    </row>
    <row r="45" spans="1:15" s="845" customFormat="1">
      <c r="A45" s="939">
        <f t="shared" si="0"/>
        <v>41</v>
      </c>
      <c r="F45" s="845" t="s">
        <v>615</v>
      </c>
    </row>
    <row r="46" spans="1:15" s="845" customFormat="1">
      <c r="A46" s="939">
        <f t="shared" si="0"/>
        <v>42</v>
      </c>
    </row>
    <row r="47" spans="1:15" s="845" customFormat="1">
      <c r="A47" s="939">
        <f t="shared" si="0"/>
        <v>43</v>
      </c>
      <c r="F47" s="1030" t="s">
        <v>1066</v>
      </c>
    </row>
    <row r="48" spans="1:15">
      <c r="A48" s="876">
        <f t="shared" si="0"/>
        <v>44</v>
      </c>
      <c r="D48" s="890"/>
      <c r="E48" s="890"/>
      <c r="F48" s="890"/>
      <c r="G48" s="890"/>
      <c r="H48" s="890"/>
      <c r="I48" s="890"/>
      <c r="J48" s="890"/>
      <c r="K48" s="890"/>
      <c r="L48" s="890"/>
      <c r="M48" s="890" t="s">
        <v>678</v>
      </c>
      <c r="N48" s="890" t="s">
        <v>801</v>
      </c>
      <c r="O48" s="852"/>
    </row>
    <row r="49" spans="1:15">
      <c r="A49" s="876">
        <f t="shared" si="0"/>
        <v>45</v>
      </c>
      <c r="C49" s="802" t="s">
        <v>753</v>
      </c>
      <c r="D49" s="890" t="str">
        <f>"True-Up Amount (Transmission see pg 2 line "&amp;'True-Up'!A119&amp;" and Schedule 1 see pg 8 line "&amp;'BHP Sch. 1'!A22&amp;")"</f>
        <v>True-Up Amount (Transmission see pg 2 line 92 and Schedule 1 see pg 8 line 12)</v>
      </c>
      <c r="E49" s="890"/>
      <c r="F49" s="890"/>
      <c r="G49" s="890"/>
      <c r="H49" s="890"/>
      <c r="I49" s="890"/>
      <c r="J49" s="890"/>
      <c r="K49" s="890"/>
      <c r="L49" s="890"/>
      <c r="M49" s="1146">
        <f>+'True-Up'!J119</f>
        <v>1310962.4159788676</v>
      </c>
      <c r="N49" s="1146">
        <f>+'BHP Sch. 1'!D22</f>
        <v>-179975</v>
      </c>
      <c r="O49" s="854"/>
    </row>
    <row r="50" spans="1:15">
      <c r="A50" s="876">
        <f t="shared" si="0"/>
        <v>46</v>
      </c>
      <c r="C50" s="802" t="s">
        <v>754</v>
      </c>
      <c r="D50" s="890" t="s">
        <v>315</v>
      </c>
      <c r="E50" s="890"/>
      <c r="F50" s="890"/>
      <c r="G50" s="890"/>
      <c r="H50" s="890"/>
      <c r="I50" s="890"/>
      <c r="J50" s="890"/>
      <c r="K50" s="1147"/>
      <c r="L50" s="890"/>
      <c r="M50" s="1148">
        <f>ROUND((1+$K$74)^18,2)</f>
        <v>1.05</v>
      </c>
      <c r="N50" s="1148">
        <f>ROUND((1+$K$74)^18,2)</f>
        <v>1.05</v>
      </c>
      <c r="O50" s="854"/>
    </row>
    <row r="51" spans="1:15">
      <c r="A51" s="876">
        <f t="shared" si="0"/>
        <v>47</v>
      </c>
      <c r="C51" s="802" t="s">
        <v>755</v>
      </c>
      <c r="D51" s="890" t="s">
        <v>1090</v>
      </c>
      <c r="E51" s="890"/>
      <c r="F51" s="890"/>
      <c r="G51" s="890"/>
      <c r="H51" s="890"/>
      <c r="I51" s="890"/>
      <c r="J51" s="890"/>
      <c r="K51" s="1147"/>
      <c r="L51" s="890"/>
      <c r="M51" s="1149">
        <f>+M49*M50</f>
        <v>1376510.5367778109</v>
      </c>
      <c r="N51" s="1150">
        <f>+N49*N50</f>
        <v>-188973.75</v>
      </c>
      <c r="O51" s="854"/>
    </row>
    <row r="52" spans="1:15">
      <c r="A52" s="876">
        <f t="shared" si="0"/>
        <v>48</v>
      </c>
      <c r="K52" s="804"/>
      <c r="O52" s="804"/>
    </row>
    <row r="53" spans="1:15">
      <c r="A53" s="876">
        <f t="shared" si="0"/>
        <v>49</v>
      </c>
      <c r="E53" s="802" t="s">
        <v>593</v>
      </c>
      <c r="F53" s="802" t="s">
        <v>616</v>
      </c>
      <c r="K53" s="804"/>
      <c r="O53" s="804"/>
    </row>
    <row r="54" spans="1:15">
      <c r="A54" s="876">
        <f t="shared" si="0"/>
        <v>50</v>
      </c>
      <c r="K54" s="804"/>
      <c r="N54" s="804"/>
      <c r="O54" s="804"/>
    </row>
    <row r="55" spans="1:15">
      <c r="A55" s="876">
        <f t="shared" si="0"/>
        <v>51</v>
      </c>
      <c r="D55" s="804" t="s">
        <v>617</v>
      </c>
      <c r="E55" s="804"/>
      <c r="F55" s="804"/>
      <c r="G55" s="804"/>
      <c r="H55" s="804"/>
      <c r="I55" s="804"/>
      <c r="J55" s="804"/>
      <c r="K55" s="804"/>
    </row>
    <row r="56" spans="1:15">
      <c r="A56" s="876">
        <f t="shared" si="0"/>
        <v>52</v>
      </c>
      <c r="D56" s="804"/>
      <c r="E56" s="804"/>
      <c r="F56" s="804"/>
      <c r="G56" s="804"/>
      <c r="H56" s="804"/>
      <c r="I56" s="804"/>
      <c r="J56" s="804"/>
      <c r="K56" s="853" t="s">
        <v>177</v>
      </c>
    </row>
    <row r="57" spans="1:15">
      <c r="A57" s="876">
        <f t="shared" si="0"/>
        <v>53</v>
      </c>
      <c r="D57" s="804"/>
      <c r="E57" s="806" t="s">
        <v>627</v>
      </c>
      <c r="F57" s="805"/>
      <c r="G57" s="805"/>
      <c r="H57" s="806" t="s">
        <v>628</v>
      </c>
      <c r="I57" s="891"/>
      <c r="J57" s="804"/>
      <c r="K57" s="806" t="s">
        <v>618</v>
      </c>
      <c r="N57" s="1145"/>
    </row>
    <row r="58" spans="1:15">
      <c r="A58" s="876">
        <f t="shared" si="0"/>
        <v>54</v>
      </c>
      <c r="E58" s="802" t="s">
        <v>598</v>
      </c>
      <c r="H58" s="802" t="s">
        <v>625</v>
      </c>
      <c r="K58" s="946">
        <v>2.8E-3</v>
      </c>
      <c r="M58" s="1144"/>
      <c r="N58" s="1144"/>
    </row>
    <row r="59" spans="1:15">
      <c r="A59" s="876">
        <f t="shared" si="0"/>
        <v>55</v>
      </c>
      <c r="E59" s="802" t="s">
        <v>619</v>
      </c>
      <c r="H59" s="802" t="s">
        <v>625</v>
      </c>
      <c r="K59" s="946">
        <v>2.5999999999999999E-3</v>
      </c>
      <c r="M59" s="1144"/>
      <c r="N59" s="1144"/>
    </row>
    <row r="60" spans="1:15">
      <c r="A60" s="876">
        <f t="shared" si="0"/>
        <v>56</v>
      </c>
      <c r="E60" s="802" t="s">
        <v>620</v>
      </c>
      <c r="H60" s="802" t="s">
        <v>625</v>
      </c>
      <c r="K60" s="946">
        <v>2.8E-3</v>
      </c>
      <c r="M60" s="1144"/>
      <c r="N60" s="1144"/>
    </row>
    <row r="61" spans="1:15">
      <c r="A61" s="876">
        <f t="shared" si="0"/>
        <v>57</v>
      </c>
      <c r="E61" s="802" t="s">
        <v>630</v>
      </c>
      <c r="H61" s="802" t="s">
        <v>625</v>
      </c>
      <c r="K61" s="946">
        <v>2.7000000000000001E-3</v>
      </c>
      <c r="M61" s="1144"/>
      <c r="N61" s="1144"/>
    </row>
    <row r="62" spans="1:15">
      <c r="A62" s="876">
        <f t="shared" si="0"/>
        <v>58</v>
      </c>
      <c r="E62" s="802" t="s">
        <v>631</v>
      </c>
      <c r="H62" s="802" t="s">
        <v>625</v>
      </c>
      <c r="K62" s="946">
        <v>2.8E-3</v>
      </c>
      <c r="M62" s="1144"/>
      <c r="N62" s="1144"/>
    </row>
    <row r="63" spans="1:15">
      <c r="A63" s="876">
        <f t="shared" si="0"/>
        <v>59</v>
      </c>
      <c r="E63" s="802" t="s">
        <v>632</v>
      </c>
      <c r="H63" s="802" t="s">
        <v>625</v>
      </c>
      <c r="K63" s="946">
        <v>2.7000000000000001E-3</v>
      </c>
      <c r="M63" s="1144"/>
      <c r="N63" s="1144"/>
    </row>
    <row r="64" spans="1:15">
      <c r="A64" s="876">
        <f t="shared" si="0"/>
        <v>60</v>
      </c>
      <c r="E64" s="802" t="s">
        <v>621</v>
      </c>
      <c r="H64" s="802" t="s">
        <v>625</v>
      </c>
      <c r="K64" s="946">
        <v>2.8E-3</v>
      </c>
      <c r="M64" s="1144"/>
      <c r="N64" s="1144"/>
    </row>
    <row r="65" spans="1:14">
      <c r="A65" s="876">
        <f t="shared" si="0"/>
        <v>61</v>
      </c>
      <c r="E65" s="802" t="s">
        <v>595</v>
      </c>
      <c r="H65" s="802" t="s">
        <v>625</v>
      </c>
      <c r="K65" s="946">
        <v>2.8E-3</v>
      </c>
      <c r="M65" s="1144"/>
      <c r="N65" s="1144"/>
    </row>
    <row r="66" spans="1:14">
      <c r="A66" s="876">
        <f t="shared" si="0"/>
        <v>62</v>
      </c>
      <c r="E66" s="802" t="s">
        <v>622</v>
      </c>
      <c r="H66" s="802" t="s">
        <v>625</v>
      </c>
      <c r="K66" s="946">
        <v>2.7000000000000001E-3</v>
      </c>
      <c r="M66" s="1144"/>
      <c r="N66" s="1144"/>
    </row>
    <row r="67" spans="1:14">
      <c r="A67" s="876">
        <f t="shared" si="0"/>
        <v>63</v>
      </c>
      <c r="E67" s="802" t="s">
        <v>596</v>
      </c>
      <c r="H67" s="802" t="s">
        <v>625</v>
      </c>
      <c r="K67" s="946">
        <v>2.8E-3</v>
      </c>
      <c r="M67" s="1144"/>
      <c r="N67" s="1144"/>
    </row>
    <row r="68" spans="1:14">
      <c r="A68" s="876">
        <f t="shared" si="0"/>
        <v>64</v>
      </c>
      <c r="E68" s="802" t="s">
        <v>597</v>
      </c>
      <c r="H68" s="802" t="s">
        <v>625</v>
      </c>
      <c r="K68" s="946">
        <v>2.7000000000000001E-3</v>
      </c>
      <c r="M68" s="1144"/>
      <c r="N68" s="1144"/>
    </row>
    <row r="69" spans="1:14">
      <c r="A69" s="876">
        <f t="shared" si="0"/>
        <v>65</v>
      </c>
      <c r="E69" s="802" t="s">
        <v>623</v>
      </c>
      <c r="H69" s="802" t="s">
        <v>625</v>
      </c>
      <c r="K69" s="946">
        <v>2.8E-3</v>
      </c>
      <c r="M69" s="1144"/>
      <c r="N69" s="1144"/>
    </row>
    <row r="70" spans="1:14">
      <c r="A70" s="876">
        <f t="shared" si="0"/>
        <v>66</v>
      </c>
      <c r="E70" s="802" t="s">
        <v>598</v>
      </c>
      <c r="H70" s="802" t="s">
        <v>626</v>
      </c>
      <c r="K70" s="946">
        <v>2.8E-3</v>
      </c>
      <c r="M70" s="1144"/>
      <c r="N70" s="1144"/>
    </row>
    <row r="71" spans="1:14">
      <c r="A71" s="876">
        <f t="shared" si="0"/>
        <v>67</v>
      </c>
      <c r="E71" s="802" t="s">
        <v>619</v>
      </c>
      <c r="H71" s="802" t="s">
        <v>626</v>
      </c>
      <c r="K71" s="946">
        <v>2.5000000000000001E-3</v>
      </c>
      <c r="M71" s="1144"/>
      <c r="N71" s="1144"/>
    </row>
    <row r="72" spans="1:14">
      <c r="A72" s="876">
        <f>A71+1</f>
        <v>68</v>
      </c>
      <c r="E72" s="802" t="s">
        <v>620</v>
      </c>
      <c r="H72" s="802" t="s">
        <v>626</v>
      </c>
      <c r="K72" s="946">
        <v>2.8E-3</v>
      </c>
      <c r="M72" s="1144"/>
      <c r="N72" s="1144"/>
    </row>
    <row r="73" spans="1:14">
      <c r="A73" s="876">
        <f>A72+1</f>
        <v>69</v>
      </c>
      <c r="E73" s="802" t="s">
        <v>630</v>
      </c>
      <c r="H73" s="802" t="s">
        <v>626</v>
      </c>
      <c r="K73" s="946">
        <v>2.7000000000000001E-3</v>
      </c>
      <c r="M73" s="1144"/>
      <c r="N73" s="1144"/>
    </row>
    <row r="74" spans="1:14">
      <c r="A74" s="876">
        <f>A73+1</f>
        <v>70</v>
      </c>
      <c r="F74" s="802" t="s">
        <v>624</v>
      </c>
      <c r="K74" s="807">
        <f>ROUND(AVERAGE(K58:K73),6)</f>
        <v>2.738E-3</v>
      </c>
      <c r="M74" s="1144"/>
      <c r="N74" s="1144"/>
    </row>
    <row r="75" spans="1:14">
      <c r="N75" s="1145"/>
    </row>
  </sheetData>
  <phoneticPr fontId="29" type="noConversion"/>
  <pageMargins left="0.5" right="0.25" top="0.5" bottom="0.5" header="0.5" footer="0.5"/>
  <pageSetup scale="10" orientation="portrait" r:id="rId1"/>
  <headerFooter alignWithMargins="0">
    <oddHeader>&amp;C&amp;"Arial MT,Bold"CALCULATION OF TRUE-UP ADJUSTMENT
BLACK HILLS POWER, INC.&amp;RExhibit No. BHP-11
Page &amp;P of &amp;N</oddHeader>
    <oddFooter>&amp;L&amp;8&amp;Z&amp;F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7"/>
    <pageSetUpPr fitToPage="1"/>
  </sheetPr>
  <dimension ref="A2:H115"/>
  <sheetViews>
    <sheetView topLeftCell="B1" zoomScaleNormal="100" workbookViewId="0">
      <selection activeCell="L7" sqref="L7"/>
    </sheetView>
  </sheetViews>
  <sheetFormatPr defaultColWidth="7.109375" defaultRowHeight="12.75"/>
  <cols>
    <col min="1" max="1" width="5.5546875" style="368" customWidth="1"/>
    <col min="2" max="2" width="4.109375" style="368" customWidth="1"/>
    <col min="3" max="3" width="42.33203125" style="368" customWidth="1"/>
    <col min="4" max="4" width="11.109375" style="508" customWidth="1"/>
    <col min="5" max="16384" width="7.109375" style="368"/>
  </cols>
  <sheetData>
    <row r="2" spans="1:8">
      <c r="F2" s="352"/>
    </row>
    <row r="3" spans="1:8">
      <c r="F3" s="556"/>
    </row>
    <row r="5" spans="1:8" ht="15.75">
      <c r="B5" s="1173"/>
      <c r="C5" s="1174"/>
      <c r="D5" s="1174"/>
    </row>
    <row r="6" spans="1:8">
      <c r="B6" s="1175"/>
      <c r="C6" s="1176"/>
      <c r="D6" s="1176"/>
    </row>
    <row r="7" spans="1:8">
      <c r="A7" s="773" t="s">
        <v>667</v>
      </c>
      <c r="H7" s="518" t="s">
        <v>120</v>
      </c>
    </row>
    <row r="8" spans="1:8">
      <c r="A8" s="779" t="s">
        <v>668</v>
      </c>
    </row>
    <row r="9" spans="1:8">
      <c r="A9" s="505">
        <v>1</v>
      </c>
      <c r="B9" s="506" t="s">
        <v>483</v>
      </c>
      <c r="D9" s="132"/>
    </row>
    <row r="10" spans="1:8">
      <c r="A10" s="505">
        <v>2</v>
      </c>
      <c r="D10" s="132"/>
    </row>
    <row r="11" spans="1:8">
      <c r="A11" s="505">
        <v>3</v>
      </c>
      <c r="C11" s="599" t="s">
        <v>485</v>
      </c>
      <c r="D11" s="103">
        <v>150000</v>
      </c>
    </row>
    <row r="12" spans="1:8" ht="12.75" customHeight="1">
      <c r="A12" s="505">
        <v>4</v>
      </c>
      <c r="C12" s="599"/>
      <c r="D12" s="103"/>
    </row>
    <row r="13" spans="1:8">
      <c r="A13" s="505">
        <v>5</v>
      </c>
      <c r="C13" s="599" t="s">
        <v>484</v>
      </c>
      <c r="D13" s="103">
        <v>50000</v>
      </c>
    </row>
    <row r="14" spans="1:8">
      <c r="A14" s="505">
        <v>6</v>
      </c>
      <c r="C14" s="599"/>
      <c r="D14" s="103"/>
    </row>
    <row r="15" spans="1:8">
      <c r="A15" s="505">
        <v>7</v>
      </c>
      <c r="C15" s="599" t="s">
        <v>351</v>
      </c>
      <c r="D15" s="103">
        <v>30000</v>
      </c>
    </row>
    <row r="16" spans="1:8">
      <c r="A16" s="505">
        <v>8</v>
      </c>
      <c r="C16" s="589"/>
      <c r="D16" s="782"/>
    </row>
    <row r="17" spans="1:7" ht="16.5" customHeight="1">
      <c r="A17" s="505">
        <v>9</v>
      </c>
      <c r="C17" s="664" t="s">
        <v>488</v>
      </c>
      <c r="D17" s="665">
        <f>SUM(D11:D16)</f>
        <v>230000</v>
      </c>
    </row>
    <row r="18" spans="1:7">
      <c r="A18" s="505">
        <v>10</v>
      </c>
      <c r="B18" s="589"/>
      <c r="C18" s="589"/>
      <c r="D18" s="103"/>
      <c r="E18" s="589"/>
      <c r="F18" s="589"/>
      <c r="G18" s="589"/>
    </row>
    <row r="19" spans="1:7" ht="13.5" thickBot="1">
      <c r="A19" s="505">
        <v>11</v>
      </c>
      <c r="B19" s="664" t="s">
        <v>487</v>
      </c>
      <c r="D19" s="777">
        <f>+D17/3</f>
        <v>76666.666666666672</v>
      </c>
      <c r="E19" s="589"/>
      <c r="F19" s="589"/>
      <c r="G19" s="589"/>
    </row>
    <row r="20" spans="1:7" ht="13.5" thickTop="1">
      <c r="B20" s="589"/>
      <c r="C20" s="589"/>
      <c r="D20" s="103"/>
      <c r="E20" s="589"/>
      <c r="F20" s="589"/>
      <c r="G20" s="589"/>
    </row>
    <row r="114" spans="7:8">
      <c r="G114" s="368" t="s">
        <v>671</v>
      </c>
      <c r="H114" s="368">
        <f>+J183</f>
        <v>0</v>
      </c>
    </row>
    <row r="115" spans="7:8">
      <c r="H115" s="368">
        <f>+H114</f>
        <v>0</v>
      </c>
    </row>
  </sheetData>
  <mergeCells count="2">
    <mergeCell ref="B5:D5"/>
    <mergeCell ref="B6:D6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&amp;C&amp;"Arial MT,Bold"WORKPAPER 1
REGULATORY COMMISSION EXPENSE
BLACK HILLS POWER, INC.&amp;RPage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indexed="17"/>
    <pageSetUpPr fitToPage="1"/>
  </sheetPr>
  <dimension ref="B2:H115"/>
  <sheetViews>
    <sheetView zoomScaleNormal="100" workbookViewId="0">
      <selection activeCell="H12" sqref="H12"/>
    </sheetView>
  </sheetViews>
  <sheetFormatPr defaultColWidth="7.109375" defaultRowHeight="12.75"/>
  <cols>
    <col min="1" max="1" width="3.44140625" style="368" customWidth="1"/>
    <col min="2" max="2" width="4.109375" style="368" customWidth="1"/>
    <col min="3" max="3" width="1.77734375" style="368" customWidth="1"/>
    <col min="4" max="4" width="44.88671875" style="508" customWidth="1"/>
    <col min="5" max="5" width="11.21875" style="508" customWidth="1"/>
    <col min="6" max="6" width="10.88671875" style="368" customWidth="1"/>
    <col min="7" max="7" width="9.44140625" style="368" customWidth="1"/>
    <col min="8" max="8" width="11.33203125" style="368" customWidth="1"/>
    <col min="9" max="16384" width="7.109375" style="368"/>
  </cols>
  <sheetData>
    <row r="2" spans="2:6">
      <c r="D2" s="776"/>
      <c r="F2" s="352"/>
    </row>
    <row r="3" spans="2:6">
      <c r="B3" s="773" t="s">
        <v>667</v>
      </c>
    </row>
    <row r="4" spans="2:6">
      <c r="B4" s="779" t="s">
        <v>668</v>
      </c>
      <c r="F4" s="783" t="s">
        <v>309</v>
      </c>
    </row>
    <row r="5" spans="2:6">
      <c r="B5" s="505">
        <v>1</v>
      </c>
      <c r="C5" s="506" t="s">
        <v>245</v>
      </c>
      <c r="D5" s="517"/>
      <c r="E5" s="517"/>
      <c r="F5" s="912" t="s">
        <v>474</v>
      </c>
    </row>
    <row r="6" spans="2:6">
      <c r="B6" s="505">
        <f>+B5+1</f>
        <v>2</v>
      </c>
      <c r="C6" s="517"/>
      <c r="D6" s="796">
        <v>40148</v>
      </c>
      <c r="E6" s="599"/>
      <c r="F6" s="775"/>
    </row>
    <row r="7" spans="2:6">
      <c r="B7" s="505">
        <f t="shared" ref="B7:B56" si="0">+B6+1</f>
        <v>3</v>
      </c>
      <c r="C7" s="517"/>
      <c r="D7" s="796">
        <v>40179</v>
      </c>
      <c r="E7" s="599"/>
      <c r="F7" s="775"/>
    </row>
    <row r="8" spans="2:6">
      <c r="B8" s="505">
        <f t="shared" si="0"/>
        <v>4</v>
      </c>
      <c r="C8" s="517"/>
      <c r="D8" s="796">
        <v>40210</v>
      </c>
      <c r="E8" s="599"/>
      <c r="F8" s="775"/>
    </row>
    <row r="9" spans="2:6">
      <c r="B9" s="505">
        <f t="shared" si="0"/>
        <v>5</v>
      </c>
      <c r="C9" s="517"/>
      <c r="D9" s="796">
        <v>40238</v>
      </c>
      <c r="E9" s="599"/>
      <c r="F9" s="775"/>
    </row>
    <row r="10" spans="2:6">
      <c r="B10" s="505">
        <f t="shared" si="0"/>
        <v>6</v>
      </c>
      <c r="C10" s="517"/>
      <c r="D10" s="911" t="s">
        <v>66</v>
      </c>
      <c r="E10" s="599"/>
      <c r="F10" s="775">
        <v>1003000</v>
      </c>
    </row>
    <row r="11" spans="2:6" ht="12.75" customHeight="1">
      <c r="B11" s="505">
        <f t="shared" si="0"/>
        <v>7</v>
      </c>
      <c r="C11" s="517"/>
      <c r="D11" s="796">
        <v>40299</v>
      </c>
      <c r="E11" s="599"/>
      <c r="F11" s="775"/>
    </row>
    <row r="12" spans="2:6">
      <c r="B12" s="505">
        <f t="shared" si="0"/>
        <v>8</v>
      </c>
      <c r="C12" s="506"/>
      <c r="D12" s="911">
        <v>40339</v>
      </c>
      <c r="E12" s="599"/>
      <c r="F12" s="775"/>
    </row>
    <row r="13" spans="2:6">
      <c r="B13" s="505">
        <f t="shared" si="0"/>
        <v>9</v>
      </c>
      <c r="C13" s="517"/>
      <c r="D13" s="796">
        <v>40360</v>
      </c>
      <c r="E13" s="599"/>
      <c r="F13" s="775"/>
    </row>
    <row r="14" spans="2:6">
      <c r="B14" s="505">
        <f t="shared" si="0"/>
        <v>10</v>
      </c>
      <c r="C14" s="517"/>
      <c r="D14" s="796">
        <v>40391</v>
      </c>
      <c r="E14" s="599"/>
      <c r="F14" s="775"/>
    </row>
    <row r="15" spans="2:6">
      <c r="B15" s="505">
        <f t="shared" si="0"/>
        <v>11</v>
      </c>
      <c r="C15" s="517"/>
      <c r="D15" s="911">
        <v>40430</v>
      </c>
      <c r="E15" s="599"/>
      <c r="F15" s="775"/>
    </row>
    <row r="16" spans="2:6">
      <c r="B16" s="505">
        <f t="shared" si="0"/>
        <v>12</v>
      </c>
      <c r="C16" s="517"/>
      <c r="D16" s="796">
        <v>40452</v>
      </c>
      <c r="E16" s="599"/>
      <c r="F16" s="775"/>
    </row>
    <row r="17" spans="2:8">
      <c r="B17" s="505">
        <f t="shared" si="0"/>
        <v>13</v>
      </c>
      <c r="C17" s="517"/>
      <c r="D17" s="911">
        <v>40492</v>
      </c>
      <c r="E17" s="599"/>
      <c r="F17" s="775"/>
    </row>
    <row r="18" spans="2:8">
      <c r="B18" s="505">
        <f t="shared" si="0"/>
        <v>14</v>
      </c>
      <c r="C18" s="517"/>
      <c r="D18" s="911" t="s">
        <v>65</v>
      </c>
      <c r="E18" s="599"/>
      <c r="F18" s="775">
        <f>18500000+6000000</f>
        <v>24500000</v>
      </c>
      <c r="G18" s="518"/>
    </row>
    <row r="19" spans="2:8">
      <c r="B19" s="505">
        <f t="shared" si="0"/>
        <v>15</v>
      </c>
      <c r="C19" s="664" t="s">
        <v>195</v>
      </c>
      <c r="D19" s="368"/>
      <c r="E19" s="599"/>
      <c r="F19" s="808">
        <f>SUM(F5:F18)</f>
        <v>25503000</v>
      </c>
      <c r="G19" s="589"/>
      <c r="H19" s="589"/>
    </row>
    <row r="20" spans="2:8">
      <c r="B20" s="505">
        <f t="shared" si="0"/>
        <v>16</v>
      </c>
      <c r="C20" s="517"/>
      <c r="D20" s="517" t="s">
        <v>303</v>
      </c>
      <c r="E20" s="517"/>
      <c r="F20" s="778">
        <f>+'BHP WP5'!H24</f>
        <v>2.3199999999999998E-2</v>
      </c>
    </row>
    <row r="21" spans="2:8" ht="13.5" thickBot="1">
      <c r="B21" s="505">
        <f t="shared" si="0"/>
        <v>17</v>
      </c>
      <c r="C21" s="506" t="str">
        <f>"Annual Transmisison Depreciation Expense (line "&amp;B19&amp;" x line "&amp;B20&amp;")"</f>
        <v>Annual Transmisison Depreciation Expense (line 15 x line 16)</v>
      </c>
      <c r="D21" s="517"/>
      <c r="E21" s="517"/>
      <c r="F21" s="777">
        <f>+F19*F20</f>
        <v>591669.6</v>
      </c>
    </row>
    <row r="22" spans="2:8" ht="13.5" thickTop="1">
      <c r="B22" s="505">
        <f t="shared" si="0"/>
        <v>18</v>
      </c>
      <c r="C22" s="517"/>
      <c r="D22" s="774"/>
      <c r="E22" s="774"/>
    </row>
    <row r="23" spans="2:8">
      <c r="B23" s="505">
        <f>+B22+1</f>
        <v>19</v>
      </c>
      <c r="C23" s="517"/>
      <c r="D23" s="774"/>
      <c r="E23" s="814" t="s">
        <v>634</v>
      </c>
      <c r="F23" s="518" t="s">
        <v>475</v>
      </c>
    </row>
    <row r="24" spans="2:8">
      <c r="B24" s="505">
        <f t="shared" si="0"/>
        <v>20</v>
      </c>
      <c r="C24" s="506"/>
      <c r="E24" s="813" t="s">
        <v>473</v>
      </c>
      <c r="F24" s="773" t="s">
        <v>91</v>
      </c>
    </row>
    <row r="25" spans="2:8">
      <c r="B25" s="505">
        <f t="shared" si="0"/>
        <v>21</v>
      </c>
      <c r="C25" s="506" t="s">
        <v>194</v>
      </c>
      <c r="E25" s="813" t="s">
        <v>474</v>
      </c>
      <c r="F25" s="773" t="s">
        <v>96</v>
      </c>
    </row>
    <row r="26" spans="2:8">
      <c r="B26" s="505">
        <f t="shared" si="0"/>
        <v>22</v>
      </c>
      <c r="F26" s="775"/>
    </row>
    <row r="27" spans="2:8">
      <c r="B27" s="505">
        <f t="shared" si="0"/>
        <v>23</v>
      </c>
      <c r="D27" s="823" t="s">
        <v>191</v>
      </c>
      <c r="E27" s="593">
        <f>+Estimate!J16+F7</f>
        <v>68853158.079117998</v>
      </c>
      <c r="F27" s="775">
        <f t="shared" ref="F27:F35" si="1">(+E27*$F$20)/12</f>
        <v>133116.10561962813</v>
      </c>
    </row>
    <row r="28" spans="2:8">
      <c r="B28" s="505">
        <f t="shared" si="0"/>
        <v>24</v>
      </c>
      <c r="D28" s="812">
        <v>40210</v>
      </c>
      <c r="E28" s="132">
        <f t="shared" ref="E28:E38" si="2">+E27+F8</f>
        <v>68853158.079117998</v>
      </c>
      <c r="F28" s="775">
        <f t="shared" si="1"/>
        <v>133116.10561962813</v>
      </c>
    </row>
    <row r="29" spans="2:8">
      <c r="B29" s="505">
        <f t="shared" si="0"/>
        <v>25</v>
      </c>
      <c r="D29" s="812">
        <v>40238</v>
      </c>
      <c r="E29" s="132">
        <f t="shared" si="2"/>
        <v>68853158.079117998</v>
      </c>
      <c r="F29" s="775">
        <f t="shared" si="1"/>
        <v>133116.10561962813</v>
      </c>
    </row>
    <row r="30" spans="2:8">
      <c r="B30" s="505">
        <f t="shared" si="0"/>
        <v>26</v>
      </c>
      <c r="D30" s="812">
        <v>40269</v>
      </c>
      <c r="E30" s="132">
        <f t="shared" si="2"/>
        <v>69856158.079117998</v>
      </c>
      <c r="F30" s="775">
        <f t="shared" si="1"/>
        <v>135055.23895296146</v>
      </c>
    </row>
    <row r="31" spans="2:8">
      <c r="B31" s="505">
        <f t="shared" si="0"/>
        <v>27</v>
      </c>
      <c r="D31" s="812">
        <v>40299</v>
      </c>
      <c r="E31" s="132">
        <f t="shared" si="2"/>
        <v>69856158.079117998</v>
      </c>
      <c r="F31" s="775">
        <f t="shared" si="1"/>
        <v>135055.23895296146</v>
      </c>
    </row>
    <row r="32" spans="2:8">
      <c r="B32" s="505">
        <f t="shared" si="0"/>
        <v>28</v>
      </c>
      <c r="D32" s="812">
        <v>40330</v>
      </c>
      <c r="E32" s="132">
        <f t="shared" si="2"/>
        <v>69856158.079117998</v>
      </c>
      <c r="F32" s="775">
        <f t="shared" si="1"/>
        <v>135055.23895296146</v>
      </c>
    </row>
    <row r="33" spans="2:7">
      <c r="B33" s="505">
        <f t="shared" si="0"/>
        <v>29</v>
      </c>
      <c r="D33" s="812">
        <v>40360</v>
      </c>
      <c r="E33" s="132">
        <f t="shared" si="2"/>
        <v>69856158.079117998</v>
      </c>
      <c r="F33" s="775">
        <f t="shared" si="1"/>
        <v>135055.23895296146</v>
      </c>
    </row>
    <row r="34" spans="2:7">
      <c r="B34" s="505">
        <f t="shared" si="0"/>
        <v>30</v>
      </c>
      <c r="D34" s="812">
        <v>40391</v>
      </c>
      <c r="E34" s="132">
        <f t="shared" si="2"/>
        <v>69856158.079117998</v>
      </c>
      <c r="F34" s="775">
        <f t="shared" si="1"/>
        <v>135055.23895296146</v>
      </c>
    </row>
    <row r="35" spans="2:7">
      <c r="B35" s="505">
        <f t="shared" si="0"/>
        <v>31</v>
      </c>
      <c r="D35" s="812">
        <v>40422</v>
      </c>
      <c r="E35" s="132">
        <f t="shared" si="2"/>
        <v>69856158.079117998</v>
      </c>
      <c r="F35" s="775">
        <f t="shared" si="1"/>
        <v>135055.23895296146</v>
      </c>
    </row>
    <row r="36" spans="2:7">
      <c r="B36" s="505">
        <f t="shared" si="0"/>
        <v>32</v>
      </c>
      <c r="D36" s="812">
        <v>40452</v>
      </c>
      <c r="E36" s="132">
        <f t="shared" si="2"/>
        <v>69856158.079117998</v>
      </c>
      <c r="F36" s="775">
        <f>(+E36*$F$20)/12</f>
        <v>135055.23895296146</v>
      </c>
    </row>
    <row r="37" spans="2:7">
      <c r="B37" s="505">
        <f t="shared" si="0"/>
        <v>33</v>
      </c>
      <c r="D37" s="812">
        <v>40483</v>
      </c>
      <c r="E37" s="132">
        <f t="shared" si="2"/>
        <v>69856158.079117998</v>
      </c>
      <c r="F37" s="775">
        <f t="shared" ref="F37:F52" si="3">(+E37*$F$20)/12</f>
        <v>135055.23895296146</v>
      </c>
    </row>
    <row r="38" spans="2:7">
      <c r="B38" s="505">
        <f t="shared" si="0"/>
        <v>34</v>
      </c>
      <c r="D38" s="812">
        <v>40513</v>
      </c>
      <c r="E38" s="132">
        <f t="shared" si="2"/>
        <v>94356158.079117998</v>
      </c>
      <c r="F38" s="775">
        <f t="shared" si="3"/>
        <v>182421.90561962812</v>
      </c>
    </row>
    <row r="39" spans="2:7">
      <c r="B39" s="505">
        <f t="shared" si="0"/>
        <v>35</v>
      </c>
      <c r="D39" s="823" t="s">
        <v>192</v>
      </c>
      <c r="E39" s="132"/>
      <c r="F39" s="808">
        <f>SUM(F27:F38)</f>
        <v>1662212.1341022046</v>
      </c>
    </row>
    <row r="40" spans="2:7">
      <c r="B40" s="505">
        <f t="shared" si="0"/>
        <v>36</v>
      </c>
      <c r="C40" s="518" t="s">
        <v>193</v>
      </c>
      <c r="D40" s="812"/>
      <c r="E40" s="132"/>
      <c r="F40" s="775"/>
    </row>
    <row r="41" spans="2:7">
      <c r="B41" s="505">
        <f t="shared" si="0"/>
        <v>37</v>
      </c>
      <c r="D41" s="812">
        <v>40544</v>
      </c>
      <c r="E41" s="132">
        <f>+E38+'BHP WP3'!E9</f>
        <v>94356158.079117998</v>
      </c>
      <c r="F41" s="775">
        <f t="shared" si="3"/>
        <v>182421.90561962812</v>
      </c>
      <c r="G41" s="798"/>
    </row>
    <row r="42" spans="2:7">
      <c r="B42" s="505">
        <f t="shared" si="0"/>
        <v>38</v>
      </c>
      <c r="D42" s="812">
        <v>40575</v>
      </c>
      <c r="E42" s="132">
        <f>+E41+'BHP WP3'!E10</f>
        <v>94356158.079117998</v>
      </c>
      <c r="F42" s="775">
        <f t="shared" si="3"/>
        <v>182421.90561962812</v>
      </c>
      <c r="G42" s="798"/>
    </row>
    <row r="43" spans="2:7">
      <c r="B43" s="505">
        <f t="shared" si="0"/>
        <v>39</v>
      </c>
      <c r="D43" s="812">
        <v>40603</v>
      </c>
      <c r="E43" s="132">
        <f>+E42+'BHP WP3'!E11</f>
        <v>94356158.079117998</v>
      </c>
      <c r="F43" s="775">
        <f t="shared" si="3"/>
        <v>182421.90561962812</v>
      </c>
      <c r="G43" s="798"/>
    </row>
    <row r="44" spans="2:7">
      <c r="B44" s="505">
        <f t="shared" si="0"/>
        <v>40</v>
      </c>
      <c r="D44" s="812">
        <v>40634</v>
      </c>
      <c r="E44" s="132">
        <f>+E43+'BHP WP3'!E12</f>
        <v>94356158.079117998</v>
      </c>
      <c r="F44" s="775">
        <f t="shared" si="3"/>
        <v>182421.90561962812</v>
      </c>
      <c r="G44" s="798"/>
    </row>
    <row r="45" spans="2:7">
      <c r="B45" s="505">
        <f t="shared" si="0"/>
        <v>41</v>
      </c>
      <c r="D45" s="812">
        <v>40664</v>
      </c>
      <c r="E45" s="132">
        <f>+E44+'BHP WP3'!E13</f>
        <v>94356158.079117998</v>
      </c>
      <c r="F45" s="775">
        <f t="shared" si="3"/>
        <v>182421.90561962812</v>
      </c>
      <c r="G45" s="798"/>
    </row>
    <row r="46" spans="2:7">
      <c r="B46" s="505">
        <f t="shared" si="0"/>
        <v>42</v>
      </c>
      <c r="D46" s="812">
        <v>40695</v>
      </c>
      <c r="E46" s="132">
        <f>+E45+'BHP WP3'!E14</f>
        <v>94356158.079117998</v>
      </c>
      <c r="F46" s="775">
        <f t="shared" si="3"/>
        <v>182421.90561962812</v>
      </c>
      <c r="G46" s="798"/>
    </row>
    <row r="47" spans="2:7">
      <c r="B47" s="505">
        <f t="shared" si="0"/>
        <v>43</v>
      </c>
      <c r="D47" s="812">
        <v>40725</v>
      </c>
      <c r="E47" s="132">
        <f>+E46+'BHP WP3'!E15</f>
        <v>94356158.079117998</v>
      </c>
      <c r="F47" s="775">
        <f t="shared" si="3"/>
        <v>182421.90561962812</v>
      </c>
      <c r="G47" s="798"/>
    </row>
    <row r="48" spans="2:7">
      <c r="B48" s="505">
        <f t="shared" si="0"/>
        <v>44</v>
      </c>
      <c r="D48" s="812">
        <v>40756</v>
      </c>
      <c r="E48" s="132">
        <f>+E47+'BHP WP3'!E16</f>
        <v>94356158.079117998</v>
      </c>
      <c r="F48" s="775">
        <f t="shared" si="3"/>
        <v>182421.90561962812</v>
      </c>
      <c r="G48" s="798"/>
    </row>
    <row r="49" spans="2:7">
      <c r="B49" s="505">
        <f t="shared" si="0"/>
        <v>45</v>
      </c>
      <c r="D49" s="812">
        <v>40787</v>
      </c>
      <c r="E49" s="132">
        <f>+E48+'BHP WP3'!E17</f>
        <v>98656158.079117998</v>
      </c>
      <c r="F49" s="775">
        <f t="shared" si="3"/>
        <v>190735.23895296143</v>
      </c>
      <c r="G49" s="798"/>
    </row>
    <row r="50" spans="2:7">
      <c r="B50" s="505">
        <f t="shared" si="0"/>
        <v>46</v>
      </c>
      <c r="D50" s="812">
        <v>40817</v>
      </c>
      <c r="E50" s="132">
        <f>+E49+'BHP WP3'!E18</f>
        <v>98656158.079117998</v>
      </c>
      <c r="F50" s="775">
        <f t="shared" si="3"/>
        <v>190735.23895296143</v>
      </c>
      <c r="G50" s="798"/>
    </row>
    <row r="51" spans="2:7">
      <c r="B51" s="505">
        <f t="shared" si="0"/>
        <v>47</v>
      </c>
      <c r="D51" s="812">
        <v>40848</v>
      </c>
      <c r="E51" s="132">
        <f>+E50+'BHP WP3'!E19</f>
        <v>98656158.079117998</v>
      </c>
      <c r="F51" s="775">
        <f t="shared" si="3"/>
        <v>190735.23895296143</v>
      </c>
      <c r="G51" s="798"/>
    </row>
    <row r="52" spans="2:7">
      <c r="B52" s="505">
        <f t="shared" si="0"/>
        <v>48</v>
      </c>
      <c r="D52" s="812">
        <v>40878</v>
      </c>
      <c r="E52" s="132">
        <f>+E51+'BHP WP3'!E20</f>
        <v>98656158.079117998</v>
      </c>
      <c r="F52" s="775">
        <f t="shared" si="3"/>
        <v>190735.23895296143</v>
      </c>
      <c r="G52" s="798"/>
    </row>
    <row r="53" spans="2:7">
      <c r="B53" s="505">
        <f t="shared" si="0"/>
        <v>49</v>
      </c>
      <c r="D53" s="823" t="str">
        <f>"Subtotal of 2011 Increase for Accumulated Depreciation (lines "&amp;B41&amp;"-"&amp;B52&amp;")"</f>
        <v>Subtotal of 2011 Increase for Accumulated Depreciation (lines 37-48)</v>
      </c>
      <c r="F53" s="815">
        <f>SUM(F41:F52)</f>
        <v>2222316.2007688708</v>
      </c>
    </row>
    <row r="54" spans="2:7">
      <c r="B54" s="505">
        <f t="shared" si="0"/>
        <v>50</v>
      </c>
      <c r="D54" s="843" t="str">
        <f>"Average 2011 Impact for rate base consideration (line "&amp;B53&amp;" ÷ 2)"</f>
        <v>Average 2011 Impact for rate base consideration (line 49 ÷ 2)</v>
      </c>
      <c r="F54" s="132">
        <f>+F53/2</f>
        <v>1111158.1003844354</v>
      </c>
    </row>
    <row r="55" spans="2:7">
      <c r="B55" s="505">
        <f t="shared" si="0"/>
        <v>51</v>
      </c>
    </row>
    <row r="56" spans="2:7" ht="13.5" thickBot="1">
      <c r="B56" s="505">
        <f t="shared" si="0"/>
        <v>52</v>
      </c>
      <c r="D56" s="843" t="str">
        <f>"Total Accumulated Depreciation for 2010 &amp; 2011 (line "&amp;B39&amp;"+ "&amp;B54&amp;")"</f>
        <v>Total Accumulated Depreciation for 2010 &amp; 2011 (line 35+ 50)</v>
      </c>
      <c r="F56" s="844">
        <f>+F39+F54</f>
        <v>2773370.23448664</v>
      </c>
    </row>
    <row r="57" spans="2:7" ht="13.5" thickTop="1">
      <c r="B57" s="505"/>
    </row>
    <row r="114" spans="7:8">
      <c r="G114" s="368" t="s">
        <v>671</v>
      </c>
      <c r="H114" s="368">
        <f>+J183</f>
        <v>0</v>
      </c>
    </row>
    <row r="115" spans="7:8">
      <c r="H115" s="368">
        <f>+H114</f>
        <v>0</v>
      </c>
    </row>
  </sheetData>
  <phoneticPr fontId="29" type="noConversion"/>
  <printOptions horizontalCentered="1"/>
  <pageMargins left="0.5" right="0.25" top="1" bottom="0.5" header="0.5" footer="0.5"/>
  <pageSetup scale="96" orientation="portrait" r:id="rId1"/>
  <headerFooter alignWithMargins="0">
    <oddHeader>&amp;C&amp;"Arial MT,Bold"WORKPAPER 2
CAPITAL ADDITIONS
BLACK HILLS POWER, INC.&amp;R&amp;"Arial,Regular"&amp;10Page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21</vt:i4>
      </vt:variant>
    </vt:vector>
  </HeadingPairs>
  <TitlesOfParts>
    <vt:vector size="50" baseType="lpstr">
      <vt:lpstr>RCDC Rev Req</vt:lpstr>
      <vt:lpstr>RCDC Detail</vt:lpstr>
      <vt:lpstr>CU AC Rate Design</vt:lpstr>
      <vt:lpstr>CU AC Rate Design - True-Up</vt:lpstr>
      <vt:lpstr>Estimate</vt:lpstr>
      <vt:lpstr>True-Up</vt:lpstr>
      <vt:lpstr>Capital True-up</vt:lpstr>
      <vt:lpstr>BHP WP1</vt:lpstr>
      <vt:lpstr>BHP WP2</vt:lpstr>
      <vt:lpstr>BHP WP3</vt:lpstr>
      <vt:lpstr>BHP WP4</vt:lpstr>
      <vt:lpstr>BHP WP4A</vt:lpstr>
      <vt:lpstr>BHP WP5</vt:lpstr>
      <vt:lpstr>True-Up Rate Base</vt:lpstr>
      <vt:lpstr>CU AC LOADS WP7</vt:lpstr>
      <vt:lpstr>BHP Sch. 1</vt:lpstr>
      <vt:lpstr>BHP Sch. 2</vt:lpstr>
      <vt:lpstr>BPH Sch. 2 a</vt:lpstr>
      <vt:lpstr>BHP Sch. 2 b</vt:lpstr>
      <vt:lpstr>BEPC ATRR</vt:lpstr>
      <vt:lpstr>BEPC Facilities</vt:lpstr>
      <vt:lpstr>BEPC WP2</vt:lpstr>
      <vt:lpstr>PREC ATRR</vt:lpstr>
      <vt:lpstr>PREC Facilities</vt:lpstr>
      <vt:lpstr>PREC Gross Plant</vt:lpstr>
      <vt:lpstr>PREC Reg Exp</vt:lpstr>
      <vt:lpstr>PREC Deprec System</vt:lpstr>
      <vt:lpstr>PREC Deprec CU </vt:lpstr>
      <vt:lpstr>PREC Materials</vt:lpstr>
      <vt:lpstr>'BEPC ATRR'!Print_Area</vt:lpstr>
      <vt:lpstr>'BEPC Facilities'!Print_Area</vt:lpstr>
      <vt:lpstr>'BHP Sch. 1'!Print_Area</vt:lpstr>
      <vt:lpstr>'BHP Sch. 2'!Print_Area</vt:lpstr>
      <vt:lpstr>'BHP Sch. 2 b'!Print_Area</vt:lpstr>
      <vt:lpstr>'BHP WP1'!Print_Area</vt:lpstr>
      <vt:lpstr>'BHP WP2'!Print_Area</vt:lpstr>
      <vt:lpstr>'BHP WP3'!Print_Area</vt:lpstr>
      <vt:lpstr>'BHP WP4'!Print_Area</vt:lpstr>
      <vt:lpstr>'BHP WP4A'!Print_Area</vt:lpstr>
      <vt:lpstr>'BHP WP5'!Print_Area</vt:lpstr>
      <vt:lpstr>'Capital True-up'!Print_Area</vt:lpstr>
      <vt:lpstr>'CU AC LOADS WP7'!Print_Area</vt:lpstr>
      <vt:lpstr>'CU AC Rate Design'!Print_Area</vt:lpstr>
      <vt:lpstr>'CU AC Rate Design - True-Up'!Print_Area</vt:lpstr>
      <vt:lpstr>Estimate!Print_Area</vt:lpstr>
      <vt:lpstr>'PREC ATRR'!Print_Area</vt:lpstr>
      <vt:lpstr>'PREC Deprec System'!Print_Area</vt:lpstr>
      <vt:lpstr>'True-Up'!Print_Area</vt:lpstr>
      <vt:lpstr>'True-Up Rate Base'!Print_Area</vt:lpstr>
      <vt:lpstr>'True-Up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2012-05-31T20:04:26Z</cp:lastPrinted>
  <dcterms:created xsi:type="dcterms:W3CDTF">1997-04-03T19:40:56Z</dcterms:created>
  <dcterms:modified xsi:type="dcterms:W3CDTF">2020-06-01T14:37:30Z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