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600750EE-024C-4F69-A8B7-4B8F5279536F}" xr6:coauthVersionLast="44" xr6:coauthVersionMax="44" xr10:uidLastSave="{00000000-0000-0000-0000-000000000000}"/>
  <bookViews>
    <workbookView xWindow="-120" yWindow="-120" windowWidth="29040" windowHeight="15990" tabRatio="923" activeTab="1"/>
  </bookViews>
  <sheets>
    <sheet name="CU AC Rate Design - True-Up" sheetId="41" r:id="rId1"/>
    <sheet name="True-Up" sheetId="35" r:id="rId2"/>
    <sheet name="Capital True-up" sheetId="31" r:id="rId3"/>
    <sheet name="BHP WP5 Depreciation Rates" sheetId="43" r:id="rId4"/>
    <sheet name="True-Up Rate Base" sheetId="37" r:id="rId5"/>
    <sheet name="BHP WP7 CU AC LOADS" sheetId="24" r:id="rId6"/>
    <sheet name="BHP Sch. 1" sheetId="3" r:id="rId7"/>
  </sheets>
  <definedNames>
    <definedName name="_xlnm.Print_Area" localSheetId="6">'BHP Sch. 1'!$A$1:$I$37</definedName>
    <definedName name="_xlnm.Print_Area" localSheetId="3">'BHP WP5 Depreciation Rates'!$A$7:$I$42</definedName>
    <definedName name="_xlnm.Print_Area" localSheetId="5">'BHP WP7 CU AC LOADS'!$A$1:$J$47</definedName>
    <definedName name="_xlnm.Print_Area" localSheetId="2">'Capital True-up'!$A$1:$P$74</definedName>
    <definedName name="_xlnm.Print_Area" localSheetId="0">'CU AC Rate Design - True-Up'!$A$1:$H$36</definedName>
    <definedName name="_xlnm.Print_Area" localSheetId="1">'True-Up'!$A$1:$K$238</definedName>
    <definedName name="_xlnm.Print_Area" localSheetId="4">'True-Up Rate Base'!$A$1:$R$65</definedName>
    <definedName name="_xlnm.Print_Titles" localSheetId="4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7" i="35" l="1"/>
  <c r="J77" i="35"/>
  <c r="E78" i="35"/>
  <c r="H196" i="35"/>
  <c r="J196" i="35"/>
  <c r="J199" i="35"/>
  <c r="F51" i="37"/>
  <c r="E51" i="37"/>
  <c r="G51" i="37"/>
  <c r="Q30" i="37"/>
  <c r="P30" i="37"/>
  <c r="O30" i="37"/>
  <c r="N30" i="37"/>
  <c r="N40" i="37"/>
  <c r="M30" i="37"/>
  <c r="L30" i="37"/>
  <c r="K30" i="37"/>
  <c r="J30" i="37"/>
  <c r="I30" i="37"/>
  <c r="H30" i="37"/>
  <c r="G30" i="37"/>
  <c r="F30" i="37"/>
  <c r="F32" i="37"/>
  <c r="E30" i="37"/>
  <c r="Q28" i="37"/>
  <c r="P28" i="37"/>
  <c r="O28" i="37"/>
  <c r="O38" i="37"/>
  <c r="O42" i="37"/>
  <c r="N28" i="37"/>
  <c r="N32" i="37"/>
  <c r="M28" i="37"/>
  <c r="L28" i="37"/>
  <c r="K28" i="37"/>
  <c r="J28" i="37"/>
  <c r="R28" i="37"/>
  <c r="E28" i="35"/>
  <c r="I28" i="37"/>
  <c r="H28" i="37"/>
  <c r="H32" i="37"/>
  <c r="G28" i="37"/>
  <c r="G32" i="37"/>
  <c r="F28" i="37"/>
  <c r="E28" i="37"/>
  <c r="E38" i="37"/>
  <c r="Q26" i="37"/>
  <c r="P26" i="37"/>
  <c r="O26" i="37"/>
  <c r="N26" i="37"/>
  <c r="M26" i="37"/>
  <c r="L26" i="37"/>
  <c r="L36" i="37"/>
  <c r="L42" i="37"/>
  <c r="K26" i="37"/>
  <c r="J26" i="37"/>
  <c r="I26" i="37"/>
  <c r="R26" i="37"/>
  <c r="H26" i="37"/>
  <c r="G26" i="37"/>
  <c r="F26" i="37"/>
  <c r="E26" i="37"/>
  <c r="E79" i="37"/>
  <c r="E75" i="37"/>
  <c r="E71" i="37"/>
  <c r="Q79" i="37"/>
  <c r="P79" i="37"/>
  <c r="O79" i="37"/>
  <c r="N79" i="37"/>
  <c r="M79" i="37"/>
  <c r="L79" i="37"/>
  <c r="K79" i="37"/>
  <c r="J79" i="37"/>
  <c r="I79" i="37"/>
  <c r="H79" i="37"/>
  <c r="G79" i="37"/>
  <c r="F79" i="37"/>
  <c r="R78" i="37"/>
  <c r="R77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R74" i="37"/>
  <c r="R73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R70" i="37"/>
  <c r="R69" i="37"/>
  <c r="L54" i="37"/>
  <c r="K54" i="37"/>
  <c r="J95" i="35"/>
  <c r="J78" i="35"/>
  <c r="J29" i="35"/>
  <c r="H1" i="3"/>
  <c r="E55" i="37"/>
  <c r="D49" i="31"/>
  <c r="F55" i="37"/>
  <c r="G55" i="37"/>
  <c r="E50" i="35"/>
  <c r="J184" i="35"/>
  <c r="H25" i="37"/>
  <c r="R25" i="37"/>
  <c r="I25" i="37"/>
  <c r="J25" i="37"/>
  <c r="K25" i="37"/>
  <c r="L25" i="37"/>
  <c r="M25" i="37"/>
  <c r="N25" i="37"/>
  <c r="O25" i="37"/>
  <c r="O32" i="37"/>
  <c r="P25" i="37"/>
  <c r="P32" i="37"/>
  <c r="P38" i="37"/>
  <c r="H15" i="37"/>
  <c r="J15" i="37"/>
  <c r="R15" i="37"/>
  <c r="L15" i="37"/>
  <c r="L35" i="37"/>
  <c r="M15" i="37"/>
  <c r="O15" i="37"/>
  <c r="P15" i="37"/>
  <c r="P22" i="37"/>
  <c r="M32" i="37"/>
  <c r="Q39" i="37"/>
  <c r="O39" i="37"/>
  <c r="N39" i="37"/>
  <c r="M39" i="37"/>
  <c r="R19" i="37"/>
  <c r="R22" i="37"/>
  <c r="Q18" i="37"/>
  <c r="R18" i="37"/>
  <c r="P18" i="37"/>
  <c r="O18" i="37"/>
  <c r="N18" i="37"/>
  <c r="N15" i="37"/>
  <c r="M18" i="37"/>
  <c r="M38" i="37"/>
  <c r="L18" i="37"/>
  <c r="L38" i="37"/>
  <c r="K18" i="37"/>
  <c r="K22" i="37"/>
  <c r="J18" i="37"/>
  <c r="I18" i="37"/>
  <c r="H18" i="37"/>
  <c r="H22" i="37"/>
  <c r="G18" i="37"/>
  <c r="G22" i="37"/>
  <c r="F18" i="37"/>
  <c r="F22" i="37"/>
  <c r="E18" i="37"/>
  <c r="J2" i="24"/>
  <c r="J200" i="35"/>
  <c r="I200" i="35"/>
  <c r="I122" i="35"/>
  <c r="J122" i="35"/>
  <c r="J63" i="35"/>
  <c r="I63" i="35"/>
  <c r="J123" i="35"/>
  <c r="K74" i="31"/>
  <c r="E175" i="35"/>
  <c r="M36" i="37"/>
  <c r="M42" i="37"/>
  <c r="J11" i="24"/>
  <c r="D24" i="24"/>
  <c r="J193" i="35"/>
  <c r="E198" i="35"/>
  <c r="E199" i="35"/>
  <c r="F197" i="35"/>
  <c r="J197" i="35"/>
  <c r="J139" i="35"/>
  <c r="E56" i="37"/>
  <c r="J20" i="24"/>
  <c r="J16" i="24"/>
  <c r="F14" i="41"/>
  <c r="F13" i="41"/>
  <c r="G13" i="41"/>
  <c r="J157" i="35"/>
  <c r="G62" i="37"/>
  <c r="Q35" i="37"/>
  <c r="E41" i="37"/>
  <c r="E40" i="37"/>
  <c r="E37" i="37"/>
  <c r="E36" i="37"/>
  <c r="E35" i="37"/>
  <c r="R29" i="37"/>
  <c r="H11" i="3"/>
  <c r="F24" i="24"/>
  <c r="F44" i="24"/>
  <c r="R17" i="37"/>
  <c r="J146" i="35"/>
  <c r="J147" i="35"/>
  <c r="R20" i="37"/>
  <c r="E20" i="35"/>
  <c r="J22" i="24"/>
  <c r="J21" i="24"/>
  <c r="J19" i="24"/>
  <c r="J18" i="24"/>
  <c r="J17" i="24"/>
  <c r="J15" i="24"/>
  <c r="J24" i="24"/>
  <c r="J14" i="24"/>
  <c r="J13" i="24"/>
  <c r="J12" i="24"/>
  <c r="I24" i="24"/>
  <c r="H24" i="24"/>
  <c r="G24" i="24"/>
  <c r="E24" i="24"/>
  <c r="E105" i="35"/>
  <c r="G25" i="35"/>
  <c r="G45" i="35"/>
  <c r="G99" i="35"/>
  <c r="G80" i="35"/>
  <c r="G81" i="35"/>
  <c r="G82" i="35"/>
  <c r="J31" i="24"/>
  <c r="J32" i="24"/>
  <c r="J33" i="24"/>
  <c r="J34" i="24"/>
  <c r="J35" i="24"/>
  <c r="J36" i="24"/>
  <c r="J37" i="24"/>
  <c r="J38" i="24"/>
  <c r="J39" i="24"/>
  <c r="J40" i="24"/>
  <c r="J41" i="24"/>
  <c r="J42" i="24"/>
  <c r="A12" i="3"/>
  <c r="A13" i="3"/>
  <c r="A14" i="3"/>
  <c r="A15" i="3"/>
  <c r="A16" i="3"/>
  <c r="A17" i="3"/>
  <c r="A18" i="3"/>
  <c r="A19" i="3"/>
  <c r="A20" i="3"/>
  <c r="G12" i="3"/>
  <c r="G13" i="3"/>
  <c r="H13" i="3"/>
  <c r="H14" i="3"/>
  <c r="D14" i="3"/>
  <c r="D20" i="3"/>
  <c r="D27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44" i="24"/>
  <c r="E44" i="24"/>
  <c r="G44" i="24"/>
  <c r="H44" i="24"/>
  <c r="I44" i="24"/>
  <c r="I102" i="24"/>
  <c r="I103" i="24"/>
  <c r="A16" i="37"/>
  <c r="R16" i="37"/>
  <c r="R21" i="37"/>
  <c r="C25" i="37"/>
  <c r="C35" i="37"/>
  <c r="R27" i="37"/>
  <c r="C28" i="37"/>
  <c r="C38" i="37"/>
  <c r="C30" i="37"/>
  <c r="C40" i="37"/>
  <c r="C31" i="37"/>
  <c r="C41" i="37"/>
  <c r="R31" i="37"/>
  <c r="E31" i="35"/>
  <c r="E41" i="35"/>
  <c r="P35" i="37"/>
  <c r="N36" i="37"/>
  <c r="O36" i="37"/>
  <c r="P36" i="37"/>
  <c r="Q36" i="37"/>
  <c r="L37" i="37"/>
  <c r="M37" i="37"/>
  <c r="N37" i="37"/>
  <c r="O37" i="37"/>
  <c r="P37" i="37"/>
  <c r="Q37" i="37"/>
  <c r="L39" i="37"/>
  <c r="L40" i="37"/>
  <c r="M40" i="37"/>
  <c r="O40" i="37"/>
  <c r="P40" i="37"/>
  <c r="Q40" i="37"/>
  <c r="L41" i="37"/>
  <c r="M41" i="37"/>
  <c r="N41" i="37"/>
  <c r="O41" i="37"/>
  <c r="P41" i="37"/>
  <c r="Q41" i="37"/>
  <c r="G52" i="37"/>
  <c r="E47" i="35"/>
  <c r="G53" i="37"/>
  <c r="E48" i="35"/>
  <c r="G54" i="37"/>
  <c r="E49" i="35"/>
  <c r="G58" i="37"/>
  <c r="E53" i="35"/>
  <c r="J53" i="35"/>
  <c r="G61" i="37"/>
  <c r="G63" i="37"/>
  <c r="E58" i="35"/>
  <c r="G64" i="37"/>
  <c r="G65" i="37"/>
  <c r="E65" i="37"/>
  <c r="F65" i="37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E29" i="31"/>
  <c r="A16" i="35"/>
  <c r="A17" i="35"/>
  <c r="A18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H31" i="35"/>
  <c r="H84" i="35"/>
  <c r="H90" i="35"/>
  <c r="J90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E101" i="35"/>
  <c r="G96" i="35"/>
  <c r="D100" i="35"/>
  <c r="G100" i="35"/>
  <c r="I123" i="35"/>
  <c r="H173" i="35"/>
  <c r="H174" i="35"/>
  <c r="H197" i="35"/>
  <c r="J198" i="35"/>
  <c r="I201" i="35"/>
  <c r="J201" i="35"/>
  <c r="D10" i="41"/>
  <c r="F12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J79" i="35"/>
  <c r="N35" i="37"/>
  <c r="E39" i="37"/>
  <c r="J31" i="35"/>
  <c r="H12" i="3"/>
  <c r="P39" i="37"/>
  <c r="F56" i="37"/>
  <c r="L22" i="37"/>
  <c r="E17" i="35"/>
  <c r="J135" i="35"/>
  <c r="E27" i="35"/>
  <c r="E57" i="35"/>
  <c r="E16" i="35"/>
  <c r="E88" i="35"/>
  <c r="J84" i="35"/>
  <c r="F15" i="41"/>
  <c r="G12" i="41"/>
  <c r="H12" i="41"/>
  <c r="A17" i="37"/>
  <c r="J151" i="35"/>
  <c r="I22" i="37"/>
  <c r="E37" i="35"/>
  <c r="E180" i="35"/>
  <c r="H13" i="41"/>
  <c r="E23" i="41"/>
  <c r="F23" i="41"/>
  <c r="G14" i="41"/>
  <c r="H14" i="41"/>
  <c r="E24" i="41"/>
  <c r="F24" i="41"/>
  <c r="R35" i="37"/>
  <c r="J44" i="24"/>
  <c r="O22" i="37"/>
  <c r="R41" i="37"/>
  <c r="E21" i="35"/>
  <c r="D22" i="3"/>
  <c r="N49" i="31"/>
  <c r="N51" i="31"/>
  <c r="N50" i="31"/>
  <c r="M50" i="31"/>
  <c r="N38" i="37"/>
  <c r="N22" i="37"/>
  <c r="E22" i="37"/>
  <c r="E45" i="35"/>
  <c r="J164" i="35"/>
  <c r="R37" i="37"/>
  <c r="M35" i="37"/>
  <c r="M22" i="37"/>
  <c r="J21" i="35"/>
  <c r="J165" i="35"/>
  <c r="J168" i="35"/>
  <c r="A18" i="37"/>
  <c r="A19" i="37"/>
  <c r="A20" i="37"/>
  <c r="A21" i="37"/>
  <c r="A19" i="35"/>
  <c r="G22" i="41"/>
  <c r="D28" i="3"/>
  <c r="D30" i="3"/>
  <c r="D22" i="37"/>
  <c r="E25" i="35"/>
  <c r="A22" i="37"/>
  <c r="A23" i="37"/>
  <c r="A24" i="37"/>
  <c r="A25" i="37"/>
  <c r="E22" i="41"/>
  <c r="H15" i="41"/>
  <c r="E18" i="35"/>
  <c r="J41" i="35"/>
  <c r="J141" i="35"/>
  <c r="J138" i="35"/>
  <c r="J140" i="35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E15" i="35"/>
  <c r="O35" i="37"/>
  <c r="J22" i="37"/>
  <c r="G15" i="41"/>
  <c r="Q38" i="37"/>
  <c r="Q22" i="37"/>
  <c r="E59" i="35"/>
  <c r="D33" i="3"/>
  <c r="D32" i="3"/>
  <c r="D34" i="3"/>
  <c r="D31" i="3"/>
  <c r="E45" i="41"/>
  <c r="G23" i="41"/>
  <c r="E25" i="41"/>
  <c r="E43" i="41"/>
  <c r="A20" i="35"/>
  <c r="A26" i="37"/>
  <c r="D35" i="37"/>
  <c r="J143" i="35"/>
  <c r="E35" i="35"/>
  <c r="E22" i="35"/>
  <c r="E89" i="35"/>
  <c r="E91" i="35"/>
  <c r="G24" i="41"/>
  <c r="H24" i="41"/>
  <c r="H23" i="41"/>
  <c r="A27" i="37"/>
  <c r="D36" i="37"/>
  <c r="A21" i="35"/>
  <c r="H58" i="35"/>
  <c r="J58" i="35"/>
  <c r="G179" i="35"/>
  <c r="H16" i="35"/>
  <c r="J16" i="35"/>
  <c r="F172" i="35"/>
  <c r="H172" i="35"/>
  <c r="H175" i="35"/>
  <c r="J175" i="35"/>
  <c r="H76" i="35"/>
  <c r="H88" i="35"/>
  <c r="J88" i="35"/>
  <c r="H83" i="35"/>
  <c r="J83" i="35"/>
  <c r="J76" i="35"/>
  <c r="H77" i="35"/>
  <c r="D22" i="35"/>
  <c r="A22" i="35"/>
  <c r="A23" i="35"/>
  <c r="A24" i="35"/>
  <c r="A25" i="35"/>
  <c r="D37" i="37"/>
  <c r="A28" i="37"/>
  <c r="H18" i="35"/>
  <c r="H95" i="35"/>
  <c r="H96" i="35"/>
  <c r="J96" i="35"/>
  <c r="A26" i="35"/>
  <c r="D35" i="35"/>
  <c r="J18" i="35"/>
  <c r="H28" i="35"/>
  <c r="H19" i="35"/>
  <c r="J19" i="35"/>
  <c r="A29" i="37"/>
  <c r="D38" i="37"/>
  <c r="H78" i="35"/>
  <c r="H29" i="35"/>
  <c r="A30" i="37"/>
  <c r="D39" i="37"/>
  <c r="A27" i="35"/>
  <c r="D36" i="35"/>
  <c r="A31" i="37"/>
  <c r="D40" i="37"/>
  <c r="A28" i="35"/>
  <c r="D37" i="35"/>
  <c r="H82" i="35"/>
  <c r="J82" i="35"/>
  <c r="H89" i="35"/>
  <c r="J89" i="35"/>
  <c r="J91" i="35"/>
  <c r="H80" i="35"/>
  <c r="A29" i="35"/>
  <c r="D38" i="35"/>
  <c r="H81" i="35"/>
  <c r="J81" i="35"/>
  <c r="J80" i="35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A30" i="35"/>
  <c r="D39" i="35"/>
  <c r="A31" i="35"/>
  <c r="D40" i="35"/>
  <c r="A51" i="37"/>
  <c r="A52" i="37"/>
  <c r="A53" i="37"/>
  <c r="A54" i="37"/>
  <c r="A55" i="37"/>
  <c r="A56" i="37"/>
  <c r="A57" i="37"/>
  <c r="A58" i="37"/>
  <c r="A59" i="37"/>
  <c r="A60" i="37"/>
  <c r="A61" i="37"/>
  <c r="D42" i="37"/>
  <c r="D56" i="37"/>
  <c r="A32" i="35"/>
  <c r="A33" i="35"/>
  <c r="A34" i="35"/>
  <c r="A35" i="35"/>
  <c r="D41" i="35"/>
  <c r="D32" i="35"/>
  <c r="A62" i="37"/>
  <c r="A63" i="37"/>
  <c r="A64" i="37"/>
  <c r="A65" i="37"/>
  <c r="D65" i="37"/>
  <c r="A36" i="35"/>
  <c r="A37" i="35"/>
  <c r="A38" i="35"/>
  <c r="A39" i="35"/>
  <c r="A40" i="35"/>
  <c r="A41" i="35"/>
  <c r="A42" i="35"/>
  <c r="A43" i="35"/>
  <c r="A44" i="35"/>
  <c r="A45" i="35"/>
  <c r="D42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D62" i="35"/>
  <c r="D60" i="35"/>
  <c r="A76" i="35"/>
  <c r="A77" i="35"/>
  <c r="A78" i="35"/>
  <c r="A79" i="35"/>
  <c r="A80" i="35"/>
  <c r="A81" i="35"/>
  <c r="A82" i="35"/>
  <c r="A83" i="35"/>
  <c r="A84" i="35"/>
  <c r="A85" i="35"/>
  <c r="C85" i="35"/>
  <c r="A86" i="35"/>
  <c r="A87" i="35"/>
  <c r="A88" i="35"/>
  <c r="D56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4" i="35"/>
  <c r="A105" i="35"/>
  <c r="A106" i="35"/>
  <c r="C101" i="35"/>
  <c r="A107" i="35"/>
  <c r="A108" i="35"/>
  <c r="A109" i="35"/>
  <c r="A110" i="35"/>
  <c r="A111" i="35"/>
  <c r="A112" i="35"/>
  <c r="A113" i="35"/>
  <c r="A114" i="35"/>
  <c r="A115" i="35"/>
  <c r="D110" i="35"/>
  <c r="C115" i="35"/>
  <c r="A116" i="35"/>
  <c r="A117" i="35"/>
  <c r="A118" i="35"/>
  <c r="A119" i="35"/>
  <c r="A135" i="35"/>
  <c r="C119" i="35"/>
  <c r="A136" i="35"/>
  <c r="A137" i="35"/>
  <c r="A138" i="35"/>
  <c r="A139" i="35"/>
  <c r="A140" i="35"/>
  <c r="C138" i="35"/>
  <c r="A141" i="35"/>
  <c r="A142" i="35"/>
  <c r="A143" i="35"/>
  <c r="A144" i="35"/>
  <c r="A145" i="35"/>
  <c r="A146" i="35"/>
  <c r="C140" i="35"/>
  <c r="A147" i="35"/>
  <c r="A148" i="35"/>
  <c r="A149" i="35"/>
  <c r="C151" i="35"/>
  <c r="C143" i="35"/>
  <c r="C149" i="35"/>
  <c r="C139" i="35"/>
  <c r="A150" i="35"/>
  <c r="A151" i="35"/>
  <c r="A152" i="35"/>
  <c r="A153" i="35"/>
  <c r="A154" i="35"/>
  <c r="C141" i="35"/>
  <c r="A155" i="35"/>
  <c r="A156" i="35"/>
  <c r="A157" i="35"/>
  <c r="C158" i="35"/>
  <c r="C156" i="35"/>
  <c r="A158" i="35"/>
  <c r="C159" i="35"/>
  <c r="C161" i="35"/>
  <c r="A159" i="35"/>
  <c r="A160" i="35"/>
  <c r="A161" i="35"/>
  <c r="A162" i="35"/>
  <c r="A163" i="35"/>
  <c r="A164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75" i="35"/>
  <c r="A190" i="35"/>
  <c r="A191" i="35"/>
  <c r="A192" i="35"/>
  <c r="A193" i="35"/>
  <c r="C181" i="35"/>
  <c r="A194" i="35"/>
  <c r="A195" i="35"/>
  <c r="A196" i="35"/>
  <c r="D198" i="35"/>
  <c r="E193" i="35"/>
  <c r="A197" i="35"/>
  <c r="A198" i="35"/>
  <c r="A199" i="35"/>
  <c r="C113" i="35"/>
  <c r="C107" i="35"/>
  <c r="C199" i="35"/>
  <c r="J39" i="35"/>
  <c r="E39" i="35"/>
  <c r="E85" i="35"/>
  <c r="E115" i="35"/>
  <c r="E56" i="35"/>
  <c r="R39" i="37"/>
  <c r="E46" i="35"/>
  <c r="G56" i="37"/>
  <c r="P42" i="37"/>
  <c r="I32" i="37"/>
  <c r="Q32" i="37"/>
  <c r="R30" i="37"/>
  <c r="K32" i="37"/>
  <c r="R40" i="37"/>
  <c r="E30" i="35"/>
  <c r="E40" i="35"/>
  <c r="E32" i="37"/>
  <c r="Q42" i="37"/>
  <c r="J32" i="37"/>
  <c r="N42" i="37"/>
  <c r="J28" i="35"/>
  <c r="J38" i="35"/>
  <c r="E38" i="35"/>
  <c r="R38" i="37"/>
  <c r="E42" i="37"/>
  <c r="E26" i="35"/>
  <c r="E32" i="35"/>
  <c r="E42" i="35"/>
  <c r="R32" i="37"/>
  <c r="J154" i="35"/>
  <c r="J156" i="35"/>
  <c r="J158" i="35"/>
  <c r="L32" i="37"/>
  <c r="J159" i="35"/>
  <c r="J161" i="35"/>
  <c r="H26" i="35"/>
  <c r="R36" i="37"/>
  <c r="R79" i="37"/>
  <c r="R75" i="37"/>
  <c r="R71" i="37"/>
  <c r="R42" i="37"/>
  <c r="J26" i="35"/>
  <c r="J36" i="35"/>
  <c r="E36" i="35"/>
  <c r="E179" i="35"/>
  <c r="E181" i="35"/>
  <c r="F179" i="35"/>
  <c r="F180" i="35"/>
  <c r="H179" i="35"/>
  <c r="J181" i="35"/>
  <c r="F181" i="35"/>
  <c r="H20" i="35"/>
  <c r="H57" i="35"/>
  <c r="J57" i="35"/>
  <c r="J20" i="35"/>
  <c r="H30" i="35"/>
  <c r="J30" i="35"/>
  <c r="J32" i="35"/>
  <c r="J40" i="35"/>
  <c r="J42" i="35"/>
  <c r="H42" i="35"/>
  <c r="J22" i="35"/>
  <c r="H22" i="35"/>
  <c r="H98" i="35"/>
  <c r="H59" i="35"/>
  <c r="J59" i="35"/>
  <c r="H47" i="35"/>
  <c r="H46" i="35"/>
  <c r="J46" i="35"/>
  <c r="H100" i="35"/>
  <c r="J100" i="35"/>
  <c r="J98" i="35"/>
  <c r="J101" i="35"/>
  <c r="J47" i="35"/>
  <c r="H48" i="35"/>
  <c r="H49" i="35"/>
  <c r="J48" i="35"/>
  <c r="J49" i="35"/>
  <c r="H50" i="35"/>
  <c r="J50" i="35"/>
  <c r="J51" i="35"/>
  <c r="E106" i="35"/>
  <c r="J85" i="35"/>
  <c r="J56" i="35"/>
  <c r="J60" i="35"/>
  <c r="J62" i="35"/>
  <c r="J112" i="35"/>
  <c r="J110" i="35"/>
  <c r="J115" i="35"/>
  <c r="D22" i="41"/>
  <c r="J119" i="35"/>
  <c r="M49" i="31"/>
  <c r="M51" i="31"/>
  <c r="F22" i="41"/>
  <c r="D25" i="41"/>
  <c r="E42" i="41"/>
  <c r="H22" i="41"/>
  <c r="H25" i="41"/>
  <c r="F28" i="41"/>
  <c r="F25" i="41"/>
  <c r="E44" i="41"/>
  <c r="E46" i="41"/>
  <c r="F30" i="41"/>
  <c r="F29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  <author>jkirsch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3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 - did not use actual usage amount</t>
        </r>
      </text>
    </comment>
  </commentList>
</comments>
</file>

<file path=xl/sharedStrings.xml><?xml version="1.0" encoding="utf-8"?>
<sst xmlns="http://schemas.openxmlformats.org/spreadsheetml/2006/main" count="765" uniqueCount="480">
  <si>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</si>
  <si>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</si>
  <si>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</si>
  <si>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</si>
  <si>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</si>
  <si>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</si>
  <si>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</si>
  <si>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</si>
  <si>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</si>
  <si>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</si>
  <si>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</si>
  <si>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</si>
  <si>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</si>
  <si>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</si>
  <si>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</si>
  <si>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</si>
  <si>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</si>
  <si>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</si>
  <si>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</si>
  <si>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</si>
  <si>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</si>
  <si>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</si>
  <si>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</si>
  <si>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</si>
  <si>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</si>
  <si>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FERC Acct 118/121-1800</t>
  </si>
  <si>
    <t>FERC Acct 119/122-1100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</si>
  <si>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</si>
  <si>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</si>
  <si>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</si>
  <si>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</si>
  <si>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</si>
  <si>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</si>
  <si>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</si>
  <si>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</si>
  <si>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</si>
  <si>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</si>
  <si>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</si>
  <si>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</si>
  <si>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</si>
  <si>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</si>
  <si>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</si>
  <si>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</si>
  <si>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</si>
  <si>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</si>
  <si>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</si>
  <si>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</si>
  <si>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</si>
  <si>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</si>
  <si>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</si>
  <si>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</si>
  <si>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</si>
  <si>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</si>
  <si>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</si>
  <si>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</si>
  <si>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</si>
  <si>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</si>
  <si>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</si>
  <si>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</si>
  <si>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</si>
  <si>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</si>
  <si>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</si>
  <si>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</si>
  <si>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</si>
  <si>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</si>
  <si>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</si>
  <si>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</si>
  <si>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</si>
  <si>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</si>
  <si>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</si>
  <si>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</si>
  <si>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</si>
  <si>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</si>
  <si>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</si>
  <si>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</si>
  <si>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</si>
  <si>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</si>
  <si>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</si>
  <si>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</si>
  <si>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263.23i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</si>
  <si>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</si>
  <si>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</si>
  <si>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</si>
  <si>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</si>
  <si>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</si>
  <si>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</si>
  <si>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</si>
  <si>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</si>
  <si>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</si>
  <si>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</si>
  <si>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</si>
  <si>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</si>
  <si>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</si>
  <si>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</si>
  <si>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</si>
  <si>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</si>
  <si>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</si>
  <si>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</si>
  <si>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</si>
  <si>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</si>
  <si>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</si>
  <si>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</si>
  <si>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</si>
  <si>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</si>
  <si>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</si>
  <si>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</si>
  <si>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</si>
  <si>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</si>
  <si>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</si>
  <si>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</si>
  <si>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</si>
  <si>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</si>
  <si>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</si>
  <si>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</si>
  <si>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</si>
  <si>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</si>
  <si>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</si>
  <si>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</si>
  <si>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</si>
  <si>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</si>
  <si>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</si>
  <si>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</si>
  <si>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</si>
  <si>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</si>
  <si>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</si>
  <si>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</si>
  <si>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</si>
  <si>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219.20-24.c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</si>
  <si>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</si>
  <si>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</si>
  <si>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</si>
  <si>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</si>
  <si>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</si>
  <si>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</si>
  <si>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</si>
  <si>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</si>
  <si>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</si>
  <si>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</si>
  <si>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</si>
  <si>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</si>
  <si>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</si>
  <si>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pg 321.84-92.b</t>
  </si>
  <si>
    <t>350.1.b</t>
  </si>
  <si>
    <t>Line 1 - EPRI Annual Membership Dues listed in Form 1 at 335.b, all Regulatory Commission Expenses itemized at 351.h, and non-safety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</si>
  <si>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</si>
  <si>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</si>
  <si>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</si>
  <si>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</si>
  <si>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</si>
  <si>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</si>
  <si>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</si>
  <si>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</si>
  <si>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</si>
  <si>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</si>
  <si>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</si>
  <si>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</si>
  <si>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</si>
  <si>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</si>
  <si>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</si>
  <si>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</si>
  <si>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</si>
  <si>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</si>
  <si>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</si>
  <si>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</si>
  <si>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</si>
  <si>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</si>
  <si>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</si>
  <si>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</si>
  <si>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</si>
  <si>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</si>
  <si>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</si>
  <si>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</si>
  <si>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</si>
  <si>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</si>
  <si>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</si>
  <si>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</si>
  <si>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</si>
  <si>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</si>
  <si>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</si>
  <si>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</si>
  <si>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</si>
  <si>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</si>
  <si>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</si>
  <si>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</si>
  <si>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</si>
  <si>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</si>
  <si>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</si>
  <si>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</si>
  <si>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</si>
  <si>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</si>
  <si>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</si>
  <si>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</si>
  <si>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</si>
  <si>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</si>
  <si>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</si>
  <si>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</si>
  <si>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</si>
  <si>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</si>
  <si>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</si>
  <si>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</si>
  <si>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</si>
  <si>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</si>
  <si>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</si>
  <si>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</si>
  <si>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</si>
  <si>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</si>
  <si>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</si>
  <si>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</si>
  <si>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</si>
  <si>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</si>
  <si>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</si>
  <si>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</si>
  <si>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</si>
  <si>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</si>
  <si>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</si>
  <si>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</si>
  <si>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</si>
  <si>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</si>
  <si>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</si>
  <si>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</si>
  <si>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</si>
  <si>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</si>
  <si>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</si>
  <si>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</si>
  <si>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</si>
  <si>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</si>
  <si>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</si>
  <si>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</si>
  <si>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</si>
  <si>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</si>
  <si>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</si>
  <si>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</si>
  <si>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</si>
  <si>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</si>
  <si>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</si>
  <si>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</si>
  <si>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</si>
  <si>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</si>
  <si>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</si>
  <si>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</si>
  <si>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</si>
  <si>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</si>
  <si>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</si>
  <si>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</si>
  <si>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</si>
  <si>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</si>
  <si>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</si>
  <si>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</si>
  <si>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</si>
  <si>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</si>
  <si>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</si>
  <si>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</si>
  <si>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</si>
  <si>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</si>
  <si>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</si>
  <si>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</si>
  <si>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</si>
  <si>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</si>
  <si>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</si>
  <si>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</si>
  <si>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</si>
  <si>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</si>
  <si>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</si>
  <si>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</si>
  <si>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</si>
  <si>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</si>
  <si>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</si>
  <si>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</si>
  <si>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</si>
  <si>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</si>
  <si>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</si>
  <si>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</si>
  <si>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</si>
  <si>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</si>
  <si>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</si>
  <si>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</si>
  <si>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</si>
  <si>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</si>
  <si>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</si>
  <si>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</si>
  <si>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</si>
  <si>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</si>
  <si>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</si>
  <si>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</si>
  <si>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</si>
  <si>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</si>
  <si>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</si>
  <si>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</si>
  <si>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</si>
  <si>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</si>
  <si>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</si>
  <si>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</si>
  <si>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</si>
  <si>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</si>
  <si>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</si>
  <si>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</si>
  <si>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</si>
  <si>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</si>
  <si>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</si>
  <si>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</si>
  <si>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</si>
  <si>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</si>
  <si>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</si>
  <si>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</si>
  <si>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</si>
  <si>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</si>
  <si>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</si>
  <si>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</si>
  <si>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</si>
  <si>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</si>
  <si>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</si>
  <si>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</si>
  <si>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</si>
  <si>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</si>
  <si>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</si>
  <si>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</si>
  <si>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</si>
  <si>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</si>
  <si>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</si>
  <si>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</si>
  <si>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</si>
  <si>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</si>
  <si>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</si>
  <si>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</si>
  <si>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</si>
  <si>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</si>
  <si>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</si>
  <si>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</si>
  <si>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</si>
  <si>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</si>
  <si>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</si>
  <si>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</si>
  <si>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</si>
  <si>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</si>
  <si>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</si>
  <si>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</si>
  <si>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</si>
  <si>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</si>
  <si>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(232.1.f - 278.1.f - 278.3.f)*.35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</si>
  <si>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</si>
  <si>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</si>
  <si>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</si>
  <si>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</si>
  <si>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</si>
  <si>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</si>
  <si>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</si>
  <si>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</si>
  <si>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</si>
  <si>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</si>
  <si>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</si>
  <si>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</si>
  <si>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</si>
  <si>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</si>
  <si>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</si>
  <si>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</si>
  <si>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</si>
  <si>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</si>
  <si>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</si>
  <si>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</si>
  <si>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</si>
  <si>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</si>
  <si>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</si>
  <si>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</si>
  <si>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</si>
  <si>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</si>
  <si>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</si>
  <si>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</si>
  <si>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</si>
  <si>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</si>
  <si>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</si>
  <si>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</si>
  <si>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</si>
  <si>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</si>
  <si>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</si>
  <si>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</si>
  <si>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</si>
  <si>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</si>
  <si>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</si>
  <si>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</si>
  <si>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</si>
  <si>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</si>
  <si>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</si>
  <si>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</si>
  <si>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</si>
  <si>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</si>
  <si>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</si>
  <si>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</si>
  <si>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</si>
  <si>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</si>
  <si>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</si>
  <si>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</si>
  <si>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</si>
  <si>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</si>
  <si>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</si>
  <si>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</si>
  <si>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</si>
  <si>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</si>
  <si>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</si>
  <si>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</si>
  <si>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113.62 b</t>
  </si>
  <si>
    <t>113.64 b</t>
  </si>
  <si>
    <t>113.57 b</t>
  </si>
  <si>
    <t>111.82 b</t>
  </si>
  <si>
    <t>113.63 b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</si>
  <si>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</si>
  <si>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</si>
  <si>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</si>
  <si>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</si>
  <si>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</si>
  <si>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</si>
  <si>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</si>
  <si>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</si>
  <si>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(232.1.f - 278.5.f)*.35</t>
  </si>
  <si>
    <t>219.28.c</t>
  </si>
  <si>
    <t>Amount based on actual calendar year 2014</t>
  </si>
  <si>
    <t>TRUE UP OF RATES FOR CALENDAR YEAR 2014</t>
  </si>
  <si>
    <t>Actual 2014 Load</t>
  </si>
  <si>
    <t>Date</t>
  </si>
  <si>
    <t>12/31/13 &amp; 12/31/14 average balance</t>
  </si>
  <si>
    <t>As filed in October 2013</t>
  </si>
  <si>
    <t>O&amp;M - Acct 561 (2013)</t>
  </si>
  <si>
    <t>Actual Expenses (2014)</t>
  </si>
  <si>
    <t>(See Workpaper 7 2014 Actual Load Data)</t>
  </si>
  <si>
    <t>See Workpaper 4</t>
  </si>
  <si>
    <t>See Workpaper 5</t>
  </si>
  <si>
    <t>(Notes A &amp; H)</t>
  </si>
  <si>
    <t>111.57.d</t>
  </si>
  <si>
    <t>336.7.b</t>
  </si>
  <si>
    <t>336.10.b &amp; 336.1.d&amp;e</t>
  </si>
  <si>
    <t>263.3i, 263.4i, 263.12i</t>
  </si>
  <si>
    <t>Column (3) line 2</t>
  </si>
  <si>
    <t>Column (3) line 3</t>
  </si>
  <si>
    <t>Column (3) line 12</t>
  </si>
  <si>
    <t>Column (3) line 13</t>
  </si>
  <si>
    <t>line 22</t>
  </si>
  <si>
    <t>line 23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</si>
  <si>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</si>
  <si>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</si>
  <si>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</si>
  <si>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</si>
  <si>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</si>
  <si>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</si>
  <si>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Load (A*B)</t>
  </si>
  <si>
    <t>Rates*</t>
  </si>
  <si>
    <t>* The above rates were developed in June 2006. See Note I.</t>
  </si>
  <si>
    <t>** Columns a and m use the FERC Form 1 balance except where otherwise referenced. Columns b through l are the Company's FERC account balances.</t>
  </si>
  <si>
    <t>(Note H) **</t>
  </si>
  <si>
    <t>1 - Transmission actual load from OATI</t>
  </si>
  <si>
    <t>2 - Transmission projected load from Transmission Planning</t>
  </si>
  <si>
    <r>
      <t>2014 Projected Load Data</t>
    </r>
    <r>
      <rPr>
        <b/>
        <vertAlign val="superscript"/>
        <sz val="12"/>
        <rFont val="Arial"/>
        <family val="2"/>
      </rPr>
      <t>2</t>
    </r>
  </si>
  <si>
    <r>
      <t>2014 Actual Load Data</t>
    </r>
    <r>
      <rPr>
        <b/>
        <vertAlign val="superscript"/>
        <sz val="12"/>
        <rFont val="Arial"/>
        <family val="2"/>
      </rPr>
      <t>1</t>
    </r>
  </si>
  <si>
    <t>Effective August 1, 2014</t>
  </si>
  <si>
    <t>WORKING CAPITAL EXCLUDING CASH WORKING CAPITAL  (Notes C &amp; H)</t>
  </si>
  <si>
    <t>WORKING CAPITAL  EXCLUDING CWC</t>
  </si>
  <si>
    <r>
      <t>Company Records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</si>
  <si>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</si>
  <si>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ESTIMATED REVENUE REQUIREMENT (pg. 3 line 86)</t>
  </si>
  <si>
    <t>Date: May 29, 2015</t>
  </si>
  <si>
    <t>SW Maint Adj</t>
  </si>
  <si>
    <t>SW Maint</t>
  </si>
  <si>
    <t>Legal Exp</t>
  </si>
  <si>
    <t>Maintenance</t>
  </si>
  <si>
    <t>SW Maintenance correction effect on Retained Earnings</t>
  </si>
  <si>
    <t>This line was Corrected in the payroll tax refund</t>
  </si>
  <si>
    <t>Depreciation rate change correction</t>
  </si>
  <si>
    <t>Account 282 Adjustment</t>
  </si>
  <si>
    <t>Original</t>
  </si>
  <si>
    <t>Adjustment</t>
  </si>
  <si>
    <t>Adjusted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</si>
  <si>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</si>
  <si>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</si>
  <si>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</si>
  <si>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</si>
  <si>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</si>
  <si>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</si>
  <si>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</si>
  <si>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</si>
  <si>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</si>
  <si>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</si>
  <si>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Benefit Geography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</si>
</sst>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mmm\-yyyy"/>
    <numFmt numFmtId="181" formatCode="0.0000%"/>
    <numFmt numFmtId="182" formatCode="#,##0.000000"/>
    <numFmt numFmtId="183" formatCode="[$-409]mmm\-yy;@"/>
    <numFmt numFmtId="184" formatCode="[$-409]mmmm\ d\,\ yy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5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12"/>
      <name val="Arial MT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5">
    <xf numFmtId="172" fontId="0" fillId="0" borderId="0" applyProtection="0"/>
    <xf numFmtId="0" fontId="6" fillId="0" borderId="0"/>
    <xf numFmtId="37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37" fontId="39" fillId="0" borderId="0" applyFont="0" applyFill="0" applyBorder="0" applyAlignment="0" applyProtection="0"/>
    <xf numFmtId="0" fontId="6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38" fontId="52" fillId="0" borderId="0" applyBorder="0" applyAlignment="0"/>
    <xf numFmtId="185" fontId="45" fillId="20" borderId="1">
      <alignment horizontal="center" vertical="center"/>
    </xf>
    <xf numFmtId="186" fontId="6" fillId="0" borderId="2">
      <alignment horizontal="left"/>
    </xf>
    <xf numFmtId="0" fontId="53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54" fillId="0" borderId="0" applyNumberFormat="0" applyFill="0" applyBorder="0" applyAlignment="0" applyProtection="0"/>
    <xf numFmtId="187" fontId="55" fillId="0" borderId="3" applyNumberFormat="0" applyFill="0" applyAlignment="0" applyProtection="0">
      <alignment horizontal="center"/>
    </xf>
    <xf numFmtId="188" fontId="55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6" fillId="0" borderId="0" applyFill="0">
      <alignment vertical="top"/>
    </xf>
    <xf numFmtId="0" fontId="57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6" fillId="0" borderId="0" applyFill="0">
      <alignment wrapText="1"/>
    </xf>
    <xf numFmtId="0" fontId="57" fillId="0" borderId="0" applyFill="0">
      <alignment horizontal="left" vertical="top" wrapText="1"/>
    </xf>
    <xf numFmtId="37" fontId="10" fillId="0" borderId="0" applyFill="0">
      <alignment horizontal="right"/>
    </xf>
    <xf numFmtId="0" fontId="58" fillId="0" borderId="0" applyNumberFormat="0" applyFont="0" applyAlignment="0">
      <alignment horizontal="center"/>
    </xf>
    <xf numFmtId="0" fontId="59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8" fillId="0" borderId="0" applyNumberFormat="0" applyFont="0" applyAlignment="0">
      <alignment horizontal="center"/>
    </xf>
    <xf numFmtId="0" fontId="60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8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61" fillId="0" borderId="0" applyFill="0">
      <alignment horizontal="right"/>
    </xf>
    <xf numFmtId="0" fontId="58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37" fontId="61" fillId="0" borderId="0" applyFill="0">
      <alignment horizontal="right"/>
    </xf>
    <xf numFmtId="0" fontId="58" fillId="0" borderId="0" applyNumberFormat="0" applyFont="0" applyAlignment="0">
      <alignment horizontal="center"/>
    </xf>
    <xf numFmtId="0" fontId="64" fillId="0" borderId="0">
      <alignment horizontal="center" wrapText="1"/>
    </xf>
    <xf numFmtId="0" fontId="65" fillId="0" borderId="0" applyFill="0">
      <alignment horizontal="center" wrapText="1"/>
    </xf>
    <xf numFmtId="0" fontId="28" fillId="21" borderId="7" applyNumberFormat="0" applyAlignment="0" applyProtection="0"/>
    <xf numFmtId="0" fontId="28" fillId="21" borderId="7" applyNumberFormat="0" applyAlignment="0" applyProtection="0"/>
    <xf numFmtId="0" fontId="28" fillId="21" borderId="7" applyNumberFormat="0" applyAlignment="0" applyProtection="0"/>
    <xf numFmtId="0" fontId="29" fillId="22" borderId="8" applyNumberFormat="0" applyAlignment="0" applyProtection="0"/>
    <xf numFmtId="0" fontId="29" fillId="22" borderId="8" applyNumberFormat="0" applyAlignment="0" applyProtection="0"/>
    <xf numFmtId="0" fontId="29" fillId="22" borderId="8" applyNumberFormat="0" applyAlignment="0" applyProtection="0"/>
    <xf numFmtId="43" fontId="6" fillId="0" borderId="0" applyFont="0" applyFill="0" applyBorder="0" applyAlignment="0" applyProtection="0"/>
    <xf numFmtId="189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0" fontId="6" fillId="0" borderId="2">
      <alignment horizontal="center"/>
    </xf>
    <xf numFmtId="191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92" fontId="6" fillId="0" borderId="0">
      <protection locked="0"/>
    </xf>
    <xf numFmtId="0" fontId="69" fillId="0" borderId="0"/>
    <xf numFmtId="0" fontId="70" fillId="0" borderId="0"/>
    <xf numFmtId="0" fontId="71" fillId="0" borderId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38" fontId="10" fillId="23" borderId="0" applyNumberFormat="0" applyBorder="0" applyAlignment="0" applyProtection="0"/>
    <xf numFmtId="0" fontId="72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3" fillId="0" borderId="0">
      <alignment horizont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4" fillId="0" borderId="14" applyNumberFormat="0" applyFill="0" applyAlignment="0" applyProtection="0"/>
    <xf numFmtId="0" fontId="35" fillId="7" borderId="7" applyNumberFormat="0" applyAlignment="0" applyProtection="0"/>
    <xf numFmtId="10" fontId="10" fillId="24" borderId="2" applyNumberFormat="0" applyBorder="0" applyAlignment="0" applyProtection="0"/>
    <xf numFmtId="0" fontId="35" fillId="7" borderId="7" applyNumberFormat="0" applyAlignment="0" applyProtection="0"/>
    <xf numFmtId="0" fontId="35" fillId="7" borderId="7" applyNumberFormat="0" applyAlignment="0" applyProtection="0"/>
    <xf numFmtId="0" fontId="10" fillId="23" borderId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194" fontId="6" fillId="0" borderId="2">
      <alignment horizontal="center"/>
    </xf>
    <xf numFmtId="195" fontId="75" fillId="0" borderId="0"/>
    <xf numFmtId="17" fontId="76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43" fontId="77" fillId="0" borderId="0" applyNumberFormat="0" applyFill="0" applyBorder="0" applyAlignment="0" applyProtection="0"/>
    <xf numFmtId="0" fontId="55" fillId="0" borderId="0" applyNumberFormat="0" applyFill="0" applyAlignment="0" applyProtection="0"/>
    <xf numFmtId="37" fontId="78" fillId="0" borderId="0"/>
    <xf numFmtId="198" fontId="79" fillId="0" borderId="0"/>
    <xf numFmtId="172" fontId="1" fillId="0" borderId="0" applyProtection="0"/>
    <xf numFmtId="0" fontId="6" fillId="0" borderId="0"/>
    <xf numFmtId="0" fontId="93" fillId="0" borderId="0"/>
    <xf numFmtId="0" fontId="67" fillId="0" borderId="0"/>
    <xf numFmtId="172" fontId="1" fillId="0" borderId="0" applyProtection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8" fillId="21" borderId="17" applyNumberFormat="0" applyAlignment="0" applyProtection="0"/>
    <xf numFmtId="0" fontId="38" fillId="21" borderId="17" applyNumberFormat="0" applyAlignment="0" applyProtection="0"/>
    <xf numFmtId="0" fontId="38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3">
      <alignment horizontal="center"/>
    </xf>
    <xf numFmtId="3" fontId="39" fillId="0" borderId="0" applyFont="0" applyFill="0" applyBorder="0" applyAlignment="0" applyProtection="0"/>
    <xf numFmtId="0" fontId="39" fillId="27" borderId="0" applyNumberFormat="0" applyFont="0" applyBorder="0" applyAlignment="0" applyProtection="0"/>
    <xf numFmtId="37" fontId="10" fillId="23" borderId="0" applyFill="0">
      <alignment horizontal="right"/>
    </xf>
    <xf numFmtId="0" fontId="61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80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9" fillId="0" borderId="0" applyFill="0">
      <alignment horizontal="left" indent="1"/>
    </xf>
    <xf numFmtId="0" fontId="61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9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81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1" fillId="0" borderId="0">
      <alignment horizontal="left" indent="4"/>
    </xf>
    <xf numFmtId="0" fontId="10" fillId="0" borderId="0" applyFill="0">
      <alignment horizontal="left"/>
    </xf>
    <xf numFmtId="37" fontId="61" fillId="0" borderId="0" applyFill="0">
      <alignment horizontal="right"/>
    </xf>
    <xf numFmtId="0" fontId="6" fillId="0" borderId="0" applyNumberFormat="0" applyFont="0" applyBorder="0" applyAlignment="0"/>
    <xf numFmtId="0" fontId="62" fillId="0" borderId="0">
      <alignment horizontal="left" indent="5"/>
    </xf>
    <xf numFmtId="0" fontId="61" fillId="0" borderId="0" applyFill="0">
      <alignment horizontal="left"/>
    </xf>
    <xf numFmtId="37" fontId="61" fillId="0" borderId="0" applyFill="0">
      <alignment horizontal="right"/>
    </xf>
    <xf numFmtId="0" fontId="6" fillId="0" borderId="0" applyNumberFormat="0" applyFont="0" applyFill="0" applyBorder="0" applyAlignment="0"/>
    <xf numFmtId="0" fontId="64" fillId="0" borderId="0" applyFill="0">
      <alignment horizontal="left" indent="6"/>
    </xf>
    <xf numFmtId="0" fontId="61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82" fillId="0" borderId="0" applyNumberFormat="0" applyAlignment="0">
      <alignment horizontal="centerContinuous"/>
    </xf>
    <xf numFmtId="0" fontId="55" fillId="0" borderId="4" applyNumberFormat="0" applyFill="0" applyAlignment="0" applyProtection="0"/>
    <xf numFmtId="37" fontId="83" fillId="0" borderId="0" applyNumberFormat="0">
      <alignment horizontal="left"/>
    </xf>
    <xf numFmtId="201" fontId="6" fillId="0" borderId="2">
      <alignment horizontal="center" wrapText="1"/>
    </xf>
    <xf numFmtId="38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0" fontId="6" fillId="0" borderId="0" applyFill="0" applyBorder="0" applyAlignment="0" applyProtection="0">
      <alignment wrapText="1"/>
    </xf>
    <xf numFmtId="37" fontId="84" fillId="0" borderId="0" applyNumberFormat="0">
      <alignment horizontal="left"/>
    </xf>
    <xf numFmtId="37" fontId="85" fillId="0" borderId="0" applyNumberFormat="0">
      <alignment horizontal="left"/>
    </xf>
    <xf numFmtId="37" fontId="86" fillId="0" borderId="0" applyNumberFormat="0">
      <alignment horizontal="left"/>
    </xf>
    <xf numFmtId="195" fontId="87" fillId="0" borderId="0"/>
    <xf numFmtId="40" fontId="88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9" fillId="0" borderId="14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372">
    <xf numFmtId="172" fontId="0" fillId="0" borderId="0" xfId="0" applyAlignment="1"/>
    <xf numFmtId="172" fontId="2" fillId="0" borderId="0" xfId="0" applyFont="1" applyAlignment="1"/>
    <xf numFmtId="0" fontId="3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172" fontId="3" fillId="0" borderId="0" xfId="0" applyFont="1" applyAlignment="1"/>
    <xf numFmtId="0" fontId="5" fillId="0" borderId="0" xfId="0" applyNumberFormat="1" applyFont="1" applyAlignment="1"/>
    <xf numFmtId="164" fontId="3" fillId="0" borderId="0" xfId="0" applyNumberFormat="1" applyFont="1" applyAlignment="1">
      <alignment horizontal="center"/>
    </xf>
    <xf numFmtId="49" fontId="3" fillId="0" borderId="0" xfId="0" applyNumberFormat="1" applyFont="1"/>
    <xf numFmtId="3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Fill="1" applyAlignment="1"/>
    <xf numFmtId="0" fontId="3" fillId="0" borderId="3" xfId="0" applyNumberFormat="1" applyFont="1" applyBorder="1" applyAlignment="1" applyProtection="1">
      <alignment horizontal="center"/>
      <protection locked="0"/>
    </xf>
    <xf numFmtId="172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3" fillId="0" borderId="0" xfId="0" applyNumberFormat="1" applyFont="1" applyFill="1" applyProtection="1">
      <protection locked="0"/>
    </xf>
    <xf numFmtId="165" fontId="3" fillId="0" borderId="0" xfId="0" applyNumberFormat="1" applyFont="1" applyFill="1" applyAlignment="1"/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0" fontId="10" fillId="0" borderId="0" xfId="209" applyFont="1"/>
    <xf numFmtId="0" fontId="6" fillId="0" borderId="0" xfId="209" applyFont="1"/>
    <xf numFmtId="0" fontId="5" fillId="0" borderId="0" xfId="209" applyFont="1"/>
    <xf numFmtId="0" fontId="11" fillId="0" borderId="0" xfId="209" applyFont="1" applyAlignment="1">
      <alignment horizontal="center"/>
    </xf>
    <xf numFmtId="0" fontId="9" fillId="0" borderId="0" xfId="209" applyFont="1"/>
    <xf numFmtId="0" fontId="10" fillId="0" borderId="0" xfId="209" applyFont="1" applyAlignment="1">
      <alignment horizontal="center"/>
    </xf>
    <xf numFmtId="0" fontId="10" fillId="0" borderId="4" xfId="209" applyFont="1" applyBorder="1" applyAlignment="1">
      <alignment horizontal="center"/>
    </xf>
    <xf numFmtId="0" fontId="12" fillId="0" borderId="0" xfId="209" applyFont="1"/>
    <xf numFmtId="0" fontId="8" fillId="0" borderId="0" xfId="209" applyFont="1"/>
    <xf numFmtId="0" fontId="10" fillId="0" borderId="0" xfId="209" applyFont="1" applyAlignment="1">
      <alignment horizontal="right"/>
    </xf>
    <xf numFmtId="0" fontId="8" fillId="0" borderId="0" xfId="209" applyFont="1" applyAlignment="1">
      <alignment horizontal="left"/>
    </xf>
    <xf numFmtId="0" fontId="11" fillId="0" borderId="0" xfId="209" applyFont="1"/>
    <xf numFmtId="164" fontId="10" fillId="0" borderId="0" xfId="209" applyNumberFormat="1" applyFont="1"/>
    <xf numFmtId="0" fontId="10" fillId="0" borderId="0" xfId="208" applyFont="1"/>
    <xf numFmtId="0" fontId="14" fillId="0" borderId="0" xfId="209" applyFont="1" applyAlignment="1">
      <alignment horizontal="left"/>
    </xf>
    <xf numFmtId="0" fontId="16" fillId="0" borderId="0" xfId="209" applyFont="1"/>
    <xf numFmtId="0" fontId="6" fillId="0" borderId="0" xfId="206" applyAlignment="1">
      <alignment horizontal="center"/>
    </xf>
    <xf numFmtId="0" fontId="6" fillId="0" borderId="0" xfId="206"/>
    <xf numFmtId="0" fontId="14" fillId="0" borderId="0" xfId="206" applyFont="1"/>
    <xf numFmtId="0" fontId="6" fillId="0" borderId="3" xfId="206" applyBorder="1" applyAlignment="1">
      <alignment horizontal="center"/>
    </xf>
    <xf numFmtId="0" fontId="6" fillId="0" borderId="3" xfId="206" applyBorder="1"/>
    <xf numFmtId="0" fontId="6" fillId="0" borderId="3" xfId="206" applyBorder="1" applyAlignment="1">
      <alignment horizontal="center" wrapText="1"/>
    </xf>
    <xf numFmtId="0" fontId="6" fillId="0" borderId="0" xfId="206" applyAlignment="1">
      <alignment horizontal="center" wrapText="1"/>
    </xf>
    <xf numFmtId="3" fontId="6" fillId="0" borderId="0" xfId="206" applyNumberFormat="1"/>
    <xf numFmtId="9" fontId="6" fillId="0" borderId="0" xfId="217"/>
    <xf numFmtId="41" fontId="6" fillId="0" borderId="0" xfId="206" applyNumberFormat="1"/>
    <xf numFmtId="174" fontId="6" fillId="0" borderId="0" xfId="206" applyNumberFormat="1"/>
    <xf numFmtId="173" fontId="6" fillId="0" borderId="0" xfId="132" applyNumberFormat="1"/>
    <xf numFmtId="43" fontId="6" fillId="0" borderId="0" xfId="206" applyNumberFormat="1"/>
    <xf numFmtId="173" fontId="6" fillId="0" borderId="0" xfId="206" applyNumberFormat="1"/>
    <xf numFmtId="174" fontId="6" fillId="0" borderId="3" xfId="206" applyNumberFormat="1" applyBorder="1"/>
    <xf numFmtId="0" fontId="6" fillId="0" borderId="0" xfId="206" quotePrefix="1"/>
    <xf numFmtId="10" fontId="6" fillId="0" borderId="0" xfId="217" applyNumberFormat="1"/>
    <xf numFmtId="10" fontId="6" fillId="0" borderId="0" xfId="217" applyNumberFormat="1" applyFill="1"/>
    <xf numFmtId="44" fontId="6" fillId="0" borderId="0" xfId="140"/>
    <xf numFmtId="0" fontId="6" fillId="0" borderId="0" xfId="207"/>
    <xf numFmtId="0" fontId="6" fillId="0" borderId="0" xfId="207" applyAlignment="1">
      <alignment horizontal="center"/>
    </xf>
    <xf numFmtId="0" fontId="14" fillId="0" borderId="0" xfId="207" applyFont="1"/>
    <xf numFmtId="44" fontId="6" fillId="0" borderId="0" xfId="207" applyNumberFormat="1"/>
    <xf numFmtId="0" fontId="6" fillId="0" borderId="0" xfId="207" applyFont="1"/>
    <xf numFmtId="0" fontId="6" fillId="0" borderId="0" xfId="206" applyFont="1"/>
    <xf numFmtId="0" fontId="13" fillId="0" borderId="0" xfId="209" applyFont="1" applyAlignment="1">
      <alignment horizontal="right"/>
    </xf>
    <xf numFmtId="0" fontId="14" fillId="0" borderId="0" xfId="206" applyFont="1" applyAlignment="1">
      <alignment horizontal="right"/>
    </xf>
    <xf numFmtId="0" fontId="14" fillId="0" borderId="0" xfId="206" applyFont="1" applyAlignment="1">
      <alignment horizontal="center"/>
    </xf>
    <xf numFmtId="0" fontId="6" fillId="0" borderId="0" xfId="207" applyFill="1"/>
    <xf numFmtId="173" fontId="6" fillId="0" borderId="0" xfId="132" applyNumberFormat="1" applyFont="1" applyFill="1"/>
    <xf numFmtId="0" fontId="6" fillId="0" borderId="19" xfId="204" applyBorder="1" applyAlignment="1">
      <alignment horizontal="center"/>
    </xf>
    <xf numFmtId="0" fontId="6" fillId="0" borderId="20" xfId="204" applyBorder="1" applyAlignment="1">
      <alignment horizontal="center"/>
    </xf>
    <xf numFmtId="0" fontId="6" fillId="0" borderId="0" xfId="204"/>
    <xf numFmtId="0" fontId="6" fillId="0" borderId="21" xfId="204" applyBorder="1" applyAlignment="1">
      <alignment horizontal="center"/>
    </xf>
    <xf numFmtId="0" fontId="6" fillId="0" borderId="0" xfId="204" applyBorder="1" applyAlignment="1">
      <alignment horizontal="center"/>
    </xf>
    <xf numFmtId="0" fontId="6" fillId="0" borderId="22" xfId="204" applyBorder="1" applyAlignment="1">
      <alignment horizontal="center"/>
    </xf>
    <xf numFmtId="0" fontId="6" fillId="0" borderId="3" xfId="204" applyBorder="1" applyAlignment="1">
      <alignment horizontal="center"/>
    </xf>
    <xf numFmtId="0" fontId="6" fillId="0" borderId="0" xfId="204" applyBorder="1"/>
    <xf numFmtId="0" fontId="6" fillId="0" borderId="21" xfId="204" applyBorder="1"/>
    <xf numFmtId="0" fontId="6" fillId="0" borderId="9" xfId="204" applyBorder="1"/>
    <xf numFmtId="0" fontId="6" fillId="0" borderId="23" xfId="204" applyFont="1" applyBorder="1"/>
    <xf numFmtId="0" fontId="6" fillId="0" borderId="0" xfId="204" applyFont="1"/>
    <xf numFmtId="0" fontId="6" fillId="0" borderId="0" xfId="204" applyAlignment="1"/>
    <xf numFmtId="0" fontId="6" fillId="0" borderId="3" xfId="206" applyFont="1" applyBorder="1" applyAlignment="1">
      <alignment horizontal="center" wrapText="1"/>
    </xf>
    <xf numFmtId="44" fontId="6" fillId="0" borderId="0" xfId="140" applyNumberFormat="1"/>
    <xf numFmtId="44" fontId="6" fillId="0" borderId="0" xfId="206" applyNumberFormat="1"/>
    <xf numFmtId="178" fontId="6" fillId="0" borderId="0" xfId="140" applyNumberFormat="1"/>
    <xf numFmtId="179" fontId="6" fillId="0" borderId="0" xfId="140" applyNumberFormat="1"/>
    <xf numFmtId="0" fontId="6" fillId="0" borderId="0" xfId="206" applyFont="1" applyFill="1"/>
    <xf numFmtId="0" fontId="6" fillId="0" borderId="0" xfId="206" applyFill="1"/>
    <xf numFmtId="173" fontId="3" fillId="0" borderId="0" xfId="132" applyNumberFormat="1" applyFont="1" applyAlignment="1"/>
    <xf numFmtId="0" fontId="3" fillId="0" borderId="0" xfId="0" applyNumberFormat="1" applyFont="1" applyAlignment="1">
      <alignment horizontal="fill"/>
    </xf>
    <xf numFmtId="3" fontId="3" fillId="0" borderId="0" xfId="0" applyNumberFormat="1" applyFont="1" applyAlignment="1">
      <alignment horizontal="fill"/>
    </xf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204" applyFill="1" applyBorder="1" applyAlignment="1">
      <alignment horizontal="center"/>
    </xf>
    <xf numFmtId="0" fontId="6" fillId="0" borderId="20" xfId="204" applyFill="1" applyBorder="1" applyAlignment="1">
      <alignment horizontal="center"/>
    </xf>
    <xf numFmtId="0" fontId="6" fillId="0" borderId="25" xfId="204" applyFill="1" applyBorder="1" applyAlignment="1">
      <alignment horizontal="center"/>
    </xf>
    <xf numFmtId="0" fontId="6" fillId="0" borderId="0" xfId="204" applyFill="1" applyBorder="1" applyAlignment="1">
      <alignment horizontal="center"/>
    </xf>
    <xf numFmtId="0" fontId="6" fillId="0" borderId="25" xfId="204" applyFont="1" applyFill="1" applyBorder="1" applyAlignment="1">
      <alignment horizontal="center"/>
    </xf>
    <xf numFmtId="0" fontId="6" fillId="0" borderId="26" xfId="204" applyFill="1" applyBorder="1" applyAlignment="1">
      <alignment horizontal="center"/>
    </xf>
    <xf numFmtId="0" fontId="6" fillId="0" borderId="3" xfId="204" applyFill="1" applyBorder="1" applyAlignment="1">
      <alignment horizontal="center"/>
    </xf>
    <xf numFmtId="0" fontId="6" fillId="0" borderId="25" xfId="204" applyFill="1" applyBorder="1"/>
    <xf numFmtId="1" fontId="6" fillId="0" borderId="27" xfId="204" applyNumberFormat="1" applyFill="1" applyBorder="1" applyAlignment="1">
      <alignment horizontal="center"/>
    </xf>
    <xf numFmtId="173" fontId="3" fillId="0" borderId="0" xfId="132" applyNumberFormat="1" applyFont="1" applyFill="1" applyAlignment="1"/>
    <xf numFmtId="49" fontId="5" fillId="0" borderId="0" xfId="0" applyNumberFormat="1" applyFont="1" applyAlignment="1">
      <alignment horizontal="center"/>
    </xf>
    <xf numFmtId="0" fontId="6" fillId="0" borderId="0" xfId="207" applyFont="1" applyAlignment="1">
      <alignment horizontal="center"/>
    </xf>
    <xf numFmtId="0" fontId="6" fillId="0" borderId="4" xfId="207" applyFont="1" applyBorder="1" applyAlignment="1">
      <alignment horizontal="center"/>
    </xf>
    <xf numFmtId="0" fontId="3" fillId="0" borderId="0" xfId="207" applyFont="1" applyFill="1" applyAlignment="1">
      <alignment horizontal="left"/>
    </xf>
    <xf numFmtId="0" fontId="6" fillId="0" borderId="24" xfId="204" applyFont="1" applyFill="1" applyBorder="1" applyAlignment="1">
      <alignment horizontal="center"/>
    </xf>
    <xf numFmtId="0" fontId="6" fillId="0" borderId="26" xfId="204" applyFont="1" applyFill="1" applyBorder="1" applyAlignment="1">
      <alignment horizontal="center"/>
    </xf>
    <xf numFmtId="0" fontId="6" fillId="0" borderId="25" xfId="204" quotePrefix="1" applyFont="1" applyFill="1" applyBorder="1" applyAlignment="1">
      <alignment horizontal="left"/>
    </xf>
    <xf numFmtId="0" fontId="6" fillId="0" borderId="20" xfId="204" applyFill="1" applyBorder="1"/>
    <xf numFmtId="0" fontId="6" fillId="0" borderId="0" xfId="204" applyFill="1" applyBorder="1"/>
    <xf numFmtId="0" fontId="6" fillId="0" borderId="26" xfId="204" quotePrefix="1" applyFont="1" applyFill="1" applyBorder="1" applyAlignment="1">
      <alignment horizontal="left"/>
    </xf>
    <xf numFmtId="0" fontId="6" fillId="0" borderId="3" xfId="204" applyFill="1" applyBorder="1"/>
    <xf numFmtId="172" fontId="18" fillId="0" borderId="0" xfId="0" applyFont="1" applyAlignment="1"/>
    <xf numFmtId="0" fontId="18" fillId="0" borderId="0" xfId="205" applyFont="1" applyFill="1" applyAlignment="1">
      <alignment horizontal="center"/>
    </xf>
    <xf numFmtId="172" fontId="16" fillId="0" borderId="0" xfId="0" applyFont="1" applyAlignment="1"/>
    <xf numFmtId="172" fontId="16" fillId="0" borderId="0" xfId="0" applyFont="1" applyAlignment="1">
      <alignment horizontal="center"/>
    </xf>
    <xf numFmtId="172" fontId="16" fillId="0" borderId="4" xfId="0" applyFont="1" applyBorder="1" applyAlignment="1">
      <alignment horizontal="center"/>
    </xf>
    <xf numFmtId="181" fontId="18" fillId="0" borderId="6" xfId="217" applyNumberFormat="1" applyFont="1" applyBorder="1" applyAlignment="1"/>
    <xf numFmtId="172" fontId="45" fillId="0" borderId="0" xfId="0" applyFont="1" applyAlignment="1"/>
    <xf numFmtId="172" fontId="18" fillId="0" borderId="0" xfId="0" applyFont="1" applyFill="1" applyAlignment="1"/>
    <xf numFmtId="0" fontId="10" fillId="0" borderId="0" xfId="209" applyFont="1" applyFill="1"/>
    <xf numFmtId="0" fontId="6" fillId="0" borderId="4" xfId="207" applyFont="1" applyBorder="1"/>
    <xf numFmtId="44" fontId="6" fillId="0" borderId="4" xfId="207" applyNumberFormat="1" applyFont="1" applyBorder="1" applyAlignment="1">
      <alignment horizontal="center"/>
    </xf>
    <xf numFmtId="0" fontId="6" fillId="0" borderId="0" xfId="207" applyFont="1" applyAlignment="1">
      <alignment horizontal="right"/>
    </xf>
    <xf numFmtId="173" fontId="3" fillId="0" borderId="0" xfId="132" applyNumberFormat="1" applyFont="1" applyAlignment="1">
      <alignment horizontal="center"/>
    </xf>
    <xf numFmtId="172" fontId="16" fillId="0" borderId="0" xfId="0" applyFont="1" applyFill="1" applyAlignment="1">
      <alignment horizontal="center"/>
    </xf>
    <xf numFmtId="3" fontId="46" fillId="0" borderId="0" xfId="0" applyNumberFormat="1" applyFont="1" applyAlignment="1"/>
    <xf numFmtId="0" fontId="10" fillId="0" borderId="0" xfId="209" applyFont="1" applyFill="1" applyAlignment="1">
      <alignment horizontal="center"/>
    </xf>
    <xf numFmtId="164" fontId="10" fillId="0" borderId="0" xfId="209" applyNumberFormat="1" applyFont="1" applyFill="1"/>
    <xf numFmtId="6" fontId="10" fillId="0" borderId="28" xfId="209" applyNumberFormat="1" applyFont="1" applyFill="1" applyBorder="1"/>
    <xf numFmtId="6" fontId="13" fillId="0" borderId="28" xfId="209" applyNumberFormat="1" applyFont="1" applyFill="1" applyBorder="1"/>
    <xf numFmtId="0" fontId="15" fillId="0" borderId="0" xfId="209" applyFont="1" applyFill="1"/>
    <xf numFmtId="0" fontId="18" fillId="0" borderId="0" xfId="0" applyNumberFormat="1" applyFont="1" applyAlignment="1">
      <alignment horizontal="center"/>
    </xf>
    <xf numFmtId="0" fontId="6" fillId="0" borderId="0" xfId="207" applyFont="1" applyFill="1"/>
    <xf numFmtId="172" fontId="18" fillId="0" borderId="0" xfId="0" applyFont="1" applyAlignment="1">
      <alignment horizontal="center"/>
    </xf>
    <xf numFmtId="172" fontId="18" fillId="0" borderId="4" xfId="0" applyFont="1" applyBorder="1" applyAlignment="1">
      <alignment horizontal="center"/>
    </xf>
    <xf numFmtId="0" fontId="10" fillId="0" borderId="0" xfId="209" applyFont="1" applyBorder="1" applyAlignment="1">
      <alignment horizontal="center"/>
    </xf>
    <xf numFmtId="172" fontId="14" fillId="0" borderId="0" xfId="0" applyFont="1" applyAlignment="1"/>
    <xf numFmtId="172" fontId="16" fillId="0" borderId="0" xfId="0" applyFont="1" applyBorder="1" applyAlignment="1"/>
    <xf numFmtId="172" fontId="5" fillId="0" borderId="0" xfId="0" applyFont="1" applyAlignment="1"/>
    <xf numFmtId="0" fontId="12" fillId="0" borderId="0" xfId="209" applyFont="1" applyFill="1"/>
    <xf numFmtId="173" fontId="16" fillId="0" borderId="0" xfId="132" applyNumberFormat="1" applyFont="1" applyFill="1"/>
    <xf numFmtId="6" fontId="10" fillId="0" borderId="0" xfId="209" applyNumberFormat="1" applyFont="1" applyFill="1" applyBorder="1"/>
    <xf numFmtId="173" fontId="3" fillId="0" borderId="0" xfId="132" applyNumberFormat="1" applyFont="1" applyFill="1" applyBorder="1" applyAlignment="1"/>
    <xf numFmtId="172" fontId="5" fillId="0" borderId="0" xfId="0" applyFont="1" applyFill="1" applyAlignment="1"/>
    <xf numFmtId="172" fontId="1" fillId="0" borderId="0" xfId="0" applyFont="1" applyAlignment="1"/>
    <xf numFmtId="0" fontId="3" fillId="0" borderId="0" xfId="0" applyNumberFormat="1" applyFont="1" applyFill="1" applyAlignment="1">
      <alignment horizontal="center"/>
    </xf>
    <xf numFmtId="183" fontId="3" fillId="0" borderId="0" xfId="0" applyNumberFormat="1" applyFont="1" applyAlignment="1">
      <alignment horizontal="center"/>
    </xf>
    <xf numFmtId="3" fontId="49" fillId="0" borderId="0" xfId="0" applyNumberFormat="1" applyFont="1" applyAlignment="1"/>
    <xf numFmtId="173" fontId="3" fillId="0" borderId="4" xfId="132" applyNumberFormat="1" applyFont="1" applyFill="1" applyBorder="1" applyAlignment="1"/>
    <xf numFmtId="173" fontId="3" fillId="0" borderId="6" xfId="132" applyNumberFormat="1" applyFont="1" applyFill="1" applyBorder="1" applyAlignment="1"/>
    <xf numFmtId="173" fontId="3" fillId="0" borderId="6" xfId="132" applyNumberFormat="1" applyFont="1" applyBorder="1" applyAlignment="1"/>
    <xf numFmtId="0" fontId="6" fillId="0" borderId="3" xfId="206" applyFont="1" applyBorder="1"/>
    <xf numFmtId="44" fontId="6" fillId="0" borderId="3" xfId="206" applyNumberFormat="1" applyFont="1" applyBorder="1"/>
    <xf numFmtId="170" fontId="6" fillId="0" borderId="3" xfId="217" applyNumberFormat="1" applyFont="1" applyBorder="1" applyAlignment="1">
      <alignment horizontal="right"/>
    </xf>
    <xf numFmtId="174" fontId="6" fillId="0" borderId="3" xfId="140" applyNumberFormat="1" applyFont="1" applyBorder="1"/>
    <xf numFmtId="175" fontId="17" fillId="0" borderId="0" xfId="206" applyNumberFormat="1" applyFont="1"/>
    <xf numFmtId="42" fontId="6" fillId="0" borderId="0" xfId="206" applyNumberFormat="1" applyFill="1"/>
    <xf numFmtId="42" fontId="6" fillId="0" borderId="3" xfId="206" applyNumberFormat="1" applyFill="1" applyBorder="1"/>
    <xf numFmtId="174" fontId="14" fillId="0" borderId="0" xfId="140" applyNumberFormat="1" applyFont="1" applyFill="1"/>
    <xf numFmtId="0" fontId="10" fillId="0" borderId="0" xfId="209" quotePrefix="1" applyFont="1" applyFill="1" applyAlignment="1">
      <alignment horizontal="left"/>
    </xf>
    <xf numFmtId="3" fontId="14" fillId="0" borderId="0" xfId="209" applyNumberFormat="1" applyFont="1" applyFill="1"/>
    <xf numFmtId="0" fontId="10" fillId="0" borderId="0" xfId="209" applyFont="1" applyFill="1" applyAlignment="1">
      <alignment horizontal="right"/>
    </xf>
    <xf numFmtId="177" fontId="14" fillId="0" borderId="0" xfId="140" applyNumberFormat="1" applyFont="1" applyFill="1" applyAlignment="1">
      <alignment horizontal="right"/>
    </xf>
    <xf numFmtId="174" fontId="50" fillId="0" borderId="0" xfId="206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0" fontId="18" fillId="0" borderId="0" xfId="205" applyFont="1" applyFill="1" applyAlignment="1">
      <alignment horizontal="left"/>
    </xf>
    <xf numFmtId="0" fontId="18" fillId="0" borderId="0" xfId="205" applyFont="1" applyFill="1"/>
    <xf numFmtId="16" fontId="18" fillId="0" borderId="0" xfId="205" applyNumberFormat="1" applyFont="1" applyFill="1" applyAlignment="1">
      <alignment horizontal="center"/>
    </xf>
    <xf numFmtId="181" fontId="18" fillId="30" borderId="0" xfId="217" applyNumberFormat="1" applyFont="1" applyFill="1" applyAlignment="1"/>
    <xf numFmtId="172" fontId="22" fillId="0" borderId="0" xfId="0" applyFont="1" applyAlignment="1"/>
    <xf numFmtId="165" fontId="3" fillId="31" borderId="0" xfId="0" applyNumberFormat="1" applyFont="1" applyFill="1" applyAlignment="1"/>
    <xf numFmtId="3" fontId="3" fillId="31" borderId="0" xfId="0" applyNumberFormat="1" applyFont="1" applyFill="1" applyAlignment="1"/>
    <xf numFmtId="182" fontId="3" fillId="31" borderId="0" xfId="0" applyNumberFormat="1" applyFont="1" applyFill="1" applyAlignment="1"/>
    <xf numFmtId="3" fontId="3" fillId="31" borderId="3" xfId="0" applyNumberFormat="1" applyFont="1" applyFill="1" applyBorder="1" applyAlignment="1"/>
    <xf numFmtId="164" fontId="3" fillId="31" borderId="0" xfId="0" applyNumberFormat="1" applyFont="1" applyFill="1" applyAlignment="1">
      <alignment horizontal="center"/>
    </xf>
    <xf numFmtId="173" fontId="3" fillId="31" borderId="0" xfId="132" applyNumberFormat="1" applyFont="1" applyFill="1" applyAlignment="1"/>
    <xf numFmtId="172" fontId="3" fillId="31" borderId="0" xfId="0" applyFont="1" applyFill="1" applyAlignment="1"/>
    <xf numFmtId="165" fontId="3" fillId="31" borderId="0" xfId="0" applyNumberFormat="1" applyFont="1" applyFill="1" applyAlignment="1">
      <alignment horizontal="right"/>
    </xf>
    <xf numFmtId="173" fontId="3" fillId="31" borderId="0" xfId="132" applyNumberFormat="1" applyFont="1" applyFill="1" applyBorder="1" applyAlignment="1"/>
    <xf numFmtId="173" fontId="3" fillId="31" borderId="3" xfId="132" applyNumberFormat="1" applyFont="1" applyFill="1" applyBorder="1" applyAlignment="1"/>
    <xf numFmtId="0" fontId="3" fillId="31" borderId="0" xfId="0" applyNumberFormat="1" applyFont="1" applyFill="1"/>
    <xf numFmtId="3" fontId="3" fillId="31" borderId="0" xfId="0" applyNumberFormat="1" applyFont="1" applyFill="1" applyAlignment="1">
      <alignment horizontal="center"/>
    </xf>
    <xf numFmtId="171" fontId="3" fillId="31" borderId="0" xfId="0" applyNumberFormat="1" applyFont="1" applyFill="1" applyAlignment="1">
      <alignment horizontal="left"/>
    </xf>
    <xf numFmtId="3" fontId="3" fillId="31" borderId="0" xfId="0" applyNumberFormat="1" applyFont="1" applyFill="1" applyBorder="1" applyAlignment="1"/>
    <xf numFmtId="0" fontId="3" fillId="31" borderId="0" xfId="132" applyNumberFormat="1" applyFont="1" applyFill="1" applyAlignment="1"/>
    <xf numFmtId="166" fontId="3" fillId="31" borderId="0" xfId="0" applyNumberFormat="1" applyFont="1" applyFill="1" applyAlignment="1"/>
    <xf numFmtId="0" fontId="3" fillId="31" borderId="0" xfId="0" applyNumberFormat="1" applyFont="1" applyFill="1" applyAlignment="1" applyProtection="1">
      <alignment horizontal="center"/>
      <protection locked="0"/>
    </xf>
    <xf numFmtId="164" fontId="3" fillId="31" borderId="0" xfId="0" applyNumberFormat="1" applyFont="1" applyFill="1" applyAlignment="1" applyProtection="1">
      <alignment horizontal="left"/>
      <protection locked="0"/>
    </xf>
    <xf numFmtId="166" fontId="3" fillId="31" borderId="0" xfId="0" applyNumberFormat="1" applyFont="1" applyFill="1" applyAlignment="1">
      <alignment horizontal="center"/>
    </xf>
    <xf numFmtId="172" fontId="0" fillId="31" borderId="0" xfId="0" applyFill="1" applyAlignment="1"/>
    <xf numFmtId="0" fontId="3" fillId="31" borderId="0" xfId="0" applyNumberFormat="1" applyFont="1" applyFill="1" applyAlignment="1"/>
    <xf numFmtId="3" fontId="3" fillId="31" borderId="29" xfId="0" applyNumberFormat="1" applyFont="1" applyFill="1" applyBorder="1" applyAlignment="1"/>
    <xf numFmtId="3" fontId="3" fillId="31" borderId="10" xfId="0" applyNumberFormat="1" applyFont="1" applyFill="1" applyBorder="1" applyAlignment="1"/>
    <xf numFmtId="3" fontId="3" fillId="31" borderId="4" xfId="0" applyNumberFormat="1" applyFont="1" applyFill="1" applyBorder="1" applyAlignment="1"/>
    <xf numFmtId="172" fontId="3" fillId="31" borderId="0" xfId="0" applyFont="1" applyFill="1" applyAlignment="1">
      <alignment horizontal="right"/>
    </xf>
    <xf numFmtId="0" fontId="5" fillId="31" borderId="0" xfId="0" applyNumberFormat="1" applyFont="1" applyFill="1" applyAlignment="1"/>
    <xf numFmtId="0" fontId="3" fillId="31" borderId="3" xfId="0" applyNumberFormat="1" applyFont="1" applyFill="1" applyBorder="1" applyAlignment="1" applyProtection="1">
      <alignment horizontal="center"/>
      <protection locked="0"/>
    </xf>
    <xf numFmtId="0" fontId="3" fillId="31" borderId="0" xfId="0" applyNumberFormat="1" applyFont="1" applyFill="1" applyAlignment="1" applyProtection="1">
      <protection locked="0"/>
    </xf>
    <xf numFmtId="0" fontId="3" fillId="31" borderId="0" xfId="0" applyNumberFormat="1" applyFont="1" applyFill="1" applyProtection="1">
      <protection locked="0"/>
    </xf>
    <xf numFmtId="0" fontId="3" fillId="31" borderId="3" xfId="0" applyNumberFormat="1" applyFont="1" applyFill="1" applyBorder="1" applyProtection="1">
      <protection locked="0"/>
    </xf>
    <xf numFmtId="0" fontId="3" fillId="31" borderId="3" xfId="0" applyNumberFormat="1" applyFont="1" applyFill="1" applyBorder="1"/>
    <xf numFmtId="3" fontId="3" fillId="31" borderId="6" xfId="0" applyNumberFormat="1" applyFont="1" applyFill="1" applyBorder="1" applyAlignment="1"/>
    <xf numFmtId="49" fontId="3" fillId="31" borderId="0" xfId="0" applyNumberFormat="1" applyFont="1" applyFill="1"/>
    <xf numFmtId="49" fontId="3" fillId="31" borderId="0" xfId="0" applyNumberFormat="1" applyFont="1" applyFill="1" applyAlignment="1"/>
    <xf numFmtId="49" fontId="3" fillId="31" borderId="0" xfId="0" applyNumberFormat="1" applyFont="1" applyFill="1" applyAlignment="1">
      <alignment horizontal="center"/>
    </xf>
    <xf numFmtId="182" fontId="3" fillId="31" borderId="0" xfId="0" applyNumberFormat="1" applyFont="1" applyFill="1" applyAlignment="1">
      <alignment horizontal="right"/>
    </xf>
    <xf numFmtId="172" fontId="3" fillId="31" borderId="6" xfId="0" applyFont="1" applyFill="1" applyBorder="1" applyAlignment="1"/>
    <xf numFmtId="0" fontId="3" fillId="31" borderId="6" xfId="0" applyNumberFormat="1" applyFont="1" applyFill="1" applyBorder="1"/>
    <xf numFmtId="0" fontId="3" fillId="31" borderId="0" xfId="0" applyNumberFormat="1" applyFont="1" applyFill="1" applyBorder="1"/>
    <xf numFmtId="0" fontId="3" fillId="31" borderId="6" xfId="0" applyNumberFormat="1" applyFont="1" applyFill="1" applyBorder="1" applyProtection="1">
      <protection locked="0"/>
    </xf>
    <xf numFmtId="3" fontId="3" fillId="31" borderId="3" xfId="0" applyNumberFormat="1" applyFont="1" applyFill="1" applyBorder="1" applyAlignment="1">
      <alignment horizontal="center"/>
    </xf>
    <xf numFmtId="3" fontId="3" fillId="31" borderId="0" xfId="0" applyNumberFormat="1" applyFont="1" applyFill="1" applyBorder="1" applyAlignment="1">
      <alignment horizontal="center"/>
    </xf>
    <xf numFmtId="4" fontId="3" fillId="31" borderId="0" xfId="0" applyNumberFormat="1" applyFont="1" applyFill="1" applyAlignment="1"/>
    <xf numFmtId="6" fontId="3" fillId="31" borderId="0" xfId="209" applyNumberFormat="1" applyFont="1" applyFill="1" applyBorder="1"/>
    <xf numFmtId="3" fontId="3" fillId="31" borderId="4" xfId="0" applyNumberFormat="1" applyFont="1" applyFill="1" applyBorder="1" applyAlignment="1">
      <alignment horizontal="center"/>
    </xf>
    <xf numFmtId="10" fontId="3" fillId="31" borderId="0" xfId="217" applyNumberFormat="1" applyFont="1" applyFill="1" applyAlignment="1"/>
    <xf numFmtId="9" fontId="3" fillId="31" borderId="0" xfId="217" applyFont="1" applyFill="1" applyAlignment="1"/>
    <xf numFmtId="10" fontId="3" fillId="31" borderId="0" xfId="217" applyNumberFormat="1" applyFont="1" applyFill="1" applyAlignment="1" applyProtection="1">
      <alignment horizontal="left"/>
      <protection locked="0"/>
    </xf>
    <xf numFmtId="166" fontId="3" fillId="31" borderId="0" xfId="0" applyNumberFormat="1" applyFont="1" applyFill="1" applyAlignment="1" applyProtection="1">
      <alignment horizontal="center"/>
      <protection locked="0"/>
    </xf>
    <xf numFmtId="9" fontId="3" fillId="31" borderId="6" xfId="217" applyFont="1" applyFill="1" applyBorder="1" applyAlignment="1"/>
    <xf numFmtId="10" fontId="3" fillId="31" borderId="0" xfId="217" applyNumberFormat="1" applyFont="1" applyFill="1"/>
    <xf numFmtId="0" fontId="45" fillId="31" borderId="0" xfId="0" applyNumberFormat="1" applyFont="1" applyFill="1"/>
    <xf numFmtId="0" fontId="3" fillId="31" borderId="4" xfId="0" applyNumberFormat="1" applyFont="1" applyFill="1" applyBorder="1" applyAlignment="1"/>
    <xf numFmtId="172" fontId="45" fillId="31" borderId="0" xfId="0" applyFont="1" applyFill="1" applyAlignment="1"/>
    <xf numFmtId="0" fontId="3" fillId="31" borderId="0" xfId="0" quotePrefix="1" applyNumberFormat="1" applyFont="1" applyFill="1"/>
    <xf numFmtId="10" fontId="3" fillId="31" borderId="0" xfId="0" applyNumberFormat="1" applyFont="1" applyFill="1" applyAlignment="1"/>
    <xf numFmtId="168" fontId="3" fillId="31" borderId="0" xfId="0" applyNumberFormat="1" applyFont="1" applyFill="1" applyAlignment="1"/>
    <xf numFmtId="3" fontId="3" fillId="31" borderId="0" xfId="0" quotePrefix="1" applyNumberFormat="1" applyFont="1" applyFill="1" applyAlignment="1"/>
    <xf numFmtId="172" fontId="3" fillId="31" borderId="0" xfId="0" applyFont="1" applyFill="1" applyAlignment="1">
      <alignment horizontal="left"/>
    </xf>
    <xf numFmtId="10" fontId="3" fillId="31" borderId="3" xfId="217" applyNumberFormat="1" applyFont="1" applyFill="1" applyBorder="1" applyAlignment="1"/>
    <xf numFmtId="172" fontId="3" fillId="31" borderId="0" xfId="0" applyNumberFormat="1" applyFont="1" applyFill="1" applyAlignment="1" applyProtection="1">
      <protection locked="0"/>
    </xf>
    <xf numFmtId="169" fontId="3" fillId="31" borderId="0" xfId="0" applyNumberFormat="1" applyFont="1" applyFill="1" applyProtection="1">
      <protection locked="0"/>
    </xf>
    <xf numFmtId="172" fontId="3" fillId="31" borderId="0" xfId="0" applyFont="1" applyFill="1" applyAlignment="1" applyProtection="1"/>
    <xf numFmtId="10" fontId="3" fillId="31" borderId="0" xfId="0" applyNumberFormat="1" applyFont="1" applyFill="1" applyProtection="1">
      <protection locked="0"/>
    </xf>
    <xf numFmtId="172" fontId="3" fillId="31" borderId="0" xfId="0" applyFont="1" applyFill="1" applyAlignment="1">
      <alignment horizontal="center"/>
    </xf>
    <xf numFmtId="172" fontId="0" fillId="31" borderId="0" xfId="0" applyFill="1" applyAlignment="1">
      <alignment horizontal="center"/>
    </xf>
    <xf numFmtId="3" fontId="3" fillId="32" borderId="0" xfId="0" applyNumberFormat="1" applyFont="1" applyFill="1" applyAlignment="1"/>
    <xf numFmtId="0" fontId="6" fillId="31" borderId="19" xfId="204" applyFill="1" applyBorder="1" applyAlignment="1">
      <alignment horizontal="center"/>
    </xf>
    <xf numFmtId="0" fontId="6" fillId="31" borderId="24" xfId="204" applyFill="1" applyBorder="1" applyAlignment="1">
      <alignment horizontal="center"/>
    </xf>
    <xf numFmtId="0" fontId="6" fillId="31" borderId="30" xfId="204" applyFill="1" applyBorder="1" applyAlignment="1">
      <alignment horizontal="center"/>
    </xf>
    <xf numFmtId="0" fontId="6" fillId="31" borderId="21" xfId="204" applyFill="1" applyBorder="1" applyAlignment="1">
      <alignment horizontal="center"/>
    </xf>
    <xf numFmtId="0" fontId="6" fillId="31" borderId="25" xfId="204" applyFill="1" applyBorder="1" applyAlignment="1">
      <alignment horizontal="center"/>
    </xf>
    <xf numFmtId="0" fontId="6" fillId="31" borderId="31" xfId="204" applyFill="1" applyBorder="1" applyAlignment="1">
      <alignment horizontal="center"/>
    </xf>
    <xf numFmtId="0" fontId="6" fillId="31" borderId="22" xfId="204" applyFill="1" applyBorder="1" applyAlignment="1">
      <alignment horizontal="center"/>
    </xf>
    <xf numFmtId="0" fontId="6" fillId="31" borderId="26" xfId="204" applyFill="1" applyBorder="1" applyAlignment="1">
      <alignment horizontal="center"/>
    </xf>
    <xf numFmtId="0" fontId="6" fillId="31" borderId="32" xfId="204" applyFill="1" applyBorder="1" applyAlignment="1">
      <alignment horizontal="center"/>
    </xf>
    <xf numFmtId="172" fontId="6" fillId="0" borderId="0" xfId="0" applyFont="1" applyFill="1" applyAlignment="1"/>
    <xf numFmtId="173" fontId="3" fillId="0" borderId="0" xfId="0" applyNumberFormat="1" applyFont="1" applyAlignment="1">
      <alignment horizontal="fill"/>
    </xf>
    <xf numFmtId="0" fontId="6" fillId="0" borderId="31" xfId="204" applyFill="1" applyBorder="1" applyAlignment="1">
      <alignment horizontal="center"/>
    </xf>
    <xf numFmtId="0" fontId="6" fillId="0" borderId="32" xfId="204" applyFill="1" applyBorder="1" applyAlignment="1">
      <alignment horizontal="center"/>
    </xf>
    <xf numFmtId="176" fontId="6" fillId="33" borderId="0" xfId="206" applyNumberFormat="1" applyFill="1"/>
    <xf numFmtId="0" fontId="6" fillId="0" borderId="3" xfId="206" applyFont="1" applyFill="1" applyBorder="1" applyAlignment="1">
      <alignment horizontal="center" wrapText="1"/>
    </xf>
    <xf numFmtId="0" fontId="6" fillId="0" borderId="33" xfId="206" applyBorder="1"/>
    <xf numFmtId="0" fontId="6" fillId="0" borderId="6" xfId="206" applyBorder="1"/>
    <xf numFmtId="0" fontId="6" fillId="0" borderId="34" xfId="206" applyBorder="1"/>
    <xf numFmtId="0" fontId="6" fillId="0" borderId="35" xfId="206" applyBorder="1"/>
    <xf numFmtId="0" fontId="6" fillId="0" borderId="0" xfId="206" applyBorder="1"/>
    <xf numFmtId="0" fontId="6" fillId="0" borderId="36" xfId="206" applyBorder="1"/>
    <xf numFmtId="0" fontId="6" fillId="0" borderId="37" xfId="206" applyBorder="1"/>
    <xf numFmtId="0" fontId="6" fillId="0" borderId="4" xfId="206" applyBorder="1"/>
    <xf numFmtId="0" fontId="6" fillId="0" borderId="38" xfId="206" applyBorder="1"/>
    <xf numFmtId="0" fontId="5" fillId="31" borderId="0" xfId="0" applyNumberFormat="1" applyFont="1" applyFill="1" applyAlignment="1">
      <alignment horizontal="center"/>
    </xf>
    <xf numFmtId="0" fontId="5" fillId="31" borderId="0" xfId="0" applyNumberFormat="1" applyFont="1" applyFill="1" applyAlignment="1" applyProtection="1">
      <alignment horizontal="center"/>
      <protection locked="0"/>
    </xf>
    <xf numFmtId="3" fontId="5" fillId="31" borderId="0" xfId="0" applyNumberFormat="1" applyFont="1" applyFill="1" applyAlignment="1">
      <alignment horizontal="center"/>
    </xf>
    <xf numFmtId="0" fontId="6" fillId="0" borderId="3" xfId="206" applyFont="1" applyBorder="1" applyAlignment="1">
      <alignment horizontal="center"/>
    </xf>
    <xf numFmtId="0" fontId="6" fillId="0" borderId="0" xfId="206" applyFont="1" applyAlignment="1">
      <alignment horizontal="center"/>
    </xf>
    <xf numFmtId="0" fontId="6" fillId="0" borderId="0" xfId="206" applyFont="1" applyAlignment="1">
      <alignment horizontal="center" wrapText="1"/>
    </xf>
    <xf numFmtId="170" fontId="6" fillId="0" borderId="0" xfId="217" applyNumberFormat="1" applyFont="1" applyAlignment="1">
      <alignment horizontal="right"/>
    </xf>
    <xf numFmtId="174" fontId="6" fillId="0" borderId="0" xfId="140" applyNumberFormat="1" applyFont="1"/>
    <xf numFmtId="9" fontId="6" fillId="0" borderId="0" xfId="217" applyFont="1" applyAlignment="1">
      <alignment horizontal="right"/>
    </xf>
    <xf numFmtId="174" fontId="6" fillId="0" borderId="0" xfId="206" applyNumberFormat="1" applyFont="1"/>
    <xf numFmtId="43" fontId="6" fillId="0" borderId="0" xfId="206" applyNumberFormat="1" applyFont="1" applyFill="1"/>
    <xf numFmtId="173" fontId="6" fillId="0" borderId="0" xfId="206" applyNumberFormat="1" applyFont="1" applyFill="1"/>
    <xf numFmtId="173" fontId="6" fillId="0" borderId="3" xfId="206" applyNumberFormat="1" applyFont="1" applyFill="1" applyBorder="1"/>
    <xf numFmtId="43" fontId="6" fillId="0" borderId="3" xfId="206" applyNumberFormat="1" applyFont="1" applyFill="1" applyBorder="1"/>
    <xf numFmtId="49" fontId="3" fillId="31" borderId="3" xfId="0" applyNumberFormat="1" applyFont="1" applyFill="1" applyBorder="1" applyAlignment="1">
      <alignment horizontal="center"/>
    </xf>
    <xf numFmtId="172" fontId="5" fillId="31" borderId="0" xfId="0" applyFont="1" applyFill="1" applyAlignment="1"/>
    <xf numFmtId="0" fontId="3" fillId="31" borderId="0" xfId="0" applyNumberFormat="1" applyFont="1" applyFill="1" applyAlignment="1">
      <alignment horizontal="center"/>
    </xf>
    <xf numFmtId="49" fontId="3" fillId="31" borderId="0" xfId="0" applyNumberFormat="1" applyFont="1" applyFill="1" applyAlignment="1">
      <alignment horizontal="left"/>
    </xf>
    <xf numFmtId="3" fontId="5" fillId="31" borderId="0" xfId="0" applyNumberFormat="1" applyFont="1" applyFill="1" applyAlignment="1">
      <alignment horizontal="left"/>
    </xf>
    <xf numFmtId="172" fontId="5" fillId="31" borderId="0" xfId="0" applyFont="1" applyFill="1" applyAlignment="1">
      <alignment horizontal="center"/>
    </xf>
    <xf numFmtId="3" fontId="5" fillId="31" borderId="0" xfId="0" applyNumberFormat="1" applyFont="1" applyFill="1" applyAlignment="1"/>
    <xf numFmtId="0" fontId="5" fillId="31" borderId="0" xfId="0" applyNumberFormat="1" applyFont="1" applyFill="1" applyAlignment="1" applyProtection="1">
      <alignment horizontal="left"/>
      <protection locked="0"/>
    </xf>
    <xf numFmtId="172" fontId="3" fillId="31" borderId="0" xfId="0" applyFont="1" applyFill="1" applyBorder="1" applyAlignment="1"/>
    <xf numFmtId="172" fontId="3" fillId="31" borderId="3" xfId="0" applyFont="1" applyFill="1" applyBorder="1" applyAlignment="1"/>
    <xf numFmtId="3" fontId="3" fillId="31" borderId="39" xfId="0" applyNumberFormat="1" applyFont="1" applyFill="1" applyBorder="1" applyAlignment="1"/>
    <xf numFmtId="0" fontId="4" fillId="31" borderId="0" xfId="0" applyNumberFormat="1" applyFont="1" applyFill="1" applyAlignment="1">
      <alignment horizontal="center"/>
    </xf>
    <xf numFmtId="3" fontId="4" fillId="31" borderId="0" xfId="0" applyNumberFormat="1" applyFont="1" applyFill="1" applyAlignment="1"/>
    <xf numFmtId="166" fontId="3" fillId="31" borderId="0" xfId="0" applyNumberFormat="1" applyFont="1" applyFill="1" applyAlignment="1">
      <alignment horizontal="right"/>
    </xf>
    <xf numFmtId="164" fontId="3" fillId="31" borderId="0" xfId="0" applyNumberFormat="1" applyFont="1" applyFill="1" applyAlignment="1">
      <alignment horizontal="left"/>
    </xf>
    <xf numFmtId="10" fontId="3" fillId="31" borderId="0" xfId="0" applyNumberFormat="1" applyFont="1" applyFill="1" applyAlignment="1">
      <alignment horizontal="right"/>
    </xf>
    <xf numFmtId="168" fontId="3" fillId="31" borderId="0" xfId="0" applyNumberFormat="1" applyFont="1" applyFill="1" applyAlignment="1">
      <alignment horizontal="right"/>
    </xf>
    <xf numFmtId="3" fontId="3" fillId="31" borderId="0" xfId="0" applyNumberFormat="1" applyFont="1" applyFill="1" applyAlignment="1">
      <alignment horizontal="right"/>
    </xf>
    <xf numFmtId="172" fontId="3" fillId="31" borderId="0" xfId="0" quotePrefix="1" applyFont="1" applyFill="1" applyAlignment="1"/>
    <xf numFmtId="167" fontId="3" fillId="31" borderId="0" xfId="0" applyNumberFormat="1" applyFont="1" applyFill="1" applyAlignment="1"/>
    <xf numFmtId="0" fontId="6" fillId="0" borderId="19" xfId="204" applyFill="1" applyBorder="1" applyAlignment="1">
      <alignment horizontal="center"/>
    </xf>
    <xf numFmtId="0" fontId="6" fillId="0" borderId="30" xfId="204" applyFill="1" applyBorder="1" applyAlignment="1">
      <alignment horizontal="center"/>
    </xf>
    <xf numFmtId="0" fontId="6" fillId="0" borderId="21" xfId="204" applyFill="1" applyBorder="1" applyAlignment="1">
      <alignment horizontal="center"/>
    </xf>
    <xf numFmtId="0" fontId="6" fillId="0" borderId="22" xfId="204" applyFill="1" applyBorder="1" applyAlignment="1">
      <alignment horizontal="center"/>
    </xf>
    <xf numFmtId="169" fontId="1" fillId="0" borderId="0" xfId="0" applyNumberFormat="1" applyFont="1" applyAlignment="1"/>
    <xf numFmtId="3" fontId="3" fillId="0" borderId="4" xfId="0" applyNumberFormat="1" applyFont="1" applyFill="1" applyBorder="1" applyAlignment="1"/>
    <xf numFmtId="174" fontId="6" fillId="0" borderId="0" xfId="140" applyNumberFormat="1" applyFont="1" applyFill="1"/>
    <xf numFmtId="3" fontId="3" fillId="32" borderId="6" xfId="0" applyNumberFormat="1" applyFont="1" applyFill="1" applyBorder="1" applyAlignment="1"/>
    <xf numFmtId="173" fontId="3" fillId="34" borderId="3" xfId="132" applyNumberFormat="1" applyFont="1" applyFill="1" applyBorder="1" applyAlignment="1"/>
    <xf numFmtId="173" fontId="3" fillId="34" borderId="0" xfId="132" applyNumberFormat="1" applyFont="1" applyFill="1" applyAlignment="1"/>
    <xf numFmtId="3" fontId="3" fillId="34" borderId="0" xfId="0" applyNumberFormat="1" applyFont="1" applyFill="1" applyAlignment="1"/>
    <xf numFmtId="0" fontId="13" fillId="0" borderId="0" xfId="209" applyFont="1" applyFill="1"/>
    <xf numFmtId="0" fontId="16" fillId="0" borderId="0" xfId="209" applyFont="1" applyFill="1"/>
    <xf numFmtId="3" fontId="3" fillId="34" borderId="3" xfId="0" applyNumberFormat="1" applyFont="1" applyFill="1" applyBorder="1" applyAlignment="1"/>
    <xf numFmtId="3" fontId="3" fillId="31" borderId="0" xfId="0" applyNumberFormat="1" applyFont="1" applyFill="1" applyAlignment="1"/>
    <xf numFmtId="181" fontId="94" fillId="0" borderId="0" xfId="217" applyNumberFormat="1" applyFont="1" applyBorder="1" applyAlignment="1"/>
    <xf numFmtId="172" fontId="94" fillId="0" borderId="0" xfId="0" applyFont="1" applyBorder="1" applyAlignment="1"/>
    <xf numFmtId="43" fontId="14" fillId="0" borderId="0" xfId="132" applyFont="1" applyFill="1" applyAlignment="1"/>
    <xf numFmtId="173" fontId="6" fillId="0" borderId="0" xfId="204" applyNumberFormat="1"/>
    <xf numFmtId="0" fontId="14" fillId="33" borderId="0" xfId="206" applyFont="1" applyFill="1"/>
    <xf numFmtId="0" fontId="6" fillId="0" borderId="0" xfId="206" applyAlignment="1">
      <alignment horizontal="right"/>
    </xf>
    <xf numFmtId="172" fontId="0" fillId="31" borderId="0" xfId="0" applyFill="1" applyAlignment="1">
      <alignment horizontal="right"/>
    </xf>
    <xf numFmtId="184" fontId="0" fillId="31" borderId="0" xfId="0" applyNumberFormat="1" applyFill="1" applyAlignment="1"/>
    <xf numFmtId="184" fontId="3" fillId="31" borderId="0" xfId="0" applyNumberFormat="1" applyFont="1" applyFill="1"/>
    <xf numFmtId="0" fontId="6" fillId="0" borderId="0" xfId="204" applyAlignment="1">
      <alignment horizontal="right"/>
    </xf>
    <xf numFmtId="183" fontId="3" fillId="0" borderId="0" xfId="0" applyNumberFormat="1" applyFont="1" applyFill="1" applyAlignment="1">
      <alignment horizontal="center"/>
    </xf>
    <xf numFmtId="173" fontId="3" fillId="0" borderId="0" xfId="132" applyNumberFormat="1" applyFont="1" applyFill="1" applyAlignment="1">
      <alignment horizontal="center"/>
    </xf>
    <xf numFmtId="172" fontId="6" fillId="0" borderId="0" xfId="0" applyFont="1" applyFill="1"/>
    <xf numFmtId="0" fontId="6" fillId="0" borderId="0" xfId="207" applyFill="1" applyAlignment="1">
      <alignment horizontal="center"/>
    </xf>
    <xf numFmtId="44" fontId="6" fillId="0" borderId="0" xfId="207" applyNumberFormat="1" applyAlignment="1">
      <alignment horizontal="center"/>
    </xf>
    <xf numFmtId="0" fontId="6" fillId="0" borderId="0" xfId="204" applyFont="1" applyAlignment="1">
      <alignment horizontal="left"/>
    </xf>
    <xf numFmtId="0" fontId="12" fillId="0" borderId="0" xfId="209" applyFont="1" applyAlignment="1">
      <alignment horizontal="center"/>
    </xf>
    <xf numFmtId="0" fontId="12" fillId="0" borderId="4" xfId="209" applyFont="1" applyBorder="1" applyAlignment="1">
      <alignment horizontal="center"/>
    </xf>
    <xf numFmtId="172" fontId="16" fillId="0" borderId="0" xfId="0" applyFont="1" applyFill="1" applyAlignment="1"/>
    <xf numFmtId="43" fontId="14" fillId="0" borderId="6" xfId="132" applyFont="1" applyFill="1" applyBorder="1" applyAlignment="1"/>
    <xf numFmtId="7" fontId="14" fillId="0" borderId="6" xfId="0" applyNumberFormat="1" applyFont="1" applyFill="1" applyBorder="1" applyAlignment="1"/>
    <xf numFmtId="172" fontId="12" fillId="0" borderId="0" xfId="0" applyFont="1" applyFill="1" applyAlignment="1"/>
    <xf numFmtId="173" fontId="18" fillId="0" borderId="0" xfId="132" applyNumberFormat="1" applyFont="1" applyFill="1" applyAlignment="1"/>
    <xf numFmtId="43" fontId="14" fillId="0" borderId="0" xfId="132" applyNumberFormat="1" applyFont="1" applyFill="1" applyAlignment="1"/>
    <xf numFmtId="3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/>
    <xf numFmtId="10" fontId="3" fillId="0" borderId="0" xfId="0" applyNumberFormat="1" applyFont="1" applyFill="1" applyAlignment="1">
      <alignment horizontal="right"/>
    </xf>
    <xf numFmtId="172" fontId="44" fillId="0" borderId="0" xfId="0" applyFont="1" applyFill="1" applyAlignment="1"/>
    <xf numFmtId="0" fontId="6" fillId="0" borderId="0" xfId="205" applyFont="1" applyFill="1" applyAlignment="1">
      <alignment horizontal="left"/>
    </xf>
    <xf numFmtId="172" fontId="14" fillId="0" borderId="0" xfId="0" applyFont="1" applyFill="1" applyAlignment="1"/>
    <xf numFmtId="0" fontId="3" fillId="31" borderId="0" xfId="0" applyNumberFormat="1" applyFont="1" applyFill="1" applyAlignment="1" applyProtection="1">
      <protection locked="0"/>
    </xf>
    <xf numFmtId="3" fontId="3" fillId="0" borderId="6" xfId="0" applyNumberFormat="1" applyFont="1" applyFill="1" applyBorder="1" applyAlignment="1"/>
    <xf numFmtId="172" fontId="0" fillId="0" borderId="0" xfId="0" applyFont="1" applyAlignment="1"/>
    <xf numFmtId="3" fontId="3" fillId="35" borderId="0" xfId="0" applyNumberFormat="1" applyFont="1" applyFill="1" applyAlignment="1"/>
    <xf numFmtId="173" fontId="3" fillId="35" borderId="0" xfId="132" applyNumberFormat="1" applyFont="1" applyFill="1" applyAlignment="1"/>
    <xf numFmtId="172" fontId="0" fillId="0" borderId="0" xfId="0"/>
    <xf numFmtId="3" fontId="3" fillId="0" borderId="0" xfId="0" applyNumberFormat="1" applyFont="1"/>
    <xf numFmtId="173" fontId="3" fillId="0" borderId="0" xfId="132" applyNumberFormat="1" applyFont="1"/>
    <xf numFmtId="173" fontId="3" fillId="0" borderId="6" xfId="132" applyNumberFormat="1" applyFont="1" applyBorder="1"/>
    <xf numFmtId="172" fontId="92" fillId="0" borderId="0" xfId="0" applyFont="1"/>
    <xf numFmtId="173" fontId="0" fillId="0" borderId="0" xfId="132" applyNumberFormat="1" applyFont="1"/>
    <xf numFmtId="3" fontId="3" fillId="35" borderId="0" xfId="0" applyNumberFormat="1" applyFont="1" applyFill="1"/>
    <xf numFmtId="0" fontId="14" fillId="0" borderId="0" xfId="206" applyFont="1" applyAlignment="1">
      <alignment horizontal="center"/>
    </xf>
    <xf numFmtId="3" fontId="5" fillId="31" borderId="0" xfId="0" applyNumberFormat="1" applyFont="1" applyFill="1" applyAlignment="1">
      <alignment horizontal="center"/>
    </xf>
    <xf numFmtId="49" fontId="5" fillId="31" borderId="0" xfId="0" applyNumberFormat="1" applyFont="1" applyFill="1" applyAlignment="1">
      <alignment horizontal="center"/>
    </xf>
    <xf numFmtId="0" fontId="5" fillId="31" borderId="0" xfId="0" applyNumberFormat="1" applyFont="1" applyFill="1" applyAlignment="1">
      <alignment horizontal="center"/>
    </xf>
    <xf numFmtId="0" fontId="5" fillId="31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0" xfId="206" applyFont="1" applyBorder="1" applyAlignment="1">
      <alignment horizontal="center"/>
    </xf>
    <xf numFmtId="0" fontId="5" fillId="0" borderId="10" xfId="206" applyFont="1" applyBorder="1" applyAlignment="1">
      <alignment horizontal="center"/>
    </xf>
    <xf numFmtId="0" fontId="5" fillId="0" borderId="41" xfId="206" applyFont="1" applyBorder="1" applyAlignment="1">
      <alignment horizontal="center"/>
    </xf>
    <xf numFmtId="0" fontId="14" fillId="0" borderId="0" xfId="209" applyFont="1" applyAlignment="1">
      <alignment horizontal="center"/>
    </xf>
  </cellXfs>
  <cellStyles count="285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5 3" xfId="26"/>
    <cellStyle name="20% - Accent6" xfId="27" builtinId="50" customBuiltin="1"/>
    <cellStyle name="20% - Accent6 2" xfId="28"/>
    <cellStyle name="20% - Accent6 3" xfId="29"/>
    <cellStyle name="40% - Accent1" xfId="30" builtinId="31" customBuiltin="1"/>
    <cellStyle name="40% - Accent1 2" xfId="31"/>
    <cellStyle name="40% - Accent1 3" xfId="32"/>
    <cellStyle name="40% - Accent2" xfId="33" builtinId="35" customBuiltin="1"/>
    <cellStyle name="40% - Accent2 2" xfId="34"/>
    <cellStyle name="40% - Accent2 3" xfId="35"/>
    <cellStyle name="40% - Accent3" xfId="36" builtinId="39" customBuiltin="1"/>
    <cellStyle name="40% - Accent3 2" xfId="37"/>
    <cellStyle name="40% - Accent3 3" xfId="38"/>
    <cellStyle name="40% - Accent4" xfId="39" builtinId="43" customBuiltin="1"/>
    <cellStyle name="40% - Accent4 2" xfId="40"/>
    <cellStyle name="40% - Accent4 3" xfId="41"/>
    <cellStyle name="40% - Accent5" xfId="42" builtinId="47" customBuiltin="1"/>
    <cellStyle name="40% - Accent5 2" xfId="43"/>
    <cellStyle name="40% - Accent5 3" xfId="44"/>
    <cellStyle name="40% - Accent6" xfId="45" builtinId="51" customBuiltin="1"/>
    <cellStyle name="40% - Accent6 2" xfId="46"/>
    <cellStyle name="40% - Accent6 3" xfId="47"/>
    <cellStyle name="60% - Accent1" xfId="48" builtinId="32" customBuiltin="1"/>
    <cellStyle name="60% - Accent1 2" xfId="49"/>
    <cellStyle name="60% - Accent1 3" xfId="50"/>
    <cellStyle name="60% - Accent2" xfId="51" builtinId="36" customBuiltin="1"/>
    <cellStyle name="60% - Accent2 2" xfId="52"/>
    <cellStyle name="60% - Accent2 3" xfId="53"/>
    <cellStyle name="60% - Accent3" xfId="54" builtinId="40" customBuiltin="1"/>
    <cellStyle name="60% - Accent3 2" xfId="55"/>
    <cellStyle name="60% - Accent3 3" xfId="56"/>
    <cellStyle name="60% - Accent4" xfId="57" builtinId="44" customBuiltin="1"/>
    <cellStyle name="60% - Accent4 2" xfId="58"/>
    <cellStyle name="60% - Accent4 3" xfId="59"/>
    <cellStyle name="60% - Accent5" xfId="60" builtinId="48" customBuiltin="1"/>
    <cellStyle name="60% - Accent5 2" xfId="61"/>
    <cellStyle name="60% - Accent5 3" xfId="62"/>
    <cellStyle name="60% - Accent6" xfId="63" builtinId="52" customBuiltin="1"/>
    <cellStyle name="60% - Accent6 2" xfId="64"/>
    <cellStyle name="60% - Accent6 3" xfId="65"/>
    <cellStyle name="Accent1" xfId="66" builtinId="29" customBuiltin="1"/>
    <cellStyle name="Accent1 2" xfId="67"/>
    <cellStyle name="Accent1 3" xfId="68"/>
    <cellStyle name="Accent2" xfId="69" builtinId="33" customBuiltin="1"/>
    <cellStyle name="Accent2 2" xfId="70"/>
    <cellStyle name="Accent2 3" xfId="71"/>
    <cellStyle name="Accent3" xfId="72" builtinId="37" customBuiltin="1"/>
    <cellStyle name="Accent3 2" xfId="73"/>
    <cellStyle name="Accent3 3" xfId="74"/>
    <cellStyle name="Accent4" xfId="75" builtinId="41" customBuiltin="1"/>
    <cellStyle name="Accent4 2" xfId="76"/>
    <cellStyle name="Accent4 3" xfId="77"/>
    <cellStyle name="Accent5" xfId="78" builtinId="45" customBuiltin="1"/>
    <cellStyle name="Accent5 2" xfId="79"/>
    <cellStyle name="Accent5 3" xfId="80"/>
    <cellStyle name="Accent6" xfId="81" builtinId="49" customBuiltin="1"/>
    <cellStyle name="Accent6 2" xfId="82"/>
    <cellStyle name="Accent6 3" xfId="83"/>
    <cellStyle name="Accounting" xfId="84"/>
    <cellStyle name="Actual Date" xfId="85"/>
    <cellStyle name="ADDR" xfId="86"/>
    <cellStyle name="Agara" xfId="87"/>
    <cellStyle name="Bad" xfId="88" builtinId="27" customBuiltin="1"/>
    <cellStyle name="Bad 2" xfId="89"/>
    <cellStyle name="Bad 3" xfId="90"/>
    <cellStyle name="Body" xfId="91"/>
    <cellStyle name="Bottom bold border" xfId="92"/>
    <cellStyle name="Bottom single border" xfId="93"/>
    <cellStyle name="Business Unit" xfId="94"/>
    <cellStyle name="C00A" xfId="95"/>
    <cellStyle name="C00B" xfId="96"/>
    <cellStyle name="C00L" xfId="97"/>
    <cellStyle name="C01A" xfId="98"/>
    <cellStyle name="C01B" xfId="99"/>
    <cellStyle name="C01H" xfId="100"/>
    <cellStyle name="C01L" xfId="101"/>
    <cellStyle name="C02A" xfId="102"/>
    <cellStyle name="C02B" xfId="103"/>
    <cellStyle name="C02H" xfId="104"/>
    <cellStyle name="C02L" xfId="105"/>
    <cellStyle name="C03A" xfId="106"/>
    <cellStyle name="C03B" xfId="107"/>
    <cellStyle name="C03H" xfId="108"/>
    <cellStyle name="C03L" xfId="109"/>
    <cellStyle name="C04A" xfId="110"/>
    <cellStyle name="C04B" xfId="111"/>
    <cellStyle name="C04H" xfId="112"/>
    <cellStyle name="C04L" xfId="113"/>
    <cellStyle name="C05A" xfId="114"/>
    <cellStyle name="C05B" xfId="115"/>
    <cellStyle name="C05H" xfId="116"/>
    <cellStyle name="C05L" xfId="117"/>
    <cellStyle name="C06A" xfId="118"/>
    <cellStyle name="C06B" xfId="119"/>
    <cellStyle name="C06H" xfId="120"/>
    <cellStyle name="C06L" xfId="121"/>
    <cellStyle name="C07A" xfId="122"/>
    <cellStyle name="C07B" xfId="123"/>
    <cellStyle name="C07H" xfId="124"/>
    <cellStyle name="C07L" xfId="125"/>
    <cellStyle name="Calculation" xfId="126" builtinId="22" customBuiltin="1"/>
    <cellStyle name="Calculation 2" xfId="127"/>
    <cellStyle name="Calculation 3" xfId="128"/>
    <cellStyle name="Check Cell" xfId="129" builtinId="23" customBuiltin="1"/>
    <cellStyle name="Check Cell 2" xfId="130"/>
    <cellStyle name="Check Cell 3" xfId="131"/>
    <cellStyle name="Comma" xfId="132" builtinId="3"/>
    <cellStyle name="Comma 0" xfId="133"/>
    <cellStyle name="Comma 2" xfId="134"/>
    <cellStyle name="Comma 3" xfId="135"/>
    <cellStyle name="Comma 4" xfId="136"/>
    <cellStyle name="Comma 4 2" xfId="137"/>
    <cellStyle name="Comma 5" xfId="138"/>
    <cellStyle name="Comma0 - Style1" xfId="139"/>
    <cellStyle name="Currency" xfId="140" builtinId="4"/>
    <cellStyle name="Currency 2" xfId="141"/>
    <cellStyle name="Currency 3" xfId="142"/>
    <cellStyle name="Date" xfId="143"/>
    <cellStyle name="Euro" xfId="144"/>
    <cellStyle name="Explanatory Text" xfId="145" builtinId="53" customBuiltin="1"/>
    <cellStyle name="Explanatory Text 2" xfId="146"/>
    <cellStyle name="Explanatory Text 3" xfId="147"/>
    <cellStyle name="Fixed" xfId="148"/>
    <cellStyle name="Fixed1 - Style1" xfId="149"/>
    <cellStyle name="Gilsans" xfId="150"/>
    <cellStyle name="Gilsansl" xfId="151"/>
    <cellStyle name="Good" xfId="152" builtinId="26" customBuiltin="1"/>
    <cellStyle name="Good 2" xfId="153"/>
    <cellStyle name="Good 3" xfId="154"/>
    <cellStyle name="Grey" xfId="155"/>
    <cellStyle name="HEADER" xfId="156"/>
    <cellStyle name="Header1" xfId="157"/>
    <cellStyle name="Header2" xfId="158"/>
    <cellStyle name="Heading" xfId="159"/>
    <cellStyle name="Heading 1" xfId="160" builtinId="16" customBuiltin="1"/>
    <cellStyle name="Heading 1 2" xfId="161"/>
    <cellStyle name="Heading 1 3" xfId="162"/>
    <cellStyle name="Heading 2" xfId="163" builtinId="17" customBuiltin="1"/>
    <cellStyle name="Heading 2 2" xfId="164"/>
    <cellStyle name="Heading 2 3" xfId="165"/>
    <cellStyle name="Heading 3" xfId="166" builtinId="18" customBuiltin="1"/>
    <cellStyle name="Heading 3 2" xfId="167"/>
    <cellStyle name="Heading 3 3" xfId="168"/>
    <cellStyle name="Heading 4" xfId="169" builtinId="19" customBuiltin="1"/>
    <cellStyle name="Heading 4 2" xfId="170"/>
    <cellStyle name="Heading 4 3" xfId="171"/>
    <cellStyle name="Heading1" xfId="172"/>
    <cellStyle name="Heading2" xfId="173"/>
    <cellStyle name="HIGHLIGHT" xfId="174"/>
    <cellStyle name="Input" xfId="175" builtinId="20" customBuiltin="1"/>
    <cellStyle name="Input [yellow]" xfId="176"/>
    <cellStyle name="Input 2" xfId="177"/>
    <cellStyle name="Input 3" xfId="178"/>
    <cellStyle name="Lines" xfId="179"/>
    <cellStyle name="Linked Cell" xfId="180" builtinId="24" customBuiltin="1"/>
    <cellStyle name="Linked Cell 2" xfId="181"/>
    <cellStyle name="Linked Cell 3" xfId="182"/>
    <cellStyle name="MEM SSN" xfId="183"/>
    <cellStyle name="Mine" xfId="184"/>
    <cellStyle name="mmm-yy" xfId="185"/>
    <cellStyle name="Monétaire [0]_pldt" xfId="186"/>
    <cellStyle name="Monétaire_pldt" xfId="187"/>
    <cellStyle name="Neutral" xfId="188" builtinId="28" customBuiltin="1"/>
    <cellStyle name="Neutral 2" xfId="189"/>
    <cellStyle name="Neutral 3" xfId="190"/>
    <cellStyle name="New" xfId="191"/>
    <cellStyle name="No Border" xfId="192"/>
    <cellStyle name="no dec" xfId="193"/>
    <cellStyle name="Normal" xfId="0" builtinId="0"/>
    <cellStyle name="Normal - Style1" xfId="194"/>
    <cellStyle name="Normal 2" xfId="195"/>
    <cellStyle name="Normal 2 2" xfId="196"/>
    <cellStyle name="Normal 3" xfId="197"/>
    <cellStyle name="Normal 3 2" xfId="198"/>
    <cellStyle name="Normal 4" xfId="199"/>
    <cellStyle name="Normal 4 2" xfId="200"/>
    <cellStyle name="Normal CEN" xfId="201"/>
    <cellStyle name="Normal Centered" xfId="202"/>
    <cellStyle name="NORMAL CTR" xfId="203"/>
    <cellStyle name="Normal_2002 AREA LOADS FOR JNT TARIFF" xfId="204"/>
    <cellStyle name="Normal_Capital True-up" xfId="205"/>
    <cellStyle name="Normal_CU AC Rate Design" xfId="206"/>
    <cellStyle name="Normal_PRECorp2002HeintzResponse 8-21-03" xfId="207"/>
    <cellStyle name="Normal_Sheet1" xfId="208"/>
    <cellStyle name="Normal_TopSheet Type Ancillaries Worksheet-Updated 81903" xfId="209"/>
    <cellStyle name="Note" xfId="210" builtinId="10" customBuiltin="1"/>
    <cellStyle name="Note 2" xfId="211"/>
    <cellStyle name="Note 3" xfId="212"/>
    <cellStyle name="nUMBER" xfId="213"/>
    <cellStyle name="Output" xfId="214" builtinId="21" customBuiltin="1"/>
    <cellStyle name="Output 2" xfId="215"/>
    <cellStyle name="Output 3" xfId="216"/>
    <cellStyle name="Percent" xfId="217" builtinId="5"/>
    <cellStyle name="Percent [2]" xfId="218"/>
    <cellStyle name="Percent 2" xfId="219"/>
    <cellStyle name="Percent 3" xfId="220"/>
    <cellStyle name="PSChar" xfId="221"/>
    <cellStyle name="PSDate" xfId="222"/>
    <cellStyle name="PSDec" xfId="223"/>
    <cellStyle name="PSHeading" xfId="224"/>
    <cellStyle name="PSInt" xfId="225"/>
    <cellStyle name="PSSpacer" xfId="226"/>
    <cellStyle name="R00A" xfId="227"/>
    <cellStyle name="R00B" xfId="228"/>
    <cellStyle name="R00L" xfId="229"/>
    <cellStyle name="R01A" xfId="230"/>
    <cellStyle name="R01B" xfId="231"/>
    <cellStyle name="R01H" xfId="232"/>
    <cellStyle name="R01L" xfId="233"/>
    <cellStyle name="R02A" xfId="234"/>
    <cellStyle name="R02B" xfId="235"/>
    <cellStyle name="R02H" xfId="236"/>
    <cellStyle name="R02L" xfId="237"/>
    <cellStyle name="R03A" xfId="238"/>
    <cellStyle name="R03B" xfId="239"/>
    <cellStyle name="R03H" xfId="240"/>
    <cellStyle name="R03L" xfId="241"/>
    <cellStyle name="R04A" xfId="242"/>
    <cellStyle name="R04B" xfId="243"/>
    <cellStyle name="R04H" xfId="244"/>
    <cellStyle name="R04L" xfId="245"/>
    <cellStyle name="R05A" xfId="246"/>
    <cellStyle name="R05B" xfId="247"/>
    <cellStyle name="R05H" xfId="248"/>
    <cellStyle name="R05L" xfId="249"/>
    <cellStyle name="R06A" xfId="250"/>
    <cellStyle name="R06B" xfId="251"/>
    <cellStyle name="R06H" xfId="252"/>
    <cellStyle name="R06L" xfId="253"/>
    <cellStyle name="R07A" xfId="254"/>
    <cellStyle name="R07B" xfId="255"/>
    <cellStyle name="R07H" xfId="256"/>
    <cellStyle name="R07L" xfId="257"/>
    <cellStyle name="Resource Detail" xfId="258"/>
    <cellStyle name="Shade" xfId="259"/>
    <cellStyle name="single acct" xfId="260"/>
    <cellStyle name="Single Border" xfId="261"/>
    <cellStyle name="Small Page Heading" xfId="262"/>
    <cellStyle name="ssn" xfId="263"/>
    <cellStyle name="Style 1" xfId="264"/>
    <cellStyle name="Style 2" xfId="265"/>
    <cellStyle name="Style 27" xfId="266"/>
    <cellStyle name="Style 28" xfId="267"/>
    <cellStyle name="Table Sub Heading" xfId="268"/>
    <cellStyle name="Table Title" xfId="269"/>
    <cellStyle name="Table Units" xfId="270"/>
    <cellStyle name="Theirs" xfId="271"/>
    <cellStyle name="Times New Roman" xfId="272"/>
    <cellStyle name="Title" xfId="273" builtinId="15" customBuiltin="1"/>
    <cellStyle name="Title 2" xfId="274"/>
    <cellStyle name="Title 3" xfId="275"/>
    <cellStyle name="Total" xfId="276" builtinId="25" customBuiltin="1"/>
    <cellStyle name="Total 2" xfId="277"/>
    <cellStyle name="Total 3" xfId="278"/>
    <cellStyle name="Unprot" xfId="279"/>
    <cellStyle name="Unprot$" xfId="280"/>
    <cellStyle name="Unprotect" xfId="281"/>
    <cellStyle name="Warning Text" xfId="282" builtinId="11" customBuiltin="1"/>
    <cellStyle name="Warning Text 2" xfId="283"/>
    <cellStyle name="Warning Text 3" xfId="2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P46"/>
  <sheetViews>
    <sheetView zoomScaleNormal="100" workbookViewId="0">
      <selection activeCell="H1" sqref="H1"/>
    </sheetView>
  </sheetViews>
  <sheetFormatPr defaultColWidth="7.109375" defaultRowHeight="12.75"/>
  <cols>
    <col min="1" max="1" width="3.77734375" style="43" customWidth="1"/>
    <col min="2" max="2" width="7.109375" style="44" customWidth="1"/>
    <col min="3" max="3" width="6.88671875" style="44" customWidth="1"/>
    <col min="4" max="4" width="11.5546875" style="44" customWidth="1"/>
    <col min="5" max="5" width="11.5546875" style="44" bestFit="1" customWidth="1"/>
    <col min="6" max="6" width="12.109375" style="44" customWidth="1"/>
    <col min="7" max="7" width="8.77734375" style="44" bestFit="1" customWidth="1"/>
    <col min="8" max="8" width="9.5546875" style="44" bestFit="1" customWidth="1"/>
    <col min="9" max="9" width="7.109375" style="44" customWidth="1"/>
    <col min="10" max="10" width="8.77734375" style="44" bestFit="1" customWidth="1"/>
    <col min="11" max="11" width="7.109375" style="44" customWidth="1"/>
    <col min="12" max="12" width="11.44140625" style="44" customWidth="1"/>
    <col min="13" max="16384" width="7.109375" style="44"/>
  </cols>
  <sheetData>
    <row r="1" spans="1:11">
      <c r="H1" s="323" t="s">
        <v>457</v>
      </c>
    </row>
    <row r="2" spans="1:11">
      <c r="H2" s="69"/>
    </row>
    <row r="3" spans="1:11" ht="15" customHeight="1">
      <c r="A3" s="360" t="s">
        <v>371</v>
      </c>
      <c r="B3" s="360"/>
      <c r="C3" s="360"/>
      <c r="D3" s="360"/>
      <c r="E3" s="360"/>
      <c r="F3" s="360"/>
      <c r="G3" s="360"/>
      <c r="H3" s="360"/>
    </row>
    <row r="4" spans="1:11" ht="15" customHeight="1">
      <c r="A4" s="360" t="s">
        <v>81</v>
      </c>
      <c r="B4" s="360"/>
      <c r="C4" s="360"/>
      <c r="D4" s="360"/>
      <c r="E4" s="360"/>
      <c r="F4" s="360"/>
      <c r="G4" s="360"/>
      <c r="H4" s="360"/>
    </row>
    <row r="6" spans="1:11">
      <c r="A6" s="45" t="s">
        <v>73</v>
      </c>
    </row>
    <row r="8" spans="1:11">
      <c r="A8" s="43">
        <v>1</v>
      </c>
      <c r="B8" s="67" t="s">
        <v>119</v>
      </c>
      <c r="D8" s="91"/>
      <c r="E8" s="92"/>
      <c r="G8" s="67"/>
      <c r="H8" s="309">
        <v>902716</v>
      </c>
      <c r="I8" s="91"/>
      <c r="J8" s="91" t="s">
        <v>414</v>
      </c>
      <c r="K8" s="92"/>
    </row>
    <row r="9" spans="1:11">
      <c r="G9" s="67"/>
      <c r="H9" s="67"/>
    </row>
    <row r="10" spans="1:11" ht="39" thickBot="1">
      <c r="D10" s="46" t="str">
        <f>+B20</f>
        <v>Entity</v>
      </c>
      <c r="E10" s="47"/>
      <c r="F10" s="86" t="s">
        <v>172</v>
      </c>
      <c r="G10" s="272" t="s">
        <v>262</v>
      </c>
      <c r="H10" s="86" t="s">
        <v>373</v>
      </c>
    </row>
    <row r="11" spans="1:11">
      <c r="D11" s="43"/>
      <c r="F11" s="49"/>
      <c r="G11" s="273"/>
      <c r="H11" s="274"/>
    </row>
    <row r="12" spans="1:11">
      <c r="A12" s="43">
        <v>2</v>
      </c>
      <c r="D12" s="44" t="s">
        <v>374</v>
      </c>
      <c r="F12" s="87">
        <f>+L22</f>
        <v>13.999934010361216</v>
      </c>
      <c r="G12" s="275">
        <f>+F12/F$15</f>
        <v>0.42488119886339371</v>
      </c>
      <c r="H12" s="276">
        <f>+H$8*G12</f>
        <v>383547.05631316733</v>
      </c>
      <c r="J12" s="50"/>
      <c r="K12" s="51"/>
    </row>
    <row r="13" spans="1:11">
      <c r="A13" s="43">
        <v>3</v>
      </c>
      <c r="D13" s="44" t="s">
        <v>375</v>
      </c>
      <c r="F13" s="88">
        <f>+L23</f>
        <v>17.567265478010277</v>
      </c>
      <c r="G13" s="275">
        <f>+F13/F$15</f>
        <v>0.53314542850876878</v>
      </c>
      <c r="H13" s="276">
        <f>+H$8*G13</f>
        <v>481278.9086417217</v>
      </c>
      <c r="J13" s="52"/>
      <c r="K13" s="51"/>
    </row>
    <row r="14" spans="1:11" ht="13.5" thickBot="1">
      <c r="A14" s="43">
        <v>4</v>
      </c>
      <c r="D14" s="158" t="s">
        <v>376</v>
      </c>
      <c r="E14" s="158"/>
      <c r="F14" s="159">
        <f>+L24</f>
        <v>1.3830323595254184</v>
      </c>
      <c r="G14" s="160">
        <f>+F14/F$15</f>
        <v>4.1973372627837582E-2</v>
      </c>
      <c r="H14" s="161">
        <f>+H$8*G14</f>
        <v>37890.035045111028</v>
      </c>
      <c r="J14" s="52"/>
      <c r="K14" s="51"/>
    </row>
    <row r="15" spans="1:11">
      <c r="A15" s="43">
        <v>5</v>
      </c>
      <c r="D15" s="44" t="s">
        <v>206</v>
      </c>
      <c r="F15" s="88">
        <f>SUM(F12:F14)</f>
        <v>32.950231847896909</v>
      </c>
      <c r="G15" s="277">
        <f>+F15/F$15</f>
        <v>1</v>
      </c>
      <c r="H15" s="278">
        <f>SUM(H12:H14)</f>
        <v>902716</v>
      </c>
      <c r="J15" s="50"/>
    </row>
    <row r="16" spans="1:11">
      <c r="G16" s="67"/>
      <c r="H16" s="67"/>
    </row>
    <row r="17" spans="1:16">
      <c r="G17" s="67"/>
      <c r="H17" s="67"/>
    </row>
    <row r="18" spans="1:16">
      <c r="A18" s="45" t="s">
        <v>377</v>
      </c>
      <c r="E18" s="322" t="s">
        <v>415</v>
      </c>
      <c r="F18" s="322"/>
      <c r="G18" s="322"/>
      <c r="H18" s="322"/>
    </row>
    <row r="19" spans="1:16">
      <c r="G19" s="67"/>
      <c r="H19" s="67"/>
    </row>
    <row r="20" spans="1:16" ht="39" thickBot="1">
      <c r="B20" s="47" t="s">
        <v>378</v>
      </c>
      <c r="C20" s="47"/>
      <c r="D20" s="48" t="s">
        <v>173</v>
      </c>
      <c r="E20" s="48" t="s">
        <v>175</v>
      </c>
      <c r="F20" s="48" t="s">
        <v>379</v>
      </c>
      <c r="G20" s="259" t="s">
        <v>416</v>
      </c>
      <c r="H20" s="86" t="s">
        <v>318</v>
      </c>
    </row>
    <row r="21" spans="1:16">
      <c r="G21" s="67"/>
      <c r="H21" s="67"/>
      <c r="M21" s="260" t="s">
        <v>408</v>
      </c>
      <c r="N21" s="261"/>
      <c r="O21" s="261"/>
      <c r="P21" s="262"/>
    </row>
    <row r="22" spans="1:16">
      <c r="A22" s="43">
        <v>6</v>
      </c>
      <c r="B22" s="44" t="str">
        <f>+D12</f>
        <v>Black Hills</v>
      </c>
      <c r="D22" s="170">
        <f>'True-Up'!J115</f>
        <v>12593900.289570373</v>
      </c>
      <c r="E22" s="53">
        <f>-H12</f>
        <v>-383547.05631316733</v>
      </c>
      <c r="F22" s="53">
        <f>+E22+D22</f>
        <v>12210353.233257204</v>
      </c>
      <c r="G22" s="72">
        <f>'BHP WP7 CU AC LOADS'!J24*1000</f>
        <v>910833.33333333337</v>
      </c>
      <c r="H22" s="279">
        <f>+F22/G22</f>
        <v>13.40569430915704</v>
      </c>
      <c r="J22" s="162" t="s">
        <v>124</v>
      </c>
      <c r="L22" s="258">
        <v>13.999934010361216</v>
      </c>
      <c r="M22" s="263" t="s">
        <v>409</v>
      </c>
      <c r="N22" s="264"/>
      <c r="O22" s="264"/>
      <c r="P22" s="265"/>
    </row>
    <row r="23" spans="1:16">
      <c r="A23" s="43">
        <v>7</v>
      </c>
      <c r="B23" s="44" t="str">
        <f>+D13</f>
        <v>Basin Electric</v>
      </c>
      <c r="D23" s="163">
        <v>16482130</v>
      </c>
      <c r="E23" s="53">
        <f>-H13</f>
        <v>-481278.9086417217</v>
      </c>
      <c r="F23" s="53">
        <f>+E23+D23</f>
        <v>16000851.091358278</v>
      </c>
      <c r="G23" s="280">
        <f>+G22</f>
        <v>910833.33333333337</v>
      </c>
      <c r="H23" s="279">
        <f>+F23/G23</f>
        <v>17.567265608078621</v>
      </c>
      <c r="J23" s="162" t="s">
        <v>124</v>
      </c>
      <c r="L23" s="258">
        <v>17.567265478010277</v>
      </c>
      <c r="M23" s="263" t="s">
        <v>410</v>
      </c>
      <c r="N23" s="264"/>
      <c r="O23" s="264"/>
      <c r="P23" s="265"/>
    </row>
    <row r="24" spans="1:16" ht="13.5" thickBot="1">
      <c r="A24" s="43">
        <v>8</v>
      </c>
      <c r="B24" s="47" t="str">
        <f>+D14</f>
        <v>PRECorp</v>
      </c>
      <c r="C24" s="47"/>
      <c r="D24" s="164">
        <v>1297602.0185064427</v>
      </c>
      <c r="E24" s="57">
        <f>-H14</f>
        <v>-37890.035045111028</v>
      </c>
      <c r="F24" s="57">
        <f>+E24+D24</f>
        <v>1259711.9834613316</v>
      </c>
      <c r="G24" s="281">
        <f>+G23</f>
        <v>910833.33333333337</v>
      </c>
      <c r="H24" s="282">
        <f>+F24/G24</f>
        <v>1.3830323697654143</v>
      </c>
      <c r="J24" s="162" t="s">
        <v>124</v>
      </c>
      <c r="L24" s="258">
        <v>1.3830323595254184</v>
      </c>
      <c r="M24" s="266" t="s">
        <v>411</v>
      </c>
      <c r="N24" s="267"/>
      <c r="O24" s="267"/>
      <c r="P24" s="268"/>
    </row>
    <row r="25" spans="1:16">
      <c r="A25" s="43">
        <v>9</v>
      </c>
      <c r="B25" s="44" t="s">
        <v>206</v>
      </c>
      <c r="D25" s="53">
        <f>SUM(D22:D24)</f>
        <v>30373632.308076814</v>
      </c>
      <c r="E25" s="53">
        <f>SUM(E22:E24)</f>
        <v>-902716</v>
      </c>
      <c r="F25" s="53">
        <f>SUM(F22:F24)</f>
        <v>29470916.308076814</v>
      </c>
      <c r="H25" s="55">
        <f>SUM(H22:H24)</f>
        <v>32.355992287001079</v>
      </c>
    </row>
    <row r="26" spans="1:16">
      <c r="F26" s="53"/>
      <c r="G26" s="56"/>
      <c r="H26" s="55"/>
    </row>
    <row r="27" spans="1:16">
      <c r="A27" s="45" t="s">
        <v>380</v>
      </c>
    </row>
    <row r="28" spans="1:16">
      <c r="A28" s="43">
        <v>10</v>
      </c>
      <c r="D28" s="44" t="s">
        <v>381</v>
      </c>
      <c r="F28" s="61">
        <f>+H25</f>
        <v>32.355992287001079</v>
      </c>
      <c r="G28" s="58" t="s">
        <v>382</v>
      </c>
    </row>
    <row r="29" spans="1:16">
      <c r="A29" s="43">
        <f t="shared" ref="A29:A34" si="0">+A28+1</f>
        <v>11</v>
      </c>
      <c r="D29" s="44" t="s">
        <v>383</v>
      </c>
      <c r="F29" s="87">
        <f>ROUND(F28/12,2)</f>
        <v>2.7</v>
      </c>
      <c r="G29" s="58" t="s">
        <v>384</v>
      </c>
    </row>
    <row r="30" spans="1:16">
      <c r="A30" s="43">
        <f t="shared" si="0"/>
        <v>12</v>
      </c>
      <c r="D30" s="44" t="s">
        <v>385</v>
      </c>
      <c r="F30" s="87">
        <f>ROUND(F28/52,2)</f>
        <v>0.62</v>
      </c>
      <c r="G30" s="58" t="s">
        <v>386</v>
      </c>
    </row>
    <row r="31" spans="1:16">
      <c r="A31" s="43">
        <f t="shared" si="0"/>
        <v>13</v>
      </c>
      <c r="D31" s="44" t="s">
        <v>387</v>
      </c>
      <c r="E31" s="44" t="s">
        <v>388</v>
      </c>
      <c r="F31" s="89">
        <f>+F30/6</f>
        <v>0.10333333333333333</v>
      </c>
      <c r="G31" s="58" t="s">
        <v>389</v>
      </c>
    </row>
    <row r="32" spans="1:16">
      <c r="A32" s="43">
        <f t="shared" si="0"/>
        <v>14</v>
      </c>
      <c r="D32" s="44" t="s">
        <v>390</v>
      </c>
      <c r="E32" s="44" t="s">
        <v>391</v>
      </c>
      <c r="F32" s="89">
        <f>+F30/7</f>
        <v>8.8571428571428565E-2</v>
      </c>
      <c r="G32" s="58" t="s">
        <v>389</v>
      </c>
    </row>
    <row r="33" spans="1:7">
      <c r="A33" s="43">
        <f t="shared" si="0"/>
        <v>15</v>
      </c>
      <c r="D33" s="44" t="s">
        <v>392</v>
      </c>
      <c r="E33" s="44" t="s">
        <v>393</v>
      </c>
      <c r="F33" s="90">
        <f>+F31/16</f>
        <v>6.4583333333333333E-3</v>
      </c>
      <c r="G33" s="58" t="s">
        <v>394</v>
      </c>
    </row>
    <row r="34" spans="1:7">
      <c r="A34" s="43">
        <f t="shared" si="0"/>
        <v>16</v>
      </c>
      <c r="D34" s="44" t="s">
        <v>395</v>
      </c>
      <c r="E34" s="44" t="s">
        <v>396</v>
      </c>
      <c r="F34" s="90">
        <f>+F32/24</f>
        <v>3.6904761904761902E-3</v>
      </c>
      <c r="G34" s="58" t="s">
        <v>394</v>
      </c>
    </row>
    <row r="40" spans="1:7">
      <c r="A40" s="45" t="s">
        <v>397</v>
      </c>
    </row>
    <row r="42" spans="1:7">
      <c r="B42" s="44" t="str">
        <f>+D20</f>
        <v>Component Annual Revenue Requirements</v>
      </c>
      <c r="E42" s="53">
        <f>+D25</f>
        <v>30373632.308076814</v>
      </c>
    </row>
    <row r="43" spans="1:7">
      <c r="B43" s="67" t="s">
        <v>372</v>
      </c>
      <c r="E43" s="53">
        <f>+E25</f>
        <v>-902716</v>
      </c>
    </row>
    <row r="44" spans="1:7">
      <c r="B44" s="44" t="str">
        <f>+F20</f>
        <v>Net Revenue Requirements</v>
      </c>
      <c r="E44" s="53">
        <f>+F25</f>
        <v>29470916.308076814</v>
      </c>
    </row>
    <row r="45" spans="1:7">
      <c r="B45" s="44" t="str">
        <f>+G20</f>
        <v>Actual 2014 Load</v>
      </c>
      <c r="E45" s="56">
        <f>+G22</f>
        <v>910833.33333333337</v>
      </c>
    </row>
    <row r="46" spans="1:7">
      <c r="B46" s="44" t="str">
        <f>+H20</f>
        <v>Annual Rate</v>
      </c>
      <c r="E46" s="61">
        <f>+E44/E45</f>
        <v>32.355992287001072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V239"/>
  <sheetViews>
    <sheetView tabSelected="1" topLeftCell="D100" zoomScale="90" zoomScaleNormal="90" workbookViewId="0">
      <selection activeCell="J115" sqref="J115"/>
    </sheetView>
  </sheetViews>
  <sheetFormatPr defaultRowHeight="15"/>
  <cols>
    <col min="1" max="1" width="6" customWidth="1"/>
    <col min="2" max="2" width="1.44140625" customWidth="1"/>
    <col min="3" max="3" width="33" customWidth="1"/>
    <col min="4" max="4" width="41.21875" customWidth="1"/>
    <col min="5" max="5" width="15.21875" customWidth="1"/>
    <col min="6" max="6" width="7.77734375" customWidth="1"/>
    <col min="7" max="7" width="6.5546875" customWidth="1"/>
    <col min="8" max="8" width="14.33203125" customWidth="1"/>
    <col min="9" max="9" width="7.109375" customWidth="1"/>
    <col min="10" max="10" width="14.21875" customWidth="1"/>
    <col min="11" max="11" width="2.33203125" customWidth="1"/>
    <col min="12" max="12" width="13.44140625" bestFit="1" customWidth="1"/>
    <col min="13" max="13" width="13.109375" bestFit="1" customWidth="1"/>
    <col min="14" max="14" width="10.88671875" bestFit="1" customWidth="1"/>
  </cols>
  <sheetData>
    <row r="1" spans="1:48">
      <c r="A1" s="197"/>
      <c r="B1" s="197"/>
      <c r="C1" s="197"/>
      <c r="D1" s="197"/>
      <c r="E1" s="197"/>
      <c r="F1" s="197"/>
      <c r="G1" s="197"/>
      <c r="H1" s="197"/>
      <c r="I1" s="324" t="s">
        <v>417</v>
      </c>
      <c r="J1" s="325">
        <v>42153</v>
      </c>
      <c r="K1" s="197"/>
    </row>
    <row r="2" spans="1:48" ht="15.75">
      <c r="A2" s="184"/>
      <c r="B2" s="184"/>
      <c r="C2" s="184"/>
      <c r="D2" s="284"/>
      <c r="E2" s="184"/>
      <c r="F2" s="184"/>
      <c r="G2" s="184"/>
      <c r="H2" s="197"/>
      <c r="I2" s="202" t="s">
        <v>174</v>
      </c>
      <c r="J2" s="188">
        <v>2014</v>
      </c>
      <c r="K2" s="19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5" customHeight="1">
      <c r="A4" s="364" t="s">
        <v>330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5.75">
      <c r="A5" s="361" t="s">
        <v>203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>
      <c r="A6" s="184"/>
      <c r="B6" s="184"/>
      <c r="C6" s="188"/>
      <c r="D6" s="188"/>
      <c r="E6" s="197"/>
      <c r="F6" s="188"/>
      <c r="G6" s="188"/>
      <c r="H6" s="188"/>
      <c r="I6" s="188"/>
      <c r="J6" s="188"/>
      <c r="K6" s="18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5" customHeight="1">
      <c r="A7" s="362" t="s">
        <v>329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>
      <c r="A8" s="194"/>
      <c r="B8" s="184"/>
      <c r="C8" s="188"/>
      <c r="D8" s="188"/>
      <c r="E8" s="210"/>
      <c r="F8" s="188"/>
      <c r="G8" s="188"/>
      <c r="H8" s="188"/>
      <c r="I8" s="188"/>
      <c r="J8" s="188"/>
      <c r="K8" s="18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184"/>
      <c r="B9" s="184"/>
      <c r="C9" s="285" t="s">
        <v>209</v>
      </c>
      <c r="D9" s="285" t="s">
        <v>210</v>
      </c>
      <c r="E9" s="285" t="s">
        <v>211</v>
      </c>
      <c r="F9" s="179" t="s">
        <v>202</v>
      </c>
      <c r="G9" s="179"/>
      <c r="H9" s="286" t="s">
        <v>212</v>
      </c>
      <c r="I9" s="179"/>
      <c r="J9" s="212" t="s">
        <v>213</v>
      </c>
      <c r="K9" s="17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15.75">
      <c r="A10" s="184"/>
      <c r="B10" s="184"/>
      <c r="C10" s="198"/>
      <c r="D10" s="271" t="s">
        <v>214</v>
      </c>
      <c r="E10" s="179"/>
      <c r="F10" s="179"/>
      <c r="G10" s="287" t="s">
        <v>97</v>
      </c>
      <c r="H10" s="194"/>
      <c r="I10" s="179"/>
      <c r="J10" s="270" t="s">
        <v>215</v>
      </c>
      <c r="K10" s="17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5.75">
      <c r="A11" s="194" t="s">
        <v>204</v>
      </c>
      <c r="B11" s="184"/>
      <c r="C11" s="198"/>
      <c r="D11" s="288" t="s">
        <v>216</v>
      </c>
      <c r="E11" s="270" t="s">
        <v>217</v>
      </c>
      <c r="F11" s="289"/>
      <c r="G11" s="290" t="s">
        <v>87</v>
      </c>
      <c r="H11" s="236"/>
      <c r="I11" s="289"/>
      <c r="J11" s="194" t="s">
        <v>218</v>
      </c>
      <c r="K11" s="17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16.5" thickBot="1">
      <c r="A12" s="204" t="s">
        <v>205</v>
      </c>
      <c r="B12" s="184"/>
      <c r="C12" s="203" t="s">
        <v>219</v>
      </c>
      <c r="D12" s="179"/>
      <c r="E12" s="179"/>
      <c r="F12" s="179"/>
      <c r="G12" s="179"/>
      <c r="H12" s="179"/>
      <c r="I12" s="179"/>
      <c r="J12" s="179"/>
      <c r="K12" s="17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>
      <c r="A13" s="194"/>
      <c r="B13" s="184"/>
      <c r="C13" s="198"/>
      <c r="D13" s="16"/>
      <c r="E13" s="179"/>
      <c r="F13" s="179"/>
      <c r="G13" s="179"/>
      <c r="H13" s="179"/>
      <c r="I13" s="179"/>
      <c r="J13" s="179"/>
      <c r="K13" s="17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>
      <c r="A14" s="194"/>
      <c r="B14" s="184"/>
      <c r="C14" s="198" t="s">
        <v>220</v>
      </c>
      <c r="D14" s="16" t="s">
        <v>306</v>
      </c>
      <c r="E14" s="179"/>
      <c r="F14" s="179"/>
      <c r="G14" s="179"/>
      <c r="H14" s="179"/>
      <c r="I14" s="179"/>
      <c r="J14" s="179"/>
      <c r="K14" s="17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>
      <c r="A15" s="194">
        <v>1</v>
      </c>
      <c r="B15" s="184"/>
      <c r="C15" s="198" t="s">
        <v>221</v>
      </c>
      <c r="D15" s="16" t="s">
        <v>76</v>
      </c>
      <c r="E15" s="179">
        <f>+'True-Up Rate Base'!R15</f>
        <v>534993414.15384614</v>
      </c>
      <c r="F15" s="179"/>
      <c r="G15" s="179" t="s">
        <v>222</v>
      </c>
      <c r="H15" s="178" t="s">
        <v>202</v>
      </c>
      <c r="I15" s="179"/>
      <c r="J15" s="179" t="s">
        <v>202</v>
      </c>
      <c r="K15" s="17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194">
        <f>+A15+1</f>
        <v>2</v>
      </c>
      <c r="B16" s="184"/>
      <c r="C16" s="198" t="s">
        <v>223</v>
      </c>
      <c r="D16" s="16" t="s">
        <v>125</v>
      </c>
      <c r="E16" s="179">
        <f>+'True-Up Rate Base'!R16</f>
        <v>115631358.07692307</v>
      </c>
      <c r="F16" s="179"/>
      <c r="G16" s="179" t="s">
        <v>208</v>
      </c>
      <c r="H16" s="178">
        <f>+J143</f>
        <v>0.809365</v>
      </c>
      <c r="I16" s="179"/>
      <c r="J16" s="179">
        <f>+H16*E16</f>
        <v>93587974.129928842</v>
      </c>
      <c r="K16" s="17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194">
        <f t="shared" ref="A17:A62" si="0">+A16+1</f>
        <v>3</v>
      </c>
      <c r="B17" s="184"/>
      <c r="C17" s="198" t="s">
        <v>224</v>
      </c>
      <c r="D17" s="16" t="s">
        <v>126</v>
      </c>
      <c r="E17" s="179">
        <f>+'True-Up Rate Base'!R17</f>
        <v>325106588.38461536</v>
      </c>
      <c r="F17" s="179"/>
      <c r="G17" s="179" t="s">
        <v>222</v>
      </c>
      <c r="H17" s="180"/>
      <c r="I17" s="179"/>
      <c r="J17" s="179"/>
      <c r="K17" s="17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194">
        <f t="shared" si="0"/>
        <v>4</v>
      </c>
      <c r="B18" s="184"/>
      <c r="C18" s="198" t="s">
        <v>225</v>
      </c>
      <c r="D18" s="16" t="s">
        <v>423</v>
      </c>
      <c r="E18" s="179">
        <f>+'True-Up Rate Base'!R18</f>
        <v>39473282.692307696</v>
      </c>
      <c r="F18" s="179"/>
      <c r="G18" s="179" t="s">
        <v>226</v>
      </c>
      <c r="H18" s="178">
        <f>J175</f>
        <v>8.6855839586916186E-2</v>
      </c>
      <c r="I18" s="179"/>
      <c r="J18" s="179">
        <f>+H18*E18</f>
        <v>3428485.1094920724</v>
      </c>
      <c r="K18" s="17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194">
        <f t="shared" si="0"/>
        <v>5</v>
      </c>
      <c r="B19" s="184"/>
      <c r="C19" s="198" t="s">
        <v>145</v>
      </c>
      <c r="D19" s="16" t="s">
        <v>424</v>
      </c>
      <c r="E19" s="351">
        <v>26867878.810506728</v>
      </c>
      <c r="F19" s="179"/>
      <c r="G19" s="179" t="s">
        <v>226</v>
      </c>
      <c r="H19" s="178">
        <f>+H18</f>
        <v>8.6855839586916186E-2</v>
      </c>
      <c r="I19" s="179"/>
      <c r="J19" s="179">
        <f>+H19*E19</f>
        <v>2333632.1720060767</v>
      </c>
      <c r="K19" s="179"/>
      <c r="L19" s="350" t="s">
        <v>458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194">
        <f t="shared" si="0"/>
        <v>6</v>
      </c>
      <c r="B20" s="184"/>
      <c r="C20" s="198" t="s">
        <v>106</v>
      </c>
      <c r="D20" s="16" t="s">
        <v>423</v>
      </c>
      <c r="E20" s="179">
        <f>+'True-Up Rate Base'!R20</f>
        <v>7769072.461538462</v>
      </c>
      <c r="F20" s="179"/>
      <c r="G20" s="179" t="s">
        <v>137</v>
      </c>
      <c r="H20" s="178">
        <f>+J181</f>
        <v>0.21996841164883299</v>
      </c>
      <c r="I20" s="179"/>
      <c r="J20" s="179">
        <f>+H20*E20</f>
        <v>1708950.5293493045</v>
      </c>
      <c r="K20" s="17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thickBot="1">
      <c r="A21" s="194">
        <f t="shared" si="0"/>
        <v>7</v>
      </c>
      <c r="B21" s="184"/>
      <c r="C21" s="198" t="s">
        <v>227</v>
      </c>
      <c r="D21" s="16" t="s">
        <v>228</v>
      </c>
      <c r="E21" s="181">
        <f>+'True-Up Rate Base'!R21</f>
        <v>0</v>
      </c>
      <c r="F21" s="179"/>
      <c r="G21" s="179" t="s">
        <v>259</v>
      </c>
      <c r="H21" s="178">
        <v>0</v>
      </c>
      <c r="I21" s="179"/>
      <c r="J21" s="181">
        <f>+H21*E21</f>
        <v>0</v>
      </c>
      <c r="K21" s="17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194">
        <f t="shared" si="0"/>
        <v>8</v>
      </c>
      <c r="B22" s="184"/>
      <c r="C22" s="205" t="s">
        <v>4</v>
      </c>
      <c r="D22" s="16" t="str">
        <f>"(sum lines "&amp;A15&amp;" - "&amp;A21&amp;")"</f>
        <v>(sum lines 1 - 7)</v>
      </c>
      <c r="E22" s="179">
        <f>SUM(E15:E21)</f>
        <v>1049841594.5797374</v>
      </c>
      <c r="F22" s="179"/>
      <c r="G22" s="179" t="s">
        <v>229</v>
      </c>
      <c r="H22" s="182">
        <f>IF(E22&gt;0,+J22/E22,0)</f>
        <v>9.6261228801123352E-2</v>
      </c>
      <c r="I22" s="179"/>
      <c r="J22" s="179">
        <f>SUM(J15:J21)</f>
        <v>101059041.94077629</v>
      </c>
      <c r="K22" s="17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194">
        <f t="shared" si="0"/>
        <v>9</v>
      </c>
      <c r="B23" s="184"/>
      <c r="C23" s="198"/>
      <c r="D23" s="16"/>
      <c r="E23" s="179"/>
      <c r="F23" s="179"/>
      <c r="G23" s="179"/>
      <c r="H23" s="182"/>
      <c r="I23" s="179"/>
      <c r="J23" s="179"/>
      <c r="K23" s="17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194">
        <f t="shared" si="0"/>
        <v>10</v>
      </c>
      <c r="B24" s="184"/>
      <c r="C24" s="198" t="s">
        <v>230</v>
      </c>
      <c r="D24" s="16" t="s">
        <v>306</v>
      </c>
      <c r="E24" s="179"/>
      <c r="F24" s="179"/>
      <c r="G24" s="179"/>
      <c r="H24" s="179"/>
      <c r="I24" s="179"/>
      <c r="J24" s="179"/>
      <c r="K24" s="17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194">
        <f t="shared" si="0"/>
        <v>11</v>
      </c>
      <c r="B25" s="184"/>
      <c r="C25" s="198" t="str">
        <f>+C15</f>
        <v xml:space="preserve">  Production</v>
      </c>
      <c r="D25" s="16" t="s">
        <v>127</v>
      </c>
      <c r="E25" s="179">
        <f>+'True-Up Rate Base'!R25</f>
        <v>190765590.53846154</v>
      </c>
      <c r="F25" s="179"/>
      <c r="G25" s="179" t="str">
        <f>+G15</f>
        <v>NA</v>
      </c>
      <c r="H25" s="178" t="str">
        <f>+H15</f>
        <v xml:space="preserve"> </v>
      </c>
      <c r="I25" s="179"/>
      <c r="J25" s="179" t="s">
        <v>202</v>
      </c>
      <c r="K25" s="17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194">
        <f t="shared" si="0"/>
        <v>12</v>
      </c>
      <c r="B26" s="184"/>
      <c r="C26" s="198" t="s">
        <v>223</v>
      </c>
      <c r="D26" s="16" t="s">
        <v>128</v>
      </c>
      <c r="E26" s="351">
        <f>+'True-Up Rate Base'!R26</f>
        <v>34915101.297390744</v>
      </c>
      <c r="F26" s="179"/>
      <c r="G26" s="179" t="s">
        <v>84</v>
      </c>
      <c r="H26" s="178">
        <f>+J161</f>
        <v>0.81909699999999996</v>
      </c>
      <c r="I26" s="179"/>
      <c r="J26" s="179">
        <f>+H26*E26</f>
        <v>28598854.727388866</v>
      </c>
      <c r="K26" s="179"/>
      <c r="L26" s="350" t="s">
        <v>464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194">
        <f t="shared" si="0"/>
        <v>13</v>
      </c>
      <c r="B27" s="184"/>
      <c r="C27" s="198" t="s">
        <v>224</v>
      </c>
      <c r="D27" s="16" t="s">
        <v>129</v>
      </c>
      <c r="E27" s="179">
        <f>+'True-Up Rate Base'!R27</f>
        <v>108830596.6923077</v>
      </c>
      <c r="F27" s="179"/>
      <c r="G27" s="179" t="s">
        <v>222</v>
      </c>
      <c r="H27" s="178"/>
      <c r="I27" s="179"/>
      <c r="J27" s="179"/>
      <c r="K27" s="17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194">
        <f t="shared" si="0"/>
        <v>14</v>
      </c>
      <c r="B28" s="184"/>
      <c r="C28" s="198" t="str">
        <f>+C18</f>
        <v xml:space="preserve">  General &amp; Intangible</v>
      </c>
      <c r="D28" s="16" t="s">
        <v>413</v>
      </c>
      <c r="E28" s="351">
        <f>+'True-Up Rate Base'!R28</f>
        <v>21700679.337288797</v>
      </c>
      <c r="F28" s="179"/>
      <c r="G28" s="179" t="str">
        <f>+G18</f>
        <v>W/S</v>
      </c>
      <c r="H28" s="178">
        <f>+H18</f>
        <v>8.6855839586916186E-2</v>
      </c>
      <c r="I28" s="179"/>
      <c r="J28" s="179">
        <f>+H28*E28</f>
        <v>1884830.7234466623</v>
      </c>
      <c r="K28" s="179"/>
      <c r="L28" s="350" t="s">
        <v>464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194">
        <f t="shared" si="0"/>
        <v>15</v>
      </c>
      <c r="B29" s="184"/>
      <c r="C29" s="198" t="s">
        <v>145</v>
      </c>
      <c r="D29" s="16" t="s">
        <v>424</v>
      </c>
      <c r="E29" s="351">
        <v>16526689.49081873</v>
      </c>
      <c r="F29" s="179"/>
      <c r="G29" s="179" t="str">
        <f>+G19</f>
        <v>W/S</v>
      </c>
      <c r="H29" s="178">
        <f>+H28</f>
        <v>8.6855839586916186E-2</v>
      </c>
      <c r="I29" s="179"/>
      <c r="J29" s="179">
        <f>+H29*E29</f>
        <v>1435439.491317325</v>
      </c>
      <c r="K29" s="179"/>
      <c r="L29" s="350" t="s">
        <v>458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194">
        <f t="shared" si="0"/>
        <v>16</v>
      </c>
      <c r="B30" s="184"/>
      <c r="C30" s="198" t="str">
        <f>+C20</f>
        <v xml:space="preserve">  Communication System</v>
      </c>
      <c r="D30" s="16" t="s">
        <v>423</v>
      </c>
      <c r="E30" s="351">
        <f>+'True-Up Rate Base'!R30</f>
        <v>2682958.1516579483</v>
      </c>
      <c r="F30" s="179"/>
      <c r="G30" s="179" t="str">
        <f>+G20</f>
        <v>T&amp;D</v>
      </c>
      <c r="H30" s="178">
        <f>+H20</f>
        <v>0.21996841164883299</v>
      </c>
      <c r="I30" s="179"/>
      <c r="J30" s="179">
        <f>+H30*E30</f>
        <v>590166.04314048763</v>
      </c>
      <c r="K30" s="179"/>
      <c r="L30" s="350" t="s">
        <v>464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thickBot="1">
      <c r="A31" s="194">
        <f t="shared" si="0"/>
        <v>17</v>
      </c>
      <c r="B31" s="184"/>
      <c r="C31" s="198" t="str">
        <f>+C21</f>
        <v xml:space="preserve">  Common</v>
      </c>
      <c r="D31" s="16" t="s">
        <v>228</v>
      </c>
      <c r="E31" s="181">
        <f>+'True-Up Rate Base'!R31</f>
        <v>0</v>
      </c>
      <c r="F31" s="179"/>
      <c r="G31" s="179" t="str">
        <f>+G21</f>
        <v>CE</v>
      </c>
      <c r="H31" s="178">
        <f>+H21</f>
        <v>0</v>
      </c>
      <c r="I31" s="179"/>
      <c r="J31" s="181">
        <f>+H31*E31</f>
        <v>0</v>
      </c>
      <c r="K31" s="17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194">
        <f t="shared" si="0"/>
        <v>18</v>
      </c>
      <c r="B32" s="184"/>
      <c r="C32" s="198" t="s">
        <v>6</v>
      </c>
      <c r="D32" s="16" t="str">
        <f>"(sum lines "&amp;A25&amp;" - "&amp;A31&amp;")"</f>
        <v>(sum lines 11 - 17)</v>
      </c>
      <c r="E32" s="179">
        <f>SUM(E25:E31)</f>
        <v>375421615.50792545</v>
      </c>
      <c r="F32" s="179"/>
      <c r="G32" s="179"/>
      <c r="H32" s="179"/>
      <c r="I32" s="179"/>
      <c r="J32" s="179">
        <f>SUM(J25:J31)</f>
        <v>32509290.98529334</v>
      </c>
      <c r="K32" s="17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194">
        <f t="shared" si="0"/>
        <v>19</v>
      </c>
      <c r="B33" s="184"/>
      <c r="C33" s="184"/>
      <c r="D33" s="16" t="s">
        <v>202</v>
      </c>
      <c r="E33" s="184"/>
      <c r="F33" s="179"/>
      <c r="G33" s="179"/>
      <c r="H33" s="182"/>
      <c r="I33" s="179"/>
      <c r="J33" s="184"/>
      <c r="K33" s="17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194">
        <f t="shared" si="0"/>
        <v>20</v>
      </c>
      <c r="B34" s="184"/>
      <c r="C34" s="198" t="s">
        <v>231</v>
      </c>
      <c r="D34" s="16" t="s">
        <v>306</v>
      </c>
      <c r="E34" s="179"/>
      <c r="F34" s="179"/>
      <c r="G34" s="179"/>
      <c r="H34" s="179"/>
      <c r="I34" s="179"/>
      <c r="J34" s="179"/>
      <c r="K34" s="17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194">
        <f t="shared" si="0"/>
        <v>21</v>
      </c>
      <c r="B35" s="184"/>
      <c r="C35" s="198" t="str">
        <f>+C25</f>
        <v xml:space="preserve">  Production</v>
      </c>
      <c r="D35" s="16" t="str">
        <f t="shared" ref="D35:D41" si="1">"(line "&amp;A15&amp;" - line "&amp;A25&amp;")"</f>
        <v>(line 1 - line 11)</v>
      </c>
      <c r="E35" s="179">
        <f t="shared" ref="E35:E42" si="2">E15-E25</f>
        <v>344227823.61538458</v>
      </c>
      <c r="F35" s="179"/>
      <c r="G35" s="179" t="s">
        <v>95</v>
      </c>
      <c r="H35" s="182"/>
      <c r="I35" s="179"/>
      <c r="J35" s="179" t="s">
        <v>202</v>
      </c>
      <c r="K35" s="17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94">
        <f t="shared" si="0"/>
        <v>22</v>
      </c>
      <c r="B36" s="184"/>
      <c r="C36" s="198" t="s">
        <v>223</v>
      </c>
      <c r="D36" s="16" t="str">
        <f t="shared" si="1"/>
        <v>(line 2 - line 12)</v>
      </c>
      <c r="E36" s="179">
        <f t="shared" si="2"/>
        <v>80716256.779532328</v>
      </c>
      <c r="F36" s="179"/>
      <c r="G36" s="179" t="s">
        <v>95</v>
      </c>
      <c r="H36" s="178"/>
      <c r="I36" s="179"/>
      <c r="J36" s="179">
        <f>J16-J26</f>
        <v>64989119.402539976</v>
      </c>
      <c r="K36" s="17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>
      <c r="A37" s="194">
        <f t="shared" si="0"/>
        <v>23</v>
      </c>
      <c r="B37" s="184"/>
      <c r="C37" s="198" t="s">
        <v>305</v>
      </c>
      <c r="D37" s="16" t="str">
        <f t="shared" si="1"/>
        <v>(line 3 - line 13)</v>
      </c>
      <c r="E37" s="179">
        <f t="shared" si="2"/>
        <v>216275991.69230765</v>
      </c>
      <c r="F37" s="179"/>
      <c r="G37" s="179" t="s">
        <v>95</v>
      </c>
      <c r="H37" s="182"/>
      <c r="I37" s="179"/>
      <c r="J37" s="179"/>
      <c r="K37" s="17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>
      <c r="A38" s="194">
        <f t="shared" si="0"/>
        <v>24</v>
      </c>
      <c r="B38" s="184"/>
      <c r="C38" s="198" t="str">
        <f>+C28</f>
        <v xml:space="preserve">  General &amp; Intangible</v>
      </c>
      <c r="D38" s="16" t="str">
        <f t="shared" si="1"/>
        <v>(line 4 - line 14)</v>
      </c>
      <c r="E38" s="179">
        <f t="shared" si="2"/>
        <v>17772603.355018899</v>
      </c>
      <c r="F38" s="179"/>
      <c r="G38" s="179" t="s">
        <v>95</v>
      </c>
      <c r="H38" s="182"/>
      <c r="I38" s="179"/>
      <c r="J38" s="179">
        <f>J18-J28</f>
        <v>1543654.3860454101</v>
      </c>
      <c r="K38" s="17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>
      <c r="A39" s="194">
        <f t="shared" si="0"/>
        <v>25</v>
      </c>
      <c r="B39" s="184"/>
      <c r="C39" s="198" t="s">
        <v>145</v>
      </c>
      <c r="D39" s="16" t="str">
        <f t="shared" si="1"/>
        <v>(line 5 - line 15)</v>
      </c>
      <c r="E39" s="179">
        <f t="shared" si="2"/>
        <v>10341189.319687998</v>
      </c>
      <c r="F39" s="179"/>
      <c r="G39" s="179" t="s">
        <v>95</v>
      </c>
      <c r="H39" s="182"/>
      <c r="I39" s="179"/>
      <c r="J39" s="179">
        <f>J19-J29</f>
        <v>898192.68068875163</v>
      </c>
      <c r="K39" s="17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94">
        <f t="shared" si="0"/>
        <v>26</v>
      </c>
      <c r="B40" s="184"/>
      <c r="C40" s="198" t="str">
        <f>+C30</f>
        <v xml:space="preserve">  Communication System</v>
      </c>
      <c r="D40" s="16" t="str">
        <f t="shared" si="1"/>
        <v>(line 6 - line 16)</v>
      </c>
      <c r="E40" s="179">
        <f t="shared" si="2"/>
        <v>5086114.3098805137</v>
      </c>
      <c r="F40" s="179"/>
      <c r="G40" s="179" t="s">
        <v>95</v>
      </c>
      <c r="H40" s="182"/>
      <c r="I40" s="179"/>
      <c r="J40" s="179">
        <f>J20-J30</f>
        <v>1118784.486208817</v>
      </c>
      <c r="K40" s="17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thickBot="1">
      <c r="A41" s="194">
        <f t="shared" si="0"/>
        <v>27</v>
      </c>
      <c r="B41" s="184"/>
      <c r="C41" s="198" t="str">
        <f>+C31</f>
        <v xml:space="preserve">  Common</v>
      </c>
      <c r="D41" s="16" t="str">
        <f t="shared" si="1"/>
        <v>(line 7 - line 17)</v>
      </c>
      <c r="E41" s="181">
        <f t="shared" si="2"/>
        <v>0</v>
      </c>
      <c r="F41" s="179"/>
      <c r="G41" s="179" t="s">
        <v>95</v>
      </c>
      <c r="H41" s="182"/>
      <c r="I41" s="179"/>
      <c r="J41" s="181">
        <f>J21-J31</f>
        <v>0</v>
      </c>
      <c r="K41" s="17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>
      <c r="A42" s="194">
        <f t="shared" si="0"/>
        <v>28</v>
      </c>
      <c r="B42" s="184"/>
      <c r="C42" s="198" t="s">
        <v>5</v>
      </c>
      <c r="D42" s="16" t="str">
        <f>"(sum lines "&amp;A35&amp;" - "&amp;A41&amp;")"</f>
        <v>(sum lines 21 - 27)</v>
      </c>
      <c r="E42" s="179">
        <f t="shared" si="2"/>
        <v>674419979.07181191</v>
      </c>
      <c r="F42" s="179"/>
      <c r="G42" s="179" t="s">
        <v>232</v>
      </c>
      <c r="H42" s="182">
        <f>IF(E42&gt;0,+J42/E42,0)</f>
        <v>0.10164252703460287</v>
      </c>
      <c r="I42" s="179"/>
      <c r="J42" s="179">
        <f>SUM(J35:J41)</f>
        <v>68549750.955482945</v>
      </c>
      <c r="K42" s="17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A43" s="194">
        <f t="shared" si="0"/>
        <v>29</v>
      </c>
      <c r="B43" s="184"/>
      <c r="C43" s="184"/>
      <c r="D43" s="16"/>
      <c r="E43" s="183"/>
      <c r="F43" s="179"/>
      <c r="G43" s="184"/>
      <c r="H43" s="184"/>
      <c r="I43" s="179"/>
      <c r="J43" s="184"/>
      <c r="K43" s="17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>
      <c r="A44" s="194">
        <f t="shared" si="0"/>
        <v>30</v>
      </c>
      <c r="B44" s="184"/>
      <c r="C44" s="205" t="s">
        <v>42</v>
      </c>
      <c r="D44" s="16" t="s">
        <v>425</v>
      </c>
      <c r="E44" s="179"/>
      <c r="F44" s="179"/>
      <c r="G44" s="179"/>
      <c r="H44" s="179"/>
      <c r="I44" s="179"/>
      <c r="J44" s="179"/>
      <c r="K44" s="17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94">
        <f t="shared" si="0"/>
        <v>31</v>
      </c>
      <c r="B45" s="184"/>
      <c r="C45" s="198" t="s">
        <v>277</v>
      </c>
      <c r="D45" s="16" t="s">
        <v>233</v>
      </c>
      <c r="E45" s="183">
        <f>+'True-Up Rate Base'!G50</f>
        <v>0</v>
      </c>
      <c r="F45" s="179"/>
      <c r="G45" s="179" t="str">
        <f>+G25</f>
        <v>NA</v>
      </c>
      <c r="H45" s="185" t="s">
        <v>298</v>
      </c>
      <c r="I45" s="179"/>
      <c r="J45" s="183">
        <v>0</v>
      </c>
      <c r="K45" s="17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>
      <c r="A46" s="194">
        <f t="shared" si="0"/>
        <v>32</v>
      </c>
      <c r="B46" s="184"/>
      <c r="C46" s="198" t="s">
        <v>278</v>
      </c>
      <c r="D46" s="16" t="s">
        <v>235</v>
      </c>
      <c r="E46" s="352">
        <f>+'True-Up Rate Base'!G51</f>
        <v>-176495004.38228339</v>
      </c>
      <c r="F46" s="179"/>
      <c r="G46" s="179" t="s">
        <v>234</v>
      </c>
      <c r="H46" s="178">
        <f>+H42</f>
        <v>0.10164252703460287</v>
      </c>
      <c r="I46" s="179"/>
      <c r="J46" s="183">
        <f>E46*H46</f>
        <v>-17939398.254398592</v>
      </c>
      <c r="K46" s="179"/>
      <c r="L46" s="350" t="s">
        <v>464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>
      <c r="A47" s="194">
        <f t="shared" si="0"/>
        <v>33</v>
      </c>
      <c r="B47" s="184"/>
      <c r="C47" s="198" t="s">
        <v>279</v>
      </c>
      <c r="D47" s="16" t="s">
        <v>236</v>
      </c>
      <c r="E47" s="183">
        <f>+'True-Up Rate Base'!G52</f>
        <v>-24440972.5</v>
      </c>
      <c r="F47" s="179"/>
      <c r="G47" s="179" t="str">
        <f>+G46</f>
        <v>NP</v>
      </c>
      <c r="H47" s="178">
        <f>H42</f>
        <v>0.10164252703460287</v>
      </c>
      <c r="I47" s="179"/>
      <c r="J47" s="183">
        <f>E47*H47</f>
        <v>-2484242.2080832352</v>
      </c>
      <c r="K47" s="17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>
      <c r="A48" s="194">
        <f t="shared" si="0"/>
        <v>34</v>
      </c>
      <c r="B48" s="184"/>
      <c r="C48" s="198" t="s">
        <v>281</v>
      </c>
      <c r="D48" s="16" t="s">
        <v>237</v>
      </c>
      <c r="E48" s="106">
        <f>+'True-Up Rate Base'!G53</f>
        <v>25629101.5</v>
      </c>
      <c r="F48" s="179"/>
      <c r="G48" s="179" t="str">
        <f>+G47</f>
        <v>NP</v>
      </c>
      <c r="H48" s="178">
        <f>+H47</f>
        <v>0.10164252703460287</v>
      </c>
      <c r="I48" s="179"/>
      <c r="J48" s="183">
        <f>E48*H48</f>
        <v>2605006.6420863308</v>
      </c>
      <c r="K48" s="17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>
      <c r="A49" s="194">
        <f t="shared" si="0"/>
        <v>35</v>
      </c>
      <c r="B49" s="184"/>
      <c r="C49" s="184" t="s">
        <v>280</v>
      </c>
      <c r="D49" s="22" t="s">
        <v>130</v>
      </c>
      <c r="E49" s="183">
        <f>+'True-Up Rate Base'!G54</f>
        <v>0</v>
      </c>
      <c r="F49" s="179"/>
      <c r="G49" s="179" t="str">
        <f>+G48</f>
        <v>NP</v>
      </c>
      <c r="H49" s="178">
        <f>+H48</f>
        <v>0.10164252703460287</v>
      </c>
      <c r="I49" s="179"/>
      <c r="J49" s="186">
        <f>E49*H49</f>
        <v>0</v>
      </c>
      <c r="K49" s="17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thickBot="1">
      <c r="A50" s="194">
        <f t="shared" si="0"/>
        <v>36</v>
      </c>
      <c r="B50" s="184"/>
      <c r="C50" s="198" t="s">
        <v>300</v>
      </c>
      <c r="D50" s="22" t="s">
        <v>338</v>
      </c>
      <c r="E50" s="187">
        <f>+'True-Up Rate Base'!G55</f>
        <v>2850107.2249999996</v>
      </c>
      <c r="F50" s="179"/>
      <c r="G50" s="179" t="str">
        <f>+G49</f>
        <v>NP</v>
      </c>
      <c r="H50" s="178">
        <f>+H49</f>
        <v>0.10164252703460287</v>
      </c>
      <c r="I50" s="179"/>
      <c r="J50" s="187">
        <f>+H50*E50</f>
        <v>289692.10066857946</v>
      </c>
      <c r="K50" s="17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>
      <c r="A51" s="194">
        <f t="shared" si="0"/>
        <v>37</v>
      </c>
      <c r="B51" s="184"/>
      <c r="C51" s="198" t="s">
        <v>7</v>
      </c>
      <c r="D51" s="16" t="str">
        <f>"(sum lines "&amp;A45&amp;" - "&amp;A50&amp;")"</f>
        <v>(sum lines 31 - 36)</v>
      </c>
      <c r="E51" s="179"/>
      <c r="F51" s="179"/>
      <c r="G51" s="179"/>
      <c r="H51" s="179"/>
      <c r="I51" s="179"/>
      <c r="J51" s="183">
        <f>SUM(J45:J50)</f>
        <v>-17528941.719726916</v>
      </c>
      <c r="K51" s="17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>
      <c r="A52" s="194">
        <f t="shared" si="0"/>
        <v>38</v>
      </c>
      <c r="B52" s="184"/>
      <c r="C52" s="184"/>
      <c r="D52" s="16"/>
      <c r="E52" s="184"/>
      <c r="F52" s="179"/>
      <c r="G52" s="179"/>
      <c r="H52" s="182"/>
      <c r="I52" s="179"/>
      <c r="J52" s="184"/>
      <c r="K52" s="17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>
      <c r="A53" s="194">
        <f t="shared" si="0"/>
        <v>39</v>
      </c>
      <c r="B53" s="184"/>
      <c r="C53" s="205" t="s">
        <v>238</v>
      </c>
      <c r="D53" s="16" t="s">
        <v>308</v>
      </c>
      <c r="E53" s="179">
        <f>+'True-Up Rate Base'!G58</f>
        <v>0</v>
      </c>
      <c r="F53" s="179"/>
      <c r="G53" s="179" t="s">
        <v>398</v>
      </c>
      <c r="H53" s="178">
        <v>0</v>
      </c>
      <c r="I53" s="179"/>
      <c r="J53" s="179">
        <f>+H53*E53</f>
        <v>0</v>
      </c>
      <c r="K53" s="17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>
      <c r="A54" s="194">
        <f t="shared" si="0"/>
        <v>40</v>
      </c>
      <c r="B54" s="184"/>
      <c r="C54" s="198"/>
      <c r="D54" s="16"/>
      <c r="E54" s="179"/>
      <c r="F54" s="179"/>
      <c r="G54" s="179"/>
      <c r="H54" s="179"/>
      <c r="I54" s="179"/>
      <c r="J54" s="179"/>
      <c r="K54" s="17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>
      <c r="A55" s="194">
        <f t="shared" si="0"/>
        <v>41</v>
      </c>
      <c r="B55" s="184"/>
      <c r="C55" s="198" t="s">
        <v>307</v>
      </c>
      <c r="D55" s="16" t="s">
        <v>202</v>
      </c>
      <c r="E55" s="179"/>
      <c r="F55" s="179"/>
      <c r="G55" s="179"/>
      <c r="H55" s="179"/>
      <c r="I55" s="179"/>
      <c r="J55" s="179"/>
      <c r="K55" s="17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>
      <c r="A56" s="194">
        <f t="shared" si="0"/>
        <v>42</v>
      </c>
      <c r="B56" s="184"/>
      <c r="C56" s="198" t="s">
        <v>297</v>
      </c>
      <c r="D56" s="22" t="str">
        <f>"(1/8 * line "&amp;A85&amp;")"</f>
        <v>(1/8 * line 58)</v>
      </c>
      <c r="E56" s="179">
        <f>+E85/8</f>
        <v>3949951.69875</v>
      </c>
      <c r="F56" s="179"/>
      <c r="G56" s="179" t="s">
        <v>95</v>
      </c>
      <c r="H56" s="182"/>
      <c r="I56" s="179"/>
      <c r="J56" s="179">
        <f>+J85/8</f>
        <v>423178.34081607155</v>
      </c>
      <c r="K56" s="18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>
      <c r="A57" s="194">
        <f t="shared" si="0"/>
        <v>43</v>
      </c>
      <c r="B57" s="184"/>
      <c r="C57" s="198" t="s">
        <v>369</v>
      </c>
      <c r="D57" s="16" t="s">
        <v>140</v>
      </c>
      <c r="E57" s="179">
        <f>+'True-Up Rate Base'!G62</f>
        <v>4054892</v>
      </c>
      <c r="F57" s="179"/>
      <c r="G57" s="179" t="s">
        <v>137</v>
      </c>
      <c r="H57" s="178">
        <f>+J181</f>
        <v>0.21996841164883299</v>
      </c>
      <c r="I57" s="179"/>
      <c r="J57" s="179">
        <f>+H57*E57</f>
        <v>891948.15264755965</v>
      </c>
      <c r="K57" s="179" t="s">
        <v>202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>
      <c r="A58" s="194">
        <f t="shared" si="0"/>
        <v>44</v>
      </c>
      <c r="B58" s="184"/>
      <c r="C58" s="198" t="s">
        <v>369</v>
      </c>
      <c r="D58" s="16" t="s">
        <v>139</v>
      </c>
      <c r="E58" s="179">
        <f>+'True-Up Rate Base'!G63</f>
        <v>25144.5</v>
      </c>
      <c r="F58" s="179"/>
      <c r="G58" s="179" t="s">
        <v>208</v>
      </c>
      <c r="H58" s="178">
        <f>+J143</f>
        <v>0.809365</v>
      </c>
      <c r="I58" s="179"/>
      <c r="J58" s="179">
        <f>+H58*E58</f>
        <v>20351.0782425</v>
      </c>
      <c r="K58" s="17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thickBot="1">
      <c r="A59" s="194">
        <f t="shared" si="0"/>
        <v>45</v>
      </c>
      <c r="B59" s="184"/>
      <c r="C59" s="198" t="s">
        <v>282</v>
      </c>
      <c r="D59" s="16" t="s">
        <v>426</v>
      </c>
      <c r="E59" s="179">
        <f>+'True-Up Rate Base'!G64</f>
        <v>4401939</v>
      </c>
      <c r="F59" s="179"/>
      <c r="G59" s="179" t="s">
        <v>239</v>
      </c>
      <c r="H59" s="178">
        <f>+H22</f>
        <v>9.6261228801123352E-2</v>
      </c>
      <c r="I59" s="179"/>
      <c r="J59" s="181">
        <f>+H59*E59</f>
        <v>423736.05724758812</v>
      </c>
      <c r="K59" s="17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>
      <c r="A60" s="194">
        <f t="shared" si="0"/>
        <v>46</v>
      </c>
      <c r="B60" s="184"/>
      <c r="C60" s="198" t="s">
        <v>8</v>
      </c>
      <c r="D60" s="16" t="str">
        <f>"(sum lines "&amp;A56&amp;" - "&amp;A59&amp;")"</f>
        <v>(sum lines 42 - 45)</v>
      </c>
      <c r="E60" s="179"/>
      <c r="F60" s="188"/>
      <c r="G60" s="188"/>
      <c r="H60" s="188"/>
      <c r="I60" s="188"/>
      <c r="J60" s="179">
        <f>SUM(J56:J59)</f>
        <v>1759213.6289537195</v>
      </c>
      <c r="K60" s="18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thickBot="1">
      <c r="A61" s="194">
        <f t="shared" si="0"/>
        <v>47</v>
      </c>
      <c r="B61" s="184"/>
      <c r="C61" s="184"/>
      <c r="D61" s="16"/>
      <c r="E61" s="291"/>
      <c r="F61" s="179"/>
      <c r="G61" s="179"/>
      <c r="H61" s="179"/>
      <c r="I61" s="179"/>
      <c r="J61" s="292"/>
      <c r="K61" s="17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thickBot="1">
      <c r="A62" s="194">
        <f t="shared" si="0"/>
        <v>48</v>
      </c>
      <c r="B62" s="184"/>
      <c r="C62" s="198" t="s">
        <v>9</v>
      </c>
      <c r="D62" s="16" t="str">
        <f>"(sum lines "&amp;A42&amp;", "&amp;A51&amp;", "&amp;A53&amp;", &amp; "&amp;A60&amp;")"</f>
        <v>(sum lines 28, 37, 39, &amp; 46)</v>
      </c>
      <c r="E62" s="191"/>
      <c r="F62" s="179"/>
      <c r="G62" s="179"/>
      <c r="H62" s="182"/>
      <c r="I62" s="179"/>
      <c r="J62" s="293">
        <f>+J60+J53+J51+J42</f>
        <v>52780022.86470975</v>
      </c>
      <c r="K62" s="17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thickTop="1">
      <c r="A63" s="194"/>
      <c r="B63" s="184"/>
      <c r="C63" s="198"/>
      <c r="D63" s="179"/>
      <c r="E63" s="191"/>
      <c r="F63" s="179"/>
      <c r="G63" s="179"/>
      <c r="H63" s="182"/>
      <c r="I63" s="202" t="str">
        <f>$I$1</f>
        <v>Date</v>
      </c>
      <c r="J63" s="326">
        <f>$J$1</f>
        <v>42153</v>
      </c>
      <c r="K63" s="17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>
      <c r="A64" s="194"/>
      <c r="B64" s="184"/>
      <c r="C64" s="198"/>
      <c r="D64" s="179"/>
      <c r="E64" s="179"/>
      <c r="F64" s="179"/>
      <c r="G64" s="179"/>
      <c r="H64" s="197"/>
      <c r="I64" s="202" t="str">
        <f>$I$2</f>
        <v>Service Year</v>
      </c>
      <c r="J64" s="188">
        <f>$J$2</f>
        <v>2014</v>
      </c>
      <c r="K64" s="19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>
      <c r="A65" s="194"/>
      <c r="B65" s="184"/>
      <c r="C65" s="198"/>
      <c r="D65" s="179"/>
      <c r="E65" s="179"/>
      <c r="F65" s="179"/>
      <c r="G65" s="179"/>
      <c r="H65" s="179"/>
      <c r="I65" s="179"/>
      <c r="J65" s="179"/>
      <c r="K65" s="17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>
      <c r="A66" s="364" t="s">
        <v>330</v>
      </c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>
      <c r="A67" s="361" t="s">
        <v>203</v>
      </c>
      <c r="B67" s="361"/>
      <c r="C67" s="361"/>
      <c r="D67" s="361"/>
      <c r="E67" s="361"/>
      <c r="F67" s="361"/>
      <c r="G67" s="361"/>
      <c r="H67" s="361"/>
      <c r="I67" s="361"/>
      <c r="J67" s="361"/>
      <c r="K67" s="36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>
      <c r="A68" s="184"/>
      <c r="B68" s="184"/>
      <c r="C68" s="188"/>
      <c r="D68" s="188"/>
      <c r="E68" s="197"/>
      <c r="F68" s="188"/>
      <c r="G68" s="188"/>
      <c r="H68" s="188"/>
      <c r="I68" s="188"/>
      <c r="J68" s="188"/>
      <c r="K68" s="18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>
      <c r="A69" s="362" t="s">
        <v>329</v>
      </c>
      <c r="B69" s="362"/>
      <c r="C69" s="362"/>
      <c r="D69" s="362"/>
      <c r="E69" s="362"/>
      <c r="F69" s="362"/>
      <c r="G69" s="362"/>
      <c r="H69" s="362"/>
      <c r="I69" s="362"/>
      <c r="J69" s="362"/>
      <c r="K69" s="36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>
      <c r="A70" s="194"/>
      <c r="B70" s="184"/>
      <c r="C70" s="285" t="s">
        <v>209</v>
      </c>
      <c r="D70" s="285" t="s">
        <v>210</v>
      </c>
      <c r="E70" s="285" t="s">
        <v>211</v>
      </c>
      <c r="F70" s="179" t="s">
        <v>202</v>
      </c>
      <c r="G70" s="179"/>
      <c r="H70" s="286" t="s">
        <v>212</v>
      </c>
      <c r="I70" s="179"/>
      <c r="J70" s="212" t="s">
        <v>213</v>
      </c>
      <c r="K70" s="17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>
      <c r="A71" s="194"/>
      <c r="B71" s="184"/>
      <c r="C71" s="285"/>
      <c r="D71" s="206"/>
      <c r="E71" s="206"/>
      <c r="F71" s="206"/>
      <c r="G71" s="206"/>
      <c r="H71" s="206"/>
      <c r="I71" s="206"/>
      <c r="J71" s="206"/>
      <c r="K71" s="20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>
      <c r="A72" s="194" t="s">
        <v>204</v>
      </c>
      <c r="B72" s="184"/>
      <c r="C72" s="198"/>
      <c r="D72" s="271" t="s">
        <v>214</v>
      </c>
      <c r="E72" s="179"/>
      <c r="F72" s="179"/>
      <c r="G72" s="289" t="str">
        <f>+G10</f>
        <v xml:space="preserve">      Allocator</v>
      </c>
      <c r="H72" s="194"/>
      <c r="I72" s="179"/>
      <c r="J72" s="270" t="s">
        <v>215</v>
      </c>
      <c r="K72" s="17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6.5" thickBot="1">
      <c r="A73" s="204" t="s">
        <v>205</v>
      </c>
      <c r="B73" s="184"/>
      <c r="C73" s="198"/>
      <c r="D73" s="288" t="s">
        <v>216</v>
      </c>
      <c r="E73" s="270" t="s">
        <v>217</v>
      </c>
      <c r="F73" s="289"/>
      <c r="G73" s="290" t="str">
        <f>+G11</f>
        <v xml:space="preserve">        (page 4)</v>
      </c>
      <c r="H73" s="184"/>
      <c r="I73" s="289"/>
      <c r="J73" s="194" t="s">
        <v>218</v>
      </c>
      <c r="K73" s="17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>
      <c r="A74" s="184"/>
      <c r="B74" s="184"/>
      <c r="C74" s="198"/>
      <c r="D74" s="179"/>
      <c r="E74" s="294"/>
      <c r="F74" s="295"/>
      <c r="G74" s="269"/>
      <c r="H74" s="184"/>
      <c r="I74" s="295"/>
      <c r="J74" s="294"/>
      <c r="K74" s="17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>
      <c r="A75" s="194"/>
      <c r="B75" s="184"/>
      <c r="C75" s="198" t="s">
        <v>240</v>
      </c>
      <c r="D75" s="179"/>
      <c r="E75" s="179"/>
      <c r="F75" s="179"/>
      <c r="G75" s="179"/>
      <c r="H75" s="179"/>
      <c r="I75" s="179"/>
      <c r="J75" s="179"/>
      <c r="K75" s="17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>
      <c r="A76" s="194">
        <f>+A62+1</f>
        <v>49</v>
      </c>
      <c r="B76" s="184"/>
      <c r="C76" s="198" t="s">
        <v>241</v>
      </c>
      <c r="D76" s="179" t="s">
        <v>146</v>
      </c>
      <c r="E76" s="351">
        <v>23639640</v>
      </c>
      <c r="F76" s="179"/>
      <c r="G76" s="179" t="s">
        <v>208</v>
      </c>
      <c r="H76" s="178">
        <f>+J143</f>
        <v>0.809365</v>
      </c>
      <c r="I76" s="179"/>
      <c r="J76" s="179">
        <f>+H76*E76</f>
        <v>19133097.228599999</v>
      </c>
      <c r="K76" s="188"/>
      <c r="L76" s="350" t="s">
        <v>479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>
      <c r="A77" s="194">
        <f>+A76+1</f>
        <v>50</v>
      </c>
      <c r="B77" s="184"/>
      <c r="C77" s="198" t="s">
        <v>52</v>
      </c>
      <c r="D77" s="16" t="s">
        <v>113</v>
      </c>
      <c r="E77" s="359">
        <f>962441+338566+290759+381689+1034-8276+160404+20068338</f>
        <v>22194955</v>
      </c>
      <c r="F77" s="179"/>
      <c r="G77" s="179" t="str">
        <f>+G76</f>
        <v>TP</v>
      </c>
      <c r="H77" s="178">
        <f>+H76</f>
        <v>0.809365</v>
      </c>
      <c r="I77" s="179"/>
      <c r="J77" s="179">
        <f t="shared" ref="J77:J84" si="3">+H77*E77</f>
        <v>17963819.753575001</v>
      </c>
      <c r="K77" s="188"/>
      <c r="L77" s="350" t="s">
        <v>459</v>
      </c>
      <c r="M77" s="350" t="s">
        <v>460</v>
      </c>
      <c r="N77" s="350" t="s">
        <v>461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>
      <c r="A78" s="194">
        <f t="shared" ref="A78:A119" si="4">+A77+1</f>
        <v>51</v>
      </c>
      <c r="B78" s="184"/>
      <c r="C78" s="198" t="s">
        <v>242</v>
      </c>
      <c r="D78" s="16" t="s">
        <v>131</v>
      </c>
      <c r="E78" s="351">
        <f>31720955.696723+L78+M78+N78</f>
        <v>31366833.59</v>
      </c>
      <c r="F78" s="179"/>
      <c r="G78" s="179" t="s">
        <v>226</v>
      </c>
      <c r="H78" s="21">
        <f>+H28</f>
        <v>8.6855839586916186E-2</v>
      </c>
      <c r="I78" s="179"/>
      <c r="J78" s="179">
        <f>+H78*E78</f>
        <v>2724392.6666425345</v>
      </c>
      <c r="K78" s="179"/>
      <c r="L78" s="1">
        <v>83751.893276999996</v>
      </c>
      <c r="M78" s="1">
        <v>-411679</v>
      </c>
      <c r="N78" s="151">
        <v>-26195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>
      <c r="A79" s="194">
        <f t="shared" si="4"/>
        <v>52</v>
      </c>
      <c r="B79" s="184"/>
      <c r="C79" s="198" t="s">
        <v>49</v>
      </c>
      <c r="D79" s="16" t="s">
        <v>142</v>
      </c>
      <c r="E79" s="313">
        <v>441313</v>
      </c>
      <c r="F79" s="179"/>
      <c r="G79" s="16" t="s">
        <v>226</v>
      </c>
      <c r="H79" s="178">
        <v>1</v>
      </c>
      <c r="I79" s="179"/>
      <c r="J79" s="179">
        <f t="shared" si="3"/>
        <v>441313</v>
      </c>
      <c r="K79" s="179"/>
      <c r="L79" s="350" t="s">
        <v>479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>
      <c r="A80" s="194">
        <f t="shared" si="4"/>
        <v>53</v>
      </c>
      <c r="B80" s="184"/>
      <c r="C80" s="198" t="s">
        <v>301</v>
      </c>
      <c r="D80" s="16" t="s">
        <v>176</v>
      </c>
      <c r="E80" s="317">
        <v>227200</v>
      </c>
      <c r="F80" s="179"/>
      <c r="G80" s="179" t="str">
        <f>G78</f>
        <v>W/S</v>
      </c>
      <c r="H80" s="178">
        <f>H78</f>
        <v>8.6855839586916186E-2</v>
      </c>
      <c r="I80" s="179"/>
      <c r="J80" s="179">
        <f t="shared" si="3"/>
        <v>19733.646754147358</v>
      </c>
      <c r="K80" s="17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>
      <c r="A81" s="194">
        <f t="shared" si="4"/>
        <v>54</v>
      </c>
      <c r="B81" s="184"/>
      <c r="C81" s="198" t="s">
        <v>302</v>
      </c>
      <c r="D81" s="16" t="s">
        <v>177</v>
      </c>
      <c r="E81" s="313">
        <v>196299</v>
      </c>
      <c r="F81" s="179"/>
      <c r="G81" s="179" t="str">
        <f>+G80</f>
        <v>W/S</v>
      </c>
      <c r="H81" s="178">
        <f>+H80</f>
        <v>8.6855839586916186E-2</v>
      </c>
      <c r="I81" s="179"/>
      <c r="J81" s="179">
        <f t="shared" si="3"/>
        <v>17049.714455072062</v>
      </c>
      <c r="K81" s="17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>
      <c r="A82" s="194">
        <f t="shared" si="4"/>
        <v>55</v>
      </c>
      <c r="B82" s="184"/>
      <c r="C82" s="198" t="s">
        <v>51</v>
      </c>
      <c r="D82" s="16"/>
      <c r="E82" s="313">
        <v>801493</v>
      </c>
      <c r="F82" s="179"/>
      <c r="G82" s="179" t="str">
        <f>G78</f>
        <v>W/S</v>
      </c>
      <c r="H82" s="178">
        <f>H78</f>
        <v>8.6855839586916186E-2</v>
      </c>
      <c r="I82" s="179"/>
      <c r="J82" s="179">
        <f t="shared" si="3"/>
        <v>69614.347438036217</v>
      </c>
      <c r="K82" s="17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>
      <c r="A83" s="194">
        <f t="shared" si="4"/>
        <v>56</v>
      </c>
      <c r="B83" s="184"/>
      <c r="C83" s="198" t="s">
        <v>50</v>
      </c>
      <c r="D83" s="16"/>
      <c r="E83" s="16">
        <v>0</v>
      </c>
      <c r="F83" s="179"/>
      <c r="G83" s="190" t="str">
        <f>+G76</f>
        <v>TP</v>
      </c>
      <c r="H83" s="178">
        <f>+H76</f>
        <v>0.809365</v>
      </c>
      <c r="I83" s="179"/>
      <c r="J83" s="179">
        <f>+H83*E83</f>
        <v>0</v>
      </c>
      <c r="K83" s="17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thickBot="1">
      <c r="A84" s="194">
        <f t="shared" si="4"/>
        <v>57</v>
      </c>
      <c r="B84" s="184"/>
      <c r="C84" s="198" t="s">
        <v>227</v>
      </c>
      <c r="D84" s="16" t="str">
        <f>+D31</f>
        <v>356.1</v>
      </c>
      <c r="E84" s="181">
        <v>0</v>
      </c>
      <c r="F84" s="179"/>
      <c r="G84" s="179" t="s">
        <v>259</v>
      </c>
      <c r="H84" s="178">
        <f>+H31</f>
        <v>0</v>
      </c>
      <c r="I84" s="179"/>
      <c r="J84" s="181">
        <f t="shared" si="3"/>
        <v>0</v>
      </c>
      <c r="K84" s="17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>
      <c r="A85" s="194">
        <f t="shared" si="4"/>
        <v>58</v>
      </c>
      <c r="B85" s="184"/>
      <c r="C85" s="198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6"/>
      <c r="E85" s="179">
        <f>+E76-E77+E78-E79-E82+E84+E83+E80-E81</f>
        <v>31599613.59</v>
      </c>
      <c r="F85" s="179"/>
      <c r="G85" s="179"/>
      <c r="H85" s="179"/>
      <c r="I85" s="179"/>
      <c r="J85" s="179">
        <f>+J76-J77+J78-J79-J82+J84+J83+J80-J81</f>
        <v>3385426.7265285724</v>
      </c>
      <c r="K85" s="17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>
      <c r="A86" s="194">
        <f t="shared" si="4"/>
        <v>59</v>
      </c>
      <c r="B86" s="184"/>
      <c r="C86" s="184"/>
      <c r="D86" s="16"/>
      <c r="E86" s="184"/>
      <c r="F86" s="179"/>
      <c r="G86" s="179"/>
      <c r="H86" s="179"/>
      <c r="I86" s="179"/>
      <c r="J86" s="184"/>
      <c r="K86" s="17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>
      <c r="A87" s="194">
        <f t="shared" si="4"/>
        <v>60</v>
      </c>
      <c r="B87" s="184"/>
      <c r="C87" s="198" t="s">
        <v>181</v>
      </c>
      <c r="D87" s="16"/>
      <c r="E87" s="179"/>
      <c r="F87" s="179"/>
      <c r="G87" s="179"/>
      <c r="H87" s="179"/>
      <c r="I87" s="179"/>
      <c r="J87" s="179"/>
      <c r="K87" s="17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>
      <c r="A88" s="194">
        <f t="shared" si="4"/>
        <v>61</v>
      </c>
      <c r="B88" s="184"/>
      <c r="C88" s="198" t="str">
        <f>+C16</f>
        <v xml:space="preserve">  Transmission</v>
      </c>
      <c r="D88" s="16" t="s">
        <v>427</v>
      </c>
      <c r="E88" s="317">
        <f>E16*'BHP WP5 Depreciation Rates'!H24</f>
        <v>2682647.507384615</v>
      </c>
      <c r="F88" s="179"/>
      <c r="G88" s="179" t="s">
        <v>208</v>
      </c>
      <c r="H88" s="178">
        <f>+J143</f>
        <v>0.809365</v>
      </c>
      <c r="I88" s="179"/>
      <c r="J88" s="179">
        <f>+H88*E88</f>
        <v>2171240.9998143488</v>
      </c>
      <c r="K88" s="17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>
      <c r="A89" s="194">
        <f t="shared" si="4"/>
        <v>62</v>
      </c>
      <c r="B89" s="184"/>
      <c r="C89" s="198" t="s">
        <v>303</v>
      </c>
      <c r="D89" s="16" t="s">
        <v>428</v>
      </c>
      <c r="E89" s="317">
        <f>(E18+E20)*'BHP WP5 Depreciation Rates'!H38</f>
        <v>3084925.7915461543</v>
      </c>
      <c r="F89" s="179"/>
      <c r="G89" s="179" t="s">
        <v>226</v>
      </c>
      <c r="H89" s="178">
        <f>H78</f>
        <v>8.6855839586916186E-2</v>
      </c>
      <c r="I89" s="179"/>
      <c r="J89" s="179">
        <f>+H89*E89</f>
        <v>267943.81968807324</v>
      </c>
      <c r="K89" s="17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thickBot="1">
      <c r="A90" s="194">
        <f t="shared" si="4"/>
        <v>63</v>
      </c>
      <c r="B90" s="184"/>
      <c r="C90" s="198" t="str">
        <f>+C84</f>
        <v xml:space="preserve">  Common</v>
      </c>
      <c r="D90" s="16" t="s">
        <v>132</v>
      </c>
      <c r="E90" s="181">
        <v>0</v>
      </c>
      <c r="F90" s="179"/>
      <c r="G90" s="179" t="s">
        <v>259</v>
      </c>
      <c r="H90" s="178">
        <f>+H84</f>
        <v>0</v>
      </c>
      <c r="I90" s="179"/>
      <c r="J90" s="181">
        <f>+H90*E90</f>
        <v>0</v>
      </c>
      <c r="K90" s="17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>
      <c r="A91" s="194">
        <f t="shared" si="4"/>
        <v>64</v>
      </c>
      <c r="B91" s="184"/>
      <c r="C91" s="198" t="str">
        <f>"TOTAL DEPRECIATION (Sum lines "&amp;A88&amp;" - "&amp;A90&amp;")"</f>
        <v>TOTAL DEPRECIATION (Sum lines 61 - 63)</v>
      </c>
      <c r="D91" s="16"/>
      <c r="E91" s="179">
        <f>SUM(E88:E90)</f>
        <v>5767573.2989307698</v>
      </c>
      <c r="F91" s="179"/>
      <c r="G91" s="179"/>
      <c r="H91" s="179"/>
      <c r="I91" s="179"/>
      <c r="J91" s="179">
        <f>SUM(J88:J90)</f>
        <v>2439184.8195024221</v>
      </c>
      <c r="K91" s="17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>
      <c r="A92" s="194">
        <f t="shared" si="4"/>
        <v>65</v>
      </c>
      <c r="B92" s="184"/>
      <c r="C92" s="198"/>
      <c r="D92" s="16"/>
      <c r="E92" s="179"/>
      <c r="F92" s="179"/>
      <c r="G92" s="179"/>
      <c r="H92" s="179"/>
      <c r="I92" s="179"/>
      <c r="J92" s="179"/>
      <c r="K92" s="17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>
      <c r="A93" s="194">
        <f t="shared" si="4"/>
        <v>66</v>
      </c>
      <c r="B93" s="184"/>
      <c r="C93" s="198" t="s">
        <v>93</v>
      </c>
      <c r="D93" s="22"/>
      <c r="E93" s="179"/>
      <c r="F93" s="179"/>
      <c r="G93" s="179"/>
      <c r="H93" s="179"/>
      <c r="I93" s="179"/>
      <c r="J93" s="179"/>
      <c r="K93" s="17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>
      <c r="A94" s="194">
        <f t="shared" si="4"/>
        <v>67</v>
      </c>
      <c r="B94" s="184"/>
      <c r="C94" s="198" t="s">
        <v>243</v>
      </c>
      <c r="D94" s="22"/>
      <c r="E94" s="192"/>
      <c r="F94" s="179"/>
      <c r="G94" s="179"/>
      <c r="H94" s="184"/>
      <c r="I94" s="179"/>
      <c r="J94" s="184"/>
      <c r="K94" s="17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>
      <c r="A95" s="194">
        <f t="shared" si="4"/>
        <v>68</v>
      </c>
      <c r="B95" s="184"/>
      <c r="C95" s="198" t="s">
        <v>244</v>
      </c>
      <c r="D95" s="16" t="s">
        <v>429</v>
      </c>
      <c r="E95" s="351">
        <v>-187955</v>
      </c>
      <c r="F95" s="179"/>
      <c r="G95" s="179" t="s">
        <v>226</v>
      </c>
      <c r="H95" s="193">
        <f>+J175</f>
        <v>8.6855839586916186E-2</v>
      </c>
      <c r="I95" s="179"/>
      <c r="J95" s="179">
        <f>+H95*E95</f>
        <v>-16324.989329558832</v>
      </c>
      <c r="K95" s="179"/>
      <c r="L95" s="350" t="s">
        <v>463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>
      <c r="A96" s="194">
        <f t="shared" si="4"/>
        <v>69</v>
      </c>
      <c r="B96" s="184"/>
      <c r="C96" s="198" t="s">
        <v>245</v>
      </c>
      <c r="D96" s="16" t="s">
        <v>78</v>
      </c>
      <c r="E96" s="179">
        <v>0</v>
      </c>
      <c r="F96" s="179"/>
      <c r="G96" s="179" t="str">
        <f>+G95</f>
        <v>W/S</v>
      </c>
      <c r="H96" s="193">
        <f>+H95</f>
        <v>8.6855839586916186E-2</v>
      </c>
      <c r="I96" s="179"/>
      <c r="J96" s="179">
        <f>+H96*E96</f>
        <v>0</v>
      </c>
      <c r="K96" s="17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>
      <c r="A97" s="194">
        <f t="shared" si="4"/>
        <v>70</v>
      </c>
      <c r="B97" s="184"/>
      <c r="C97" s="198" t="s">
        <v>246</v>
      </c>
      <c r="D97" s="16" t="s">
        <v>202</v>
      </c>
      <c r="E97" s="184"/>
      <c r="F97" s="179"/>
      <c r="G97" s="179"/>
      <c r="H97" s="184"/>
      <c r="I97" s="179"/>
      <c r="J97" s="184"/>
      <c r="K97" s="17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>
      <c r="A98" s="194">
        <f t="shared" si="4"/>
        <v>71</v>
      </c>
      <c r="B98" s="184"/>
      <c r="C98" s="198" t="s">
        <v>247</v>
      </c>
      <c r="D98" s="16" t="s">
        <v>79</v>
      </c>
      <c r="E98" s="313">
        <v>5942308</v>
      </c>
      <c r="F98" s="179"/>
      <c r="G98" s="179" t="s">
        <v>239</v>
      </c>
      <c r="H98" s="193">
        <f>+H22</f>
        <v>9.6261228801123352E-2</v>
      </c>
      <c r="I98" s="179"/>
      <c r="J98" s="179">
        <f>+H98*E98</f>
        <v>572013.86999474571</v>
      </c>
      <c r="K98" s="17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>
      <c r="A99" s="194">
        <f t="shared" si="4"/>
        <v>72</v>
      </c>
      <c r="B99" s="184"/>
      <c r="C99" s="198" t="s">
        <v>248</v>
      </c>
      <c r="D99" s="16" t="s">
        <v>78</v>
      </c>
      <c r="E99" s="179">
        <v>0</v>
      </c>
      <c r="F99" s="179"/>
      <c r="G99" s="179" t="str">
        <f>+G45</f>
        <v>NA</v>
      </c>
      <c r="H99" s="296" t="s">
        <v>298</v>
      </c>
      <c r="I99" s="179"/>
      <c r="J99" s="179">
        <v>0</v>
      </c>
      <c r="K99" s="17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.75" thickBot="1">
      <c r="A100" s="194">
        <f t="shared" si="4"/>
        <v>73</v>
      </c>
      <c r="B100" s="184"/>
      <c r="C100" s="198" t="s">
        <v>249</v>
      </c>
      <c r="D100" s="179" t="str">
        <f>+D99</f>
        <v>263.i</v>
      </c>
      <c r="E100" s="181">
        <v>0</v>
      </c>
      <c r="F100" s="179"/>
      <c r="G100" s="179" t="str">
        <f>+G98</f>
        <v>GP</v>
      </c>
      <c r="H100" s="193">
        <f>+H98</f>
        <v>9.6261228801123352E-2</v>
      </c>
      <c r="I100" s="179"/>
      <c r="J100" s="181">
        <f>+H100*E100</f>
        <v>0</v>
      </c>
      <c r="K100" s="17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>
      <c r="A101" s="194">
        <f t="shared" si="4"/>
        <v>74</v>
      </c>
      <c r="B101" s="184"/>
      <c r="C101" s="198" t="str">
        <f>"TOTAL OTHER TAXES  (sum lines "&amp;A95&amp;" - "&amp;A100&amp;")"</f>
        <v>TOTAL OTHER TAXES  (sum lines 68 - 73)</v>
      </c>
      <c r="D101" s="179"/>
      <c r="E101" s="179">
        <f>SUM(E95:E100)</f>
        <v>5754353</v>
      </c>
      <c r="F101" s="179"/>
      <c r="G101" s="179"/>
      <c r="H101" s="193"/>
      <c r="I101" s="179"/>
      <c r="J101" s="179">
        <f>SUM(J95:J100)</f>
        <v>555688.88066518691</v>
      </c>
      <c r="K101" s="17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>
      <c r="A102" s="194">
        <f t="shared" si="4"/>
        <v>75</v>
      </c>
      <c r="B102" s="184"/>
      <c r="C102" s="198"/>
      <c r="D102" s="179"/>
      <c r="E102" s="179"/>
      <c r="F102" s="179"/>
      <c r="G102" s="179"/>
      <c r="H102" s="193"/>
      <c r="I102" s="179"/>
      <c r="J102" s="179"/>
      <c r="K102" s="17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>
      <c r="A103" s="194">
        <f t="shared" si="4"/>
        <v>76</v>
      </c>
      <c r="B103" s="184"/>
      <c r="C103" s="198"/>
      <c r="D103" s="179"/>
      <c r="E103" s="179"/>
      <c r="F103" s="179"/>
      <c r="G103" s="179"/>
      <c r="H103" s="193"/>
      <c r="I103" s="179"/>
      <c r="J103" s="179"/>
      <c r="K103" s="17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>
      <c r="A104" s="194">
        <f t="shared" si="4"/>
        <v>77</v>
      </c>
      <c r="B104" s="184"/>
      <c r="C104" s="198" t="s">
        <v>250</v>
      </c>
      <c r="D104" s="179" t="s">
        <v>92</v>
      </c>
      <c r="E104" s="179"/>
      <c r="F104" s="179"/>
      <c r="G104" s="184"/>
      <c r="H104" s="196"/>
      <c r="I104" s="179"/>
      <c r="J104" s="184"/>
      <c r="K104" s="17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>
      <c r="A105" s="194">
        <f t="shared" si="4"/>
        <v>78</v>
      </c>
      <c r="B105" s="184"/>
      <c r="C105" s="297" t="s">
        <v>294</v>
      </c>
      <c r="D105" s="179"/>
      <c r="E105" s="298">
        <f>IF(E232&gt;0,1-(((1-E233)*(1-E232))/(1-E233*E232*E234)),0)</f>
        <v>0.35</v>
      </c>
      <c r="F105" s="179"/>
      <c r="G105" s="184"/>
      <c r="H105" s="196"/>
      <c r="I105" s="179"/>
      <c r="J105" s="184"/>
      <c r="K105" s="17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>
      <c r="A106" s="194">
        <f t="shared" si="4"/>
        <v>79</v>
      </c>
      <c r="B106" s="184"/>
      <c r="C106" s="184" t="s">
        <v>295</v>
      </c>
      <c r="D106" s="179"/>
      <c r="E106" s="344">
        <f>IF(J199&gt;0,(E105/(1-E105))*(1-J196/J199),0)</f>
        <v>0.39191552700841631</v>
      </c>
      <c r="F106" s="179"/>
      <c r="G106" s="184"/>
      <c r="H106" s="196"/>
      <c r="I106" s="179"/>
      <c r="J106" s="184"/>
      <c r="K106" s="17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>
      <c r="A107" s="194">
        <f t="shared" si="4"/>
        <v>80</v>
      </c>
      <c r="B107" s="184"/>
      <c r="C107" s="198" t="str">
        <f>"       where WCLTD=(line "&amp;A196&amp;") and R= (line "&amp;A199&amp;")"</f>
        <v xml:space="preserve">       where WCLTD=(line 154) and R= (line 157)</v>
      </c>
      <c r="D107" s="179"/>
      <c r="E107" s="179"/>
      <c r="F107" s="179"/>
      <c r="G107" s="184"/>
      <c r="H107" s="196"/>
      <c r="I107" s="179"/>
      <c r="J107" s="184"/>
      <c r="K107" s="17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>
      <c r="A108" s="194">
        <f t="shared" si="4"/>
        <v>81</v>
      </c>
      <c r="B108" s="184"/>
      <c r="C108" s="198" t="s">
        <v>94</v>
      </c>
      <c r="D108" s="179"/>
      <c r="E108" s="179"/>
      <c r="F108" s="179"/>
      <c r="G108" s="184"/>
      <c r="H108" s="196"/>
      <c r="I108" s="179"/>
      <c r="J108" s="184"/>
      <c r="K108" s="17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>
      <c r="A109" s="194">
        <f t="shared" si="4"/>
        <v>82</v>
      </c>
      <c r="B109" s="184"/>
      <c r="C109" s="297"/>
      <c r="D109" s="179"/>
      <c r="E109" s="299"/>
      <c r="F109" s="179"/>
      <c r="G109" s="184"/>
      <c r="H109" s="196"/>
      <c r="I109" s="179"/>
      <c r="J109" s="184"/>
      <c r="K109" s="17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>
      <c r="A110" s="194">
        <f t="shared" si="4"/>
        <v>83</v>
      </c>
      <c r="B110" s="184"/>
      <c r="C110" s="195" t="s">
        <v>284</v>
      </c>
      <c r="D110" s="184" t="str">
        <f>"(line "&amp;A106&amp;" * line "&amp;A113&amp;")"</f>
        <v>(line 79 * line 86)</v>
      </c>
      <c r="E110" s="300"/>
      <c r="F110" s="179"/>
      <c r="G110" s="179" t="s">
        <v>202</v>
      </c>
      <c r="H110" s="193" t="s">
        <v>202</v>
      </c>
      <c r="I110" s="179"/>
      <c r="J110" s="179">
        <f>E106*J112</f>
        <v>1749535.9579123633</v>
      </c>
      <c r="K110" s="17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>
      <c r="A111" s="194">
        <f t="shared" si="4"/>
        <v>84</v>
      </c>
      <c r="B111" s="184"/>
      <c r="C111" s="301"/>
      <c r="D111" s="302"/>
      <c r="E111" s="179"/>
      <c r="F111" s="179"/>
      <c r="G111" s="179"/>
      <c r="H111" s="193"/>
      <c r="I111" s="179"/>
      <c r="J111" s="179"/>
      <c r="K111" s="17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>
      <c r="A112" s="194">
        <f t="shared" si="4"/>
        <v>85</v>
      </c>
      <c r="B112" s="184"/>
      <c r="C112" s="198" t="s">
        <v>251</v>
      </c>
      <c r="D112" s="182"/>
      <c r="E112" s="179"/>
      <c r="F112" s="179"/>
      <c r="G112" s="179" t="s">
        <v>95</v>
      </c>
      <c r="H112" s="196"/>
      <c r="I112" s="179"/>
      <c r="J112" s="179">
        <f>+$J199*J62</f>
        <v>4464063.9049618272</v>
      </c>
      <c r="K112" s="17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7.25" customHeight="1">
      <c r="A113" s="194">
        <f t="shared" si="4"/>
        <v>86</v>
      </c>
      <c r="B113" s="184"/>
      <c r="C113" s="195" t="str">
        <f>"  [ Rate Base (line "&amp;A62&amp;") * R (line "&amp;A199&amp;")]"</f>
        <v xml:space="preserve">  [ Rate Base (line 48) * R (line 157)]</v>
      </c>
      <c r="D113" s="184"/>
      <c r="E113" s="179"/>
      <c r="F113" s="179"/>
      <c r="G113" s="179"/>
      <c r="H113" s="196"/>
      <c r="I113" s="179"/>
      <c r="J113" s="179"/>
      <c r="K113" s="17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>
      <c r="A114" s="194">
        <f t="shared" si="4"/>
        <v>87</v>
      </c>
      <c r="B114" s="184"/>
      <c r="C114" s="198"/>
      <c r="D114" s="184"/>
      <c r="E114" s="191"/>
      <c r="F114" s="179"/>
      <c r="G114" s="179"/>
      <c r="H114" s="196"/>
      <c r="I114" s="179"/>
      <c r="J114" s="191"/>
      <c r="K114" s="17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5.75" thickBot="1">
      <c r="A115" s="194">
        <f t="shared" si="4"/>
        <v>88</v>
      </c>
      <c r="B115" s="184"/>
      <c r="C115" s="198" t="str">
        <f>"REVENUE REQUIREMENT  (sum lines "&amp;A85&amp;", "&amp;A91&amp;", "&amp;A101&amp;", "&amp;A110&amp;", "&amp;A112&amp;")"</f>
        <v>REVENUE REQUIREMENT  (sum lines 58, 64, 74, 83, 85)</v>
      </c>
      <c r="D115" s="179"/>
      <c r="E115" s="199">
        <f>E110+E101+E91+E85</f>
        <v>43121539.888930768</v>
      </c>
      <c r="F115" s="179"/>
      <c r="G115" s="179"/>
      <c r="H115" s="179"/>
      <c r="I115" s="179"/>
      <c r="J115" s="200">
        <f>J110+J101+J91+J85+J112</f>
        <v>12593900.289570373</v>
      </c>
      <c r="K115" s="18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5.75" thickTop="1">
      <c r="A116" s="194">
        <f t="shared" si="4"/>
        <v>89</v>
      </c>
      <c r="B116" s="184"/>
      <c r="C116" s="184"/>
      <c r="D116" s="184"/>
      <c r="E116" s="184"/>
      <c r="F116" s="184"/>
      <c r="G116" s="184"/>
      <c r="H116" s="184"/>
      <c r="I116" s="184"/>
      <c r="J116" s="184"/>
      <c r="K116" s="17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>
      <c r="A117" s="194">
        <f t="shared" si="4"/>
        <v>90</v>
      </c>
      <c r="B117" s="184"/>
      <c r="C117" s="198" t="s">
        <v>456</v>
      </c>
      <c r="D117" s="184"/>
      <c r="E117" s="184"/>
      <c r="F117" s="184"/>
      <c r="G117" s="184"/>
      <c r="H117" s="184"/>
      <c r="I117" s="184"/>
      <c r="J117" s="308">
        <v>13176490</v>
      </c>
      <c r="K117" s="17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>
      <c r="A118" s="194">
        <f t="shared" si="4"/>
        <v>91</v>
      </c>
      <c r="B118" s="184"/>
      <c r="C118" s="184"/>
      <c r="D118" s="184"/>
      <c r="E118" s="184"/>
      <c r="F118" s="184"/>
      <c r="G118" s="184"/>
      <c r="H118" s="184"/>
      <c r="I118" s="184"/>
      <c r="J118" s="184"/>
      <c r="K118" s="17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5.75" thickBot="1">
      <c r="A119" s="194">
        <f t="shared" si="4"/>
        <v>92</v>
      </c>
      <c r="B119" s="184"/>
      <c r="C119" s="184" t="str">
        <f>"TRUE-UP AMOUNT TO BE (REFUNDED)/PAID (line "&amp;A115&amp;" - line "&amp;A117&amp;")"</f>
        <v>TRUE-UP AMOUNT TO BE (REFUNDED)/PAID (line 88 - line 90)</v>
      </c>
      <c r="D119" s="184"/>
      <c r="E119" s="184"/>
      <c r="F119" s="184"/>
      <c r="G119" s="184"/>
      <c r="H119" s="184"/>
      <c r="I119" s="184"/>
      <c r="J119" s="199">
        <f>+J115-J117</f>
        <v>-582589.71042962745</v>
      </c>
      <c r="K119" s="17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5.75" thickTop="1">
      <c r="A120" s="194"/>
      <c r="B120" s="184"/>
      <c r="C120" s="184"/>
      <c r="D120" s="184"/>
      <c r="E120" s="184"/>
      <c r="F120" s="184"/>
      <c r="G120" s="184"/>
      <c r="H120" s="184"/>
      <c r="I120" s="184"/>
      <c r="J120" s="184"/>
      <c r="K120" s="17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>
      <c r="A121" s="194"/>
      <c r="B121" s="184"/>
      <c r="C121" s="184"/>
      <c r="D121" s="184"/>
      <c r="E121" s="184"/>
      <c r="F121" s="184"/>
      <c r="G121" s="184"/>
      <c r="H121" s="184"/>
      <c r="I121" s="184"/>
      <c r="J121" s="184"/>
      <c r="K121" s="17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>
      <c r="A122" s="194"/>
      <c r="B122" s="184"/>
      <c r="C122" s="184"/>
      <c r="D122" s="184"/>
      <c r="E122" s="184"/>
      <c r="F122" s="184"/>
      <c r="G122" s="184"/>
      <c r="H122" s="184"/>
      <c r="I122" s="202" t="str">
        <f>$I$1</f>
        <v>Date</v>
      </c>
      <c r="J122" s="326">
        <f>+J1</f>
        <v>42153</v>
      </c>
      <c r="K122" s="17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>
      <c r="A123" s="194"/>
      <c r="B123" s="184"/>
      <c r="C123" s="184"/>
      <c r="D123" s="184"/>
      <c r="E123" s="184"/>
      <c r="F123" s="184"/>
      <c r="G123" s="184"/>
      <c r="H123" s="197"/>
      <c r="I123" s="202" t="str">
        <f>$I$2</f>
        <v>Service Year</v>
      </c>
      <c r="J123" s="188">
        <f>+J2</f>
        <v>2014</v>
      </c>
      <c r="K123" s="19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>
      <c r="A124" s="194"/>
      <c r="B124" s="184"/>
      <c r="C124" s="184"/>
      <c r="D124" s="184"/>
      <c r="E124" s="184"/>
      <c r="F124" s="184"/>
      <c r="G124" s="184"/>
      <c r="H124" s="184"/>
      <c r="I124" s="184"/>
      <c r="J124" s="184"/>
      <c r="K124" s="17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5.75">
      <c r="A125" s="364" t="s">
        <v>330</v>
      </c>
      <c r="B125" s="364"/>
      <c r="C125" s="364"/>
      <c r="D125" s="364"/>
      <c r="E125" s="364"/>
      <c r="F125" s="364"/>
      <c r="G125" s="364"/>
      <c r="H125" s="364"/>
      <c r="I125" s="364"/>
      <c r="J125" s="364"/>
      <c r="K125" s="36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5.75">
      <c r="A126" s="361" t="s">
        <v>203</v>
      </c>
      <c r="B126" s="361"/>
      <c r="C126" s="361"/>
      <c r="D126" s="361"/>
      <c r="E126" s="361"/>
      <c r="F126" s="361"/>
      <c r="G126" s="361"/>
      <c r="H126" s="361"/>
      <c r="I126" s="361"/>
      <c r="J126" s="361"/>
      <c r="K126" s="36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>
      <c r="A127" s="184"/>
      <c r="B127" s="184"/>
      <c r="C127" s="188"/>
      <c r="D127" s="188"/>
      <c r="E127" s="197"/>
      <c r="F127" s="188"/>
      <c r="G127" s="188"/>
      <c r="H127" s="188"/>
      <c r="I127" s="188"/>
      <c r="J127" s="188"/>
      <c r="K127" s="188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5.75">
      <c r="A128" s="362" t="s">
        <v>329</v>
      </c>
      <c r="B128" s="362"/>
      <c r="C128" s="362"/>
      <c r="D128" s="362"/>
      <c r="E128" s="362"/>
      <c r="F128" s="362"/>
      <c r="G128" s="362"/>
      <c r="H128" s="362"/>
      <c r="I128" s="362"/>
      <c r="J128" s="362"/>
      <c r="K128" s="36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>
      <c r="A129" s="194"/>
      <c r="B129" s="184"/>
      <c r="C129" s="184"/>
      <c r="D129" s="198"/>
      <c r="E129" s="198"/>
      <c r="F129" s="198"/>
      <c r="G129" s="198"/>
      <c r="H129" s="198"/>
      <c r="I129" s="198"/>
      <c r="J129" s="198"/>
      <c r="K129" s="198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5.75">
      <c r="A130" s="363" t="s">
        <v>2</v>
      </c>
      <c r="B130" s="363"/>
      <c r="C130" s="363"/>
      <c r="D130" s="363"/>
      <c r="E130" s="363"/>
      <c r="F130" s="363"/>
      <c r="G130" s="363"/>
      <c r="H130" s="363"/>
      <c r="I130" s="363"/>
      <c r="J130" s="363"/>
      <c r="K130" s="36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5.75">
      <c r="A131" s="194"/>
      <c r="B131" s="184"/>
      <c r="C131" s="203"/>
      <c r="D131" s="188"/>
      <c r="E131" s="188"/>
      <c r="F131" s="188"/>
      <c r="G131" s="188"/>
      <c r="H131" s="188"/>
      <c r="I131" s="188"/>
      <c r="J131" s="188"/>
      <c r="K131" s="17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5.75">
      <c r="A132" s="194" t="s">
        <v>204</v>
      </c>
      <c r="B132" s="184"/>
      <c r="C132" s="203"/>
      <c r="D132" s="188"/>
      <c r="E132" s="188"/>
      <c r="F132" s="188"/>
      <c r="G132" s="188"/>
      <c r="H132" s="188"/>
      <c r="I132" s="188"/>
      <c r="J132" s="188"/>
      <c r="K132" s="17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5.75" thickBot="1">
      <c r="A133" s="204" t="s">
        <v>205</v>
      </c>
      <c r="B133" s="184"/>
      <c r="C133" s="205" t="s">
        <v>122</v>
      </c>
      <c r="D133" s="188"/>
      <c r="E133" s="188"/>
      <c r="F133" s="188"/>
      <c r="G133" s="188"/>
      <c r="H133" s="188"/>
      <c r="I133" s="184"/>
      <c r="J133" s="184"/>
      <c r="K133" s="17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5.75" thickBot="1">
      <c r="A134" s="194"/>
      <c r="B134" s="184"/>
      <c r="C134" s="205"/>
      <c r="D134" s="188"/>
      <c r="E134" s="181" t="s">
        <v>254</v>
      </c>
      <c r="F134" s="188"/>
      <c r="G134" s="188"/>
      <c r="H134" s="188"/>
      <c r="I134" s="188"/>
      <c r="J134" s="188"/>
      <c r="K134" s="17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6.5" customHeight="1">
      <c r="A135" s="194">
        <f>+A119+1</f>
        <v>93</v>
      </c>
      <c r="B135" s="184"/>
      <c r="C135" s="206" t="s">
        <v>109</v>
      </c>
      <c r="D135" s="188"/>
      <c r="E135" s="16" t="s">
        <v>430</v>
      </c>
      <c r="F135" s="179"/>
      <c r="G135" s="179"/>
      <c r="H135" s="179"/>
      <c r="I135" s="179"/>
      <c r="J135" s="179">
        <f>'True-Up Rate Base'!R16</f>
        <v>115631358.07692307</v>
      </c>
      <c r="K135" s="17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>
      <c r="A136" s="194">
        <f>+A135+1</f>
        <v>94</v>
      </c>
      <c r="B136" s="184"/>
      <c r="C136" s="206" t="s">
        <v>90</v>
      </c>
      <c r="D136" s="184"/>
      <c r="E136" s="22" t="s">
        <v>178</v>
      </c>
      <c r="F136" s="184"/>
      <c r="G136" s="184"/>
      <c r="H136" s="184"/>
      <c r="I136" s="184"/>
      <c r="J136" s="244">
        <v>23869727</v>
      </c>
      <c r="K136" s="17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5.75" thickBot="1">
      <c r="A137" s="194">
        <f t="shared" ref="A137:A199" si="5">+A136+1</f>
        <v>95</v>
      </c>
      <c r="B137" s="184"/>
      <c r="C137" s="207" t="s">
        <v>91</v>
      </c>
      <c r="D137" s="208"/>
      <c r="E137" s="23" t="s">
        <v>178</v>
      </c>
      <c r="F137" s="179"/>
      <c r="G137" s="179"/>
      <c r="H137" s="189"/>
      <c r="I137" s="179"/>
      <c r="J137" s="181"/>
      <c r="K137" s="17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>
      <c r="A138" s="194">
        <f t="shared" si="5"/>
        <v>96</v>
      </c>
      <c r="B138" s="184"/>
      <c r="C138" s="206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188"/>
      <c r="E138" s="16"/>
      <c r="F138" s="179"/>
      <c r="G138" s="179"/>
      <c r="H138" s="189"/>
      <c r="I138" s="179"/>
      <c r="J138" s="179">
        <f>J135-J136-J137</f>
        <v>91761631.076923072</v>
      </c>
      <c r="K138" s="17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>
      <c r="A139" s="194">
        <f t="shared" si="5"/>
        <v>97</v>
      </c>
      <c r="B139" s="184"/>
      <c r="C139" s="206" t="str">
        <f>"Plus Common Use AC Facilities (line "&amp;A149&amp;")"</f>
        <v>Plus Common Use AC Facilities (line 107)</v>
      </c>
      <c r="D139" s="188"/>
      <c r="E139" s="16"/>
      <c r="F139" s="179"/>
      <c r="G139" s="179"/>
      <c r="H139" s="189"/>
      <c r="I139" s="179"/>
      <c r="J139" s="179">
        <f>+J149</f>
        <v>9580349</v>
      </c>
      <c r="K139" s="17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>
      <c r="A140" s="194">
        <f t="shared" si="5"/>
        <v>98</v>
      </c>
      <c r="B140" s="184"/>
      <c r="C140" s="206" t="str">
        <f>"Total Gross Plant for the CUS System (line "&amp;A138&amp;" plus line "&amp;A139&amp;")"</f>
        <v>Total Gross Plant for the CUS System (line 96 plus line 97)</v>
      </c>
      <c r="D140" s="188"/>
      <c r="E140" s="16"/>
      <c r="F140" s="179"/>
      <c r="G140" s="179"/>
      <c r="H140" s="189"/>
      <c r="I140" s="179"/>
      <c r="J140" s="209">
        <f>SUM(J138:J139)</f>
        <v>101341980.07692307</v>
      </c>
      <c r="K140" s="17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>
      <c r="A141" s="194">
        <f t="shared" si="5"/>
        <v>99</v>
      </c>
      <c r="B141" s="184"/>
      <c r="C141" s="206" t="str">
        <f>"Total CUS Plant (line "&amp;A135&amp;" plus line "&amp;A149&amp;")"</f>
        <v>Total CUS Plant (line 93 plus line 107)</v>
      </c>
      <c r="D141" s="188"/>
      <c r="E141" s="16"/>
      <c r="F141" s="179"/>
      <c r="G141" s="179"/>
      <c r="H141" s="189"/>
      <c r="I141" s="179"/>
      <c r="J141" s="191">
        <f>J135+J149</f>
        <v>125211707.07692307</v>
      </c>
      <c r="K141" s="17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>
      <c r="A142" s="194">
        <f t="shared" si="5"/>
        <v>100</v>
      </c>
      <c r="B142" s="184"/>
      <c r="C142" s="184"/>
      <c r="D142" s="188"/>
      <c r="E142" s="16"/>
      <c r="F142" s="179"/>
      <c r="G142" s="179"/>
      <c r="H142" s="189"/>
      <c r="I142" s="179"/>
      <c r="J142" s="184"/>
      <c r="K142" s="17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>
      <c r="A143" s="194">
        <f t="shared" si="5"/>
        <v>101</v>
      </c>
      <c r="B143" s="184"/>
      <c r="C143" s="206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210"/>
      <c r="E143" s="343"/>
      <c r="F143" s="211"/>
      <c r="G143" s="211"/>
      <c r="H143" s="212"/>
      <c r="I143" s="179" t="s">
        <v>252</v>
      </c>
      <c r="J143" s="213">
        <f>ROUND(IF(J141&gt;0,J140/J141,0),6)</f>
        <v>0.809365</v>
      </c>
      <c r="K143" s="17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>
      <c r="A144" s="194">
        <f t="shared" si="5"/>
        <v>102</v>
      </c>
      <c r="B144" s="184"/>
      <c r="C144" s="184"/>
      <c r="D144" s="184"/>
      <c r="E144" s="22"/>
      <c r="F144" s="184"/>
      <c r="G144" s="184"/>
      <c r="H144" s="184"/>
      <c r="I144" s="184"/>
      <c r="J144" s="184"/>
      <c r="K144" s="17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5.75" thickBot="1">
      <c r="A145" s="194">
        <f t="shared" si="5"/>
        <v>103</v>
      </c>
      <c r="B145" s="184"/>
      <c r="C145" s="205" t="s">
        <v>107</v>
      </c>
      <c r="D145" s="188"/>
      <c r="E145" s="23" t="s">
        <v>254</v>
      </c>
      <c r="F145" s="188"/>
      <c r="G145" s="188"/>
      <c r="H145" s="188"/>
      <c r="I145" s="188"/>
      <c r="J145" s="188"/>
      <c r="K145" s="18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>
      <c r="A146" s="194">
        <f t="shared" si="5"/>
        <v>104</v>
      </c>
      <c r="B146" s="184"/>
      <c r="C146" s="206" t="s">
        <v>108</v>
      </c>
      <c r="D146" s="188"/>
      <c r="E146" s="16" t="s">
        <v>431</v>
      </c>
      <c r="F146" s="179"/>
      <c r="G146" s="179"/>
      <c r="H146" s="179"/>
      <c r="I146" s="179"/>
      <c r="J146" s="179">
        <f>'True-Up Rate Base'!R17</f>
        <v>325106588.38461536</v>
      </c>
      <c r="K146" s="18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>
      <c r="A147" s="194">
        <f t="shared" si="5"/>
        <v>105</v>
      </c>
      <c r="B147" s="184"/>
      <c r="C147" s="206" t="s">
        <v>111</v>
      </c>
      <c r="D147" s="184"/>
      <c r="E147" s="22" t="s">
        <v>178</v>
      </c>
      <c r="F147" s="184"/>
      <c r="G147" s="184"/>
      <c r="H147" s="184"/>
      <c r="I147" s="184"/>
      <c r="J147" s="179">
        <f>+J146-J149</f>
        <v>315526239.38461536</v>
      </c>
      <c r="K147" s="18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5.75" thickBot="1">
      <c r="A148" s="194">
        <f t="shared" si="5"/>
        <v>106</v>
      </c>
      <c r="B148" s="184"/>
      <c r="C148" s="207" t="s">
        <v>112</v>
      </c>
      <c r="D148" s="208"/>
      <c r="E148" s="23" t="s">
        <v>178</v>
      </c>
      <c r="F148" s="179"/>
      <c r="G148" s="179"/>
      <c r="H148" s="189"/>
      <c r="I148" s="179"/>
      <c r="J148" s="181"/>
      <c r="K148" s="184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>
      <c r="A149" s="194">
        <f t="shared" si="5"/>
        <v>107</v>
      </c>
      <c r="B149" s="184"/>
      <c r="C149" s="206" t="str">
        <f>"Common Use AC Facilities (line "&amp;A146&amp;" less lines "&amp;A147&amp;" &amp; "&amp;A148&amp;")"</f>
        <v>Common Use AC Facilities (line 104 less lines 105 &amp; 106)</v>
      </c>
      <c r="D149" s="188"/>
      <c r="E149" s="16"/>
      <c r="F149" s="179"/>
      <c r="G149" s="179"/>
      <c r="H149" s="189"/>
      <c r="I149" s="179"/>
      <c r="J149" s="244">
        <v>9580349</v>
      </c>
      <c r="K149" s="18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>
      <c r="A150" s="194">
        <f t="shared" si="5"/>
        <v>108</v>
      </c>
      <c r="B150" s="184"/>
      <c r="C150" s="184"/>
      <c r="D150" s="188"/>
      <c r="E150" s="16"/>
      <c r="F150" s="179"/>
      <c r="G150" s="179"/>
      <c r="H150" s="189"/>
      <c r="I150" s="179"/>
      <c r="J150" s="184"/>
      <c r="K150" s="18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>
      <c r="A151" s="194">
        <f t="shared" si="5"/>
        <v>109</v>
      </c>
      <c r="B151" s="184"/>
      <c r="C151" s="206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210"/>
      <c r="E151" s="343"/>
      <c r="F151" s="211"/>
      <c r="G151" s="211"/>
      <c r="H151" s="212"/>
      <c r="I151" s="179" t="s">
        <v>110</v>
      </c>
      <c r="J151" s="213">
        <f>ROUND(IF(J146&gt;0,J149/J146,0),6)</f>
        <v>2.9468000000000001E-2</v>
      </c>
      <c r="K151" s="18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>
      <c r="A152" s="194">
        <f t="shared" si="5"/>
        <v>110</v>
      </c>
      <c r="B152" s="184"/>
      <c r="C152" s="184"/>
      <c r="D152" s="188"/>
      <c r="E152" s="16"/>
      <c r="F152" s="179"/>
      <c r="G152" s="179"/>
      <c r="H152" s="189"/>
      <c r="I152" s="179"/>
      <c r="J152" s="184"/>
      <c r="K152" s="18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5.75" thickBot="1">
      <c r="A153" s="194">
        <f t="shared" si="5"/>
        <v>111</v>
      </c>
      <c r="B153" s="184"/>
      <c r="C153" s="205" t="s">
        <v>230</v>
      </c>
      <c r="D153" s="188"/>
      <c r="E153" s="23" t="s">
        <v>254</v>
      </c>
      <c r="F153" s="179"/>
      <c r="G153" s="179"/>
      <c r="H153" s="189"/>
      <c r="I153" s="179"/>
      <c r="J153" s="179"/>
      <c r="K153" s="18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>
      <c r="A154" s="194">
        <f t="shared" si="5"/>
        <v>112</v>
      </c>
      <c r="B154" s="184"/>
      <c r="C154" s="184" t="s">
        <v>82</v>
      </c>
      <c r="D154" s="188"/>
      <c r="E154" s="16" t="s">
        <v>432</v>
      </c>
      <c r="F154" s="179"/>
      <c r="G154" s="179"/>
      <c r="H154" s="189"/>
      <c r="I154" s="179"/>
      <c r="J154" s="179">
        <f>'True-Up Rate Base'!R26</f>
        <v>34915101.297390744</v>
      </c>
      <c r="K154" s="18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>
      <c r="A155" s="194">
        <f t="shared" si="5"/>
        <v>113</v>
      </c>
      <c r="B155" s="184"/>
      <c r="C155" s="206" t="s">
        <v>90</v>
      </c>
      <c r="D155" s="188"/>
      <c r="E155" s="16" t="s">
        <v>178</v>
      </c>
      <c r="F155" s="179"/>
      <c r="G155" s="179"/>
      <c r="H155" s="189"/>
      <c r="I155" s="179"/>
      <c r="J155" s="244">
        <v>6860094</v>
      </c>
      <c r="K155" s="18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>
      <c r="A156" s="194">
        <f t="shared" si="5"/>
        <v>114</v>
      </c>
      <c r="B156" s="184"/>
      <c r="C156" s="214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15"/>
      <c r="E156" s="349"/>
      <c r="F156" s="179"/>
      <c r="G156" s="179"/>
      <c r="H156" s="189"/>
      <c r="I156" s="179"/>
      <c r="J156" s="209">
        <f>J154-J155</f>
        <v>28055007.297390744</v>
      </c>
      <c r="K156" s="18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>
      <c r="A157" s="194">
        <f t="shared" si="5"/>
        <v>115</v>
      </c>
      <c r="B157" s="184"/>
      <c r="C157" s="206" t="str">
        <f>"Plus Common Use AC Facilities Accumulated Depreciation (line "&amp;A166&amp;")"</f>
        <v>Plus Common Use AC Facilities Accumulated Depreciation (line 124)</v>
      </c>
      <c r="D157" s="216"/>
      <c r="E157" s="26"/>
      <c r="F157" s="179"/>
      <c r="G157" s="179"/>
      <c r="H157" s="189"/>
      <c r="I157" s="179"/>
      <c r="J157" s="26">
        <f>J166</f>
        <v>3006201</v>
      </c>
      <c r="K157" s="18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>
      <c r="A158" s="194">
        <f t="shared" si="5"/>
        <v>116</v>
      </c>
      <c r="B158" s="184"/>
      <c r="C158" s="206" t="str">
        <f>"Total Accumulated Depreciation for the CUS System (line "&amp;A156&amp;" plus line "&amp;A157&amp;")"</f>
        <v>Total Accumulated Depreciation for the CUS System (line 114 plus line 115)</v>
      </c>
      <c r="D158" s="216"/>
      <c r="E158" s="26"/>
      <c r="F158" s="179"/>
      <c r="G158" s="179"/>
      <c r="H158" s="189"/>
      <c r="I158" s="179"/>
      <c r="J158" s="209">
        <f>SUM(J156:J157)</f>
        <v>31061208.297390744</v>
      </c>
      <c r="K158" s="18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>
      <c r="A159" s="194">
        <f t="shared" si="5"/>
        <v>117</v>
      </c>
      <c r="B159" s="184"/>
      <c r="C159" s="206" t="str">
        <f>"Total CUS Accumulated Depreciation (line "&amp;A154&amp;" plus line "&amp;A157&amp;")"</f>
        <v>Total CUS Accumulated Depreciation (line 112 plus line 115)</v>
      </c>
      <c r="D159" s="216"/>
      <c r="E159" s="26"/>
      <c r="F159" s="179"/>
      <c r="G159" s="179"/>
      <c r="H159" s="189"/>
      <c r="I159" s="179"/>
      <c r="J159" s="191">
        <f>+J154+J157</f>
        <v>37921302.297390744</v>
      </c>
      <c r="K159" s="18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>
      <c r="A160" s="194">
        <f t="shared" si="5"/>
        <v>118</v>
      </c>
      <c r="B160" s="184"/>
      <c r="C160" s="184"/>
      <c r="D160" s="188"/>
      <c r="E160" s="16"/>
      <c r="F160" s="179"/>
      <c r="G160" s="179"/>
      <c r="H160" s="189"/>
      <c r="I160" s="179"/>
      <c r="J160" s="179"/>
      <c r="K160" s="18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>
      <c r="A161" s="194">
        <f t="shared" si="5"/>
        <v>119</v>
      </c>
      <c r="B161" s="184"/>
      <c r="C161" s="206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188"/>
      <c r="E161" s="16"/>
      <c r="F161" s="179"/>
      <c r="G161" s="179"/>
      <c r="H161" s="189"/>
      <c r="I161" s="179" t="s">
        <v>83</v>
      </c>
      <c r="J161" s="213">
        <f>ROUND(IF(J159&gt;0,J158/J159,0),6)</f>
        <v>0.81909699999999996</v>
      </c>
      <c r="K161" s="18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>
      <c r="A162" s="194">
        <f t="shared" si="5"/>
        <v>120</v>
      </c>
      <c r="B162" s="184"/>
      <c r="C162" s="184"/>
      <c r="D162" s="188"/>
      <c r="E162" s="16"/>
      <c r="F162" s="179"/>
      <c r="G162" s="179"/>
      <c r="H162" s="189"/>
      <c r="I162" s="179"/>
      <c r="J162" s="179"/>
      <c r="K162" s="18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.75" thickBot="1">
      <c r="A163" s="194">
        <f t="shared" si="5"/>
        <v>121</v>
      </c>
      <c r="B163" s="184"/>
      <c r="C163" s="184"/>
      <c r="D163" s="188"/>
      <c r="E163" s="23" t="s">
        <v>254</v>
      </c>
      <c r="F163" s="179"/>
      <c r="G163" s="179"/>
      <c r="H163" s="189"/>
      <c r="I163" s="179"/>
      <c r="J163" s="179"/>
      <c r="K163" s="18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>
      <c r="A164" s="194">
        <f t="shared" si="5"/>
        <v>122</v>
      </c>
      <c r="B164" s="184"/>
      <c r="C164" s="184" t="s">
        <v>85</v>
      </c>
      <c r="D164" s="188"/>
      <c r="E164" s="16" t="s">
        <v>433</v>
      </c>
      <c r="F164" s="179"/>
      <c r="G164" s="179"/>
      <c r="H164" s="189"/>
      <c r="I164" s="179"/>
      <c r="J164" s="179">
        <f>'True-Up Rate Base'!R27</f>
        <v>108830596.6923077</v>
      </c>
      <c r="K164" s="18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>
      <c r="A165" s="194">
        <f t="shared" si="5"/>
        <v>123</v>
      </c>
      <c r="B165" s="184"/>
      <c r="C165" s="184" t="s">
        <v>179</v>
      </c>
      <c r="D165" s="188"/>
      <c r="E165" s="16"/>
      <c r="F165" s="179"/>
      <c r="G165" s="179"/>
      <c r="H165" s="189"/>
      <c r="I165" s="179"/>
      <c r="J165" s="179">
        <f>+J164-J166</f>
        <v>105824395.6923077</v>
      </c>
      <c r="K165" s="18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>
      <c r="A166" s="194">
        <f t="shared" si="5"/>
        <v>124</v>
      </c>
      <c r="B166" s="184"/>
      <c r="C166" s="217" t="str">
        <f>"Common Use AC Facilities (line "&amp;A164&amp;" less line "&amp;A165&amp;")"</f>
        <v>Common Use AC Facilities (line 122 less line 123)</v>
      </c>
      <c r="D166" s="215"/>
      <c r="E166" s="349"/>
      <c r="F166" s="179"/>
      <c r="G166" s="179"/>
      <c r="H166" s="189"/>
      <c r="I166" s="179"/>
      <c r="J166" s="310">
        <v>3006201</v>
      </c>
      <c r="K166" s="18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>
      <c r="A167" s="194">
        <f t="shared" si="5"/>
        <v>125</v>
      </c>
      <c r="B167" s="184"/>
      <c r="C167" s="184"/>
      <c r="D167" s="188"/>
      <c r="E167" s="179"/>
      <c r="F167" s="179"/>
      <c r="G167" s="179"/>
      <c r="H167" s="189"/>
      <c r="I167" s="179"/>
      <c r="J167" s="179"/>
      <c r="K167" s="18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>
      <c r="A168" s="194">
        <f t="shared" si="5"/>
        <v>126</v>
      </c>
      <c r="B168" s="184"/>
      <c r="C168" s="206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188"/>
      <c r="E168" s="179"/>
      <c r="F168" s="179"/>
      <c r="G168" s="179"/>
      <c r="H168" s="189"/>
      <c r="I168" s="179" t="s">
        <v>86</v>
      </c>
      <c r="J168" s="213">
        <f>ROUND(IF(J164&gt;0,J166/J164,0),6)</f>
        <v>2.7623000000000002E-2</v>
      </c>
      <c r="K168" s="18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>
      <c r="A169" s="194">
        <f t="shared" si="5"/>
        <v>127</v>
      </c>
      <c r="B169" s="184"/>
      <c r="C169" s="184"/>
      <c r="D169" s="188"/>
      <c r="E169" s="179"/>
      <c r="F169" s="179"/>
      <c r="G169" s="179"/>
      <c r="H169" s="189"/>
      <c r="I169" s="179"/>
      <c r="J169" s="179"/>
      <c r="K169" s="18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>
      <c r="A170" s="194">
        <f t="shared" si="5"/>
        <v>128</v>
      </c>
      <c r="B170" s="184"/>
      <c r="C170" s="198" t="s">
        <v>253</v>
      </c>
      <c r="D170" s="179"/>
      <c r="E170" s="179"/>
      <c r="F170" s="179"/>
      <c r="G170" s="179"/>
      <c r="H170" s="179"/>
      <c r="I170" s="179"/>
      <c r="J170" s="179"/>
      <c r="K170" s="17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5.75" thickBot="1">
      <c r="A171" s="194">
        <f t="shared" si="5"/>
        <v>129</v>
      </c>
      <c r="B171" s="184"/>
      <c r="C171" s="198"/>
      <c r="D171" s="181" t="s">
        <v>254</v>
      </c>
      <c r="E171" s="218" t="s">
        <v>255</v>
      </c>
      <c r="F171" s="218" t="s">
        <v>208</v>
      </c>
      <c r="G171" s="179"/>
      <c r="H171" s="218" t="s">
        <v>256</v>
      </c>
      <c r="I171" s="191"/>
      <c r="J171" s="219"/>
      <c r="K171" s="17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>
      <c r="A172" s="194">
        <f t="shared" si="5"/>
        <v>130</v>
      </c>
      <c r="B172" s="184"/>
      <c r="C172" s="198" t="s">
        <v>223</v>
      </c>
      <c r="D172" s="179" t="s">
        <v>133</v>
      </c>
      <c r="E172" s="313">
        <v>1326937</v>
      </c>
      <c r="F172" s="220">
        <f>+J143</f>
        <v>0.809365</v>
      </c>
      <c r="G172" s="184"/>
      <c r="H172" s="179">
        <f>E172*F172</f>
        <v>1073976.365005</v>
      </c>
      <c r="I172" s="191"/>
      <c r="J172" s="221"/>
      <c r="K172" s="17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>
      <c r="A173" s="194">
        <f t="shared" si="5"/>
        <v>131</v>
      </c>
      <c r="B173" s="184"/>
      <c r="C173" s="198" t="s">
        <v>149</v>
      </c>
      <c r="D173" s="179" t="s">
        <v>150</v>
      </c>
      <c r="E173" s="313">
        <v>21008457</v>
      </c>
      <c r="F173" s="220">
        <v>0</v>
      </c>
      <c r="G173" s="220"/>
      <c r="H173" s="179">
        <f>E173*F173</f>
        <v>0</v>
      </c>
      <c r="I173" s="191"/>
      <c r="J173" s="219" t="s">
        <v>257</v>
      </c>
      <c r="K173" s="17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5.75" thickBot="1">
      <c r="A174" s="194">
        <f t="shared" si="5"/>
        <v>132</v>
      </c>
      <c r="B174" s="184"/>
      <c r="C174" s="198" t="s">
        <v>151</v>
      </c>
      <c r="D174" s="179" t="s">
        <v>152</v>
      </c>
      <c r="E174" s="316">
        <v>-8643412</v>
      </c>
      <c r="F174" s="220">
        <v>0</v>
      </c>
      <c r="G174" s="220"/>
      <c r="H174" s="181">
        <f>E174*F174</f>
        <v>0</v>
      </c>
      <c r="I174" s="191"/>
      <c r="J174" s="204" t="s">
        <v>258</v>
      </c>
      <c r="K174" s="17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>
      <c r="A175" s="194">
        <f t="shared" si="5"/>
        <v>133</v>
      </c>
      <c r="B175" s="184"/>
      <c r="C175" s="198" t="str">
        <f>"  Adjusted Total  (sum lines "&amp;A173&amp;"-"&amp;A174&amp;")"</f>
        <v xml:space="preserve">  Adjusted Total  (sum lines 131-132)</v>
      </c>
      <c r="D175" s="179"/>
      <c r="E175" s="179">
        <f>SUM(E173:E174)</f>
        <v>12365045</v>
      </c>
      <c r="F175" s="179"/>
      <c r="G175" s="184"/>
      <c r="H175" s="179">
        <f>SUM(H172:H174)</f>
        <v>1073976.365005</v>
      </c>
      <c r="I175" s="179" t="s">
        <v>96</v>
      </c>
      <c r="J175" s="178">
        <f>IF(E175&gt;0,+H175/E175,0)</f>
        <v>8.6855839586916186E-2</v>
      </c>
      <c r="K175" s="18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>
      <c r="A176" s="194">
        <f t="shared" si="5"/>
        <v>134</v>
      </c>
      <c r="B176" s="184"/>
      <c r="C176" s="198"/>
      <c r="D176" s="179"/>
      <c r="E176" s="179"/>
      <c r="F176" s="179"/>
      <c r="G176" s="179"/>
      <c r="H176" s="179"/>
      <c r="I176" s="179"/>
      <c r="J176" s="179"/>
      <c r="K176" s="17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>
      <c r="A177" s="194">
        <f t="shared" si="5"/>
        <v>135</v>
      </c>
      <c r="B177" s="184"/>
      <c r="C177" s="198" t="s">
        <v>134</v>
      </c>
      <c r="D177" s="179"/>
      <c r="E177" s="179"/>
      <c r="F177" s="179"/>
      <c r="G177" s="179"/>
      <c r="H177" s="179"/>
      <c r="I177" s="179"/>
      <c r="J177" s="179"/>
      <c r="K177" s="17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.75" thickBot="1">
      <c r="A178" s="194">
        <f t="shared" si="5"/>
        <v>136</v>
      </c>
      <c r="B178" s="184"/>
      <c r="C178" s="198"/>
      <c r="D178" s="179"/>
      <c r="E178" s="218" t="s">
        <v>255</v>
      </c>
      <c r="F178" s="218" t="s">
        <v>262</v>
      </c>
      <c r="G178" s="201" t="s">
        <v>208</v>
      </c>
      <c r="H178" s="222" t="s">
        <v>137</v>
      </c>
      <c r="I178" s="196"/>
      <c r="J178" s="182"/>
      <c r="K178" s="18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>
      <c r="A179" s="194">
        <f t="shared" si="5"/>
        <v>137</v>
      </c>
      <c r="B179" s="184"/>
      <c r="C179" s="198" t="s">
        <v>135</v>
      </c>
      <c r="D179" s="342" t="s">
        <v>434</v>
      </c>
      <c r="E179" s="179">
        <f>+E36</f>
        <v>80716256.779532328</v>
      </c>
      <c r="F179" s="223">
        <f>IF(E181&gt;0,+E179/E181,0)</f>
        <v>0.27177900162328861</v>
      </c>
      <c r="G179" s="224">
        <f>+J143</f>
        <v>0.809365</v>
      </c>
      <c r="H179" s="225">
        <f>IF(F179&gt;0,+G179*F179,0)</f>
        <v>0.21996841164883299</v>
      </c>
      <c r="I179" s="226"/>
      <c r="J179" s="194"/>
      <c r="K179" s="17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>
      <c r="A180" s="194">
        <f t="shared" si="5"/>
        <v>138</v>
      </c>
      <c r="B180" s="184"/>
      <c r="C180" s="198" t="s">
        <v>136</v>
      </c>
      <c r="D180" s="342" t="s">
        <v>435</v>
      </c>
      <c r="E180" s="179">
        <f>+E37</f>
        <v>216275991.69230765</v>
      </c>
      <c r="F180" s="223">
        <f>IF(E181&gt;0,+E180/E181,0)</f>
        <v>0.72822099837671139</v>
      </c>
      <c r="G180" s="184"/>
      <c r="H180" s="193"/>
      <c r="I180" s="189"/>
      <c r="J180" s="193"/>
      <c r="K180" s="19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>
      <c r="A181" s="194">
        <f t="shared" si="5"/>
        <v>139</v>
      </c>
      <c r="B181" s="184"/>
      <c r="C181" s="198" t="str">
        <f>"  Total  (sum lines "&amp;A179&amp;" - "&amp;A180&amp;")"</f>
        <v xml:space="preserve">  Total  (sum lines 137 - 138)</v>
      </c>
      <c r="D181" s="179"/>
      <c r="E181" s="209">
        <f>SUM(E179:E180)</f>
        <v>296992248.47183996</v>
      </c>
      <c r="F181" s="227">
        <f>SUM(F179:F180)</f>
        <v>1</v>
      </c>
      <c r="G181" s="179"/>
      <c r="H181" s="179"/>
      <c r="I181" s="179" t="s">
        <v>138</v>
      </c>
      <c r="J181" s="228">
        <f>+H179</f>
        <v>0.21996841164883299</v>
      </c>
      <c r="K181" s="17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>
      <c r="A182" s="194">
        <f t="shared" si="5"/>
        <v>140</v>
      </c>
      <c r="B182" s="184"/>
      <c r="C182" s="198"/>
      <c r="D182" s="179"/>
      <c r="E182" s="184"/>
      <c r="F182" s="179"/>
      <c r="G182" s="179"/>
      <c r="H182" s="179"/>
      <c r="I182" s="179"/>
      <c r="J182" s="228"/>
      <c r="K182" s="17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s="124" customFormat="1" ht="15.75" thickBot="1">
      <c r="A183" s="194">
        <f t="shared" si="5"/>
        <v>141</v>
      </c>
      <c r="B183" s="229"/>
      <c r="C183" s="230" t="s">
        <v>260</v>
      </c>
      <c r="D183" s="201" t="s">
        <v>254</v>
      </c>
      <c r="E183" s="179"/>
      <c r="F183" s="179"/>
      <c r="G183" s="179"/>
      <c r="H183" s="179"/>
      <c r="I183" s="179"/>
      <c r="J183" s="218" t="s">
        <v>255</v>
      </c>
      <c r="K183" s="179"/>
    </row>
    <row r="184" spans="1:48">
      <c r="A184" s="194">
        <f t="shared" si="5"/>
        <v>142</v>
      </c>
      <c r="B184" s="229"/>
      <c r="C184" s="188" t="s">
        <v>339</v>
      </c>
      <c r="D184" s="179" t="s">
        <v>342</v>
      </c>
      <c r="E184" s="179"/>
      <c r="F184" s="179"/>
      <c r="G184" s="179"/>
      <c r="H184" s="179"/>
      <c r="I184" s="179"/>
      <c r="J184" s="312">
        <f>17899803+195390+252942</f>
        <v>18348135</v>
      </c>
      <c r="K184" s="17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>
      <c r="A185" s="194">
        <f t="shared" si="5"/>
        <v>143</v>
      </c>
      <c r="B185" s="231"/>
      <c r="C185" s="198"/>
      <c r="D185" s="179"/>
      <c r="E185" s="179"/>
      <c r="F185" s="179"/>
      <c r="G185" s="179"/>
      <c r="H185" s="179"/>
      <c r="I185" s="179"/>
      <c r="J185" s="179"/>
      <c r="K185" s="17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>
      <c r="A186" s="194">
        <f t="shared" si="5"/>
        <v>144</v>
      </c>
      <c r="B186" s="229"/>
      <c r="C186" s="198" t="s">
        <v>340</v>
      </c>
      <c r="D186" s="179" t="s">
        <v>341</v>
      </c>
      <c r="E186" s="179"/>
      <c r="F186" s="179"/>
      <c r="G186" s="179"/>
      <c r="H186" s="179"/>
      <c r="I186" s="179"/>
      <c r="J186" s="183">
        <v>0</v>
      </c>
      <c r="K186" s="17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>
      <c r="A187" s="194">
        <f t="shared" si="5"/>
        <v>145</v>
      </c>
      <c r="B187" s="229"/>
      <c r="C187" s="198"/>
      <c r="D187" s="179"/>
      <c r="E187" s="179"/>
      <c r="F187" s="179"/>
      <c r="G187" s="179"/>
      <c r="H187" s="179"/>
      <c r="I187" s="179"/>
      <c r="J187" s="179"/>
      <c r="K187" s="17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>
      <c r="A188" s="194">
        <f t="shared" si="5"/>
        <v>146</v>
      </c>
      <c r="B188" s="229"/>
      <c r="C188" s="230" t="s">
        <v>343</v>
      </c>
      <c r="D188" s="201" t="s">
        <v>254</v>
      </c>
      <c r="E188" s="179"/>
      <c r="F188" s="179"/>
      <c r="G188" s="179"/>
      <c r="H188" s="179"/>
      <c r="I188" s="179"/>
      <c r="J188" s="179"/>
      <c r="K188" s="17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>
      <c r="A189" s="194">
        <f t="shared" si="5"/>
        <v>147</v>
      </c>
      <c r="B189" s="229"/>
      <c r="C189" s="198" t="s">
        <v>21</v>
      </c>
      <c r="D189" s="179" t="s">
        <v>344</v>
      </c>
      <c r="E189" s="188"/>
      <c r="F189" s="179"/>
      <c r="G189" s="179"/>
      <c r="H189" s="179"/>
      <c r="I189" s="179"/>
      <c r="J189" s="352">
        <v>374709886</v>
      </c>
      <c r="K189" s="179"/>
      <c r="L189" s="350" t="s">
        <v>462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>
      <c r="A190" s="194">
        <f t="shared" si="5"/>
        <v>148</v>
      </c>
      <c r="B190" s="229"/>
      <c r="C190" s="198" t="s">
        <v>345</v>
      </c>
      <c r="D190" s="179" t="s">
        <v>346</v>
      </c>
      <c r="E190" s="179"/>
      <c r="F190" s="179"/>
      <c r="G190" s="179"/>
      <c r="H190" s="179"/>
      <c r="I190" s="179"/>
      <c r="J190" s="183"/>
      <c r="K190" s="17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>
      <c r="A191" s="194">
        <f t="shared" si="5"/>
        <v>149</v>
      </c>
      <c r="B191" s="229"/>
      <c r="C191" s="198" t="s">
        <v>347</v>
      </c>
      <c r="D191" s="179" t="s">
        <v>348</v>
      </c>
      <c r="E191" s="179"/>
      <c r="F191" s="179"/>
      <c r="G191" s="179"/>
      <c r="H191" s="179"/>
      <c r="I191" s="179"/>
      <c r="J191" s="186"/>
      <c r="K191" s="17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5.75" thickBot="1">
      <c r="A192" s="194">
        <f t="shared" si="5"/>
        <v>150</v>
      </c>
      <c r="B192" s="229"/>
      <c r="C192" s="198" t="s">
        <v>349</v>
      </c>
      <c r="D192" s="179" t="s">
        <v>350</v>
      </c>
      <c r="E192" s="179"/>
      <c r="F192" s="179"/>
      <c r="G192" s="179"/>
      <c r="H192" s="179"/>
      <c r="I192" s="179"/>
      <c r="J192" s="311">
        <v>1818661</v>
      </c>
      <c r="K192" s="17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>
      <c r="A193" s="194">
        <f t="shared" si="5"/>
        <v>151</v>
      </c>
      <c r="B193" s="229"/>
      <c r="C193" s="232" t="s">
        <v>351</v>
      </c>
      <c r="D193" s="179"/>
      <c r="E193" s="188" t="str">
        <f>"(sum lines "&amp;A189&amp;"-"&amp;A192&amp;")"</f>
        <v>(sum lines 147-150)</v>
      </c>
      <c r="F193" s="188"/>
      <c r="G193" s="188"/>
      <c r="H193" s="188"/>
      <c r="I193" s="188"/>
      <c r="J193" s="183">
        <f>SUM(J189:J192)</f>
        <v>376528547</v>
      </c>
      <c r="K193" s="17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>
      <c r="A194" s="194">
        <f t="shared" si="5"/>
        <v>152</v>
      </c>
      <c r="B194" s="184"/>
      <c r="C194" s="198"/>
      <c r="D194" s="179"/>
      <c r="E194" s="179"/>
      <c r="F194" s="179"/>
      <c r="G194" s="179"/>
      <c r="H194" s="189"/>
      <c r="I194" s="179"/>
      <c r="J194" s="179"/>
      <c r="K194" s="17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5.75" thickBot="1">
      <c r="A195" s="194">
        <f t="shared" si="5"/>
        <v>153</v>
      </c>
      <c r="B195" s="184"/>
      <c r="C195" s="198"/>
      <c r="D195" s="23" t="s">
        <v>254</v>
      </c>
      <c r="E195" s="283" t="s">
        <v>255</v>
      </c>
      <c r="F195" s="204" t="s">
        <v>262</v>
      </c>
      <c r="G195" s="179"/>
      <c r="H195" s="204" t="s">
        <v>261</v>
      </c>
      <c r="I195" s="179"/>
      <c r="J195" s="204" t="s">
        <v>263</v>
      </c>
      <c r="K195" s="17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>
      <c r="A196" s="194">
        <f t="shared" si="5"/>
        <v>154</v>
      </c>
      <c r="B196" s="184"/>
      <c r="C196" s="205" t="s">
        <v>336</v>
      </c>
      <c r="D196" s="110" t="s">
        <v>407</v>
      </c>
      <c r="E196" s="313">
        <v>342752190</v>
      </c>
      <c r="F196" s="233">
        <v>0.43</v>
      </c>
      <c r="G196" s="234"/>
      <c r="H196" s="228">
        <f>IF(E196&gt;0,+J184/E196,0)</f>
        <v>5.3531780497157434E-2</v>
      </c>
      <c r="I196" s="184"/>
      <c r="J196" s="223">
        <f>H196*F196</f>
        <v>2.3018665613777696E-2</v>
      </c>
      <c r="K196" s="235"/>
      <c r="L196" s="350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>
      <c r="A197" s="194">
        <f t="shared" si="5"/>
        <v>155</v>
      </c>
      <c r="B197" s="184"/>
      <c r="C197" s="205" t="s">
        <v>337</v>
      </c>
      <c r="D197" s="236" t="s">
        <v>346</v>
      </c>
      <c r="E197" s="179"/>
      <c r="F197" s="233">
        <f>IF($E$199&gt;0,E197/$E$199,0)</f>
        <v>0</v>
      </c>
      <c r="G197" s="234"/>
      <c r="H197" s="223">
        <f>IF(E197&gt;0,J186/E197,0)</f>
        <v>0</v>
      </c>
      <c r="I197" s="184"/>
      <c r="J197" s="223">
        <f>H197*F197</f>
        <v>0</v>
      </c>
      <c r="K197" s="17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5.75" thickBot="1">
      <c r="A198" s="194">
        <f t="shared" si="5"/>
        <v>156</v>
      </c>
      <c r="B198" s="184"/>
      <c r="C198" s="232" t="s">
        <v>352</v>
      </c>
      <c r="D198" s="236" t="str">
        <f>"(see above line "&amp;A193&amp;")"</f>
        <v>(see above line 151)</v>
      </c>
      <c r="E198" s="181">
        <f>+J193</f>
        <v>376528547</v>
      </c>
      <c r="F198" s="233">
        <v>0.56999999999999995</v>
      </c>
      <c r="G198" s="184" t="s">
        <v>180</v>
      </c>
      <c r="H198" s="223">
        <v>0.108</v>
      </c>
      <c r="I198" s="184" t="s">
        <v>180</v>
      </c>
      <c r="J198" s="237">
        <f>H198*F198</f>
        <v>6.1559999999999997E-2</v>
      </c>
      <c r="K198" s="17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>
      <c r="A199" s="194">
        <f t="shared" si="5"/>
        <v>157</v>
      </c>
      <c r="B199" s="184"/>
      <c r="C199" s="198" t="str">
        <f>"Total  (sum lines "&amp;A196&amp;"-"&amp;A198&amp;")"</f>
        <v>Total  (sum lines 154-156)</v>
      </c>
      <c r="D199" s="184"/>
      <c r="E199" s="179">
        <f>E198+E197+E196</f>
        <v>719280737</v>
      </c>
      <c r="F199" s="179" t="s">
        <v>202</v>
      </c>
      <c r="G199" s="179"/>
      <c r="H199" s="179"/>
      <c r="I199" s="179" t="s">
        <v>368</v>
      </c>
      <c r="J199" s="223">
        <f>SUM(J196:J198)</f>
        <v>8.4578665613777693E-2</v>
      </c>
      <c r="K199" s="23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>
      <c r="A200" s="194"/>
      <c r="B200" s="184"/>
      <c r="C200" s="198"/>
      <c r="D200" s="184"/>
      <c r="E200" s="179"/>
      <c r="F200" s="179"/>
      <c r="G200" s="179"/>
      <c r="H200" s="179"/>
      <c r="I200" s="202" t="str">
        <f>$I$1</f>
        <v>Date</v>
      </c>
      <c r="J200" s="326">
        <f>$J$1</f>
        <v>42153</v>
      </c>
      <c r="K200" s="23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>
      <c r="A201" s="184"/>
      <c r="B201" s="184"/>
      <c r="C201" s="184"/>
      <c r="D201" s="184"/>
      <c r="E201" s="184"/>
      <c r="F201" s="179"/>
      <c r="G201" s="179"/>
      <c r="H201" s="197"/>
      <c r="I201" s="202" t="str">
        <f>$I$2</f>
        <v>Service Year</v>
      </c>
      <c r="J201" s="188">
        <f>$J$2</f>
        <v>2014</v>
      </c>
      <c r="K201" s="19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>
      <c r="A202" s="194"/>
      <c r="B202" s="184"/>
      <c r="C202" s="198"/>
      <c r="D202" s="188"/>
      <c r="E202" s="179"/>
      <c r="F202" s="179"/>
      <c r="G202" s="179"/>
      <c r="H202" s="179"/>
      <c r="I202" s="188"/>
      <c r="J202" s="179"/>
      <c r="K202" s="18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5.75">
      <c r="A203" s="364" t="s">
        <v>330</v>
      </c>
      <c r="B203" s="364"/>
      <c r="C203" s="364"/>
      <c r="D203" s="364"/>
      <c r="E203" s="364"/>
      <c r="F203" s="364"/>
      <c r="G203" s="364"/>
      <c r="H203" s="364"/>
      <c r="I203" s="364"/>
      <c r="J203" s="364"/>
      <c r="K203" s="36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5.75">
      <c r="A204" s="361" t="s">
        <v>203</v>
      </c>
      <c r="B204" s="361"/>
      <c r="C204" s="361"/>
      <c r="D204" s="361"/>
      <c r="E204" s="361"/>
      <c r="F204" s="361"/>
      <c r="G204" s="361"/>
      <c r="H204" s="361"/>
      <c r="I204" s="361"/>
      <c r="J204" s="361"/>
      <c r="K204" s="36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>
      <c r="A205" s="184"/>
      <c r="B205" s="184"/>
      <c r="C205" s="188"/>
      <c r="D205" s="188"/>
      <c r="E205" s="197"/>
      <c r="F205" s="188"/>
      <c r="G205" s="188"/>
      <c r="H205" s="188"/>
      <c r="I205" s="188"/>
      <c r="J205" s="188"/>
      <c r="K205" s="18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5.75">
      <c r="A206" s="362" t="s">
        <v>329</v>
      </c>
      <c r="B206" s="362"/>
      <c r="C206" s="362"/>
      <c r="D206" s="362"/>
      <c r="E206" s="362"/>
      <c r="F206" s="362"/>
      <c r="G206" s="362"/>
      <c r="H206" s="362"/>
      <c r="I206" s="362"/>
      <c r="J206" s="362"/>
      <c r="K206" s="36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>
      <c r="A207" s="194"/>
      <c r="B207" s="206"/>
      <c r="C207" s="238"/>
      <c r="D207" s="194"/>
      <c r="E207" s="179"/>
      <c r="F207" s="179"/>
      <c r="G207" s="179"/>
      <c r="H207" s="179"/>
      <c r="I207" s="206"/>
      <c r="J207" s="239"/>
      <c r="K207" s="24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>
      <c r="A208" s="184"/>
      <c r="B208" s="206"/>
      <c r="C208" s="205"/>
      <c r="D208" s="194"/>
      <c r="E208" s="179"/>
      <c r="F208" s="179"/>
      <c r="G208" s="179"/>
      <c r="H208" s="179"/>
      <c r="I208" s="206"/>
      <c r="J208" s="179"/>
      <c r="K208" s="20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>
      <c r="A209" s="194"/>
      <c r="B209" s="206"/>
      <c r="C209" s="205"/>
      <c r="D209" s="194"/>
      <c r="E209" s="179"/>
      <c r="F209" s="179"/>
      <c r="G209" s="179"/>
      <c r="H209" s="179"/>
      <c r="I209" s="206"/>
      <c r="J209" s="179"/>
      <c r="K209" s="20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>
      <c r="A210" s="194"/>
      <c r="B210" s="206"/>
      <c r="C210" s="205"/>
      <c r="D210" s="194"/>
      <c r="E210" s="179"/>
      <c r="F210" s="179"/>
      <c r="G210" s="179"/>
      <c r="H210" s="179"/>
      <c r="I210" s="206"/>
      <c r="J210" s="179"/>
      <c r="K210" s="20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>
      <c r="A211" s="194" t="s">
        <v>264</v>
      </c>
      <c r="B211" s="206"/>
      <c r="C211" s="205"/>
      <c r="D211" s="206"/>
      <c r="E211" s="179"/>
      <c r="F211" s="179"/>
      <c r="G211" s="179"/>
      <c r="H211" s="179"/>
      <c r="I211" s="206"/>
      <c r="J211" s="179"/>
      <c r="K211" s="20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5.75" thickBot="1">
      <c r="A212" s="204" t="s">
        <v>265</v>
      </c>
      <c r="B212" s="206"/>
      <c r="C212" s="205"/>
      <c r="D212" s="206"/>
      <c r="E212" s="179"/>
      <c r="F212" s="179"/>
      <c r="G212" s="179"/>
      <c r="H212" s="179"/>
      <c r="I212" s="206"/>
      <c r="J212" s="179"/>
      <c r="K212" s="20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>
      <c r="A213" s="194"/>
      <c r="B213" s="206"/>
      <c r="C213" s="205"/>
      <c r="D213" s="206"/>
      <c r="E213" s="179"/>
      <c r="F213" s="179"/>
      <c r="G213" s="179"/>
      <c r="H213" s="179"/>
      <c r="I213" s="206"/>
      <c r="J213" s="179"/>
      <c r="K213" s="20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>
      <c r="A214" s="184"/>
      <c r="B214" s="184"/>
      <c r="C214" s="184"/>
      <c r="D214" s="184"/>
      <c r="E214" s="184"/>
      <c r="F214" s="184"/>
      <c r="G214" s="184"/>
      <c r="H214" s="184"/>
      <c r="I214" s="184"/>
      <c r="J214" s="206"/>
      <c r="K214" s="20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>
      <c r="A215" s="194" t="s">
        <v>266</v>
      </c>
      <c r="B215" s="206"/>
      <c r="C215" s="206" t="s">
        <v>370</v>
      </c>
      <c r="D215" s="206"/>
      <c r="E215" s="206"/>
      <c r="F215" s="206"/>
      <c r="G215" s="206"/>
      <c r="H215" s="206"/>
      <c r="I215" s="206"/>
      <c r="J215" s="206"/>
      <c r="K215" s="20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>
      <c r="A216" s="194"/>
      <c r="B216" s="206"/>
      <c r="C216" s="206" t="s">
        <v>88</v>
      </c>
      <c r="D216" s="206"/>
      <c r="E216" s="206"/>
      <c r="F216" s="206"/>
      <c r="G216" s="206"/>
      <c r="H216" s="206"/>
      <c r="I216" s="206"/>
      <c r="J216" s="206"/>
      <c r="K216" s="20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>
      <c r="A217" s="194"/>
      <c r="B217" s="206"/>
      <c r="C217" s="206" t="s">
        <v>117</v>
      </c>
      <c r="D217" s="206"/>
      <c r="E217" s="206"/>
      <c r="F217" s="206"/>
      <c r="G217" s="206"/>
      <c r="H217" s="206"/>
      <c r="I217" s="206"/>
      <c r="J217" s="206"/>
      <c r="K217" s="20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>
      <c r="A218" s="194" t="s">
        <v>267</v>
      </c>
      <c r="B218" s="206"/>
      <c r="C218" s="206" t="s">
        <v>273</v>
      </c>
      <c r="D218" s="206"/>
      <c r="E218" s="206"/>
      <c r="F218" s="206"/>
      <c r="G218" s="206"/>
      <c r="H218" s="206"/>
      <c r="I218" s="206"/>
      <c r="J218" s="206"/>
      <c r="K218" s="20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>
      <c r="A219" s="194" t="s">
        <v>268</v>
      </c>
      <c r="B219" s="206"/>
      <c r="C219" s="206" t="s">
        <v>80</v>
      </c>
      <c r="D219" s="206"/>
      <c r="E219" s="206"/>
      <c r="F219" s="206"/>
      <c r="G219" s="206"/>
      <c r="H219" s="206"/>
      <c r="I219" s="206"/>
      <c r="J219" s="206"/>
      <c r="K219" s="20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>
      <c r="A220" s="96" t="s">
        <v>269</v>
      </c>
      <c r="B220" s="20"/>
      <c r="C220" s="20" t="s">
        <v>89</v>
      </c>
      <c r="D220" s="206"/>
      <c r="E220" s="206"/>
      <c r="F220" s="206"/>
      <c r="G220" s="206"/>
      <c r="H220" s="206"/>
      <c r="I220" s="206"/>
      <c r="J220" s="206"/>
      <c r="K220" s="20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>
      <c r="A221" s="194" t="s">
        <v>270</v>
      </c>
      <c r="B221" s="206"/>
      <c r="C221" s="206" t="s">
        <v>143</v>
      </c>
      <c r="D221" s="206"/>
      <c r="E221" s="206"/>
      <c r="F221" s="206"/>
      <c r="G221" s="206"/>
      <c r="H221" s="206"/>
      <c r="I221" s="206"/>
      <c r="J221" s="206"/>
      <c r="K221" s="20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>
      <c r="A222" s="194"/>
      <c r="B222" s="206"/>
      <c r="C222" s="184" t="s">
        <v>144</v>
      </c>
      <c r="D222" s="206"/>
      <c r="E222" s="206"/>
      <c r="F222" s="206"/>
      <c r="G222" s="206"/>
      <c r="H222" s="206"/>
      <c r="I222" s="206"/>
      <c r="J222" s="206"/>
      <c r="K222" s="20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>
      <c r="A223" s="194" t="s">
        <v>271</v>
      </c>
      <c r="B223" s="206"/>
      <c r="C223" s="206" t="s">
        <v>276</v>
      </c>
      <c r="D223" s="206"/>
      <c r="E223" s="206"/>
      <c r="F223" s="206"/>
      <c r="G223" s="206"/>
      <c r="H223" s="206"/>
      <c r="I223" s="206"/>
      <c r="J223" s="206"/>
      <c r="K223" s="20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>
      <c r="A224" s="194"/>
      <c r="B224" s="206"/>
      <c r="C224" s="206" t="s">
        <v>201</v>
      </c>
      <c r="D224" s="206"/>
      <c r="E224" s="206"/>
      <c r="F224" s="206"/>
      <c r="G224" s="206"/>
      <c r="H224" s="206"/>
      <c r="I224" s="206"/>
      <c r="J224" s="206"/>
      <c r="K224" s="20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>
      <c r="A225" s="194"/>
      <c r="B225" s="206"/>
      <c r="C225" s="206" t="s">
        <v>299</v>
      </c>
      <c r="D225" s="206"/>
      <c r="E225" s="206"/>
      <c r="F225" s="206"/>
      <c r="G225" s="206"/>
      <c r="H225" s="206"/>
      <c r="I225" s="206"/>
      <c r="J225" s="206"/>
      <c r="K225" s="20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>
      <c r="A226" s="194" t="s">
        <v>272</v>
      </c>
      <c r="B226" s="206"/>
      <c r="C226" s="206" t="s">
        <v>283</v>
      </c>
      <c r="D226" s="206"/>
      <c r="E226" s="206"/>
      <c r="F226" s="206"/>
      <c r="G226" s="206"/>
      <c r="H226" s="206"/>
      <c r="I226" s="206"/>
      <c r="J226" s="206"/>
      <c r="K226" s="20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>
      <c r="A227" s="194"/>
      <c r="B227" s="206"/>
      <c r="C227" s="206" t="s">
        <v>285</v>
      </c>
      <c r="D227" s="206"/>
      <c r="E227" s="206"/>
      <c r="F227" s="206"/>
      <c r="G227" s="206"/>
      <c r="H227" s="206"/>
      <c r="I227" s="206"/>
      <c r="J227" s="206"/>
      <c r="K227" s="20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>
      <c r="A228" s="194"/>
      <c r="B228" s="206"/>
      <c r="C228" s="206" t="s">
        <v>286</v>
      </c>
      <c r="D228" s="206"/>
      <c r="E228" s="206"/>
      <c r="F228" s="206"/>
      <c r="G228" s="206"/>
      <c r="H228" s="206"/>
      <c r="I228" s="206"/>
      <c r="J228" s="206"/>
      <c r="K228" s="20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>
      <c r="A229" s="194"/>
      <c r="B229" s="206"/>
      <c r="C229" s="206" t="s">
        <v>287</v>
      </c>
      <c r="D229" s="206"/>
      <c r="E229" s="206"/>
      <c r="F229" s="206"/>
      <c r="G229" s="206"/>
      <c r="H229" s="206"/>
      <c r="I229" s="206"/>
      <c r="J229" s="206"/>
      <c r="K229" s="20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>
      <c r="A230" s="194"/>
      <c r="B230" s="206"/>
      <c r="C230" s="206" t="s">
        <v>288</v>
      </c>
      <c r="D230" s="206"/>
      <c r="E230" s="206"/>
      <c r="F230" s="206"/>
      <c r="G230" s="206"/>
      <c r="H230" s="206"/>
      <c r="I230" s="206"/>
      <c r="J230" s="206"/>
      <c r="K230" s="20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>
      <c r="A231" s="194"/>
      <c r="B231" s="206"/>
      <c r="C231" s="206" t="s">
        <v>118</v>
      </c>
      <c r="D231" s="206"/>
      <c r="E231" s="206"/>
      <c r="F231" s="206"/>
      <c r="G231" s="206"/>
      <c r="H231" s="206"/>
      <c r="I231" s="206"/>
      <c r="J231" s="206"/>
      <c r="K231" s="20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>
      <c r="A232" s="194" t="s">
        <v>202</v>
      </c>
      <c r="B232" s="206"/>
      <c r="C232" s="206" t="s">
        <v>296</v>
      </c>
      <c r="D232" s="206" t="s">
        <v>289</v>
      </c>
      <c r="E232" s="241">
        <v>0.35</v>
      </c>
      <c r="F232" s="206"/>
      <c r="G232" s="206"/>
      <c r="H232" s="206"/>
      <c r="I232" s="206"/>
      <c r="J232" s="206"/>
      <c r="K232" s="20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>
      <c r="A233" s="194"/>
      <c r="B233" s="206"/>
      <c r="C233" s="206"/>
      <c r="D233" s="206" t="s">
        <v>290</v>
      </c>
      <c r="E233" s="241">
        <v>0</v>
      </c>
      <c r="F233" s="206" t="s">
        <v>291</v>
      </c>
      <c r="G233" s="206"/>
      <c r="H233" s="206"/>
      <c r="I233" s="206"/>
      <c r="J233" s="206"/>
      <c r="K233" s="20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>
      <c r="A234" s="194"/>
      <c r="B234" s="206"/>
      <c r="C234" s="206"/>
      <c r="D234" s="206" t="s">
        <v>292</v>
      </c>
      <c r="E234" s="241">
        <v>0</v>
      </c>
      <c r="F234" s="206" t="s">
        <v>293</v>
      </c>
      <c r="G234" s="206"/>
      <c r="H234" s="206"/>
      <c r="I234" s="206"/>
      <c r="J234" s="206"/>
      <c r="K234" s="20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>
      <c r="A235" s="242" t="s">
        <v>274</v>
      </c>
      <c r="B235" s="184"/>
      <c r="C235" s="184" t="s">
        <v>75</v>
      </c>
      <c r="D235" s="184"/>
      <c r="E235" s="184"/>
      <c r="F235" s="184"/>
      <c r="G235" s="184"/>
      <c r="H235" s="184"/>
      <c r="I235" s="184"/>
      <c r="J235" s="184"/>
      <c r="K235" s="184"/>
    </row>
    <row r="236" spans="1:48">
      <c r="A236" s="197"/>
      <c r="B236" s="197"/>
      <c r="C236" s="205" t="s">
        <v>74</v>
      </c>
      <c r="D236" s="197"/>
      <c r="E236" s="197"/>
      <c r="F236" s="197"/>
      <c r="G236" s="197"/>
      <c r="H236" s="197"/>
      <c r="I236" s="197"/>
      <c r="J236" s="197"/>
      <c r="K236" s="197"/>
    </row>
    <row r="237" spans="1:48">
      <c r="A237" s="243" t="s">
        <v>275</v>
      </c>
      <c r="B237" s="197"/>
      <c r="C237" s="205" t="s">
        <v>46</v>
      </c>
      <c r="D237" s="197"/>
      <c r="E237" s="197"/>
      <c r="F237" s="197"/>
      <c r="G237" s="197"/>
      <c r="H237" s="197"/>
      <c r="I237" s="197"/>
      <c r="J237" s="197"/>
      <c r="K237" s="197"/>
    </row>
    <row r="238" spans="1:48">
      <c r="A238" s="197"/>
      <c r="B238" s="197"/>
      <c r="C238" s="197"/>
      <c r="D238" s="197"/>
      <c r="E238" s="197"/>
      <c r="F238" s="197"/>
      <c r="G238" s="197"/>
      <c r="H238" s="197"/>
      <c r="I238" s="197"/>
      <c r="J238" s="197"/>
      <c r="K238" s="197"/>
    </row>
    <row r="239" spans="1:48">
      <c r="A239" s="197"/>
      <c r="B239" s="197"/>
      <c r="C239" s="197"/>
      <c r="D239" s="197"/>
      <c r="E239" s="197"/>
      <c r="F239" s="197"/>
      <c r="G239" s="197"/>
      <c r="H239" s="197"/>
      <c r="I239" s="197"/>
      <c r="J239" s="197"/>
      <c r="K239" s="197"/>
    </row>
  </sheetData>
  <mergeCells count="13">
    <mergeCell ref="A4:K4"/>
    <mergeCell ref="A5:K5"/>
    <mergeCell ref="A7:K7"/>
    <mergeCell ref="A66:K66"/>
    <mergeCell ref="A67:K67"/>
    <mergeCell ref="A203:K203"/>
    <mergeCell ref="A204:K204"/>
    <mergeCell ref="A206:K206"/>
    <mergeCell ref="A130:K130"/>
    <mergeCell ref="A69:K69"/>
    <mergeCell ref="A125:K125"/>
    <mergeCell ref="A126:K126"/>
    <mergeCell ref="A128:K128"/>
  </mergeCells>
  <phoneticPr fontId="21" type="noConversion"/>
  <printOptions horizontalCentered="1"/>
  <pageMargins left="0.5" right="0.5" top="0.75" bottom="0.75" header="0.5" footer="0.5"/>
  <pageSetup scale="53" fitToHeight="0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0" man="1"/>
    <brk id="121" max="10" man="1"/>
    <brk id="199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Q75"/>
  <sheetViews>
    <sheetView topLeftCell="A22" zoomScale="110" zoomScaleNormal="110" zoomScalePageLayoutView="81" workbookViewId="0">
      <selection activeCell="J42" sqref="J42"/>
    </sheetView>
  </sheetViews>
  <sheetFormatPr defaultRowHeight="12.75"/>
  <cols>
    <col min="1" max="1" width="3.77734375" style="118" customWidth="1"/>
    <col min="2" max="2" width="2.5546875" style="118" customWidth="1"/>
    <col min="3" max="3" width="3" style="118" customWidth="1"/>
    <col min="4" max="4" width="2.44140625" style="118" customWidth="1"/>
    <col min="5" max="6" width="8.88671875" style="118"/>
    <col min="7" max="7" width="1.77734375" style="118" customWidth="1"/>
    <col min="8" max="11" width="8.88671875" style="118"/>
    <col min="12" max="12" width="15" style="118" customWidth="1"/>
    <col min="13" max="13" width="11.88671875" style="118" customWidth="1"/>
    <col min="14" max="14" width="9.77734375" style="118" customWidth="1"/>
    <col min="15" max="15" width="8.88671875" style="118"/>
    <col min="16" max="16" width="14.44140625" style="118" customWidth="1"/>
    <col min="17" max="16384" width="8.88671875" style="118"/>
  </cols>
  <sheetData>
    <row r="1" spans="1:16" ht="15.75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3" spans="1:16">
      <c r="A3" s="140" t="s">
        <v>204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>
      <c r="A4" s="141" t="s">
        <v>205</v>
      </c>
    </row>
    <row r="5" spans="1:16" s="125" customFormat="1">
      <c r="A5" s="171">
        <v>1</v>
      </c>
      <c r="B5" s="254" t="s">
        <v>405</v>
      </c>
    </row>
    <row r="6" spans="1:16" s="125" customFormat="1">
      <c r="A6" s="171">
        <f>A5+1</f>
        <v>2</v>
      </c>
    </row>
    <row r="7" spans="1:16" s="125" customFormat="1">
      <c r="A7" s="171">
        <f t="shared" ref="A7:A71" si="0">A6+1</f>
        <v>3</v>
      </c>
      <c r="B7" s="125" t="s">
        <v>153</v>
      </c>
      <c r="D7" s="254" t="s">
        <v>406</v>
      </c>
    </row>
    <row r="8" spans="1:16" s="125" customFormat="1">
      <c r="A8" s="171">
        <f t="shared" si="0"/>
        <v>4</v>
      </c>
      <c r="E8" s="125" t="s">
        <v>157</v>
      </c>
    </row>
    <row r="9" spans="1:16" s="125" customFormat="1">
      <c r="A9" s="171">
        <f t="shared" si="0"/>
        <v>5</v>
      </c>
      <c r="E9" s="125" t="s">
        <v>154</v>
      </c>
    </row>
    <row r="10" spans="1:16" s="125" customFormat="1">
      <c r="A10" s="171">
        <f t="shared" si="0"/>
        <v>6</v>
      </c>
      <c r="E10" s="125" t="s">
        <v>155</v>
      </c>
    </row>
    <row r="11" spans="1:16" s="125" customFormat="1">
      <c r="A11" s="171">
        <f t="shared" si="0"/>
        <v>7</v>
      </c>
    </row>
    <row r="12" spans="1:16" s="125" customFormat="1">
      <c r="A12" s="171">
        <f t="shared" si="0"/>
        <v>8</v>
      </c>
      <c r="B12" s="125" t="s">
        <v>156</v>
      </c>
      <c r="D12" s="125" t="s">
        <v>158</v>
      </c>
    </row>
    <row r="13" spans="1:16" s="125" customFormat="1">
      <c r="A13" s="171">
        <f t="shared" si="0"/>
        <v>9</v>
      </c>
      <c r="E13" s="125" t="s">
        <v>159</v>
      </c>
    </row>
    <row r="14" spans="1:16" s="125" customFormat="1">
      <c r="A14" s="171">
        <f t="shared" si="0"/>
        <v>10</v>
      </c>
    </row>
    <row r="15" spans="1:16" s="125" customFormat="1">
      <c r="A15" s="171">
        <f t="shared" si="0"/>
        <v>11</v>
      </c>
      <c r="B15" s="125" t="s">
        <v>160</v>
      </c>
      <c r="D15" s="125" t="s">
        <v>161</v>
      </c>
    </row>
    <row r="16" spans="1:16" s="125" customFormat="1">
      <c r="A16" s="171">
        <f t="shared" si="0"/>
        <v>12</v>
      </c>
    </row>
    <row r="17" spans="1:8" s="125" customFormat="1">
      <c r="A17" s="171">
        <f t="shared" si="0"/>
        <v>13</v>
      </c>
      <c r="D17" s="125" t="s">
        <v>20</v>
      </c>
    </row>
    <row r="18" spans="1:8" s="125" customFormat="1">
      <c r="A18" s="171">
        <f t="shared" si="0"/>
        <v>14</v>
      </c>
    </row>
    <row r="19" spans="1:8" s="125" customFormat="1">
      <c r="A19" s="171">
        <f t="shared" si="0"/>
        <v>15</v>
      </c>
      <c r="D19" s="125" t="s">
        <v>162</v>
      </c>
      <c r="F19" s="172" t="s">
        <v>163</v>
      </c>
      <c r="G19" s="125" t="s">
        <v>18</v>
      </c>
    </row>
    <row r="20" spans="1:8" s="125" customFormat="1">
      <c r="A20" s="171">
        <f t="shared" si="0"/>
        <v>16</v>
      </c>
      <c r="H20" s="125" t="s">
        <v>120</v>
      </c>
    </row>
    <row r="21" spans="1:8" s="125" customFormat="1">
      <c r="A21" s="171">
        <f t="shared" si="0"/>
        <v>17</v>
      </c>
      <c r="H21" s="125" t="s">
        <v>19</v>
      </c>
    </row>
    <row r="22" spans="1:8" s="125" customFormat="1">
      <c r="A22" s="171">
        <f t="shared" si="0"/>
        <v>18</v>
      </c>
    </row>
    <row r="23" spans="1:8" s="125" customFormat="1">
      <c r="A23" s="171">
        <f t="shared" si="0"/>
        <v>19</v>
      </c>
      <c r="B23" s="345" t="s">
        <v>436</v>
      </c>
    </row>
    <row r="24" spans="1:8" s="125" customFormat="1">
      <c r="A24" s="171">
        <f t="shared" si="0"/>
        <v>20</v>
      </c>
    </row>
    <row r="25" spans="1:8" s="125" customFormat="1">
      <c r="A25" s="171">
        <f t="shared" si="0"/>
        <v>21</v>
      </c>
      <c r="E25" s="119" t="s">
        <v>195</v>
      </c>
      <c r="F25" s="119" t="s">
        <v>196</v>
      </c>
      <c r="G25" s="173" t="s">
        <v>197</v>
      </c>
    </row>
    <row r="26" spans="1:8" s="125" customFormat="1">
      <c r="A26" s="171">
        <f t="shared" si="0"/>
        <v>22</v>
      </c>
      <c r="B26" s="347" t="s">
        <v>53</v>
      </c>
      <c r="E26" s="119"/>
      <c r="F26" s="119"/>
      <c r="G26" s="174"/>
    </row>
    <row r="27" spans="1:8" s="125" customFormat="1">
      <c r="A27" s="171">
        <f t="shared" si="0"/>
        <v>23</v>
      </c>
      <c r="C27" s="125" t="s">
        <v>56</v>
      </c>
      <c r="E27" s="119" t="s">
        <v>199</v>
      </c>
      <c r="F27" s="119">
        <v>2010</v>
      </c>
      <c r="G27" s="346" t="s">
        <v>437</v>
      </c>
    </row>
    <row r="28" spans="1:8" s="125" customFormat="1">
      <c r="A28" s="171">
        <f t="shared" si="0"/>
        <v>24</v>
      </c>
      <c r="C28" s="125" t="s">
        <v>57</v>
      </c>
      <c r="E28" s="119" t="s">
        <v>199</v>
      </c>
      <c r="F28" s="119">
        <v>2010</v>
      </c>
      <c r="G28" s="346" t="s">
        <v>438</v>
      </c>
    </row>
    <row r="29" spans="1:8" s="125" customFormat="1">
      <c r="A29" s="171">
        <f t="shared" si="0"/>
        <v>25</v>
      </c>
      <c r="C29" s="125" t="s">
        <v>58</v>
      </c>
      <c r="E29" s="119" t="str">
        <f>+E27</f>
        <v>May</v>
      </c>
      <c r="F29" s="119">
        <v>2010</v>
      </c>
      <c r="G29" s="346" t="s">
        <v>439</v>
      </c>
    </row>
    <row r="30" spans="1:8" s="125" customFormat="1">
      <c r="A30" s="171">
        <f t="shared" si="0"/>
        <v>26</v>
      </c>
      <c r="C30" s="125" t="s">
        <v>59</v>
      </c>
      <c r="E30" s="119" t="s">
        <v>54</v>
      </c>
      <c r="F30" s="119">
        <v>2010</v>
      </c>
      <c r="G30" s="173" t="s">
        <v>55</v>
      </c>
    </row>
    <row r="31" spans="1:8" s="125" customFormat="1">
      <c r="A31" s="171">
        <f t="shared" si="0"/>
        <v>27</v>
      </c>
      <c r="E31" s="119"/>
      <c r="F31" s="119"/>
      <c r="G31" s="173"/>
    </row>
    <row r="32" spans="1:8" s="125" customFormat="1">
      <c r="A32" s="171">
        <f t="shared" si="0"/>
        <v>28</v>
      </c>
      <c r="B32" s="347" t="s">
        <v>61</v>
      </c>
      <c r="E32" s="175"/>
      <c r="F32" s="119"/>
      <c r="G32" s="173"/>
    </row>
    <row r="33" spans="1:17" s="125" customFormat="1">
      <c r="A33" s="171">
        <f t="shared" si="0"/>
        <v>29</v>
      </c>
      <c r="C33" s="125" t="s">
        <v>60</v>
      </c>
      <c r="E33" s="119" t="s">
        <v>190</v>
      </c>
      <c r="F33" s="119">
        <v>2010</v>
      </c>
      <c r="G33" s="346" t="s">
        <v>440</v>
      </c>
    </row>
    <row r="34" spans="1:17" s="125" customFormat="1">
      <c r="A34" s="171">
        <f t="shared" si="0"/>
        <v>30</v>
      </c>
      <c r="C34" s="125" t="s">
        <v>62</v>
      </c>
      <c r="E34" s="119" t="s">
        <v>190</v>
      </c>
      <c r="F34" s="119">
        <v>2010</v>
      </c>
      <c r="G34" s="346" t="s">
        <v>441</v>
      </c>
    </row>
    <row r="35" spans="1:17" s="125" customFormat="1">
      <c r="A35" s="171">
        <f t="shared" si="0"/>
        <v>31</v>
      </c>
      <c r="C35" s="125" t="s">
        <v>63</v>
      </c>
      <c r="E35" s="119" t="s">
        <v>190</v>
      </c>
      <c r="F35" s="119">
        <v>2010</v>
      </c>
      <c r="G35" s="173" t="s">
        <v>47</v>
      </c>
    </row>
    <row r="36" spans="1:17" s="125" customFormat="1">
      <c r="A36" s="171">
        <f t="shared" si="0"/>
        <v>32</v>
      </c>
      <c r="C36" s="125" t="s">
        <v>64</v>
      </c>
      <c r="E36" s="119" t="s">
        <v>190</v>
      </c>
      <c r="F36" s="119">
        <v>2010</v>
      </c>
      <c r="G36" s="173" t="s">
        <v>66</v>
      </c>
    </row>
    <row r="37" spans="1:17" s="125" customFormat="1">
      <c r="A37" s="171">
        <f t="shared" si="0"/>
        <v>33</v>
      </c>
      <c r="C37" s="125" t="s">
        <v>65</v>
      </c>
      <c r="E37" s="119" t="s">
        <v>165</v>
      </c>
      <c r="F37" s="119">
        <v>2010</v>
      </c>
      <c r="G37" s="173" t="s">
        <v>23</v>
      </c>
    </row>
    <row r="38" spans="1:17" s="125" customFormat="1">
      <c r="A38" s="171">
        <f t="shared" si="0"/>
        <v>34</v>
      </c>
      <c r="C38" s="125" t="s">
        <v>22</v>
      </c>
      <c r="E38" s="175" t="s">
        <v>167</v>
      </c>
      <c r="F38" s="119">
        <v>2011</v>
      </c>
      <c r="G38" s="173" t="s">
        <v>67</v>
      </c>
    </row>
    <row r="39" spans="1:17" s="125" customFormat="1">
      <c r="A39" s="171">
        <f t="shared" si="0"/>
        <v>35</v>
      </c>
    </row>
    <row r="40" spans="1:17" s="125" customFormat="1">
      <c r="A40" s="171">
        <f t="shared" si="0"/>
        <v>36</v>
      </c>
      <c r="E40" s="125" t="s">
        <v>168</v>
      </c>
      <c r="F40" s="125" t="s">
        <v>169</v>
      </c>
    </row>
    <row r="41" spans="1:17" s="125" customFormat="1">
      <c r="A41" s="171">
        <f t="shared" si="0"/>
        <v>37</v>
      </c>
      <c r="F41" s="125" t="s">
        <v>170</v>
      </c>
    </row>
    <row r="42" spans="1:17" s="125" customFormat="1">
      <c r="A42" s="171">
        <f t="shared" si="0"/>
        <v>38</v>
      </c>
      <c r="F42" s="125" t="s">
        <v>171</v>
      </c>
    </row>
    <row r="43" spans="1:17" s="125" customFormat="1">
      <c r="A43" s="171">
        <f t="shared" si="0"/>
        <v>39</v>
      </c>
      <c r="F43" s="125" t="s">
        <v>121</v>
      </c>
    </row>
    <row r="44" spans="1:17" s="125" customFormat="1">
      <c r="A44" s="171">
        <f t="shared" si="0"/>
        <v>40</v>
      </c>
      <c r="F44" s="125" t="s">
        <v>182</v>
      </c>
    </row>
    <row r="45" spans="1:17" s="125" customFormat="1">
      <c r="A45" s="171">
        <f t="shared" si="0"/>
        <v>41</v>
      </c>
      <c r="F45" s="125" t="s">
        <v>183</v>
      </c>
    </row>
    <row r="46" spans="1:17" s="125" customFormat="1">
      <c r="A46" s="171">
        <f t="shared" si="0"/>
        <v>42</v>
      </c>
    </row>
    <row r="47" spans="1:17" s="125" customFormat="1">
      <c r="A47" s="171">
        <f t="shared" si="0"/>
        <v>43</v>
      </c>
      <c r="F47" s="254" t="s">
        <v>404</v>
      </c>
    </row>
    <row r="48" spans="1:17">
      <c r="A48" s="138">
        <f t="shared" si="0"/>
        <v>44</v>
      </c>
      <c r="B48" s="125"/>
      <c r="C48" s="125"/>
      <c r="D48" s="347"/>
      <c r="E48" s="347"/>
      <c r="F48" s="347"/>
      <c r="G48" s="347"/>
      <c r="H48" s="347"/>
      <c r="I48" s="347"/>
      <c r="J48" s="347"/>
      <c r="K48" s="347"/>
      <c r="L48" s="347"/>
      <c r="M48" s="347" t="s">
        <v>215</v>
      </c>
      <c r="N48" s="347" t="s">
        <v>304</v>
      </c>
      <c r="O48" s="254"/>
      <c r="P48" s="125"/>
      <c r="Q48" s="125"/>
    </row>
    <row r="49" spans="1:17">
      <c r="A49" s="138">
        <f t="shared" si="0"/>
        <v>45</v>
      </c>
      <c r="B49" s="125"/>
      <c r="C49" s="125" t="s">
        <v>266</v>
      </c>
      <c r="D49" s="347" t="str">
        <f>"True-Up Amount (Transmission see pg 7 line 92 and Schedule 1 see pg 18 line 12)"</f>
        <v>True-Up Amount (Transmission see pg 7 line 92 and Schedule 1 see pg 18 line 12)</v>
      </c>
      <c r="E49" s="347"/>
      <c r="F49" s="347"/>
      <c r="G49" s="347"/>
      <c r="H49" s="347"/>
      <c r="I49" s="347"/>
      <c r="J49" s="347"/>
      <c r="K49" s="347"/>
      <c r="L49" s="347"/>
      <c r="M49" s="320">
        <f>+'True-Up'!J119</f>
        <v>-582589.71042962745</v>
      </c>
      <c r="N49" s="320">
        <f>+'BHP Sch. 1'!D22</f>
        <v>441843</v>
      </c>
      <c r="O49" s="340"/>
      <c r="P49" s="125"/>
      <c r="Q49" s="125"/>
    </row>
    <row r="50" spans="1:17">
      <c r="A50" s="138">
        <f t="shared" si="0"/>
        <v>46</v>
      </c>
      <c r="B50" s="125"/>
      <c r="C50" s="125" t="s">
        <v>267</v>
      </c>
      <c r="D50" s="347" t="s">
        <v>48</v>
      </c>
      <c r="E50" s="347"/>
      <c r="F50" s="347"/>
      <c r="G50" s="347"/>
      <c r="H50" s="347"/>
      <c r="I50" s="347"/>
      <c r="J50" s="347"/>
      <c r="K50" s="339"/>
      <c r="L50" s="347"/>
      <c r="M50" s="341">
        <f>ROUND((1+$K$74)^18,2)</f>
        <v>1.05</v>
      </c>
      <c r="N50" s="341">
        <f>ROUND((1+$K$74)^18,2)</f>
        <v>1.05</v>
      </c>
      <c r="O50" s="340"/>
      <c r="P50" s="125"/>
      <c r="Q50" s="125"/>
    </row>
    <row r="51" spans="1:17">
      <c r="A51" s="138">
        <f t="shared" si="0"/>
        <v>47</v>
      </c>
      <c r="B51" s="125"/>
      <c r="C51" s="125" t="s">
        <v>268</v>
      </c>
      <c r="D51" s="347" t="s">
        <v>442</v>
      </c>
      <c r="E51" s="347"/>
      <c r="F51" s="347"/>
      <c r="G51" s="347"/>
      <c r="H51" s="347"/>
      <c r="I51" s="347"/>
      <c r="J51" s="347"/>
      <c r="K51" s="339"/>
      <c r="L51" s="347"/>
      <c r="M51" s="338">
        <f>+M49*M50</f>
        <v>-611719.19595110882</v>
      </c>
      <c r="N51" s="337">
        <f>+N49*N50</f>
        <v>463935.15</v>
      </c>
      <c r="O51" s="340"/>
      <c r="P51" s="125"/>
      <c r="Q51" s="125"/>
    </row>
    <row r="52" spans="1:17">
      <c r="A52" s="138">
        <f t="shared" si="0"/>
        <v>48</v>
      </c>
      <c r="B52" s="125"/>
      <c r="C52" s="125"/>
      <c r="D52" s="125"/>
      <c r="E52" s="125"/>
      <c r="F52" s="125"/>
      <c r="G52" s="125"/>
      <c r="H52" s="125"/>
      <c r="I52" s="125"/>
      <c r="J52" s="125"/>
      <c r="K52" s="336"/>
      <c r="L52" s="125"/>
      <c r="M52" s="125"/>
      <c r="N52" s="125"/>
      <c r="O52" s="336"/>
      <c r="P52" s="125"/>
      <c r="Q52" s="125"/>
    </row>
    <row r="53" spans="1:17">
      <c r="A53" s="138">
        <f t="shared" si="0"/>
        <v>49</v>
      </c>
      <c r="B53" s="125"/>
      <c r="C53" s="125"/>
      <c r="D53" s="125"/>
      <c r="E53" s="125" t="s">
        <v>162</v>
      </c>
      <c r="F53" s="125" t="s">
        <v>184</v>
      </c>
      <c r="G53" s="125"/>
      <c r="H53" s="125"/>
      <c r="I53" s="125"/>
      <c r="J53" s="125"/>
      <c r="K53" s="336"/>
      <c r="L53" s="125"/>
      <c r="M53" s="125"/>
      <c r="N53" s="125"/>
      <c r="O53" s="336"/>
      <c r="P53" s="125"/>
      <c r="Q53" s="125"/>
    </row>
    <row r="54" spans="1:17">
      <c r="A54" s="138">
        <f t="shared" si="0"/>
        <v>50</v>
      </c>
      <c r="K54" s="120"/>
      <c r="N54" s="120"/>
      <c r="O54" s="120"/>
    </row>
    <row r="55" spans="1:17">
      <c r="A55" s="138">
        <f t="shared" si="0"/>
        <v>51</v>
      </c>
      <c r="D55" s="120" t="s">
        <v>185</v>
      </c>
      <c r="E55" s="120"/>
      <c r="F55" s="120"/>
      <c r="G55" s="120"/>
      <c r="H55" s="120"/>
      <c r="I55" s="120"/>
      <c r="J55" s="120"/>
      <c r="K55" s="120"/>
    </row>
    <row r="56" spans="1:17">
      <c r="A56" s="138">
        <f t="shared" si="0"/>
        <v>52</v>
      </c>
      <c r="D56" s="120"/>
      <c r="E56" s="120"/>
      <c r="F56" s="120"/>
      <c r="G56" s="120"/>
      <c r="H56" s="120"/>
      <c r="I56" s="120"/>
      <c r="J56" s="120"/>
      <c r="K56" s="131" t="s">
        <v>10</v>
      </c>
    </row>
    <row r="57" spans="1:17">
      <c r="A57" s="138">
        <f t="shared" si="0"/>
        <v>53</v>
      </c>
      <c r="D57" s="120"/>
      <c r="E57" s="122" t="s">
        <v>195</v>
      </c>
      <c r="F57" s="121"/>
      <c r="G57" s="121"/>
      <c r="H57" s="122" t="s">
        <v>196</v>
      </c>
      <c r="I57" s="144"/>
      <c r="J57" s="120"/>
      <c r="K57" s="122" t="s">
        <v>186</v>
      </c>
      <c r="N57" s="319"/>
    </row>
    <row r="58" spans="1:17">
      <c r="A58" s="138">
        <f t="shared" si="0"/>
        <v>54</v>
      </c>
      <c r="E58" s="118" t="s">
        <v>167</v>
      </c>
      <c r="H58" s="118" t="s">
        <v>193</v>
      </c>
      <c r="K58" s="176">
        <v>2.8E-3</v>
      </c>
      <c r="M58" s="318"/>
      <c r="N58" s="318"/>
    </row>
    <row r="59" spans="1:17">
      <c r="A59" s="138">
        <f t="shared" si="0"/>
        <v>55</v>
      </c>
      <c r="E59" s="118" t="s">
        <v>187</v>
      </c>
      <c r="H59" s="118" t="s">
        <v>193</v>
      </c>
      <c r="K59" s="176">
        <v>2.5000000000000001E-3</v>
      </c>
      <c r="M59" s="318"/>
      <c r="N59" s="318"/>
    </row>
    <row r="60" spans="1:17">
      <c r="A60" s="138">
        <f t="shared" si="0"/>
        <v>56</v>
      </c>
      <c r="E60" s="118" t="s">
        <v>188</v>
      </c>
      <c r="H60" s="118" t="s">
        <v>193</v>
      </c>
      <c r="K60" s="176">
        <v>2.8E-3</v>
      </c>
      <c r="M60" s="318"/>
      <c r="N60" s="318"/>
    </row>
    <row r="61" spans="1:17">
      <c r="A61" s="138">
        <f t="shared" si="0"/>
        <v>57</v>
      </c>
      <c r="E61" s="118" t="s">
        <v>198</v>
      </c>
      <c r="H61" s="118" t="s">
        <v>193</v>
      </c>
      <c r="K61" s="176">
        <v>2.7000000000000001E-3</v>
      </c>
      <c r="M61" s="318"/>
      <c r="N61" s="318"/>
    </row>
    <row r="62" spans="1:17">
      <c r="A62" s="138">
        <f t="shared" si="0"/>
        <v>58</v>
      </c>
      <c r="E62" s="118" t="s">
        <v>199</v>
      </c>
      <c r="H62" s="118" t="s">
        <v>193</v>
      </c>
      <c r="K62" s="176">
        <v>2.8E-3</v>
      </c>
      <c r="M62" s="318"/>
      <c r="N62" s="318"/>
    </row>
    <row r="63" spans="1:17">
      <c r="A63" s="138">
        <f t="shared" si="0"/>
        <v>59</v>
      </c>
      <c r="E63" s="118" t="s">
        <v>200</v>
      </c>
      <c r="H63" s="118" t="s">
        <v>193</v>
      </c>
      <c r="K63" s="176">
        <v>2.7000000000000001E-3</v>
      </c>
      <c r="M63" s="318"/>
      <c r="N63" s="318"/>
    </row>
    <row r="64" spans="1:17">
      <c r="A64" s="138">
        <f t="shared" si="0"/>
        <v>60</v>
      </c>
      <c r="E64" s="118" t="s">
        <v>189</v>
      </c>
      <c r="H64" s="118" t="s">
        <v>193</v>
      </c>
      <c r="K64" s="176">
        <v>2.8E-3</v>
      </c>
      <c r="M64" s="318"/>
      <c r="N64" s="318"/>
    </row>
    <row r="65" spans="1:14">
      <c r="A65" s="138">
        <f t="shared" si="0"/>
        <v>61</v>
      </c>
      <c r="E65" s="118" t="s">
        <v>164</v>
      </c>
      <c r="H65" s="118" t="s">
        <v>193</v>
      </c>
      <c r="K65" s="176">
        <v>2.8E-3</v>
      </c>
      <c r="M65" s="318"/>
      <c r="N65" s="318"/>
    </row>
    <row r="66" spans="1:14">
      <c r="A66" s="138">
        <f t="shared" si="0"/>
        <v>62</v>
      </c>
      <c r="E66" s="118" t="s">
        <v>190</v>
      </c>
      <c r="H66" s="118" t="s">
        <v>193</v>
      </c>
      <c r="K66" s="176">
        <v>2.7000000000000001E-3</v>
      </c>
      <c r="M66" s="318"/>
      <c r="N66" s="318"/>
    </row>
    <row r="67" spans="1:14">
      <c r="A67" s="138">
        <f t="shared" si="0"/>
        <v>63</v>
      </c>
      <c r="E67" s="118" t="s">
        <v>165</v>
      </c>
      <c r="H67" s="118" t="s">
        <v>193</v>
      </c>
      <c r="K67" s="176">
        <v>2.8E-3</v>
      </c>
      <c r="M67" s="318"/>
      <c r="N67" s="318"/>
    </row>
    <row r="68" spans="1:14">
      <c r="A68" s="138">
        <f t="shared" si="0"/>
        <v>64</v>
      </c>
      <c r="E68" s="118" t="s">
        <v>166</v>
      </c>
      <c r="H68" s="118" t="s">
        <v>193</v>
      </c>
      <c r="K68" s="176">
        <v>2.7000000000000001E-3</v>
      </c>
      <c r="M68" s="318"/>
      <c r="N68" s="318"/>
    </row>
    <row r="69" spans="1:14">
      <c r="A69" s="138">
        <f t="shared" si="0"/>
        <v>65</v>
      </c>
      <c r="E69" s="118" t="s">
        <v>191</v>
      </c>
      <c r="H69" s="118" t="s">
        <v>193</v>
      </c>
      <c r="K69" s="176">
        <v>2.8E-3</v>
      </c>
      <c r="M69" s="318"/>
      <c r="N69" s="318"/>
    </row>
    <row r="70" spans="1:14">
      <c r="A70" s="138">
        <f t="shared" si="0"/>
        <v>66</v>
      </c>
      <c r="E70" s="118" t="s">
        <v>167</v>
      </c>
      <c r="H70" s="118" t="s">
        <v>194</v>
      </c>
      <c r="K70" s="176">
        <v>2.8E-3</v>
      </c>
      <c r="M70" s="318"/>
      <c r="N70" s="318"/>
    </row>
    <row r="71" spans="1:14">
      <c r="A71" s="138">
        <f t="shared" si="0"/>
        <v>67</v>
      </c>
      <c r="E71" s="118" t="s">
        <v>187</v>
      </c>
      <c r="H71" s="118" t="s">
        <v>194</v>
      </c>
      <c r="K71" s="176">
        <v>2.5000000000000001E-3</v>
      </c>
      <c r="M71" s="318"/>
      <c r="N71" s="318"/>
    </row>
    <row r="72" spans="1:14">
      <c r="A72" s="138">
        <f>A71+1</f>
        <v>68</v>
      </c>
      <c r="E72" s="118" t="s">
        <v>188</v>
      </c>
      <c r="H72" s="118" t="s">
        <v>194</v>
      </c>
      <c r="K72" s="176">
        <v>2.8E-3</v>
      </c>
      <c r="M72" s="318"/>
      <c r="N72" s="318"/>
    </row>
    <row r="73" spans="1:14">
      <c r="A73" s="138">
        <f>A72+1</f>
        <v>69</v>
      </c>
      <c r="E73" s="118" t="s">
        <v>198</v>
      </c>
      <c r="H73" s="118" t="s">
        <v>194</v>
      </c>
      <c r="K73" s="176">
        <v>2.7000000000000001E-3</v>
      </c>
      <c r="M73" s="318"/>
      <c r="N73" s="318"/>
    </row>
    <row r="74" spans="1:14">
      <c r="A74" s="138">
        <f>A73+1</f>
        <v>70</v>
      </c>
      <c r="F74" s="118" t="s">
        <v>192</v>
      </c>
      <c r="K74" s="123">
        <f>ROUND(AVERAGE(K58:K73),6)</f>
        <v>2.7309999999999999E-3</v>
      </c>
      <c r="M74" s="318"/>
      <c r="N74" s="318"/>
    </row>
    <row r="75" spans="1:14">
      <c r="N75" s="319"/>
    </row>
  </sheetData>
  <phoneticPr fontId="21" type="noConversion"/>
  <pageMargins left="0.5" right="0.25" top="0.5" bottom="0.5" header="0.5" footer="0.5"/>
  <pageSetup scale="65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B10:J42"/>
  <sheetViews>
    <sheetView topLeftCell="A7" zoomScaleNormal="100" workbookViewId="0">
      <selection activeCell="J25" sqref="J25"/>
    </sheetView>
  </sheetViews>
  <sheetFormatPr defaultColWidth="7.109375" defaultRowHeight="12.75"/>
  <cols>
    <col min="1" max="1" width="8.109375" style="62" customWidth="1"/>
    <col min="2" max="2" width="3.5546875" style="62" customWidth="1"/>
    <col min="3" max="4" width="1.77734375" style="62" customWidth="1"/>
    <col min="5" max="5" width="4" style="62" customWidth="1"/>
    <col min="6" max="6" width="24.21875" style="62" customWidth="1"/>
    <col min="7" max="7" width="1.88671875" style="62" customWidth="1"/>
    <col min="8" max="8" width="8.21875" style="65" customWidth="1"/>
    <col min="9" max="9" width="8.21875" style="62" customWidth="1"/>
    <col min="10" max="16384" width="7.109375" style="62"/>
  </cols>
  <sheetData>
    <row r="10" spans="2:8">
      <c r="F10" s="330"/>
    </row>
    <row r="12" spans="2:8">
      <c r="B12" s="108" t="s">
        <v>204</v>
      </c>
      <c r="H12" s="332" t="s">
        <v>443</v>
      </c>
    </row>
    <row r="13" spans="2:8">
      <c r="B13" s="109" t="s">
        <v>205</v>
      </c>
      <c r="D13" s="127" t="s">
        <v>353</v>
      </c>
      <c r="E13" s="127"/>
      <c r="F13" s="127"/>
      <c r="H13" s="128" t="s">
        <v>180</v>
      </c>
    </row>
    <row r="14" spans="2:8">
      <c r="B14" s="63">
        <v>1</v>
      </c>
    </row>
    <row r="15" spans="2:8">
      <c r="B15" s="63">
        <v>2</v>
      </c>
      <c r="D15" s="64" t="s">
        <v>116</v>
      </c>
      <c r="E15" s="64"/>
    </row>
    <row r="16" spans="2:8">
      <c r="B16" s="63">
        <v>3</v>
      </c>
    </row>
    <row r="17" spans="2:8">
      <c r="B17" s="63">
        <v>4</v>
      </c>
      <c r="E17" s="62">
        <v>350</v>
      </c>
      <c r="F17" s="66" t="s">
        <v>354</v>
      </c>
      <c r="H17" s="59">
        <v>0</v>
      </c>
    </row>
    <row r="18" spans="2:8">
      <c r="B18" s="63">
        <v>5</v>
      </c>
      <c r="E18" s="62">
        <v>352</v>
      </c>
      <c r="F18" s="66" t="s">
        <v>355</v>
      </c>
      <c r="H18" s="59">
        <v>2.3900000000000001E-2</v>
      </c>
    </row>
    <row r="19" spans="2:8">
      <c r="B19" s="63">
        <v>6</v>
      </c>
      <c r="E19" s="62">
        <v>353</v>
      </c>
      <c r="F19" s="66" t="s">
        <v>356</v>
      </c>
      <c r="H19" s="59">
        <v>2.6599999999999999E-2</v>
      </c>
    </row>
    <row r="20" spans="2:8">
      <c r="B20" s="63">
        <v>7</v>
      </c>
      <c r="E20" s="62">
        <v>354</v>
      </c>
      <c r="F20" s="66" t="s">
        <v>357</v>
      </c>
      <c r="H20" s="59">
        <v>2.0400000000000001E-2</v>
      </c>
    </row>
    <row r="21" spans="2:8">
      <c r="B21" s="63">
        <v>8</v>
      </c>
      <c r="E21" s="62">
        <v>355</v>
      </c>
      <c r="F21" s="66" t="s">
        <v>358</v>
      </c>
      <c r="H21" s="59">
        <v>2.2200000000000001E-2</v>
      </c>
    </row>
    <row r="22" spans="2:8">
      <c r="B22" s="63">
        <v>9</v>
      </c>
      <c r="E22" s="62">
        <v>356</v>
      </c>
      <c r="F22" s="66" t="s">
        <v>359</v>
      </c>
      <c r="H22" s="59">
        <v>2.0400000000000001E-2</v>
      </c>
    </row>
    <row r="23" spans="2:8">
      <c r="B23" s="63">
        <v>10</v>
      </c>
      <c r="E23" s="62">
        <v>359</v>
      </c>
      <c r="F23" s="66" t="s">
        <v>360</v>
      </c>
      <c r="H23" s="59">
        <v>1.95E-2</v>
      </c>
    </row>
    <row r="24" spans="2:8">
      <c r="B24" s="63">
        <v>11</v>
      </c>
      <c r="F24" s="66" t="s">
        <v>3</v>
      </c>
      <c r="H24" s="59">
        <v>2.3199999999999998E-2</v>
      </c>
    </row>
    <row r="25" spans="2:8">
      <c r="B25" s="63">
        <v>12</v>
      </c>
      <c r="H25" s="59"/>
    </row>
    <row r="26" spans="2:8">
      <c r="B26" s="63">
        <v>13</v>
      </c>
      <c r="D26" s="64" t="s">
        <v>104</v>
      </c>
      <c r="H26" s="59"/>
    </row>
    <row r="27" spans="2:8">
      <c r="B27" s="63">
        <v>14</v>
      </c>
      <c r="H27" s="59"/>
    </row>
    <row r="28" spans="2:8">
      <c r="B28" s="63">
        <v>15</v>
      </c>
      <c r="E28" s="62">
        <v>389</v>
      </c>
      <c r="F28" s="66" t="s">
        <v>354</v>
      </c>
      <c r="H28" s="59">
        <v>0</v>
      </c>
    </row>
    <row r="29" spans="2:8">
      <c r="B29" s="63">
        <v>16</v>
      </c>
      <c r="E29" s="62">
        <v>390</v>
      </c>
      <c r="F29" s="66" t="s">
        <v>355</v>
      </c>
      <c r="H29" s="59">
        <v>4.7300000000000002E-2</v>
      </c>
    </row>
    <row r="30" spans="2:8">
      <c r="B30" s="63">
        <v>17</v>
      </c>
      <c r="E30" s="62">
        <v>391</v>
      </c>
      <c r="F30" s="66" t="s">
        <v>361</v>
      </c>
      <c r="H30" s="59">
        <v>0.1056</v>
      </c>
    </row>
    <row r="31" spans="2:8">
      <c r="B31" s="63">
        <v>18</v>
      </c>
      <c r="E31" s="62">
        <v>392</v>
      </c>
      <c r="F31" s="66" t="s">
        <v>362</v>
      </c>
      <c r="H31" s="59">
        <v>9.06E-2</v>
      </c>
    </row>
    <row r="32" spans="2:8">
      <c r="B32" s="63">
        <v>19</v>
      </c>
      <c r="E32" s="62">
        <v>393</v>
      </c>
      <c r="F32" s="66" t="s">
        <v>363</v>
      </c>
      <c r="H32" s="59">
        <v>4.2299999999999997E-2</v>
      </c>
    </row>
    <row r="33" spans="2:10">
      <c r="B33" s="63">
        <v>20</v>
      </c>
      <c r="E33" s="62">
        <v>394</v>
      </c>
      <c r="F33" s="66" t="s">
        <v>12</v>
      </c>
      <c r="H33" s="59">
        <v>4.2299999999999997E-2</v>
      </c>
    </row>
    <row r="34" spans="2:10">
      <c r="B34" s="63">
        <v>21</v>
      </c>
      <c r="E34" s="62">
        <v>395</v>
      </c>
      <c r="F34" s="66" t="s">
        <v>364</v>
      </c>
      <c r="H34" s="59">
        <v>3.0599999999999999E-2</v>
      </c>
    </row>
    <row r="35" spans="2:10">
      <c r="B35" s="63">
        <v>22</v>
      </c>
      <c r="E35" s="62">
        <v>396</v>
      </c>
      <c r="F35" s="66" t="s">
        <v>365</v>
      </c>
      <c r="H35" s="59">
        <v>4.2299999999999997E-2</v>
      </c>
    </row>
    <row r="36" spans="2:10">
      <c r="B36" s="63">
        <v>23</v>
      </c>
      <c r="E36" s="62">
        <v>397</v>
      </c>
      <c r="F36" s="66" t="s">
        <v>366</v>
      </c>
      <c r="H36" s="59">
        <v>4.3900000000000002E-2</v>
      </c>
    </row>
    <row r="37" spans="2:10">
      <c r="B37" s="63">
        <v>24</v>
      </c>
      <c r="E37" s="62">
        <v>398</v>
      </c>
      <c r="F37" s="66" t="s">
        <v>367</v>
      </c>
      <c r="H37" s="59">
        <v>5.8099999999999999E-2</v>
      </c>
    </row>
    <row r="38" spans="2:10">
      <c r="B38" s="331">
        <v>25</v>
      </c>
      <c r="C38" s="71"/>
      <c r="D38" s="71"/>
      <c r="E38" s="71"/>
      <c r="F38" s="139" t="s">
        <v>11</v>
      </c>
      <c r="G38" s="71"/>
      <c r="H38" s="60">
        <v>6.5299999999999997E-2</v>
      </c>
      <c r="I38" s="71"/>
      <c r="J38" s="71"/>
    </row>
    <row r="39" spans="2:10">
      <c r="B39" s="63"/>
    </row>
    <row r="40" spans="2:10">
      <c r="B40" s="63"/>
      <c r="D40" s="66" t="s">
        <v>444</v>
      </c>
      <c r="E40" s="129"/>
      <c r="F40" s="66"/>
    </row>
    <row r="41" spans="2:10">
      <c r="F41" s="66"/>
    </row>
    <row r="42" spans="2:10">
      <c r="F42" s="66"/>
    </row>
  </sheetData>
  <pageMargins left="0.5" right="0.5" top="0.75" bottom="0.75" header="0.5" footer="0.5"/>
  <pageSetup orientation="portrait" r:id="rId1"/>
  <headerFooter alignWithMargins="0">
    <oddHeader>&amp;C&amp;"Arial MT,Bold"&amp;10WORKPAPER 5
DEPRECIATION RATES
BLACK HILLS POWER, INC.&amp;RPage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BQ80"/>
  <sheetViews>
    <sheetView topLeftCell="B42" zoomScale="55" zoomScaleNormal="55" zoomScaleSheetLayoutView="85" workbookViewId="0">
      <selection activeCell="K53" sqref="K53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4.33203125" bestFit="1" customWidth="1"/>
    <col min="14" max="18" width="15.88671875" customWidth="1"/>
    <col min="20" max="20" width="14.44140625" bestFit="1" customWidth="1"/>
    <col min="21" max="21" width="12.88671875" bestFit="1" customWidth="1"/>
  </cols>
  <sheetData>
    <row r="1" spans="1:69" hidden="1"/>
    <row r="2" spans="1:69" ht="15.75" hidden="1">
      <c r="A2" s="7"/>
      <c r="B2" s="7"/>
      <c r="C2" s="7"/>
      <c r="D2" s="150"/>
      <c r="E2" s="22"/>
      <c r="F2" s="7"/>
      <c r="G2" s="7"/>
      <c r="H2" s="7"/>
      <c r="I2" s="7"/>
      <c r="J2" s="7"/>
      <c r="K2" s="7"/>
      <c r="L2" s="7"/>
      <c r="O2" s="2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</row>
    <row r="3" spans="1:69" hidden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</row>
    <row r="4" spans="1:69" ht="15" customHeight="1">
      <c r="A4" s="365" t="s">
        <v>330</v>
      </c>
      <c r="B4" s="365"/>
      <c r="C4" s="365"/>
      <c r="D4" s="365"/>
      <c r="E4" s="365"/>
      <c r="F4" s="365"/>
      <c r="G4" s="365"/>
      <c r="H4" s="365"/>
      <c r="I4" s="365"/>
      <c r="J4" s="365" t="s">
        <v>330</v>
      </c>
      <c r="K4" s="365"/>
      <c r="L4" s="365"/>
      <c r="M4" s="365"/>
      <c r="N4" s="365"/>
      <c r="O4" s="365"/>
      <c r="P4" s="365"/>
      <c r="Q4" s="365"/>
      <c r="R4" s="365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</row>
    <row r="5" spans="1:69" ht="15.75">
      <c r="A5" s="366" t="s">
        <v>203</v>
      </c>
      <c r="B5" s="366"/>
      <c r="C5" s="366"/>
      <c r="D5" s="366"/>
      <c r="E5" s="366"/>
      <c r="F5" s="366"/>
      <c r="G5" s="366"/>
      <c r="H5" s="366"/>
      <c r="I5" s="366"/>
      <c r="J5" s="366" t="s">
        <v>203</v>
      </c>
      <c r="K5" s="366"/>
      <c r="L5" s="366"/>
      <c r="M5" s="366"/>
      <c r="N5" s="366"/>
      <c r="O5" s="366"/>
      <c r="P5" s="366"/>
      <c r="Q5" s="366"/>
      <c r="R5" s="366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</row>
    <row r="6" spans="1:69">
      <c r="A6" s="7"/>
      <c r="B6" s="7"/>
      <c r="C6" s="2"/>
      <c r="D6" s="2"/>
      <c r="F6" s="2"/>
      <c r="G6" s="2"/>
      <c r="H6" s="2"/>
      <c r="I6" s="2"/>
      <c r="J6" s="7"/>
      <c r="K6" s="7"/>
      <c r="L6" s="2"/>
      <c r="M6" s="2"/>
      <c r="O6" s="2"/>
      <c r="P6" s="2"/>
      <c r="Q6" s="2"/>
      <c r="R6" s="2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</row>
    <row r="7" spans="1:69" ht="15" customHeight="1">
      <c r="A7" s="367" t="s">
        <v>329</v>
      </c>
      <c r="B7" s="367"/>
      <c r="C7" s="367"/>
      <c r="D7" s="367"/>
      <c r="E7" s="367"/>
      <c r="F7" s="367"/>
      <c r="G7" s="367"/>
      <c r="H7" s="367"/>
      <c r="I7" s="367"/>
      <c r="J7" s="367" t="s">
        <v>329</v>
      </c>
      <c r="K7" s="367"/>
      <c r="L7" s="367"/>
      <c r="M7" s="367"/>
      <c r="N7" s="367"/>
      <c r="O7" s="367"/>
      <c r="P7" s="367"/>
      <c r="Q7" s="367"/>
      <c r="R7" s="367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</row>
    <row r="8" spans="1:69">
      <c r="A8" s="14"/>
      <c r="B8" s="7"/>
      <c r="C8" s="2"/>
      <c r="D8" s="2"/>
      <c r="E8" s="10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</row>
    <row r="9" spans="1:69">
      <c r="A9" s="7"/>
      <c r="B9" s="7"/>
      <c r="C9" s="4"/>
      <c r="D9" s="4"/>
      <c r="E9" s="4"/>
      <c r="F9" s="5"/>
      <c r="G9" s="5"/>
      <c r="H9" s="5"/>
      <c r="I9" s="5"/>
      <c r="J9" s="5"/>
      <c r="K9" s="5"/>
      <c r="L9" s="4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</row>
    <row r="10" spans="1:69" ht="15.75">
      <c r="A10" s="7"/>
      <c r="B10" s="7"/>
      <c r="C10" s="3"/>
      <c r="D10" s="11" t="s">
        <v>214</v>
      </c>
      <c r="E10" s="5"/>
      <c r="F10" s="5"/>
      <c r="G10" s="5"/>
      <c r="H10" s="5"/>
      <c r="I10" s="5"/>
      <c r="J10" s="5"/>
      <c r="K10" s="5"/>
      <c r="L10" s="152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</row>
    <row r="11" spans="1:69" ht="15.75">
      <c r="A11" s="14" t="s">
        <v>204</v>
      </c>
      <c r="B11" s="7"/>
      <c r="C11" s="3"/>
      <c r="D11" s="18" t="s">
        <v>216</v>
      </c>
      <c r="E11" s="15" t="s">
        <v>217</v>
      </c>
      <c r="F11" s="19"/>
      <c r="G11" s="19"/>
      <c r="H11" s="19"/>
      <c r="I11" s="19"/>
      <c r="J11" s="19"/>
      <c r="K11" s="19"/>
      <c r="L11" s="329"/>
      <c r="O11" s="151"/>
      <c r="P11" s="151"/>
      <c r="Q11" s="177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</row>
    <row r="12" spans="1:69" ht="16.5" thickBot="1">
      <c r="A12" s="17" t="s">
        <v>205</v>
      </c>
      <c r="B12" s="7"/>
      <c r="C12" s="8" t="s">
        <v>219</v>
      </c>
      <c r="D12" s="5"/>
      <c r="E12" s="6" t="s">
        <v>29</v>
      </c>
      <c r="F12" s="6" t="s">
        <v>30</v>
      </c>
      <c r="G12" s="6" t="s">
        <v>31</v>
      </c>
      <c r="H12" s="24" t="s">
        <v>32</v>
      </c>
      <c r="I12" s="6" t="s">
        <v>33</v>
      </c>
      <c r="J12" s="6" t="s">
        <v>34</v>
      </c>
      <c r="K12" s="6" t="s">
        <v>35</v>
      </c>
      <c r="L12" s="24" t="s">
        <v>36</v>
      </c>
      <c r="M12" s="6" t="s">
        <v>153</v>
      </c>
      <c r="N12" s="6" t="s">
        <v>37</v>
      </c>
      <c r="O12" s="6" t="s">
        <v>38</v>
      </c>
      <c r="P12" s="6" t="s">
        <v>39</v>
      </c>
      <c r="Q12" s="6" t="s">
        <v>40</v>
      </c>
      <c r="R12" s="6" t="s">
        <v>41</v>
      </c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</row>
    <row r="13" spans="1:69">
      <c r="A13" s="14"/>
      <c r="B13" s="7"/>
      <c r="C13" s="3"/>
      <c r="D13" s="5"/>
      <c r="E13" s="153">
        <v>41609</v>
      </c>
      <c r="F13" s="328">
        <v>41640</v>
      </c>
      <c r="G13" s="328">
        <v>41671</v>
      </c>
      <c r="H13" s="328">
        <v>41699</v>
      </c>
      <c r="I13" s="328">
        <v>41730</v>
      </c>
      <c r="J13" s="328">
        <v>41760</v>
      </c>
      <c r="K13" s="328">
        <v>41791</v>
      </c>
      <c r="L13" s="328">
        <v>41821</v>
      </c>
      <c r="M13" s="328">
        <v>41852</v>
      </c>
      <c r="N13" s="328">
        <v>41883</v>
      </c>
      <c r="O13" s="328">
        <v>41913</v>
      </c>
      <c r="P13" s="328">
        <v>41944</v>
      </c>
      <c r="Q13" s="328">
        <v>41974</v>
      </c>
      <c r="R13" s="93" t="s">
        <v>24</v>
      </c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</row>
    <row r="14" spans="1:69">
      <c r="A14" s="14"/>
      <c r="B14" s="7"/>
      <c r="C14" s="3" t="s">
        <v>44</v>
      </c>
      <c r="D14" s="5" t="s">
        <v>446</v>
      </c>
      <c r="E14" s="93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93"/>
      <c r="S14" s="5"/>
      <c r="T14" s="5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1:69">
      <c r="A15" s="14">
        <v>1</v>
      </c>
      <c r="B15" s="7"/>
      <c r="C15" s="3" t="s">
        <v>221</v>
      </c>
      <c r="D15" s="5" t="s">
        <v>76</v>
      </c>
      <c r="E15" s="106">
        <v>519590401</v>
      </c>
      <c r="F15" s="106">
        <v>519710959</v>
      </c>
      <c r="G15" s="106">
        <v>519756383</v>
      </c>
      <c r="H15" s="106">
        <f>520203803+475979</f>
        <v>520679782</v>
      </c>
      <c r="I15" s="106">
        <v>524325433</v>
      </c>
      <c r="J15" s="106">
        <f>526255157+11146</f>
        <v>526266303</v>
      </c>
      <c r="K15" s="106">
        <v>526032787</v>
      </c>
      <c r="L15" s="106">
        <f>526087411-6055</f>
        <v>526081356</v>
      </c>
      <c r="M15" s="106">
        <f>526178608-6053</f>
        <v>526172555</v>
      </c>
      <c r="N15" s="106">
        <f>449178307+84115103</f>
        <v>533293410</v>
      </c>
      <c r="O15" s="106">
        <f>570817293-348505+829</f>
        <v>570469617</v>
      </c>
      <c r="P15" s="106">
        <f>570780345+348505</f>
        <v>571128850</v>
      </c>
      <c r="Q15" s="106">
        <v>571406548</v>
      </c>
      <c r="R15" s="106">
        <f>AVERAGE(E15:Q15)</f>
        <v>534993414.15384614</v>
      </c>
      <c r="S15" s="5"/>
      <c r="T15" s="7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1:69">
      <c r="A16" s="14">
        <f t="shared" ref="A16:A65" si="0">+A15+1</f>
        <v>2</v>
      </c>
      <c r="B16" s="7"/>
      <c r="C16" s="3" t="s">
        <v>223</v>
      </c>
      <c r="D16" s="5" t="s">
        <v>125</v>
      </c>
      <c r="E16" s="106">
        <v>115149092</v>
      </c>
      <c r="F16" s="106">
        <v>115153464</v>
      </c>
      <c r="G16" s="106">
        <v>115152568</v>
      </c>
      <c r="H16" s="106">
        <v>114979148</v>
      </c>
      <c r="I16" s="106">
        <v>115487342</v>
      </c>
      <c r="J16" s="106">
        <v>115802788</v>
      </c>
      <c r="K16" s="106">
        <v>115789241</v>
      </c>
      <c r="L16" s="106">
        <v>115825632</v>
      </c>
      <c r="M16" s="106">
        <v>115920829</v>
      </c>
      <c r="N16" s="106">
        <v>115935143</v>
      </c>
      <c r="O16" s="106">
        <v>116117524</v>
      </c>
      <c r="P16" s="106">
        <v>115946348</v>
      </c>
      <c r="Q16" s="106">
        <v>115948536</v>
      </c>
      <c r="R16" s="106">
        <f t="shared" ref="R16:R21" si="1">AVERAGE(E16:Q16)</f>
        <v>115631358.07692307</v>
      </c>
      <c r="S16" s="5"/>
      <c r="T16" s="7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1:69">
      <c r="A17" s="14">
        <f t="shared" si="0"/>
        <v>3</v>
      </c>
      <c r="B17" s="7"/>
      <c r="C17" s="3" t="s">
        <v>224</v>
      </c>
      <c r="D17" s="5" t="s">
        <v>126</v>
      </c>
      <c r="E17" s="106">
        <v>315970571</v>
      </c>
      <c r="F17" s="106">
        <v>316097028</v>
      </c>
      <c r="G17" s="106">
        <v>316851209</v>
      </c>
      <c r="H17" s="106">
        <v>317326910</v>
      </c>
      <c r="I17" s="106">
        <v>320894185</v>
      </c>
      <c r="J17" s="106">
        <v>322657555</v>
      </c>
      <c r="K17" s="106">
        <v>323860935</v>
      </c>
      <c r="L17" s="106">
        <v>324454810</v>
      </c>
      <c r="M17" s="106">
        <v>326045281</v>
      </c>
      <c r="N17" s="106">
        <v>333661920</v>
      </c>
      <c r="O17" s="106">
        <v>335718860</v>
      </c>
      <c r="P17" s="106">
        <v>336194643</v>
      </c>
      <c r="Q17" s="106">
        <v>336651742</v>
      </c>
      <c r="R17" s="106">
        <f>AVERAGE(E17:Q17)</f>
        <v>325106588.38461536</v>
      </c>
      <c r="S17" s="5"/>
      <c r="T17" s="7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1:69">
      <c r="A18" s="14">
        <f t="shared" si="0"/>
        <v>4</v>
      </c>
      <c r="B18" s="7"/>
      <c r="C18" s="3" t="s">
        <v>225</v>
      </c>
      <c r="D18" s="5" t="s">
        <v>27</v>
      </c>
      <c r="E18" s="106">
        <f>45842086-E20</f>
        <v>37668017</v>
      </c>
      <c r="F18" s="106">
        <f>45916667-F20</f>
        <v>37716573</v>
      </c>
      <c r="G18" s="106">
        <f>45881558-G20</f>
        <v>37683110</v>
      </c>
      <c r="H18" s="106">
        <f>47238150-H20</f>
        <v>39023193</v>
      </c>
      <c r="I18" s="106">
        <f>47379539-I20</f>
        <v>39164582</v>
      </c>
      <c r="J18" s="106">
        <f>46437963-J20</f>
        <v>38450499</v>
      </c>
      <c r="K18" s="106">
        <f>45537300-K20</f>
        <v>37921155</v>
      </c>
      <c r="L18" s="106">
        <f>46164058-L20</f>
        <v>38546614</v>
      </c>
      <c r="M18" s="106">
        <f>46727486-M20</f>
        <v>39096586</v>
      </c>
      <c r="N18" s="106">
        <f>46806394-N20</f>
        <v>39508278</v>
      </c>
      <c r="O18" s="106">
        <f>50165444-O20</f>
        <v>42865971</v>
      </c>
      <c r="P18" s="106">
        <f>50235418-P20</f>
        <v>42933140</v>
      </c>
      <c r="Q18" s="106">
        <f>49818554-Q20</f>
        <v>42574957</v>
      </c>
      <c r="R18" s="106">
        <f t="shared" si="1"/>
        <v>39473282.692307696</v>
      </c>
      <c r="S18" s="5"/>
      <c r="T18" s="7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1:69">
      <c r="A19" s="14">
        <f t="shared" si="0"/>
        <v>5</v>
      </c>
      <c r="B19" s="7"/>
      <c r="C19" s="3" t="s">
        <v>145</v>
      </c>
      <c r="D19" s="5" t="s">
        <v>25</v>
      </c>
      <c r="E19" s="106">
        <v>24248278.096221332</v>
      </c>
      <c r="F19" s="106">
        <v>24871384.083453394</v>
      </c>
      <c r="G19" s="106">
        <v>24886274.073064461</v>
      </c>
      <c r="H19" s="106">
        <v>24970361.373139527</v>
      </c>
      <c r="I19" s="106">
        <v>24994765.613955591</v>
      </c>
      <c r="J19" s="106">
        <v>24786648.906851657</v>
      </c>
      <c r="K19" s="106">
        <v>26034175.810041726</v>
      </c>
      <c r="L19" s="106">
        <v>26354425.54376379</v>
      </c>
      <c r="M19" s="106">
        <v>29103872.836659856</v>
      </c>
      <c r="N19" s="106">
        <v>29848448.304760922</v>
      </c>
      <c r="O19" s="106">
        <v>29723872.442040987</v>
      </c>
      <c r="P19" s="106">
        <v>29761308.734937053</v>
      </c>
      <c r="Q19" s="106">
        <v>29698608.717697117</v>
      </c>
      <c r="R19" s="106">
        <f t="shared" si="1"/>
        <v>26867878.810506728</v>
      </c>
      <c r="S19" s="5"/>
      <c r="T19" s="7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1:69">
      <c r="A20" s="14">
        <f t="shared" si="0"/>
        <v>6</v>
      </c>
      <c r="B20" s="7"/>
      <c r="C20" s="3" t="s">
        <v>106</v>
      </c>
      <c r="D20" s="5" t="s">
        <v>105</v>
      </c>
      <c r="E20" s="106">
        <v>8174069</v>
      </c>
      <c r="F20" s="106">
        <v>8200094</v>
      </c>
      <c r="G20" s="106">
        <v>8198448</v>
      </c>
      <c r="H20" s="106">
        <v>8214957</v>
      </c>
      <c r="I20" s="106">
        <v>8214957</v>
      </c>
      <c r="J20" s="106">
        <v>7987464</v>
      </c>
      <c r="K20" s="106">
        <v>7616145</v>
      </c>
      <c r="L20" s="106">
        <v>7617444</v>
      </c>
      <c r="M20" s="106">
        <v>7630900</v>
      </c>
      <c r="N20" s="106">
        <v>7298116</v>
      </c>
      <c r="O20" s="106">
        <v>7299473</v>
      </c>
      <c r="P20" s="106">
        <v>7302278</v>
      </c>
      <c r="Q20" s="106">
        <v>7243597</v>
      </c>
      <c r="R20" s="106">
        <f>AVERAGE(E20:Q20)</f>
        <v>7769072.461538462</v>
      </c>
      <c r="S20" s="5"/>
      <c r="T20" s="7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1:69">
      <c r="A21" s="14">
        <f t="shared" si="0"/>
        <v>7</v>
      </c>
      <c r="B21" s="7"/>
      <c r="C21" s="3" t="s">
        <v>227</v>
      </c>
      <c r="D21" s="5" t="s">
        <v>228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f t="shared" si="1"/>
        <v>0</v>
      </c>
      <c r="S21" s="5"/>
      <c r="T21" s="7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1:69">
      <c r="A22" s="14">
        <f t="shared" si="0"/>
        <v>8</v>
      </c>
      <c r="B22" s="7"/>
      <c r="C22" s="13" t="s">
        <v>4</v>
      </c>
      <c r="D22" s="5" t="str">
        <f>"(sum lines "&amp;A15&amp;" - "&amp;A21&amp;")"</f>
        <v>(sum lines 1 - 7)</v>
      </c>
      <c r="E22" s="156">
        <f t="shared" ref="E22:K22" si="2">SUM(E15:E21)</f>
        <v>1020800428.0962213</v>
      </c>
      <c r="F22" s="156">
        <f t="shared" si="2"/>
        <v>1021749502.0834534</v>
      </c>
      <c r="G22" s="156">
        <f t="shared" si="2"/>
        <v>1022527992.0730644</v>
      </c>
      <c r="H22" s="156">
        <f t="shared" si="2"/>
        <v>1025194351.3731395</v>
      </c>
      <c r="I22" s="156">
        <f t="shared" si="2"/>
        <v>1033081264.6139556</v>
      </c>
      <c r="J22" s="156">
        <f t="shared" si="2"/>
        <v>1035951257.9068516</v>
      </c>
      <c r="K22" s="156">
        <f t="shared" si="2"/>
        <v>1037254438.8100417</v>
      </c>
      <c r="L22" s="156">
        <f t="shared" ref="L22:R22" si="3">SUM(L15:L21)</f>
        <v>1038880281.5437638</v>
      </c>
      <c r="M22" s="156">
        <f t="shared" si="3"/>
        <v>1043970023.8366599</v>
      </c>
      <c r="N22" s="156">
        <f t="shared" si="3"/>
        <v>1059545315.3047609</v>
      </c>
      <c r="O22" s="156">
        <f t="shared" si="3"/>
        <v>1102195317.4420409</v>
      </c>
      <c r="P22" s="156">
        <f t="shared" si="3"/>
        <v>1103266567.734937</v>
      </c>
      <c r="Q22" s="156">
        <f t="shared" si="3"/>
        <v>1103523988.7176971</v>
      </c>
      <c r="R22" s="156">
        <f t="shared" si="3"/>
        <v>1049841594.5797374</v>
      </c>
      <c r="S22" s="5"/>
      <c r="T22" s="12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1:69">
      <c r="A23" s="14">
        <f t="shared" si="0"/>
        <v>9</v>
      </c>
      <c r="B23" s="7"/>
      <c r="C23" s="3"/>
      <c r="D23" s="5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5"/>
      <c r="T23" s="5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1:69">
      <c r="A24" s="14">
        <f t="shared" si="0"/>
        <v>10</v>
      </c>
      <c r="B24" s="7"/>
      <c r="C24" s="3" t="s">
        <v>45</v>
      </c>
      <c r="D24" s="5" t="s">
        <v>446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5"/>
      <c r="T24" s="5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1:69">
      <c r="A25" s="14">
        <f t="shared" si="0"/>
        <v>11</v>
      </c>
      <c r="B25" s="7"/>
      <c r="C25" s="3" t="str">
        <f>+C15</f>
        <v xml:space="preserve">  Production</v>
      </c>
      <c r="D25" s="5" t="s">
        <v>127</v>
      </c>
      <c r="E25" s="106">
        <v>195145538</v>
      </c>
      <c r="F25" s="106">
        <v>195981928</v>
      </c>
      <c r="G25" s="106">
        <v>197111659</v>
      </c>
      <c r="H25" s="106">
        <f>198155684+475980</f>
        <v>198631664</v>
      </c>
      <c r="I25" s="106">
        <f>198910892+475980</f>
        <v>199386872</v>
      </c>
      <c r="J25" s="106">
        <f>200010007+475980</f>
        <v>200485987</v>
      </c>
      <c r="K25" s="106">
        <f>201145090+475980</f>
        <v>201621070</v>
      </c>
      <c r="L25" s="106">
        <f>202485095+475980</f>
        <v>202961075</v>
      </c>
      <c r="M25" s="106">
        <f>203143077+475980</f>
        <v>203619057</v>
      </c>
      <c r="N25" s="106">
        <f>203663235+475980</f>
        <v>204139215</v>
      </c>
      <c r="O25" s="106">
        <f>155050322+3506048+475980</f>
        <v>159032350</v>
      </c>
      <c r="P25" s="106">
        <f>156301314+3506048+475980</f>
        <v>160283342</v>
      </c>
      <c r="Q25" s="106">
        <v>161552920</v>
      </c>
      <c r="R25" s="106">
        <f t="shared" ref="R25:R31" si="4">AVERAGE(E25:Q25)</f>
        <v>190765590.53846154</v>
      </c>
      <c r="S25" s="5"/>
      <c r="T25" s="5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1:69">
      <c r="A26" s="14">
        <f t="shared" si="0"/>
        <v>12</v>
      </c>
      <c r="B26" s="7"/>
      <c r="C26" s="3" t="s">
        <v>223</v>
      </c>
      <c r="D26" s="5" t="s">
        <v>128</v>
      </c>
      <c r="E26" s="106">
        <f>E71</f>
        <v>33874181.592067666</v>
      </c>
      <c r="F26" s="106">
        <f t="shared" ref="F26:Q26" si="5">F71</f>
        <v>34046713.836067669</v>
      </c>
      <c r="G26" s="106">
        <f t="shared" si="5"/>
        <v>34264741.930734329</v>
      </c>
      <c r="H26" s="106">
        <f t="shared" si="5"/>
        <v>34298560.122067668</v>
      </c>
      <c r="I26" s="106">
        <f t="shared" si="5"/>
        <v>34504538.012401</v>
      </c>
      <c r="J26" s="106">
        <f t="shared" si="5"/>
        <v>34557732.477067664</v>
      </c>
      <c r="K26" s="106">
        <f t="shared" si="5"/>
        <v>34810129.683900997</v>
      </c>
      <c r="L26" s="106">
        <f t="shared" si="5"/>
        <v>35073864.955900997</v>
      </c>
      <c r="M26" s="106">
        <f t="shared" si="5"/>
        <v>35217430.094067663</v>
      </c>
      <c r="N26" s="106">
        <f t="shared" si="5"/>
        <v>35282765.617900997</v>
      </c>
      <c r="O26" s="106">
        <f t="shared" si="5"/>
        <v>35847837.494101003</v>
      </c>
      <c r="P26" s="106">
        <f t="shared" si="5"/>
        <v>35951803.811500996</v>
      </c>
      <c r="Q26" s="106">
        <f t="shared" si="5"/>
        <v>36166017.238301001</v>
      </c>
      <c r="R26" s="106">
        <f t="shared" si="4"/>
        <v>34915101.297390744</v>
      </c>
      <c r="S26" s="5"/>
      <c r="T26" s="5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1:69">
      <c r="A27" s="14">
        <f t="shared" si="0"/>
        <v>13</v>
      </c>
      <c r="B27" s="7"/>
      <c r="C27" s="3" t="s">
        <v>224</v>
      </c>
      <c r="D27" s="5" t="s">
        <v>129</v>
      </c>
      <c r="E27" s="106">
        <v>105294212</v>
      </c>
      <c r="F27" s="106">
        <v>105813361</v>
      </c>
      <c r="G27" s="106">
        <v>106480430</v>
      </c>
      <c r="H27" s="106">
        <v>107144924</v>
      </c>
      <c r="I27" s="106">
        <v>107933279</v>
      </c>
      <c r="J27" s="106">
        <v>108604434</v>
      </c>
      <c r="K27" s="106">
        <v>109252825</v>
      </c>
      <c r="L27" s="106">
        <v>109411410</v>
      </c>
      <c r="M27" s="106">
        <v>109731644</v>
      </c>
      <c r="N27" s="106">
        <v>109636426</v>
      </c>
      <c r="O27" s="106">
        <v>111389582</v>
      </c>
      <c r="P27" s="106">
        <v>111868972</v>
      </c>
      <c r="Q27" s="106">
        <v>112236258</v>
      </c>
      <c r="R27" s="106">
        <f t="shared" si="4"/>
        <v>108830596.6923077</v>
      </c>
      <c r="S27" s="5"/>
      <c r="T27" s="5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1:69">
      <c r="A28" s="14">
        <f t="shared" si="0"/>
        <v>14</v>
      </c>
      <c r="B28" s="7"/>
      <c r="C28" s="3" t="str">
        <f>+C18</f>
        <v xml:space="preserve">  General &amp; Intangible</v>
      </c>
      <c r="D28" s="5" t="s">
        <v>28</v>
      </c>
      <c r="E28" s="106">
        <f>E75</f>
        <v>21234068.788190078</v>
      </c>
      <c r="F28" s="106">
        <f t="shared" ref="F28:Q28" si="6">F75</f>
        <v>21437657.304990079</v>
      </c>
      <c r="G28" s="106">
        <f t="shared" si="6"/>
        <v>21649932.280990079</v>
      </c>
      <c r="H28" s="106">
        <f t="shared" si="6"/>
        <v>21831205.38979008</v>
      </c>
      <c r="I28" s="106">
        <f t="shared" si="6"/>
        <v>22076644.72099008</v>
      </c>
      <c r="J28" s="106">
        <f t="shared" si="6"/>
        <v>21534687.51939008</v>
      </c>
      <c r="K28" s="106">
        <f t="shared" si="6"/>
        <v>21570757.367390078</v>
      </c>
      <c r="L28" s="106">
        <f t="shared" si="6"/>
        <v>21764139.949790079</v>
      </c>
      <c r="M28" s="106">
        <f t="shared" si="6"/>
        <v>22009577.487390079</v>
      </c>
      <c r="N28" s="106">
        <f t="shared" si="6"/>
        <v>21583492.73219008</v>
      </c>
      <c r="O28" s="106">
        <f t="shared" si="6"/>
        <v>21785687.06936508</v>
      </c>
      <c r="P28" s="106">
        <f t="shared" si="6"/>
        <v>21964832.317198411</v>
      </c>
      <c r="Q28" s="106">
        <f t="shared" si="6"/>
        <v>21666148.45709008</v>
      </c>
      <c r="R28" s="106">
        <f t="shared" si="4"/>
        <v>21700679.337288797</v>
      </c>
      <c r="S28" s="5"/>
      <c r="T28" s="5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1:69">
      <c r="A29" s="14">
        <f t="shared" si="0"/>
        <v>15</v>
      </c>
      <c r="B29" s="7"/>
      <c r="C29" s="3" t="s">
        <v>145</v>
      </c>
      <c r="D29" s="5" t="s">
        <v>26</v>
      </c>
      <c r="E29" s="106">
        <v>15077005.153015999</v>
      </c>
      <c r="F29" s="106">
        <v>15364622.761448663</v>
      </c>
      <c r="G29" s="106">
        <v>15353474.899179624</v>
      </c>
      <c r="H29" s="106">
        <v>15433505.036910588</v>
      </c>
      <c r="I29" s="106">
        <v>15530330.17464155</v>
      </c>
      <c r="J29" s="106">
        <v>15344478.312372513</v>
      </c>
      <c r="K29" s="106">
        <v>15743031.450103475</v>
      </c>
      <c r="L29" s="106">
        <v>15878976.587834438</v>
      </c>
      <c r="M29" s="106">
        <v>17702359.7255654</v>
      </c>
      <c r="N29" s="106">
        <v>18189150.863296364</v>
      </c>
      <c r="O29" s="106">
        <v>18364503.001027323</v>
      </c>
      <c r="P29" s="106">
        <v>18498122.138758287</v>
      </c>
      <c r="Q29" s="106">
        <v>18367403.27648925</v>
      </c>
      <c r="R29" s="106">
        <f t="shared" si="4"/>
        <v>16526689.49081873</v>
      </c>
      <c r="S29" s="5"/>
      <c r="T29" s="5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1:69" ht="18">
      <c r="A30" s="14">
        <f t="shared" si="0"/>
        <v>16</v>
      </c>
      <c r="B30" s="7"/>
      <c r="C30" s="3" t="str">
        <f>+C20</f>
        <v xml:space="preserve">  Communication System</v>
      </c>
      <c r="D30" s="5" t="s">
        <v>454</v>
      </c>
      <c r="E30" s="106">
        <f>E79</f>
        <v>2790113.8354399996</v>
      </c>
      <c r="F30" s="106">
        <f t="shared" ref="F30:Q30" si="7">F79</f>
        <v>2830523.9858399997</v>
      </c>
      <c r="G30" s="106">
        <f t="shared" si="7"/>
        <v>2869326.5026399996</v>
      </c>
      <c r="H30" s="106">
        <f t="shared" si="7"/>
        <v>2909825.4338400001</v>
      </c>
      <c r="I30" s="106">
        <f t="shared" si="7"/>
        <v>2950353.3650399996</v>
      </c>
      <c r="J30" s="106">
        <f t="shared" si="7"/>
        <v>2927088.3074399997</v>
      </c>
      <c r="K30" s="106">
        <f t="shared" si="7"/>
        <v>2593961.1394400001</v>
      </c>
      <c r="L30" s="106">
        <f t="shared" si="7"/>
        <v>2631539.04984</v>
      </c>
      <c r="M30" s="106">
        <f t="shared" si="7"/>
        <v>2669162.4898399999</v>
      </c>
      <c r="N30" s="106">
        <f t="shared" si="7"/>
        <v>2372936.4754399997</v>
      </c>
      <c r="O30" s="106">
        <f t="shared" si="7"/>
        <v>2418782.8032983332</v>
      </c>
      <c r="P30" s="106">
        <f t="shared" si="7"/>
        <v>2464503.5957816667</v>
      </c>
      <c r="Q30" s="106">
        <f t="shared" si="7"/>
        <v>2450338.9876733334</v>
      </c>
      <c r="R30" s="106">
        <f t="shared" si="4"/>
        <v>2682958.1516579483</v>
      </c>
      <c r="S30" s="16"/>
      <c r="T30" s="5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1:69">
      <c r="A31" s="14">
        <f t="shared" si="0"/>
        <v>17</v>
      </c>
      <c r="B31" s="7"/>
      <c r="C31" s="3" t="str">
        <f>+C21</f>
        <v xml:space="preserve">  Common</v>
      </c>
      <c r="D31" s="5" t="s">
        <v>228</v>
      </c>
      <c r="E31" s="106">
        <v>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>
        <v>0</v>
      </c>
      <c r="R31" s="106">
        <f t="shared" si="4"/>
        <v>0</v>
      </c>
      <c r="S31" s="5"/>
      <c r="T31" s="5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1:69">
      <c r="A32" s="14">
        <f t="shared" si="0"/>
        <v>18</v>
      </c>
      <c r="B32" s="7"/>
      <c r="C32" s="3" t="s">
        <v>6</v>
      </c>
      <c r="D32" s="5" t="str">
        <f>"(sum lines "&amp;A25&amp;" - "&amp;A31&amp;")"</f>
        <v>(sum lines 11 - 17)</v>
      </c>
      <c r="E32" s="156">
        <f>SUM(E25:E31)</f>
        <v>373415119.36871368</v>
      </c>
      <c r="F32" s="156">
        <f t="shared" ref="F32:O32" si="8">SUM(F25:F31)</f>
        <v>375474806.88834643</v>
      </c>
      <c r="G32" s="156">
        <f t="shared" si="8"/>
        <v>377729564.61354405</v>
      </c>
      <c r="H32" s="156">
        <f t="shared" si="8"/>
        <v>380249683.98260832</v>
      </c>
      <c r="I32" s="156">
        <f t="shared" si="8"/>
        <v>382382017.2730726</v>
      </c>
      <c r="J32" s="156">
        <f t="shared" si="8"/>
        <v>383454407.61627024</v>
      </c>
      <c r="K32" s="156">
        <f t="shared" si="8"/>
        <v>385591774.64083457</v>
      </c>
      <c r="L32" s="156">
        <f t="shared" si="8"/>
        <v>387721005.54336548</v>
      </c>
      <c r="M32" s="156">
        <f t="shared" si="8"/>
        <v>390949230.79686314</v>
      </c>
      <c r="N32" s="156">
        <f t="shared" si="8"/>
        <v>391203986.68882746</v>
      </c>
      <c r="O32" s="156">
        <f t="shared" si="8"/>
        <v>348838742.36779177</v>
      </c>
      <c r="P32" s="156">
        <f>SUM(P25:P31)</f>
        <v>351031575.86323941</v>
      </c>
      <c r="Q32" s="156">
        <f>SUM(Q25:Q31)</f>
        <v>352439085.95955372</v>
      </c>
      <c r="R32" s="156">
        <f>SUM(R25:R31)</f>
        <v>375421615.50792545</v>
      </c>
      <c r="S32" s="5"/>
      <c r="T32" s="255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1:69">
      <c r="A33" s="14">
        <f t="shared" si="0"/>
        <v>19</v>
      </c>
      <c r="B33" s="7"/>
      <c r="C33" s="7"/>
      <c r="D33" s="5" t="s">
        <v>202</v>
      </c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5"/>
      <c r="T33" s="5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1:69">
      <c r="A34" s="14">
        <f t="shared" si="0"/>
        <v>20</v>
      </c>
      <c r="B34" s="7"/>
      <c r="C34" s="3" t="s">
        <v>231</v>
      </c>
      <c r="D34" s="5" t="s">
        <v>446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5"/>
      <c r="T34" s="5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1:69">
      <c r="A35" s="14">
        <f t="shared" si="0"/>
        <v>21</v>
      </c>
      <c r="B35" s="7"/>
      <c r="C35" s="3" t="str">
        <f>+C25</f>
        <v xml:space="preserve">  Production</v>
      </c>
      <c r="D35" s="5" t="str">
        <f t="shared" ref="D35:D41" si="9">"(line "&amp;A15&amp;" - line "&amp;A25&amp;")"</f>
        <v>(line 1 - line 11)</v>
      </c>
      <c r="E35" s="106">
        <f t="shared" ref="E35:E41" si="10">+E15-E25</f>
        <v>324444863</v>
      </c>
      <c r="F35" s="106">
        <v>331621806.49000001</v>
      </c>
      <c r="G35" s="106">
        <v>330449225.38999999</v>
      </c>
      <c r="H35" s="106">
        <v>331171819.65999997</v>
      </c>
      <c r="I35" s="106">
        <v>330271636.25</v>
      </c>
      <c r="J35" s="106">
        <v>331402121.06</v>
      </c>
      <c r="K35" s="106">
        <v>334667046.00999999</v>
      </c>
      <c r="L35" s="106">
        <f t="shared" ref="L35:Q35" si="11">+L15-L25</f>
        <v>323120281</v>
      </c>
      <c r="M35" s="106">
        <f t="shared" si="11"/>
        <v>322553498</v>
      </c>
      <c r="N35" s="106">
        <f t="shared" si="11"/>
        <v>329154195</v>
      </c>
      <c r="O35" s="106">
        <f t="shared" si="11"/>
        <v>411437267</v>
      </c>
      <c r="P35" s="106">
        <f t="shared" si="11"/>
        <v>410845508</v>
      </c>
      <c r="Q35" s="106">
        <f t="shared" si="11"/>
        <v>409853628</v>
      </c>
      <c r="R35" s="106">
        <f t="shared" ref="R35:R41" si="12">R15-R25</f>
        <v>344227823.61538458</v>
      </c>
      <c r="S35" s="5"/>
      <c r="T35" s="5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1:69">
      <c r="A36" s="14">
        <f t="shared" si="0"/>
        <v>22</v>
      </c>
      <c r="B36" s="7"/>
      <c r="C36" s="3" t="s">
        <v>223</v>
      </c>
      <c r="D36" s="5" t="str">
        <f t="shared" si="9"/>
        <v>(line 2 - line 12)</v>
      </c>
      <c r="E36" s="106">
        <f t="shared" si="10"/>
        <v>81274910.407932341</v>
      </c>
      <c r="F36" s="106">
        <v>85914007.75999999</v>
      </c>
      <c r="G36" s="106">
        <v>85732373.789999992</v>
      </c>
      <c r="H36" s="106">
        <v>85818010.900000006</v>
      </c>
      <c r="I36" s="106">
        <v>85604847.060000002</v>
      </c>
      <c r="J36" s="106">
        <v>85543418.959999993</v>
      </c>
      <c r="K36" s="106">
        <v>85407864.129999995</v>
      </c>
      <c r="L36" s="106">
        <f t="shared" ref="L36:Q41" si="13">+L16-L26</f>
        <v>80751767.044099003</v>
      </c>
      <c r="M36" s="106">
        <f t="shared" si="13"/>
        <v>80703398.905932337</v>
      </c>
      <c r="N36" s="106">
        <f t="shared" si="13"/>
        <v>80652377.382099003</v>
      </c>
      <c r="O36" s="106">
        <f t="shared" si="13"/>
        <v>80269686.505898997</v>
      </c>
      <c r="P36" s="106">
        <f t="shared" si="13"/>
        <v>79994544.188499004</v>
      </c>
      <c r="Q36" s="106">
        <f t="shared" si="13"/>
        <v>79782518.761698991</v>
      </c>
      <c r="R36" s="106">
        <f t="shared" si="12"/>
        <v>80716256.779532328</v>
      </c>
      <c r="S36" s="5"/>
      <c r="T36" s="5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1:69">
      <c r="A37" s="14">
        <f t="shared" si="0"/>
        <v>23</v>
      </c>
      <c r="B37" s="7"/>
      <c r="C37" s="3" t="s">
        <v>305</v>
      </c>
      <c r="D37" s="5" t="str">
        <f t="shared" si="9"/>
        <v>(line 3 - line 13)</v>
      </c>
      <c r="E37" s="106">
        <f t="shared" si="10"/>
        <v>210676359</v>
      </c>
      <c r="F37" s="106">
        <v>197512435.06</v>
      </c>
      <c r="G37" s="106">
        <v>198553690.22</v>
      </c>
      <c r="H37" s="106">
        <v>196914180.90000001</v>
      </c>
      <c r="I37" s="106">
        <v>197356043.51999998</v>
      </c>
      <c r="J37" s="106">
        <v>200071038.20999998</v>
      </c>
      <c r="K37" s="106">
        <v>200507341.20999998</v>
      </c>
      <c r="L37" s="106">
        <f t="shared" si="13"/>
        <v>215043400</v>
      </c>
      <c r="M37" s="106">
        <f t="shared" si="13"/>
        <v>216313637</v>
      </c>
      <c r="N37" s="106">
        <f t="shared" si="13"/>
        <v>224025494</v>
      </c>
      <c r="O37" s="106">
        <f t="shared" si="13"/>
        <v>224329278</v>
      </c>
      <c r="P37" s="106">
        <f t="shared" si="13"/>
        <v>224325671</v>
      </c>
      <c r="Q37" s="106">
        <f t="shared" si="13"/>
        <v>224415484</v>
      </c>
      <c r="R37" s="106">
        <f t="shared" si="12"/>
        <v>216275991.69230765</v>
      </c>
      <c r="S37" s="5"/>
      <c r="T37" s="5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1:69">
      <c r="A38" s="14">
        <f t="shared" si="0"/>
        <v>24</v>
      </c>
      <c r="B38" s="7"/>
      <c r="C38" s="3" t="str">
        <f>+C28</f>
        <v xml:space="preserve">  General &amp; Intangible</v>
      </c>
      <c r="D38" s="5" t="str">
        <f t="shared" si="9"/>
        <v>(line 4 - line 14)</v>
      </c>
      <c r="E38" s="106">
        <f t="shared" si="10"/>
        <v>16433948.211809922</v>
      </c>
      <c r="F38" s="106">
        <v>16444136.400000006</v>
      </c>
      <c r="G38" s="106">
        <v>16309080.119999994</v>
      </c>
      <c r="H38" s="106">
        <v>17042855.430000007</v>
      </c>
      <c r="I38" s="106">
        <v>16200414.170000006</v>
      </c>
      <c r="J38" s="106">
        <v>16331800.399999999</v>
      </c>
      <c r="K38" s="106">
        <v>17774975.049999997</v>
      </c>
      <c r="L38" s="106">
        <f>+L18-L28</f>
        <v>16782474.050209921</v>
      </c>
      <c r="M38" s="106">
        <f>+M18-M28</f>
        <v>17087008.512609921</v>
      </c>
      <c r="N38" s="106">
        <f>+N18-N28</f>
        <v>17924785.26780992</v>
      </c>
      <c r="O38" s="106">
        <f t="shared" si="13"/>
        <v>21080283.93063492</v>
      </c>
      <c r="P38" s="106">
        <f t="shared" si="13"/>
        <v>20968307.682801589</v>
      </c>
      <c r="Q38" s="106">
        <f t="shared" si="13"/>
        <v>20908808.54290992</v>
      </c>
      <c r="R38" s="106">
        <f t="shared" si="12"/>
        <v>17772603.355018899</v>
      </c>
      <c r="S38" s="5"/>
      <c r="T38" s="5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1:69">
      <c r="A39" s="14">
        <f t="shared" si="0"/>
        <v>25</v>
      </c>
      <c r="B39" s="7"/>
      <c r="C39" s="3" t="s">
        <v>145</v>
      </c>
      <c r="D39" s="5" t="str">
        <f t="shared" si="9"/>
        <v>(line 5 - line 15)</v>
      </c>
      <c r="E39" s="106">
        <f t="shared" si="10"/>
        <v>9171272.9432053324</v>
      </c>
      <c r="F39" s="106">
        <v>7893135</v>
      </c>
      <c r="G39" s="106">
        <v>7927195</v>
      </c>
      <c r="H39" s="106">
        <v>7807137</v>
      </c>
      <c r="I39" s="106">
        <v>8189150</v>
      </c>
      <c r="J39" s="106">
        <v>7981257</v>
      </c>
      <c r="K39" s="106">
        <v>8117101</v>
      </c>
      <c r="L39" s="106">
        <f t="shared" si="13"/>
        <v>10475448.955929352</v>
      </c>
      <c r="M39" s="106">
        <f t="shared" si="13"/>
        <v>11401513.111094456</v>
      </c>
      <c r="N39" s="106">
        <f t="shared" si="13"/>
        <v>11659297.441464558</v>
      </c>
      <c r="O39" s="106">
        <f t="shared" si="13"/>
        <v>11359369.441013664</v>
      </c>
      <c r="P39" s="106">
        <f t="shared" si="13"/>
        <v>11263186.596178766</v>
      </c>
      <c r="Q39" s="106">
        <f t="shared" si="13"/>
        <v>11331205.441207867</v>
      </c>
      <c r="R39" s="106">
        <f t="shared" si="12"/>
        <v>10341189.319687998</v>
      </c>
      <c r="S39" s="5"/>
      <c r="T39" s="5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1:69">
      <c r="A40" s="14">
        <f t="shared" si="0"/>
        <v>26</v>
      </c>
      <c r="B40" s="7"/>
      <c r="C40" s="3" t="str">
        <f>+C30</f>
        <v xml:space="preserve">  Communication System</v>
      </c>
      <c r="D40" s="5" t="str">
        <f t="shared" si="9"/>
        <v>(line 6 - line 16)</v>
      </c>
      <c r="E40" s="106">
        <f t="shared" si="10"/>
        <v>5383955.1645600004</v>
      </c>
      <c r="F40" s="106">
        <v>6409924.25</v>
      </c>
      <c r="G40" s="106">
        <v>6389284.1500000004</v>
      </c>
      <c r="H40" s="106">
        <v>6362471.1800000006</v>
      </c>
      <c r="I40" s="106">
        <v>6358760.0899999999</v>
      </c>
      <c r="J40" s="106">
        <v>6331888.5</v>
      </c>
      <c r="K40" s="106">
        <v>6333383.7299999995</v>
      </c>
      <c r="L40" s="106">
        <f t="shared" si="13"/>
        <v>4985904.9501600005</v>
      </c>
      <c r="M40" s="106">
        <f t="shared" si="13"/>
        <v>4961737.5101600001</v>
      </c>
      <c r="N40" s="106">
        <f t="shared" si="13"/>
        <v>4925179.5245600007</v>
      </c>
      <c r="O40" s="106">
        <f t="shared" si="13"/>
        <v>4880690.1967016663</v>
      </c>
      <c r="P40" s="106">
        <f t="shared" si="13"/>
        <v>4837774.4042183328</v>
      </c>
      <c r="Q40" s="106">
        <f t="shared" si="13"/>
        <v>4793258.0123266671</v>
      </c>
      <c r="R40" s="106">
        <f t="shared" si="12"/>
        <v>5086114.3098805137</v>
      </c>
      <c r="S40" s="5"/>
      <c r="T40" s="5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1:69">
      <c r="A41" s="14">
        <f t="shared" si="0"/>
        <v>27</v>
      </c>
      <c r="B41" s="7"/>
      <c r="C41" s="3" t="str">
        <f>+C31</f>
        <v xml:space="preserve">  Common</v>
      </c>
      <c r="D41" s="5" t="str">
        <f t="shared" si="9"/>
        <v>(line 7 - line 17)</v>
      </c>
      <c r="E41" s="106">
        <f t="shared" si="10"/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f>+L21-L31</f>
        <v>0</v>
      </c>
      <c r="M41" s="106">
        <f>+M21-M31</f>
        <v>0</v>
      </c>
      <c r="N41" s="106">
        <f>+N21-N31</f>
        <v>0</v>
      </c>
      <c r="O41" s="106">
        <f t="shared" si="13"/>
        <v>0</v>
      </c>
      <c r="P41" s="106">
        <f t="shared" si="13"/>
        <v>0</v>
      </c>
      <c r="Q41" s="106">
        <f t="shared" si="13"/>
        <v>0</v>
      </c>
      <c r="R41" s="149">
        <f t="shared" si="12"/>
        <v>0</v>
      </c>
      <c r="S41" s="5"/>
      <c r="T41" s="5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</row>
    <row r="42" spans="1:69">
      <c r="A42" s="14">
        <f t="shared" si="0"/>
        <v>28</v>
      </c>
      <c r="B42" s="7"/>
      <c r="C42" s="3" t="s">
        <v>5</v>
      </c>
      <c r="D42" s="5" t="str">
        <f>"(sum lines "&amp;A35&amp;" - "&amp;A41&amp;")"</f>
        <v>(sum lines 21 - 27)</v>
      </c>
      <c r="E42" s="157">
        <f>SUM(E35:E41)</f>
        <v>647385308.72750747</v>
      </c>
      <c r="F42" s="157">
        <v>645795444.95999992</v>
      </c>
      <c r="G42" s="157">
        <v>645360848.66999996</v>
      </c>
      <c r="H42" s="157">
        <v>645116475.06999981</v>
      </c>
      <c r="I42" s="157">
        <v>643980851.08999991</v>
      </c>
      <c r="J42" s="157">
        <v>647661524.13</v>
      </c>
      <c r="K42" s="157">
        <v>652807711.12999988</v>
      </c>
      <c r="L42" s="157">
        <f t="shared" ref="L42:R42" si="14">SUM(L35:L41)</f>
        <v>651159276.00039828</v>
      </c>
      <c r="M42" s="157">
        <f t="shared" si="14"/>
        <v>653020793.03979671</v>
      </c>
      <c r="N42" s="157">
        <f t="shared" si="14"/>
        <v>668341328.61593342</v>
      </c>
      <c r="O42" s="157">
        <f t="shared" si="14"/>
        <v>753356575.07424927</v>
      </c>
      <c r="P42" s="157">
        <f t="shared" si="14"/>
        <v>752234991.87169766</v>
      </c>
      <c r="Q42" s="157">
        <f>SUM(Q35:Q41)</f>
        <v>751084902.75814342</v>
      </c>
      <c r="R42" s="157">
        <f t="shared" si="14"/>
        <v>674419979.0718118</v>
      </c>
      <c r="S42" s="5"/>
      <c r="T42" s="95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1:69">
      <c r="A43" s="14"/>
      <c r="B43" s="7"/>
      <c r="C43" s="3"/>
      <c r="D43" s="5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5"/>
      <c r="T43" s="95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1:69">
      <c r="A44" s="14"/>
      <c r="B44" s="7"/>
      <c r="C44" s="3" t="s">
        <v>445</v>
      </c>
      <c r="D44" s="5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5"/>
      <c r="T44" s="95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1:69" ht="18">
      <c r="A45" s="14"/>
      <c r="B45" s="7"/>
      <c r="C45" s="348" t="s">
        <v>455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95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  <row r="46" spans="1:69">
      <c r="A46" s="14"/>
      <c r="B46" s="7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95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</row>
    <row r="47" spans="1:69" ht="23.25">
      <c r="A47" s="14"/>
      <c r="B47" s="7"/>
      <c r="C47" s="3"/>
      <c r="D47" s="5"/>
      <c r="E47" s="154" t="s">
        <v>418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95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</row>
    <row r="48" spans="1:69">
      <c r="A48" s="14">
        <f>+A42+1</f>
        <v>29</v>
      </c>
      <c r="B48" s="7"/>
      <c r="C48" s="7"/>
      <c r="D48" s="5"/>
      <c r="E48" s="130" t="s">
        <v>29</v>
      </c>
      <c r="F48" s="130" t="s">
        <v>30</v>
      </c>
      <c r="G48" s="130" t="s">
        <v>31</v>
      </c>
      <c r="H48" s="5"/>
      <c r="I48" s="5"/>
      <c r="J48" s="5"/>
      <c r="K48" s="5"/>
      <c r="L48" s="5"/>
      <c r="O48" s="151"/>
      <c r="P48" s="151"/>
      <c r="Q48" s="307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</row>
    <row r="49" spans="1:62">
      <c r="A49" s="14">
        <f t="shared" si="0"/>
        <v>30</v>
      </c>
      <c r="B49" s="7"/>
      <c r="C49" s="13" t="s">
        <v>309</v>
      </c>
      <c r="D49" s="5"/>
      <c r="E49" s="153">
        <v>41609</v>
      </c>
      <c r="F49" s="328">
        <v>41974</v>
      </c>
      <c r="G49" s="5" t="s">
        <v>43</v>
      </c>
      <c r="H49" s="5"/>
      <c r="I49" s="5"/>
      <c r="J49" s="353"/>
      <c r="K49" s="354" t="s">
        <v>465</v>
      </c>
      <c r="L49" s="354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</row>
    <row r="50" spans="1:62">
      <c r="A50" s="14">
        <f t="shared" si="0"/>
        <v>31</v>
      </c>
      <c r="B50" s="7"/>
      <c r="C50" s="3" t="s">
        <v>277</v>
      </c>
      <c r="D50" s="179" t="s">
        <v>399</v>
      </c>
      <c r="E50" s="106">
        <v>0</v>
      </c>
      <c r="F50" s="106">
        <v>0</v>
      </c>
      <c r="G50" s="106">
        <f t="shared" ref="G50:G55" si="15">(+E50+F50)/2</f>
        <v>0</v>
      </c>
      <c r="H50" s="16"/>
      <c r="I50" s="16"/>
      <c r="J50" s="353"/>
      <c r="K50" s="153">
        <v>41609</v>
      </c>
      <c r="L50" s="328">
        <v>41974</v>
      </c>
      <c r="O50" s="151"/>
      <c r="P50" s="151"/>
      <c r="Q50" s="5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</row>
    <row r="51" spans="1:62">
      <c r="A51" s="14">
        <f t="shared" si="0"/>
        <v>32</v>
      </c>
      <c r="B51" s="7"/>
      <c r="C51" s="3" t="s">
        <v>278</v>
      </c>
      <c r="D51" s="179" t="s">
        <v>403</v>
      </c>
      <c r="E51" s="106">
        <f>K54</f>
        <v>-165342874.27549422</v>
      </c>
      <c r="F51" s="106">
        <f>L54</f>
        <v>-187647134.48907253</v>
      </c>
      <c r="G51" s="106">
        <f t="shared" si="15"/>
        <v>-176495004.38228339</v>
      </c>
      <c r="H51" s="5"/>
      <c r="I51" s="5"/>
      <c r="J51" s="353"/>
      <c r="K51" s="354"/>
      <c r="L51" s="354"/>
      <c r="O51" s="151"/>
      <c r="P51" s="151"/>
      <c r="Q51" s="5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</row>
    <row r="52" spans="1:62">
      <c r="A52" s="14">
        <f t="shared" si="0"/>
        <v>33</v>
      </c>
      <c r="B52" s="7"/>
      <c r="C52" s="3" t="s">
        <v>279</v>
      </c>
      <c r="D52" s="179" t="s">
        <v>400</v>
      </c>
      <c r="E52" s="149">
        <v>-20503169</v>
      </c>
      <c r="F52" s="149">
        <v>-28378776</v>
      </c>
      <c r="G52" s="106">
        <f t="shared" si="15"/>
        <v>-24440972.5</v>
      </c>
      <c r="H52" s="5"/>
      <c r="I52" s="5"/>
      <c r="J52" s="353" t="s">
        <v>466</v>
      </c>
      <c r="K52" s="106">
        <v>-163640176</v>
      </c>
      <c r="L52" s="106">
        <v>-185559862</v>
      </c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</row>
    <row r="53" spans="1:62">
      <c r="A53" s="14">
        <f t="shared" si="0"/>
        <v>34</v>
      </c>
      <c r="B53" s="7"/>
      <c r="C53" s="3" t="s">
        <v>281</v>
      </c>
      <c r="D53" s="179" t="s">
        <v>402</v>
      </c>
      <c r="E53" s="149">
        <v>17628335</v>
      </c>
      <c r="F53" s="149">
        <v>33629868</v>
      </c>
      <c r="G53" s="106">
        <f t="shared" si="15"/>
        <v>25629101.5</v>
      </c>
      <c r="H53" s="5"/>
      <c r="I53" s="5"/>
      <c r="J53" s="354" t="s">
        <v>467</v>
      </c>
      <c r="K53" s="130">
        <v>-1702698.2754942107</v>
      </c>
      <c r="L53" s="130">
        <v>-2087272.4890725443</v>
      </c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</row>
    <row r="54" spans="1:62">
      <c r="A54" s="14">
        <f t="shared" si="0"/>
        <v>35</v>
      </c>
      <c r="B54" s="7"/>
      <c r="C54" s="7" t="s">
        <v>280</v>
      </c>
      <c r="D54" s="179" t="s">
        <v>401</v>
      </c>
      <c r="E54" s="149">
        <v>0</v>
      </c>
      <c r="F54" s="149">
        <v>0</v>
      </c>
      <c r="G54" s="106">
        <f t="shared" si="15"/>
        <v>0</v>
      </c>
      <c r="H54" s="5"/>
      <c r="I54" s="5"/>
      <c r="J54" s="354" t="s">
        <v>468</v>
      </c>
      <c r="K54" s="356">
        <f>K52+K53</f>
        <v>-165342874.27549422</v>
      </c>
      <c r="L54" s="356">
        <f>L52+L53</f>
        <v>-187647134.48907253</v>
      </c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</row>
    <row r="55" spans="1:62">
      <c r="A55" s="14">
        <f t="shared" si="0"/>
        <v>36</v>
      </c>
      <c r="B55" s="7"/>
      <c r="C55" s="3" t="s">
        <v>300</v>
      </c>
      <c r="D55" s="184" t="s">
        <v>412</v>
      </c>
      <c r="E55" s="155">
        <f>(8326730-313313)*0.35</f>
        <v>2804695.9499999997</v>
      </c>
      <c r="F55" s="155">
        <f>(8364870-91960)*0.35</f>
        <v>2895518.5</v>
      </c>
      <c r="G55" s="155">
        <f t="shared" si="15"/>
        <v>2850107.2249999996</v>
      </c>
      <c r="H55" s="5"/>
      <c r="I55" s="5"/>
      <c r="J55" s="5"/>
      <c r="K55" s="5"/>
      <c r="L55" s="9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</row>
    <row r="56" spans="1:62">
      <c r="A56" s="14">
        <f t="shared" si="0"/>
        <v>37</v>
      </c>
      <c r="B56" s="7"/>
      <c r="C56" s="3" t="s">
        <v>7</v>
      </c>
      <c r="D56" s="5" t="str">
        <f>"(sum lines "&amp;A50&amp;" - "&amp;A55&amp;")"</f>
        <v>(sum lines 31 - 36)</v>
      </c>
      <c r="E56" s="106">
        <f>SUM(E50:E55)</f>
        <v>-165413012.32549423</v>
      </c>
      <c r="F56" s="106">
        <f>SUM(F50:F55)</f>
        <v>-179500523.98907253</v>
      </c>
      <c r="G56" s="106">
        <f>SUM(G50:G55)</f>
        <v>-172456768.1572834</v>
      </c>
      <c r="H56" s="5"/>
      <c r="I56" s="5"/>
      <c r="J56" s="5"/>
      <c r="K56" s="5"/>
      <c r="L56" s="94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</row>
    <row r="57" spans="1:62">
      <c r="A57" s="14">
        <f t="shared" si="0"/>
        <v>38</v>
      </c>
      <c r="B57" s="7"/>
      <c r="C57" s="7"/>
      <c r="D57" s="5"/>
      <c r="E57" s="106"/>
      <c r="F57" s="106"/>
      <c r="G57" s="93"/>
      <c r="H57" s="5"/>
      <c r="I57" s="5"/>
      <c r="J57" s="5"/>
      <c r="K57" s="5"/>
      <c r="L57" s="5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</row>
    <row r="58" spans="1:62">
      <c r="A58" s="14">
        <f t="shared" si="0"/>
        <v>39</v>
      </c>
      <c r="B58" s="7"/>
      <c r="C58" s="13" t="s">
        <v>238</v>
      </c>
      <c r="D58" s="5" t="s">
        <v>308</v>
      </c>
      <c r="E58" s="106"/>
      <c r="F58" s="106"/>
      <c r="G58" s="106">
        <f>(+E58+F58)/2</f>
        <v>0</v>
      </c>
      <c r="H58" s="5"/>
      <c r="I58" s="5"/>
      <c r="J58" s="5"/>
      <c r="K58" s="5"/>
      <c r="L58" s="132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</row>
    <row r="59" spans="1:62">
      <c r="A59" s="14">
        <f t="shared" si="0"/>
        <v>40</v>
      </c>
      <c r="B59" s="7"/>
      <c r="C59" s="3"/>
      <c r="D59" s="5"/>
      <c r="E59" s="106"/>
      <c r="F59" s="106"/>
      <c r="G59" s="93"/>
      <c r="H59" s="5"/>
      <c r="I59" s="5"/>
      <c r="J59" s="5"/>
      <c r="K59" s="5"/>
      <c r="L59" s="5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</row>
    <row r="60" spans="1:62">
      <c r="A60" s="14">
        <f t="shared" si="0"/>
        <v>41</v>
      </c>
      <c r="B60" s="7"/>
      <c r="C60" s="3" t="s">
        <v>452</v>
      </c>
      <c r="D60" s="5"/>
      <c r="E60" s="106"/>
      <c r="F60" s="106"/>
      <c r="G60" s="93"/>
      <c r="H60" s="5"/>
      <c r="I60" s="5"/>
      <c r="J60" s="5"/>
      <c r="K60" s="5"/>
      <c r="L60" s="5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</row>
    <row r="61" spans="1:62">
      <c r="A61" s="14">
        <f t="shared" si="0"/>
        <v>42</v>
      </c>
      <c r="B61" s="7"/>
      <c r="C61" s="3"/>
      <c r="D61" s="22"/>
      <c r="E61" s="106"/>
      <c r="F61" s="106"/>
      <c r="G61" s="106">
        <f>(+E61+F61)/2</f>
        <v>0</v>
      </c>
      <c r="H61" s="5"/>
      <c r="I61" s="5"/>
      <c r="J61" s="5"/>
      <c r="K61" s="5"/>
      <c r="L61" s="6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</row>
    <row r="62" spans="1:62">
      <c r="A62" s="14">
        <f t="shared" si="0"/>
        <v>43</v>
      </c>
      <c r="B62" s="7"/>
      <c r="C62" s="3" t="s">
        <v>369</v>
      </c>
      <c r="D62" s="5" t="s">
        <v>140</v>
      </c>
      <c r="E62" s="149">
        <v>3998021</v>
      </c>
      <c r="F62" s="149">
        <v>4111763</v>
      </c>
      <c r="G62" s="106">
        <f>(+E62+F62)/2</f>
        <v>4054892</v>
      </c>
      <c r="H62" s="5"/>
      <c r="I62" s="5"/>
      <c r="J62" s="5"/>
      <c r="K62" s="5"/>
      <c r="L62" s="6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</row>
    <row r="63" spans="1:62">
      <c r="A63" s="14">
        <f t="shared" si="0"/>
        <v>44</v>
      </c>
      <c r="B63" s="7"/>
      <c r="C63" s="3" t="s">
        <v>369</v>
      </c>
      <c r="D63" s="5" t="s">
        <v>139</v>
      </c>
      <c r="E63" s="149">
        <v>34436</v>
      </c>
      <c r="F63" s="149">
        <v>15853</v>
      </c>
      <c r="G63" s="106">
        <f>(+E63+F63)/2</f>
        <v>25144.5</v>
      </c>
      <c r="H63" s="5"/>
      <c r="I63" s="5"/>
      <c r="J63" s="5"/>
      <c r="K63" s="5"/>
      <c r="L63" s="6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</row>
    <row r="64" spans="1:62">
      <c r="A64" s="14">
        <f t="shared" si="0"/>
        <v>45</v>
      </c>
      <c r="B64" s="7"/>
      <c r="C64" s="3" t="s">
        <v>282</v>
      </c>
      <c r="D64" s="16" t="s">
        <v>77</v>
      </c>
      <c r="E64" s="149">
        <v>4375998</v>
      </c>
      <c r="F64" s="149">
        <v>4427880</v>
      </c>
      <c r="G64" s="106">
        <f>(+E64+F64)/2</f>
        <v>4401939</v>
      </c>
      <c r="H64" s="5"/>
      <c r="I64" s="5"/>
      <c r="J64" s="5"/>
      <c r="K64" s="5"/>
      <c r="L64" s="6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</row>
    <row r="65" spans="1:62">
      <c r="A65" s="14">
        <f t="shared" si="0"/>
        <v>46</v>
      </c>
      <c r="B65" s="7"/>
      <c r="C65" s="3" t="s">
        <v>453</v>
      </c>
      <c r="D65" s="5" t="str">
        <f>"(sum lines "&amp;A61&amp;" - "&amp;A64&amp;")"</f>
        <v>(sum lines 42 - 45)</v>
      </c>
      <c r="E65" s="156">
        <f>SUM(E62:E64)</f>
        <v>8408455</v>
      </c>
      <c r="F65" s="156">
        <f>SUM(F62:F64)</f>
        <v>8555496</v>
      </c>
      <c r="G65" s="156">
        <f>SUM(G62:G64)</f>
        <v>8481975.5</v>
      </c>
      <c r="H65" s="2"/>
      <c r="I65" s="2"/>
      <c r="J65" s="2"/>
      <c r="K65" s="2"/>
      <c r="L65" s="94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</row>
    <row r="66" spans="1:62">
      <c r="A66" s="14"/>
      <c r="B66" s="7"/>
      <c r="C66" s="3"/>
      <c r="D66" s="5"/>
      <c r="E66" s="25"/>
      <c r="F66" s="5"/>
      <c r="G66" s="5"/>
      <c r="H66" s="5"/>
      <c r="I66" s="5"/>
      <c r="J66" s="5"/>
      <c r="K66" s="5"/>
      <c r="L66" s="5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</row>
    <row r="68" spans="1:62" ht="15.75">
      <c r="B68" s="357" t="s">
        <v>469</v>
      </c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</row>
    <row r="69" spans="1:62">
      <c r="B69" s="353"/>
      <c r="C69" s="353" t="s">
        <v>470</v>
      </c>
      <c r="D69" s="353"/>
      <c r="E69" s="355">
        <v>32972309</v>
      </c>
      <c r="F69" s="355">
        <v>33125649</v>
      </c>
      <c r="G69" s="355">
        <v>33324485</v>
      </c>
      <c r="H69" s="355">
        <v>33339140</v>
      </c>
      <c r="I69" s="355">
        <v>33525870</v>
      </c>
      <c r="J69" s="355">
        <v>33559764</v>
      </c>
      <c r="K69" s="355">
        <v>33792863</v>
      </c>
      <c r="L69" s="355">
        <v>34037294</v>
      </c>
      <c r="M69" s="355">
        <v>34161539</v>
      </c>
      <c r="N69" s="355">
        <v>34207552</v>
      </c>
      <c r="O69" s="355">
        <v>34766818</v>
      </c>
      <c r="P69" s="355">
        <v>34864987</v>
      </c>
      <c r="Q69" s="355">
        <v>35073403</v>
      </c>
      <c r="R69" s="355">
        <f t="shared" ref="R69:R79" si="16">AVERAGE(E69:Q69)</f>
        <v>33903974.846153848</v>
      </c>
    </row>
    <row r="70" spans="1:62">
      <c r="B70" s="353"/>
      <c r="C70" s="353" t="s">
        <v>471</v>
      </c>
      <c r="D70" s="353"/>
      <c r="E70" s="355">
        <v>901872.59206766565</v>
      </c>
      <c r="F70" s="358">
        <v>921064.8360676656</v>
      </c>
      <c r="G70" s="358">
        <v>940256.9307343323</v>
      </c>
      <c r="H70" s="358">
        <v>959420.12206766568</v>
      </c>
      <c r="I70" s="358">
        <v>978668.01240099897</v>
      </c>
      <c r="J70" s="358">
        <v>997968.47706766566</v>
      </c>
      <c r="K70" s="358">
        <v>1017266.683900999</v>
      </c>
      <c r="L70" s="358">
        <v>1036570.955900999</v>
      </c>
      <c r="M70" s="358">
        <v>1055891.0940676657</v>
      </c>
      <c r="N70" s="358">
        <v>1075213.617900999</v>
      </c>
      <c r="O70" s="358">
        <v>1081019.4941009991</v>
      </c>
      <c r="P70" s="358">
        <v>1086816.8115009991</v>
      </c>
      <c r="Q70" s="358">
        <v>1092614.2383009992</v>
      </c>
      <c r="R70" s="355">
        <f t="shared" si="16"/>
        <v>1011126.4512368963</v>
      </c>
    </row>
    <row r="71" spans="1:62">
      <c r="B71" s="353"/>
      <c r="C71" s="353" t="s">
        <v>472</v>
      </c>
      <c r="D71" s="353"/>
      <c r="E71" s="355">
        <f>E69+E70</f>
        <v>33874181.592067666</v>
      </c>
      <c r="F71" s="355">
        <f t="shared" ref="F71:Q71" si="17">F69+F70</f>
        <v>34046713.836067669</v>
      </c>
      <c r="G71" s="355">
        <f t="shared" si="17"/>
        <v>34264741.930734329</v>
      </c>
      <c r="H71" s="355">
        <f t="shared" si="17"/>
        <v>34298560.122067668</v>
      </c>
      <c r="I71" s="355">
        <f t="shared" si="17"/>
        <v>34504538.012401</v>
      </c>
      <c r="J71" s="355">
        <f t="shared" si="17"/>
        <v>34557732.477067664</v>
      </c>
      <c r="K71" s="355">
        <f t="shared" si="17"/>
        <v>34810129.683900997</v>
      </c>
      <c r="L71" s="355">
        <f t="shared" si="17"/>
        <v>35073864.955900997</v>
      </c>
      <c r="M71" s="355">
        <f t="shared" si="17"/>
        <v>35217430.094067663</v>
      </c>
      <c r="N71" s="355">
        <f t="shared" si="17"/>
        <v>35282765.617900997</v>
      </c>
      <c r="O71" s="355">
        <f t="shared" si="17"/>
        <v>35847837.494101003</v>
      </c>
      <c r="P71" s="355">
        <f t="shared" si="17"/>
        <v>35951803.811500996</v>
      </c>
      <c r="Q71" s="355">
        <f t="shared" si="17"/>
        <v>36166017.238301001</v>
      </c>
      <c r="R71" s="355">
        <f t="shared" si="16"/>
        <v>34915101.297390744</v>
      </c>
    </row>
    <row r="72" spans="1:62">
      <c r="B72" s="353"/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</row>
    <row r="73" spans="1:62">
      <c r="B73" s="353"/>
      <c r="C73" s="353" t="s">
        <v>473</v>
      </c>
      <c r="D73" s="353"/>
      <c r="E73" s="355">
        <v>17961019</v>
      </c>
      <c r="F73" s="355">
        <v>18104261</v>
      </c>
      <c r="G73" s="355">
        <v>18256243</v>
      </c>
      <c r="H73" s="355">
        <v>18375079</v>
      </c>
      <c r="I73" s="355">
        <v>18557855</v>
      </c>
      <c r="J73" s="355">
        <v>17954377</v>
      </c>
      <c r="K73" s="355">
        <v>17929773</v>
      </c>
      <c r="L73" s="355">
        <v>18061481</v>
      </c>
      <c r="M73" s="355">
        <v>18244364</v>
      </c>
      <c r="N73" s="355">
        <v>17755066</v>
      </c>
      <c r="O73" s="355">
        <v>17889032</v>
      </c>
      <c r="P73" s="355">
        <v>17999842</v>
      </c>
      <c r="Q73" s="355">
        <v>17633393</v>
      </c>
      <c r="R73" s="355">
        <f t="shared" si="16"/>
        <v>18055521.923076924</v>
      </c>
    </row>
    <row r="74" spans="1:62">
      <c r="B74" s="353"/>
      <c r="C74" s="353" t="s">
        <v>474</v>
      </c>
      <c r="D74" s="353"/>
      <c r="E74" s="355">
        <v>3273049.7881900794</v>
      </c>
      <c r="F74" s="355">
        <v>3333396.3049900793</v>
      </c>
      <c r="G74" s="355">
        <v>3393689.280990079</v>
      </c>
      <c r="H74" s="355">
        <v>3456126.3897900791</v>
      </c>
      <c r="I74" s="355">
        <v>3518789.720990079</v>
      </c>
      <c r="J74" s="355">
        <v>3580310.5193900792</v>
      </c>
      <c r="K74" s="355">
        <v>3640984.367390079</v>
      </c>
      <c r="L74" s="355">
        <v>3702658.9497900791</v>
      </c>
      <c r="M74" s="355">
        <v>3765213.4873900791</v>
      </c>
      <c r="N74" s="355">
        <v>3828426.7321900791</v>
      </c>
      <c r="O74" s="355">
        <v>3896655.069365079</v>
      </c>
      <c r="P74" s="355">
        <v>3964990.3171984125</v>
      </c>
      <c r="Q74" s="355">
        <v>4032755.4570900793</v>
      </c>
      <c r="R74" s="355">
        <f t="shared" si="16"/>
        <v>3645157.4142118739</v>
      </c>
    </row>
    <row r="75" spans="1:62">
      <c r="B75" s="353"/>
      <c r="C75" s="353" t="s">
        <v>475</v>
      </c>
      <c r="D75" s="353"/>
      <c r="E75" s="355">
        <f>E73+E74</f>
        <v>21234068.788190078</v>
      </c>
      <c r="F75" s="355">
        <f t="shared" ref="F75:Q75" si="18">F73+F74</f>
        <v>21437657.304990079</v>
      </c>
      <c r="G75" s="355">
        <f t="shared" si="18"/>
        <v>21649932.280990079</v>
      </c>
      <c r="H75" s="355">
        <f t="shared" si="18"/>
        <v>21831205.38979008</v>
      </c>
      <c r="I75" s="355">
        <f t="shared" si="18"/>
        <v>22076644.72099008</v>
      </c>
      <c r="J75" s="355">
        <f t="shared" si="18"/>
        <v>21534687.51939008</v>
      </c>
      <c r="K75" s="355">
        <f t="shared" si="18"/>
        <v>21570757.367390078</v>
      </c>
      <c r="L75" s="355">
        <f t="shared" si="18"/>
        <v>21764139.949790079</v>
      </c>
      <c r="M75" s="355">
        <f t="shared" si="18"/>
        <v>22009577.487390079</v>
      </c>
      <c r="N75" s="355">
        <f t="shared" si="18"/>
        <v>21583492.73219008</v>
      </c>
      <c r="O75" s="355">
        <f t="shared" si="18"/>
        <v>21785687.06936508</v>
      </c>
      <c r="P75" s="355">
        <f t="shared" si="18"/>
        <v>21964832.317198411</v>
      </c>
      <c r="Q75" s="355">
        <f t="shared" si="18"/>
        <v>21666148.45709008</v>
      </c>
      <c r="R75" s="355">
        <f t="shared" si="16"/>
        <v>21700679.337288797</v>
      </c>
    </row>
    <row r="76" spans="1:62">
      <c r="B76" s="353"/>
      <c r="C76" s="353"/>
      <c r="D76" s="353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</row>
    <row r="77" spans="1:62">
      <c r="B77" s="353"/>
      <c r="C77" s="353" t="s">
        <v>476</v>
      </c>
      <c r="D77" s="353"/>
      <c r="E77" s="355">
        <v>2100184</v>
      </c>
      <c r="F77" s="355">
        <v>2127474</v>
      </c>
      <c r="G77" s="355">
        <v>2153159</v>
      </c>
      <c r="H77" s="355">
        <v>2180514</v>
      </c>
      <c r="I77" s="355">
        <v>2207898</v>
      </c>
      <c r="J77" s="355">
        <v>2171853</v>
      </c>
      <c r="K77" s="355">
        <v>1826540</v>
      </c>
      <c r="L77" s="355">
        <v>1851930</v>
      </c>
      <c r="M77" s="355">
        <v>1877344</v>
      </c>
      <c r="N77" s="355">
        <v>1569441</v>
      </c>
      <c r="O77" s="355">
        <v>1603669</v>
      </c>
      <c r="P77" s="355">
        <v>1637767</v>
      </c>
      <c r="Q77" s="355">
        <v>1612073</v>
      </c>
      <c r="R77" s="355">
        <f t="shared" si="16"/>
        <v>1916911.2307692308</v>
      </c>
    </row>
    <row r="78" spans="1:62">
      <c r="B78" s="353"/>
      <c r="C78" s="353" t="s">
        <v>477</v>
      </c>
      <c r="D78" s="353"/>
      <c r="E78" s="355">
        <v>689929.83543999982</v>
      </c>
      <c r="F78" s="355">
        <v>703049.98583999986</v>
      </c>
      <c r="G78" s="355">
        <v>716167.50263999985</v>
      </c>
      <c r="H78" s="355">
        <v>729311.43383999984</v>
      </c>
      <c r="I78" s="355">
        <v>742455.36503999983</v>
      </c>
      <c r="J78" s="355">
        <v>755235.30743999977</v>
      </c>
      <c r="K78" s="355">
        <v>767421.13943999982</v>
      </c>
      <c r="L78" s="355">
        <v>779609.04983999988</v>
      </c>
      <c r="M78" s="355">
        <v>791818.48983999982</v>
      </c>
      <c r="N78" s="355">
        <v>803495.47543999983</v>
      </c>
      <c r="O78" s="355">
        <v>815113.80329833319</v>
      </c>
      <c r="P78" s="355">
        <v>826736.59578166658</v>
      </c>
      <c r="Q78" s="355">
        <v>838265.98767333326</v>
      </c>
      <c r="R78" s="355">
        <f t="shared" si="16"/>
        <v>766046.92088871775</v>
      </c>
    </row>
    <row r="79" spans="1:62">
      <c r="B79" s="353"/>
      <c r="C79" s="353" t="s">
        <v>478</v>
      </c>
      <c r="D79" s="353"/>
      <c r="E79" s="355">
        <f t="shared" ref="E79:Q79" si="19">E77+E78</f>
        <v>2790113.8354399996</v>
      </c>
      <c r="F79" s="355">
        <f t="shared" si="19"/>
        <v>2830523.9858399997</v>
      </c>
      <c r="G79" s="355">
        <f t="shared" si="19"/>
        <v>2869326.5026399996</v>
      </c>
      <c r="H79" s="355">
        <f t="shared" si="19"/>
        <v>2909825.4338400001</v>
      </c>
      <c r="I79" s="355">
        <f t="shared" si="19"/>
        <v>2950353.3650399996</v>
      </c>
      <c r="J79" s="355">
        <f t="shared" si="19"/>
        <v>2927088.3074399997</v>
      </c>
      <c r="K79" s="355">
        <f t="shared" si="19"/>
        <v>2593961.1394400001</v>
      </c>
      <c r="L79" s="355">
        <f t="shared" si="19"/>
        <v>2631539.04984</v>
      </c>
      <c r="M79" s="355">
        <f t="shared" si="19"/>
        <v>2669162.4898399999</v>
      </c>
      <c r="N79" s="355">
        <f t="shared" si="19"/>
        <v>2372936.4754399997</v>
      </c>
      <c r="O79" s="355">
        <f t="shared" si="19"/>
        <v>2418782.8032983332</v>
      </c>
      <c r="P79" s="355">
        <f t="shared" si="19"/>
        <v>2464503.5957816667</v>
      </c>
      <c r="Q79" s="355">
        <f t="shared" si="19"/>
        <v>2450338.9876733334</v>
      </c>
      <c r="R79" s="355">
        <f t="shared" si="16"/>
        <v>2682958.1516579483</v>
      </c>
    </row>
    <row r="80" spans="1:62"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</row>
  </sheetData>
  <mergeCells count="6"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CC"/>
    <pageSetUpPr fitToPage="1"/>
  </sheetPr>
  <dimension ref="A1:M103"/>
  <sheetViews>
    <sheetView topLeftCell="A19" zoomScaleNormal="100" workbookViewId="0">
      <selection activeCell="B47" sqref="B47"/>
    </sheetView>
  </sheetViews>
  <sheetFormatPr defaultColWidth="7.109375" defaultRowHeight="12.75"/>
  <cols>
    <col min="1" max="1" width="4.77734375" style="75" customWidth="1"/>
    <col min="2" max="2" width="15.6640625" style="75" customWidth="1"/>
    <col min="3" max="3" width="7.109375" style="75" customWidth="1"/>
    <col min="4" max="4" width="8.77734375" style="75" customWidth="1"/>
    <col min="5" max="5" width="7.88671875" style="75" customWidth="1"/>
    <col min="6" max="6" width="7.6640625" style="75" customWidth="1"/>
    <col min="7" max="7" width="10.33203125" style="75" customWidth="1"/>
    <col min="8" max="8" width="13" style="75" customWidth="1"/>
    <col min="9" max="9" width="11.77734375" style="75" customWidth="1"/>
    <col min="10" max="10" width="11.21875" style="75" customWidth="1"/>
    <col min="11" max="11" width="8" style="75" customWidth="1"/>
    <col min="12" max="16384" width="7.109375" style="75"/>
  </cols>
  <sheetData>
    <row r="1" spans="1:11">
      <c r="K1" s="69"/>
    </row>
    <row r="2" spans="1:11">
      <c r="B2" s="43"/>
      <c r="C2" s="44"/>
      <c r="D2" s="44"/>
      <c r="E2" s="44"/>
      <c r="F2" s="44"/>
      <c r="G2" s="44"/>
      <c r="H2" s="44"/>
      <c r="J2" s="327" t="str">
        <f>+'CU AC Rate Design - True-Up'!H1</f>
        <v>Date: May 29, 2015</v>
      </c>
    </row>
    <row r="3" spans="1:11" ht="15" customHeight="1">
      <c r="B3" s="360" t="s">
        <v>371</v>
      </c>
      <c r="C3" s="360"/>
      <c r="D3" s="360"/>
      <c r="E3" s="360"/>
      <c r="F3" s="360"/>
      <c r="G3" s="360"/>
      <c r="H3" s="360"/>
      <c r="I3" s="360"/>
    </row>
    <row r="4" spans="1:11" ht="15" customHeight="1">
      <c r="B4" s="360" t="s">
        <v>81</v>
      </c>
      <c r="C4" s="360"/>
      <c r="D4" s="360"/>
      <c r="E4" s="360"/>
      <c r="F4" s="360"/>
      <c r="G4" s="360"/>
      <c r="H4" s="360"/>
      <c r="I4" s="360"/>
      <c r="J4" s="44"/>
    </row>
    <row r="5" spans="1:11">
      <c r="B5" s="43"/>
      <c r="C5" s="44"/>
      <c r="D5" s="70"/>
      <c r="E5" s="44"/>
      <c r="G5" s="44"/>
      <c r="H5" s="44"/>
      <c r="I5" s="44"/>
      <c r="J5" s="44"/>
    </row>
    <row r="6" spans="1:11" ht="18.75">
      <c r="A6" s="140" t="s">
        <v>204</v>
      </c>
      <c r="B6" s="43"/>
      <c r="C6" s="44"/>
      <c r="D6" s="368" t="s">
        <v>450</v>
      </c>
      <c r="E6" s="369"/>
      <c r="F6" s="369"/>
      <c r="G6" s="369"/>
      <c r="H6" s="370"/>
      <c r="I6" s="44"/>
      <c r="J6" s="44"/>
    </row>
    <row r="7" spans="1:11" ht="13.5" thickBot="1">
      <c r="A7" s="141" t="s">
        <v>205</v>
      </c>
    </row>
    <row r="8" spans="1:11" ht="15">
      <c r="A8" s="138">
        <v>1</v>
      </c>
      <c r="B8" s="73"/>
      <c r="C8" s="74"/>
      <c r="D8" s="111" t="s">
        <v>72</v>
      </c>
      <c r="E8" s="97" t="s">
        <v>98</v>
      </c>
      <c r="F8" s="97" t="s">
        <v>99</v>
      </c>
      <c r="G8" s="98" t="s">
        <v>100</v>
      </c>
      <c r="H8" s="111" t="s">
        <v>147</v>
      </c>
      <c r="I8" s="111" t="s">
        <v>0</v>
      </c>
      <c r="J8" s="97" t="s">
        <v>335</v>
      </c>
      <c r="K8"/>
    </row>
    <row r="9" spans="1:11" ht="15">
      <c r="A9" s="138">
        <f>A8+1</f>
        <v>2</v>
      </c>
      <c r="B9" s="76"/>
      <c r="C9" s="77"/>
      <c r="D9" s="99" t="s">
        <v>335</v>
      </c>
      <c r="E9" s="99" t="s">
        <v>335</v>
      </c>
      <c r="F9" s="99" t="s">
        <v>101</v>
      </c>
      <c r="G9" s="100" t="s">
        <v>102</v>
      </c>
      <c r="H9" s="101" t="s">
        <v>148</v>
      </c>
      <c r="I9" s="101" t="s">
        <v>1</v>
      </c>
      <c r="J9" s="101" t="s">
        <v>114</v>
      </c>
      <c r="K9"/>
    </row>
    <row r="10" spans="1:11" ht="15.75" thickBot="1">
      <c r="A10" s="138">
        <f t="shared" ref="A10:A44" si="0">A9+1</f>
        <v>3</v>
      </c>
      <c r="B10" s="78"/>
      <c r="C10" s="79"/>
      <c r="D10" s="102" t="s">
        <v>103</v>
      </c>
      <c r="E10" s="99" t="s">
        <v>103</v>
      </c>
      <c r="F10" s="102" t="s">
        <v>103</v>
      </c>
      <c r="G10" s="103" t="s">
        <v>103</v>
      </c>
      <c r="H10" s="112" t="s">
        <v>103</v>
      </c>
      <c r="I10" s="112" t="s">
        <v>103</v>
      </c>
      <c r="J10" s="101" t="s">
        <v>115</v>
      </c>
      <c r="K10"/>
    </row>
    <row r="11" spans="1:11" ht="15">
      <c r="A11" s="138">
        <f t="shared" si="0"/>
        <v>4</v>
      </c>
      <c r="B11" s="113" t="s">
        <v>167</v>
      </c>
      <c r="C11" s="114"/>
      <c r="D11" s="303">
        <v>312</v>
      </c>
      <c r="E11" s="97">
        <v>389</v>
      </c>
      <c r="F11" s="304">
        <v>2</v>
      </c>
      <c r="G11" s="97">
        <v>63</v>
      </c>
      <c r="H11" s="98">
        <v>140</v>
      </c>
      <c r="I11" s="303">
        <v>80</v>
      </c>
      <c r="J11" s="97">
        <f>SUM(D11:I11)</f>
        <v>986</v>
      </c>
      <c r="K11"/>
    </row>
    <row r="12" spans="1:11" ht="15">
      <c r="A12" s="138">
        <f t="shared" si="0"/>
        <v>5</v>
      </c>
      <c r="B12" s="113" t="s">
        <v>187</v>
      </c>
      <c r="C12" s="115"/>
      <c r="D12" s="305">
        <v>307</v>
      </c>
      <c r="E12" s="99">
        <v>375</v>
      </c>
      <c r="F12" s="256">
        <v>2</v>
      </c>
      <c r="G12" s="99">
        <v>57</v>
      </c>
      <c r="H12" s="100">
        <v>140</v>
      </c>
      <c r="I12" s="305">
        <v>80</v>
      </c>
      <c r="J12" s="99">
        <f t="shared" ref="J12:J21" si="1">SUM(D12:I12)</f>
        <v>961</v>
      </c>
      <c r="K12"/>
    </row>
    <row r="13" spans="1:11" ht="15">
      <c r="A13" s="138">
        <f t="shared" si="0"/>
        <v>6</v>
      </c>
      <c r="B13" s="113" t="s">
        <v>188</v>
      </c>
      <c r="C13" s="115"/>
      <c r="D13" s="305">
        <v>300</v>
      </c>
      <c r="E13" s="99">
        <v>380</v>
      </c>
      <c r="F13" s="256">
        <v>2</v>
      </c>
      <c r="G13" s="99">
        <v>53</v>
      </c>
      <c r="H13" s="100">
        <v>140</v>
      </c>
      <c r="I13" s="305">
        <v>80</v>
      </c>
      <c r="J13" s="99">
        <f t="shared" si="1"/>
        <v>955</v>
      </c>
      <c r="K13"/>
    </row>
    <row r="14" spans="1:11" ht="15">
      <c r="A14" s="138">
        <f t="shared" si="0"/>
        <v>7</v>
      </c>
      <c r="B14" s="113" t="s">
        <v>198</v>
      </c>
      <c r="C14" s="115"/>
      <c r="D14" s="305">
        <v>250</v>
      </c>
      <c r="E14" s="99">
        <v>348</v>
      </c>
      <c r="F14" s="256">
        <v>3</v>
      </c>
      <c r="G14" s="99">
        <v>44</v>
      </c>
      <c r="H14" s="100">
        <v>140</v>
      </c>
      <c r="I14" s="305">
        <v>80</v>
      </c>
      <c r="J14" s="99">
        <f t="shared" si="1"/>
        <v>865</v>
      </c>
      <c r="K14"/>
    </row>
    <row r="15" spans="1:11" ht="15">
      <c r="A15" s="138">
        <f t="shared" si="0"/>
        <v>8</v>
      </c>
      <c r="B15" s="113" t="s">
        <v>199</v>
      </c>
      <c r="C15" s="115"/>
      <c r="D15" s="305">
        <v>299</v>
      </c>
      <c r="E15" s="99">
        <v>292</v>
      </c>
      <c r="F15" s="256">
        <v>4</v>
      </c>
      <c r="G15" s="99">
        <v>47</v>
      </c>
      <c r="H15" s="100">
        <v>140</v>
      </c>
      <c r="I15" s="305">
        <v>80</v>
      </c>
      <c r="J15" s="99">
        <f t="shared" si="1"/>
        <v>862</v>
      </c>
      <c r="K15"/>
    </row>
    <row r="16" spans="1:11" ht="15">
      <c r="A16" s="138">
        <f t="shared" si="0"/>
        <v>9</v>
      </c>
      <c r="B16" s="113" t="s">
        <v>200</v>
      </c>
      <c r="C16" s="115"/>
      <c r="D16" s="305">
        <v>274</v>
      </c>
      <c r="E16" s="99">
        <v>299</v>
      </c>
      <c r="F16" s="256">
        <v>3</v>
      </c>
      <c r="G16" s="99">
        <v>53</v>
      </c>
      <c r="H16" s="100">
        <v>140</v>
      </c>
      <c r="I16" s="305">
        <v>80</v>
      </c>
      <c r="J16" s="99">
        <f>SUM(D16:I16)</f>
        <v>849</v>
      </c>
      <c r="K16"/>
    </row>
    <row r="17" spans="1:13" ht="15">
      <c r="A17" s="138">
        <f t="shared" si="0"/>
        <v>10</v>
      </c>
      <c r="B17" s="113" t="s">
        <v>189</v>
      </c>
      <c r="C17" s="115"/>
      <c r="D17" s="305">
        <v>338</v>
      </c>
      <c r="E17" s="99">
        <v>299</v>
      </c>
      <c r="F17" s="256">
        <v>3</v>
      </c>
      <c r="G17" s="99">
        <v>64</v>
      </c>
      <c r="H17" s="100">
        <v>140</v>
      </c>
      <c r="I17" s="305">
        <v>80</v>
      </c>
      <c r="J17" s="99">
        <f t="shared" si="1"/>
        <v>924</v>
      </c>
      <c r="K17"/>
    </row>
    <row r="18" spans="1:13" ht="15">
      <c r="A18" s="138">
        <f t="shared" si="0"/>
        <v>11</v>
      </c>
      <c r="B18" s="113" t="s">
        <v>164</v>
      </c>
      <c r="C18" s="115"/>
      <c r="D18" s="305">
        <v>303</v>
      </c>
      <c r="E18" s="99">
        <v>316</v>
      </c>
      <c r="F18" s="256">
        <v>4</v>
      </c>
      <c r="G18" s="99">
        <v>53</v>
      </c>
      <c r="H18" s="100">
        <v>140</v>
      </c>
      <c r="I18" s="305">
        <v>80</v>
      </c>
      <c r="J18" s="99">
        <f t="shared" si="1"/>
        <v>896</v>
      </c>
      <c r="K18"/>
    </row>
    <row r="19" spans="1:13" ht="15">
      <c r="A19" s="138">
        <f t="shared" si="0"/>
        <v>12</v>
      </c>
      <c r="B19" s="113" t="s">
        <v>190</v>
      </c>
      <c r="C19" s="115"/>
      <c r="D19" s="305">
        <v>296</v>
      </c>
      <c r="E19" s="99">
        <v>322</v>
      </c>
      <c r="F19" s="256">
        <v>4</v>
      </c>
      <c r="G19" s="99">
        <v>60</v>
      </c>
      <c r="H19" s="100">
        <v>140</v>
      </c>
      <c r="I19" s="305">
        <v>80</v>
      </c>
      <c r="J19" s="99">
        <f t="shared" si="1"/>
        <v>902</v>
      </c>
      <c r="K19"/>
    </row>
    <row r="20" spans="1:13" ht="15">
      <c r="A20" s="138">
        <f t="shared" si="0"/>
        <v>13</v>
      </c>
      <c r="B20" s="113" t="s">
        <v>165</v>
      </c>
      <c r="C20" s="115"/>
      <c r="D20" s="305">
        <v>239</v>
      </c>
      <c r="E20" s="99">
        <v>313</v>
      </c>
      <c r="F20" s="256">
        <v>3</v>
      </c>
      <c r="G20" s="99">
        <v>39</v>
      </c>
      <c r="H20" s="100">
        <v>140</v>
      </c>
      <c r="I20" s="305">
        <v>80</v>
      </c>
      <c r="J20" s="99">
        <f>SUM(D20:I20)</f>
        <v>814</v>
      </c>
      <c r="K20"/>
    </row>
    <row r="21" spans="1:13" ht="15">
      <c r="A21" s="138">
        <f t="shared" si="0"/>
        <v>14</v>
      </c>
      <c r="B21" s="113" t="s">
        <v>166</v>
      </c>
      <c r="C21" s="115"/>
      <c r="D21" s="305">
        <v>282</v>
      </c>
      <c r="E21" s="99">
        <v>383</v>
      </c>
      <c r="F21" s="256">
        <v>2</v>
      </c>
      <c r="G21" s="99">
        <v>53</v>
      </c>
      <c r="H21" s="256">
        <v>140</v>
      </c>
      <c r="I21" s="305">
        <v>80</v>
      </c>
      <c r="J21" s="99">
        <f t="shared" si="1"/>
        <v>940</v>
      </c>
      <c r="K21"/>
    </row>
    <row r="22" spans="1:13" ht="15.75" thickBot="1">
      <c r="A22" s="138">
        <f t="shared" si="0"/>
        <v>15</v>
      </c>
      <c r="B22" s="116" t="s">
        <v>191</v>
      </c>
      <c r="C22" s="117"/>
      <c r="D22" s="306">
        <v>309</v>
      </c>
      <c r="E22" s="102">
        <v>384</v>
      </c>
      <c r="F22" s="257">
        <v>2</v>
      </c>
      <c r="G22" s="102">
        <v>61</v>
      </c>
      <c r="H22" s="257">
        <v>140</v>
      </c>
      <c r="I22" s="306">
        <v>80</v>
      </c>
      <c r="J22" s="102">
        <f>SUM(D22:I22)</f>
        <v>976</v>
      </c>
      <c r="K22"/>
    </row>
    <row r="23" spans="1:13" ht="15.75" thickBot="1">
      <c r="A23" s="138">
        <f t="shared" si="0"/>
        <v>16</v>
      </c>
      <c r="B23" s="81"/>
      <c r="C23" s="80"/>
      <c r="D23" s="104"/>
      <c r="E23" s="104"/>
      <c r="F23" s="104"/>
      <c r="G23" s="99"/>
      <c r="H23" s="100"/>
      <c r="I23" s="102"/>
      <c r="J23" s="104"/>
      <c r="K23"/>
    </row>
    <row r="24" spans="1:13" ht="15.75" thickBot="1">
      <c r="A24" s="138">
        <f t="shared" si="0"/>
        <v>17</v>
      </c>
      <c r="B24" s="83" t="s">
        <v>123</v>
      </c>
      <c r="C24" s="82"/>
      <c r="D24" s="105">
        <f t="shared" ref="D24:J24" si="2">SUM(D11:D22)/12</f>
        <v>292.41666666666669</v>
      </c>
      <c r="E24" s="105">
        <f t="shared" si="2"/>
        <v>341.66666666666669</v>
      </c>
      <c r="F24" s="105">
        <f t="shared" si="2"/>
        <v>2.8333333333333335</v>
      </c>
      <c r="G24" s="105">
        <f t="shared" si="2"/>
        <v>53.916666666666664</v>
      </c>
      <c r="H24" s="105">
        <f t="shared" si="2"/>
        <v>140</v>
      </c>
      <c r="I24" s="105">
        <f t="shared" si="2"/>
        <v>80</v>
      </c>
      <c r="J24" s="105">
        <f t="shared" si="2"/>
        <v>910.83333333333337</v>
      </c>
      <c r="K24"/>
    </row>
    <row r="25" spans="1:13">
      <c r="A25" s="138">
        <f t="shared" si="0"/>
        <v>18</v>
      </c>
    </row>
    <row r="26" spans="1:13" ht="18.75">
      <c r="A26" s="138">
        <f t="shared" si="0"/>
        <v>19</v>
      </c>
      <c r="B26" s="43"/>
      <c r="C26" s="44"/>
      <c r="D26" s="368" t="s">
        <v>449</v>
      </c>
      <c r="E26" s="369"/>
      <c r="F26" s="369"/>
      <c r="G26" s="369"/>
      <c r="H26" s="370"/>
      <c r="I26" s="44"/>
    </row>
    <row r="27" spans="1:13" ht="13.5" thickBot="1">
      <c r="A27" s="138">
        <f t="shared" si="0"/>
        <v>20</v>
      </c>
    </row>
    <row r="28" spans="1:13">
      <c r="A28" s="138">
        <f t="shared" si="0"/>
        <v>21</v>
      </c>
      <c r="B28" s="73"/>
      <c r="C28" s="74"/>
      <c r="D28" s="111" t="s">
        <v>72</v>
      </c>
      <c r="E28" s="97" t="s">
        <v>98</v>
      </c>
      <c r="F28" s="97" t="s">
        <v>99</v>
      </c>
      <c r="G28" s="98" t="s">
        <v>100</v>
      </c>
      <c r="H28" s="111" t="s">
        <v>147</v>
      </c>
      <c r="I28" s="111" t="s">
        <v>0</v>
      </c>
      <c r="J28" s="97" t="s">
        <v>335</v>
      </c>
    </row>
    <row r="29" spans="1:13">
      <c r="A29" s="138">
        <f t="shared" si="0"/>
        <v>22</v>
      </c>
      <c r="B29" s="76"/>
      <c r="C29" s="77"/>
      <c r="D29" s="99" t="s">
        <v>335</v>
      </c>
      <c r="E29" s="99" t="s">
        <v>335</v>
      </c>
      <c r="F29" s="99" t="s">
        <v>101</v>
      </c>
      <c r="G29" s="100" t="s">
        <v>102</v>
      </c>
      <c r="H29" s="101" t="s">
        <v>148</v>
      </c>
      <c r="I29" s="101" t="s">
        <v>1</v>
      </c>
      <c r="J29" s="101" t="s">
        <v>114</v>
      </c>
    </row>
    <row r="30" spans="1:13" ht="13.5" thickBot="1">
      <c r="A30" s="138">
        <f t="shared" si="0"/>
        <v>23</v>
      </c>
      <c r="B30" s="78"/>
      <c r="C30" s="79"/>
      <c r="D30" s="102" t="s">
        <v>103</v>
      </c>
      <c r="E30" s="99" t="s">
        <v>103</v>
      </c>
      <c r="F30" s="102" t="s">
        <v>103</v>
      </c>
      <c r="G30" s="103" t="s">
        <v>103</v>
      </c>
      <c r="H30" s="112" t="s">
        <v>103</v>
      </c>
      <c r="I30" s="112" t="s">
        <v>103</v>
      </c>
      <c r="J30" s="101" t="s">
        <v>115</v>
      </c>
    </row>
    <row r="31" spans="1:13">
      <c r="A31" s="138">
        <f t="shared" si="0"/>
        <v>24</v>
      </c>
      <c r="B31" s="113" t="s">
        <v>167</v>
      </c>
      <c r="C31" s="114"/>
      <c r="D31" s="245">
        <v>262</v>
      </c>
      <c r="E31" s="246">
        <v>405</v>
      </c>
      <c r="F31" s="247">
        <v>2</v>
      </c>
      <c r="G31" s="246">
        <v>66</v>
      </c>
      <c r="H31" s="98">
        <v>140</v>
      </c>
      <c r="I31" s="245">
        <v>80</v>
      </c>
      <c r="J31" s="246">
        <f t="shared" ref="J31:J42" si="3">SUM(D31:I31)</f>
        <v>955</v>
      </c>
      <c r="L31" s="75" t="s">
        <v>419</v>
      </c>
      <c r="M31" s="84"/>
    </row>
    <row r="32" spans="1:13">
      <c r="A32" s="138">
        <f t="shared" si="0"/>
        <v>25</v>
      </c>
      <c r="B32" s="113" t="s">
        <v>187</v>
      </c>
      <c r="C32" s="115"/>
      <c r="D32" s="248">
        <v>262</v>
      </c>
      <c r="E32" s="249">
        <v>414</v>
      </c>
      <c r="F32" s="250">
        <v>3</v>
      </c>
      <c r="G32" s="249">
        <v>65</v>
      </c>
      <c r="H32" s="100">
        <v>140</v>
      </c>
      <c r="I32" s="248">
        <v>80</v>
      </c>
      <c r="J32" s="249">
        <f t="shared" si="3"/>
        <v>964</v>
      </c>
    </row>
    <row r="33" spans="1:10">
      <c r="A33" s="138">
        <f t="shared" si="0"/>
        <v>26</v>
      </c>
      <c r="B33" s="113" t="s">
        <v>188</v>
      </c>
      <c r="C33" s="115"/>
      <c r="D33" s="248">
        <v>247</v>
      </c>
      <c r="E33" s="249">
        <v>405</v>
      </c>
      <c r="F33" s="250">
        <v>3</v>
      </c>
      <c r="G33" s="249">
        <v>57</v>
      </c>
      <c r="H33" s="100">
        <v>140</v>
      </c>
      <c r="I33" s="248">
        <v>80</v>
      </c>
      <c r="J33" s="249">
        <f t="shared" si="3"/>
        <v>932</v>
      </c>
    </row>
    <row r="34" spans="1:10">
      <c r="A34" s="138">
        <f t="shared" si="0"/>
        <v>27</v>
      </c>
      <c r="B34" s="113" t="s">
        <v>198</v>
      </c>
      <c r="C34" s="115"/>
      <c r="D34" s="248">
        <v>228</v>
      </c>
      <c r="E34" s="249">
        <v>381</v>
      </c>
      <c r="F34" s="250">
        <v>2</v>
      </c>
      <c r="G34" s="249">
        <v>48</v>
      </c>
      <c r="H34" s="100">
        <v>140</v>
      </c>
      <c r="I34" s="248">
        <v>80</v>
      </c>
      <c r="J34" s="249">
        <f t="shared" si="3"/>
        <v>879</v>
      </c>
    </row>
    <row r="35" spans="1:10">
      <c r="A35" s="138">
        <f t="shared" si="0"/>
        <v>28</v>
      </c>
      <c r="B35" s="113" t="s">
        <v>199</v>
      </c>
      <c r="C35" s="115"/>
      <c r="D35" s="248">
        <v>235</v>
      </c>
      <c r="E35" s="249">
        <v>364</v>
      </c>
      <c r="F35" s="250">
        <v>3</v>
      </c>
      <c r="G35" s="249">
        <v>44</v>
      </c>
      <c r="H35" s="100">
        <v>140</v>
      </c>
      <c r="I35" s="248">
        <v>80</v>
      </c>
      <c r="J35" s="249">
        <f t="shared" si="3"/>
        <v>866</v>
      </c>
    </row>
    <row r="36" spans="1:10">
      <c r="A36" s="138">
        <f t="shared" si="0"/>
        <v>29</v>
      </c>
      <c r="B36" s="113" t="s">
        <v>200</v>
      </c>
      <c r="C36" s="115"/>
      <c r="D36" s="248">
        <v>272</v>
      </c>
      <c r="E36" s="249">
        <v>353</v>
      </c>
      <c r="F36" s="250">
        <v>3</v>
      </c>
      <c r="G36" s="249">
        <v>63</v>
      </c>
      <c r="H36" s="100">
        <v>140</v>
      </c>
      <c r="I36" s="248">
        <v>80</v>
      </c>
      <c r="J36" s="249">
        <f t="shared" si="3"/>
        <v>911</v>
      </c>
    </row>
    <row r="37" spans="1:10">
      <c r="A37" s="138">
        <f t="shared" si="0"/>
        <v>30</v>
      </c>
      <c r="B37" s="113" t="s">
        <v>189</v>
      </c>
      <c r="C37" s="115"/>
      <c r="D37" s="248">
        <v>296</v>
      </c>
      <c r="E37" s="249">
        <v>368</v>
      </c>
      <c r="F37" s="250">
        <v>4</v>
      </c>
      <c r="G37" s="249">
        <v>75</v>
      </c>
      <c r="H37" s="100">
        <v>140</v>
      </c>
      <c r="I37" s="248">
        <v>80</v>
      </c>
      <c r="J37" s="249">
        <f t="shared" si="3"/>
        <v>963</v>
      </c>
    </row>
    <row r="38" spans="1:10">
      <c r="A38" s="138">
        <f t="shared" si="0"/>
        <v>31</v>
      </c>
      <c r="B38" s="113" t="s">
        <v>164</v>
      </c>
      <c r="C38" s="115"/>
      <c r="D38" s="248">
        <v>294</v>
      </c>
      <c r="E38" s="249">
        <v>359</v>
      </c>
      <c r="F38" s="250">
        <v>4</v>
      </c>
      <c r="G38" s="249">
        <v>71</v>
      </c>
      <c r="H38" s="100">
        <v>140</v>
      </c>
      <c r="I38" s="248">
        <v>80</v>
      </c>
      <c r="J38" s="249">
        <f t="shared" si="3"/>
        <v>948</v>
      </c>
    </row>
    <row r="39" spans="1:10">
      <c r="A39" s="138">
        <f t="shared" si="0"/>
        <v>32</v>
      </c>
      <c r="B39" s="113" t="s">
        <v>190</v>
      </c>
      <c r="C39" s="115"/>
      <c r="D39" s="248">
        <v>249</v>
      </c>
      <c r="E39" s="249">
        <v>356</v>
      </c>
      <c r="F39" s="250">
        <v>4</v>
      </c>
      <c r="G39" s="249">
        <v>56</v>
      </c>
      <c r="H39" s="100">
        <v>140</v>
      </c>
      <c r="I39" s="248">
        <v>80</v>
      </c>
      <c r="J39" s="249">
        <f t="shared" si="3"/>
        <v>885</v>
      </c>
    </row>
    <row r="40" spans="1:10">
      <c r="A40" s="138">
        <f t="shared" si="0"/>
        <v>33</v>
      </c>
      <c r="B40" s="113" t="s">
        <v>165</v>
      </c>
      <c r="C40" s="115"/>
      <c r="D40" s="248">
        <v>229</v>
      </c>
      <c r="E40" s="249">
        <v>384</v>
      </c>
      <c r="F40" s="250">
        <v>4</v>
      </c>
      <c r="G40" s="249">
        <v>54</v>
      </c>
      <c r="H40" s="100">
        <v>140</v>
      </c>
      <c r="I40" s="248">
        <v>80</v>
      </c>
      <c r="J40" s="249">
        <f t="shared" si="3"/>
        <v>891</v>
      </c>
    </row>
    <row r="41" spans="1:10">
      <c r="A41" s="138">
        <f t="shared" si="0"/>
        <v>34</v>
      </c>
      <c r="B41" s="113" t="s">
        <v>166</v>
      </c>
      <c r="C41" s="115"/>
      <c r="D41" s="248">
        <v>257</v>
      </c>
      <c r="E41" s="249">
        <v>400</v>
      </c>
      <c r="F41" s="250">
        <v>2</v>
      </c>
      <c r="G41" s="249">
        <v>50</v>
      </c>
      <c r="H41" s="256">
        <v>140</v>
      </c>
      <c r="I41" s="248">
        <v>80</v>
      </c>
      <c r="J41" s="249">
        <f t="shared" si="3"/>
        <v>929</v>
      </c>
    </row>
    <row r="42" spans="1:10" ht="13.5" thickBot="1">
      <c r="A42" s="138">
        <f t="shared" si="0"/>
        <v>35</v>
      </c>
      <c r="B42" s="116" t="s">
        <v>191</v>
      </c>
      <c r="C42" s="117"/>
      <c r="D42" s="251">
        <v>276</v>
      </c>
      <c r="E42" s="252">
        <v>413</v>
      </c>
      <c r="F42" s="253">
        <v>3</v>
      </c>
      <c r="G42" s="252">
        <v>60</v>
      </c>
      <c r="H42" s="257">
        <v>140</v>
      </c>
      <c r="I42" s="251">
        <v>80</v>
      </c>
      <c r="J42" s="252">
        <f t="shared" si="3"/>
        <v>972</v>
      </c>
    </row>
    <row r="43" spans="1:10" ht="13.5" thickBot="1">
      <c r="A43" s="138">
        <f t="shared" si="0"/>
        <v>36</v>
      </c>
      <c r="B43" s="81"/>
      <c r="C43" s="80"/>
      <c r="D43" s="104"/>
      <c r="E43" s="104"/>
      <c r="F43" s="104"/>
      <c r="G43" s="99"/>
      <c r="H43" s="100"/>
      <c r="I43" s="102"/>
      <c r="J43" s="104"/>
    </row>
    <row r="44" spans="1:10" ht="13.5" thickBot="1">
      <c r="A44" s="138">
        <f t="shared" si="0"/>
        <v>37</v>
      </c>
      <c r="B44" s="83" t="s">
        <v>123</v>
      </c>
      <c r="C44" s="82"/>
      <c r="D44" s="105">
        <f t="shared" ref="D44:I44" si="4">SUM(D31:D42)/12</f>
        <v>258.91666666666669</v>
      </c>
      <c r="E44" s="105">
        <f>SUM(E31:E42)/12</f>
        <v>383.5</v>
      </c>
      <c r="F44" s="105">
        <f>SUM(F31:F42)/12</f>
        <v>3.0833333333333335</v>
      </c>
      <c r="G44" s="105">
        <f t="shared" si="4"/>
        <v>59.083333333333336</v>
      </c>
      <c r="H44" s="105">
        <f>SUM(H31:H42)/12</f>
        <v>140</v>
      </c>
      <c r="I44" s="105">
        <f t="shared" si="4"/>
        <v>80</v>
      </c>
      <c r="J44" s="105">
        <f>SUM(J31:J42)/12</f>
        <v>924.58333333333337</v>
      </c>
    </row>
    <row r="45" spans="1:10">
      <c r="A45" s="138"/>
    </row>
    <row r="46" spans="1:10">
      <c r="A46" s="138"/>
      <c r="B46" s="75" t="s">
        <v>447</v>
      </c>
      <c r="C46" s="84"/>
      <c r="D46" s="54"/>
      <c r="E46" s="54"/>
      <c r="F46" s="54"/>
      <c r="G46" s="54"/>
      <c r="H46" s="54"/>
      <c r="I46" s="54"/>
      <c r="J46" s="321"/>
    </row>
    <row r="47" spans="1:10">
      <c r="B47" s="333" t="s">
        <v>448</v>
      </c>
      <c r="C47" s="85"/>
      <c r="D47" s="85"/>
      <c r="E47" s="85"/>
    </row>
    <row r="102" spans="8:9">
      <c r="H102" s="75" t="s">
        <v>208</v>
      </c>
      <c r="I102" s="75">
        <f>+K171</f>
        <v>0</v>
      </c>
    </row>
    <row r="103" spans="8:9">
      <c r="I103" s="75">
        <f>+I102</f>
        <v>0</v>
      </c>
    </row>
  </sheetData>
  <mergeCells count="4">
    <mergeCell ref="D6:H6"/>
    <mergeCell ref="D26:H26"/>
    <mergeCell ref="B3:I3"/>
    <mergeCell ref="B4:I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&amp;C&amp;"Arial MT,Bold"WORKPAPER 6
CUS LOADS
BLACK HILLS POWER, INC.&amp;RPage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zoomScaleNormal="100" zoomScalePageLayoutView="125" workbookViewId="0">
      <selection activeCell="H2" sqref="H2"/>
    </sheetView>
  </sheetViews>
  <sheetFormatPr defaultColWidth="8.5546875" defaultRowHeight="11.25"/>
  <cols>
    <col min="1" max="1" width="3.77734375" style="27" customWidth="1"/>
    <col min="2" max="2" width="18.44140625" style="27" customWidth="1"/>
    <col min="3" max="3" width="11.77734375" style="27" customWidth="1"/>
    <col min="4" max="4" width="10.109375" style="27" customWidth="1"/>
    <col min="5" max="5" width="0.88671875" style="27" customWidth="1"/>
    <col min="6" max="6" width="10.109375" style="27" customWidth="1"/>
    <col min="7" max="7" width="8.5546875" style="27" customWidth="1"/>
    <col min="8" max="8" width="8" style="27" customWidth="1"/>
    <col min="9" max="12" width="8.5546875" style="27"/>
    <col min="13" max="13" width="11.88671875" style="27" customWidth="1"/>
    <col min="14" max="16384" width="8.5546875" style="27"/>
  </cols>
  <sheetData>
    <row r="1" spans="1:10" ht="12.75">
      <c r="C1" s="28"/>
      <c r="H1" s="36" t="str">
        <f>+'CU AC Rate Design - True-Up'!H1</f>
        <v>Date: May 29, 2015</v>
      </c>
      <c r="J1" s="68"/>
    </row>
    <row r="2" spans="1:10">
      <c r="C2" s="42"/>
      <c r="D2" s="42"/>
      <c r="H2" s="36" t="s">
        <v>451</v>
      </c>
    </row>
    <row r="3" spans="1:10" ht="12.75">
      <c r="B3" s="371"/>
      <c r="C3" s="371"/>
      <c r="D3" s="371"/>
      <c r="E3" s="371"/>
      <c r="F3" s="371"/>
      <c r="G3" s="371"/>
      <c r="H3" s="371"/>
      <c r="J3" s="68"/>
    </row>
    <row r="4" spans="1:10" ht="12.75">
      <c r="B4" s="41"/>
      <c r="C4" s="28"/>
    </row>
    <row r="5" spans="1:10" ht="15.75">
      <c r="B5" s="107"/>
    </row>
    <row r="8" spans="1:10" ht="13.5" customHeight="1">
      <c r="A8" s="142" t="s">
        <v>204</v>
      </c>
      <c r="C8" s="334" t="s">
        <v>214</v>
      </c>
      <c r="D8" s="334" t="s">
        <v>310</v>
      </c>
      <c r="E8" s="34"/>
      <c r="F8" s="334" t="s">
        <v>256</v>
      </c>
      <c r="G8" s="334"/>
      <c r="H8" s="334" t="s">
        <v>311</v>
      </c>
    </row>
    <row r="9" spans="1:10" ht="13.5" customHeight="1">
      <c r="A9" s="33" t="s">
        <v>205</v>
      </c>
      <c r="B9" s="34" t="s">
        <v>331</v>
      </c>
      <c r="C9" s="335" t="s">
        <v>216</v>
      </c>
      <c r="D9" s="335" t="s">
        <v>206</v>
      </c>
      <c r="E9" s="34"/>
      <c r="F9" s="335" t="s">
        <v>312</v>
      </c>
      <c r="G9" s="335" t="s">
        <v>207</v>
      </c>
      <c r="H9" s="335" t="s">
        <v>206</v>
      </c>
    </row>
    <row r="10" spans="1:10" ht="13.5" customHeight="1">
      <c r="G10" s="39"/>
    </row>
    <row r="11" spans="1:10">
      <c r="A11" s="32">
        <v>1</v>
      </c>
      <c r="B11" s="126" t="s">
        <v>420</v>
      </c>
      <c r="C11" s="126" t="s">
        <v>141</v>
      </c>
      <c r="D11" s="147">
        <v>2132512</v>
      </c>
      <c r="F11" s="32" t="s">
        <v>398</v>
      </c>
      <c r="G11" s="39">
        <v>1</v>
      </c>
      <c r="H11" s="147">
        <f>D11*G11</f>
        <v>2132512</v>
      </c>
    </row>
    <row r="12" spans="1:10">
      <c r="A12" s="32">
        <f>+A11+1</f>
        <v>2</v>
      </c>
      <c r="B12" s="126" t="s">
        <v>68</v>
      </c>
      <c r="C12" s="126" t="s">
        <v>70</v>
      </c>
      <c r="D12" s="147">
        <v>1228</v>
      </c>
      <c r="E12" s="126"/>
      <c r="F12" s="133" t="s">
        <v>398</v>
      </c>
      <c r="G12" s="134">
        <f>+G11</f>
        <v>1</v>
      </c>
      <c r="H12" s="147">
        <f>D12*G12</f>
        <v>1228</v>
      </c>
      <c r="I12" s="126"/>
    </row>
    <row r="13" spans="1:10">
      <c r="A13" s="32">
        <f t="shared" ref="A13:A34" si="0">+A12+1</f>
        <v>3</v>
      </c>
      <c r="B13" s="126" t="s">
        <v>69</v>
      </c>
      <c r="C13" s="126" t="s">
        <v>71</v>
      </c>
      <c r="D13" s="147">
        <v>0</v>
      </c>
      <c r="E13" s="126"/>
      <c r="F13" s="133" t="s">
        <v>398</v>
      </c>
      <c r="G13" s="134">
        <f>+G12</f>
        <v>1</v>
      </c>
      <c r="H13" s="147">
        <f>D13*G13</f>
        <v>0</v>
      </c>
      <c r="I13" s="126"/>
    </row>
    <row r="14" spans="1:10" ht="12" thickBot="1">
      <c r="A14" s="32">
        <f t="shared" si="0"/>
        <v>4</v>
      </c>
      <c r="B14" s="314" t="s">
        <v>334</v>
      </c>
      <c r="C14" s="315"/>
      <c r="D14" s="135">
        <f>+D11-D12-D13</f>
        <v>2131284</v>
      </c>
      <c r="E14" s="126"/>
      <c r="F14" s="126"/>
      <c r="G14" s="126"/>
      <c r="H14" s="136">
        <f>+H11-H12-H13</f>
        <v>2131284</v>
      </c>
      <c r="I14" s="126"/>
    </row>
    <row r="15" spans="1:10">
      <c r="A15" s="32">
        <f t="shared" si="0"/>
        <v>5</v>
      </c>
      <c r="B15" s="126"/>
      <c r="C15" s="126"/>
      <c r="D15" s="126"/>
      <c r="E15" s="126"/>
      <c r="F15" s="126"/>
      <c r="G15" s="126"/>
      <c r="H15" s="126"/>
      <c r="I15" s="126"/>
    </row>
    <row r="16" spans="1:10">
      <c r="A16" s="32">
        <f t="shared" si="0"/>
        <v>6</v>
      </c>
      <c r="B16" s="146" t="s">
        <v>421</v>
      </c>
      <c r="C16" s="126"/>
      <c r="D16" s="126"/>
      <c r="E16" s="126"/>
      <c r="F16" s="126"/>
      <c r="G16" s="126"/>
      <c r="H16" s="126"/>
      <c r="I16" s="126"/>
    </row>
    <row r="17" spans="1:9">
      <c r="A17" s="32">
        <f t="shared" si="0"/>
        <v>7</v>
      </c>
      <c r="B17" s="27" t="s">
        <v>313</v>
      </c>
      <c r="C17" s="27" t="s">
        <v>141</v>
      </c>
      <c r="D17" s="147">
        <v>2565712</v>
      </c>
      <c r="E17" s="126"/>
      <c r="F17" s="126"/>
      <c r="G17" s="126"/>
      <c r="H17" s="126"/>
      <c r="I17" s="126"/>
    </row>
    <row r="18" spans="1:9">
      <c r="A18" s="32">
        <f t="shared" si="0"/>
        <v>8</v>
      </c>
      <c r="B18" s="126" t="s">
        <v>68</v>
      </c>
      <c r="C18" s="126" t="s">
        <v>70</v>
      </c>
      <c r="D18" s="147">
        <v>1034</v>
      </c>
      <c r="E18" s="126"/>
      <c r="F18" s="126"/>
      <c r="G18" s="126"/>
      <c r="H18" s="126"/>
      <c r="I18" s="126"/>
    </row>
    <row r="19" spans="1:9">
      <c r="A19" s="32">
        <f t="shared" si="0"/>
        <v>9</v>
      </c>
      <c r="B19" s="126" t="s">
        <v>69</v>
      </c>
      <c r="C19" s="126" t="s">
        <v>71</v>
      </c>
      <c r="D19" s="147">
        <v>-8449</v>
      </c>
      <c r="E19" s="126"/>
      <c r="F19" s="126"/>
      <c r="G19" s="126"/>
      <c r="H19" s="126"/>
      <c r="I19" s="126"/>
    </row>
    <row r="20" spans="1:9" ht="12" thickBot="1">
      <c r="A20" s="32">
        <f t="shared" si="0"/>
        <v>10</v>
      </c>
      <c r="B20" s="126"/>
      <c r="C20" s="126"/>
      <c r="D20" s="135">
        <f>+D17-D18-D19</f>
        <v>2573127</v>
      </c>
      <c r="E20" s="126"/>
      <c r="F20" s="126"/>
      <c r="G20" s="126"/>
      <c r="H20" s="126"/>
      <c r="I20" s="126"/>
    </row>
    <row r="21" spans="1:9">
      <c r="A21" s="32">
        <f t="shared" si="0"/>
        <v>11</v>
      </c>
      <c r="B21" s="126"/>
      <c r="C21" s="126"/>
      <c r="D21" s="148"/>
      <c r="E21" s="126"/>
      <c r="F21" s="126"/>
      <c r="G21" s="126"/>
      <c r="H21" s="126"/>
      <c r="I21" s="126"/>
    </row>
    <row r="22" spans="1:9">
      <c r="A22" s="32">
        <f t="shared" si="0"/>
        <v>12</v>
      </c>
      <c r="B22" s="126" t="str">
        <f>"True-up Amount to be (Refunded)/Paid (line "&amp;A20&amp;"-line "&amp;A14&amp;")"</f>
        <v>True-up Amount to be (Refunded)/Paid (line 10-line 4)</v>
      </c>
      <c r="C22" s="126"/>
      <c r="D22" s="148">
        <f>D20-D14</f>
        <v>441843</v>
      </c>
      <c r="E22" s="126"/>
      <c r="F22" s="126"/>
      <c r="G22" s="126"/>
      <c r="H22" s="126"/>
      <c r="I22" s="126"/>
    </row>
    <row r="23" spans="1:9">
      <c r="A23" s="32">
        <f t="shared" si="0"/>
        <v>13</v>
      </c>
      <c r="B23" s="126"/>
      <c r="C23" s="126"/>
      <c r="D23" s="126"/>
      <c r="E23" s="126"/>
      <c r="F23" s="126"/>
      <c r="G23" s="126"/>
      <c r="H23" s="126"/>
      <c r="I23" s="126"/>
    </row>
    <row r="24" spans="1:9">
      <c r="A24" s="32">
        <f t="shared" si="0"/>
        <v>14</v>
      </c>
      <c r="B24" s="126"/>
      <c r="C24" s="126"/>
      <c r="D24" s="126"/>
      <c r="E24" s="126"/>
      <c r="F24" s="126"/>
      <c r="G24" s="126"/>
      <c r="H24" s="126"/>
      <c r="I24" s="126"/>
    </row>
    <row r="25" spans="1:9">
      <c r="A25" s="32">
        <f t="shared" si="0"/>
        <v>15</v>
      </c>
      <c r="B25" s="137" t="s">
        <v>314</v>
      </c>
      <c r="C25" s="126"/>
      <c r="D25" s="126"/>
      <c r="E25" s="126"/>
      <c r="F25" s="126"/>
      <c r="G25" s="126"/>
      <c r="H25" s="126"/>
      <c r="I25" s="126"/>
    </row>
    <row r="26" spans="1:9">
      <c r="A26" s="32">
        <f t="shared" si="0"/>
        <v>16</v>
      </c>
    </row>
    <row r="27" spans="1:9" ht="12.75">
      <c r="A27" s="32">
        <f t="shared" si="0"/>
        <v>17</v>
      </c>
      <c r="B27" s="126" t="s">
        <v>315</v>
      </c>
      <c r="C27" s="126"/>
      <c r="D27" s="165">
        <f>D20</f>
        <v>2573127</v>
      </c>
    </row>
    <row r="28" spans="1:9" ht="12.75">
      <c r="A28" s="32">
        <f t="shared" si="0"/>
        <v>18</v>
      </c>
      <c r="B28" s="166" t="s">
        <v>316</v>
      </c>
      <c r="C28" s="126"/>
      <c r="D28" s="167">
        <f>'BHP WP7 CU AC LOADS'!J24*1000</f>
        <v>910833.33333333337</v>
      </c>
      <c r="F28" s="35" t="s">
        <v>317</v>
      </c>
      <c r="G28" s="126" t="s">
        <v>422</v>
      </c>
      <c r="H28" s="126"/>
    </row>
    <row r="29" spans="1:9" ht="12">
      <c r="A29" s="32">
        <f t="shared" si="0"/>
        <v>19</v>
      </c>
      <c r="B29" s="126"/>
      <c r="C29" s="126"/>
      <c r="D29" s="126"/>
      <c r="F29" s="35"/>
      <c r="G29" s="126"/>
    </row>
    <row r="30" spans="1:9" ht="12.75">
      <c r="A30" s="32">
        <f t="shared" si="0"/>
        <v>20</v>
      </c>
      <c r="B30" s="168" t="s">
        <v>318</v>
      </c>
      <c r="C30" s="126"/>
      <c r="D30" s="169">
        <f>D27/D28</f>
        <v>2.8250250686184812</v>
      </c>
      <c r="E30" s="27" t="s">
        <v>319</v>
      </c>
      <c r="F30" s="37" t="s">
        <v>320</v>
      </c>
      <c r="G30" s="126" t="s">
        <v>13</v>
      </c>
    </row>
    <row r="31" spans="1:9" ht="12.75">
      <c r="A31" s="32">
        <f t="shared" si="0"/>
        <v>21</v>
      </c>
      <c r="B31" s="168" t="s">
        <v>321</v>
      </c>
      <c r="C31" s="126"/>
      <c r="D31" s="169">
        <f>D30/12</f>
        <v>0.23541875571820678</v>
      </c>
      <c r="E31" s="27" t="s">
        <v>319</v>
      </c>
      <c r="F31" s="37" t="s">
        <v>322</v>
      </c>
      <c r="G31" s="126" t="s">
        <v>14</v>
      </c>
    </row>
    <row r="32" spans="1:9" ht="12.75">
      <c r="A32" s="32">
        <f t="shared" si="0"/>
        <v>22</v>
      </c>
      <c r="B32" s="168" t="s">
        <v>323</v>
      </c>
      <c r="C32" s="126"/>
      <c r="D32" s="169">
        <f>D30/52</f>
        <v>5.4327405165740021E-2</v>
      </c>
      <c r="E32" s="27" t="s">
        <v>319</v>
      </c>
      <c r="F32" s="37" t="s">
        <v>324</v>
      </c>
      <c r="G32" s="126" t="s">
        <v>15</v>
      </c>
    </row>
    <row r="33" spans="1:8" ht="12.75">
      <c r="A33" s="32">
        <f t="shared" si="0"/>
        <v>23</v>
      </c>
      <c r="B33" s="168" t="s">
        <v>325</v>
      </c>
      <c r="C33" s="133" t="s">
        <v>332</v>
      </c>
      <c r="D33" s="169">
        <f>D30/365</f>
        <v>7.7397947085437839E-3</v>
      </c>
      <c r="E33" s="27" t="s">
        <v>319</v>
      </c>
      <c r="F33" s="37" t="s">
        <v>326</v>
      </c>
      <c r="G33" s="126" t="s">
        <v>16</v>
      </c>
    </row>
    <row r="34" spans="1:8" ht="12.75">
      <c r="A34" s="32">
        <f t="shared" si="0"/>
        <v>24</v>
      </c>
      <c r="B34" s="168" t="s">
        <v>327</v>
      </c>
      <c r="C34" s="133" t="s">
        <v>333</v>
      </c>
      <c r="D34" s="169">
        <f>(D30/8760)*1000</f>
        <v>0.32249144618932435</v>
      </c>
      <c r="E34" s="27" t="s">
        <v>319</v>
      </c>
      <c r="F34" s="37" t="s">
        <v>328</v>
      </c>
      <c r="G34" s="126" t="s">
        <v>17</v>
      </c>
    </row>
    <row r="35" spans="1:8">
      <c r="B35" s="36"/>
      <c r="G35" s="126"/>
    </row>
    <row r="36" spans="1:8">
      <c r="G36" s="126"/>
    </row>
    <row r="37" spans="1:8">
      <c r="G37" s="126"/>
    </row>
    <row r="42" spans="1:8" ht="10.5" customHeight="1"/>
    <row r="46" spans="1:8" ht="15.75">
      <c r="H46" s="29"/>
    </row>
    <row r="47" spans="1:8" ht="15">
      <c r="H47" s="31"/>
    </row>
    <row r="48" spans="1:8">
      <c r="H48" s="27" t="s">
        <v>202</v>
      </c>
    </row>
    <row r="52" spans="1:9" ht="14.25">
      <c r="C52" s="30"/>
    </row>
    <row r="53" spans="1:9" ht="14.25">
      <c r="C53" s="30"/>
    </row>
    <row r="54" spans="1:9" ht="14.25">
      <c r="C54" s="38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40"/>
      <c r="O92" s="40"/>
      <c r="P92" s="40"/>
      <c r="Q92" s="40"/>
      <c r="R92" s="40"/>
    </row>
    <row r="93" spans="1:18" ht="15">
      <c r="A93"/>
      <c r="B93"/>
      <c r="C93"/>
      <c r="D93"/>
      <c r="E93"/>
      <c r="F93"/>
      <c r="G93"/>
      <c r="H93"/>
      <c r="I93"/>
      <c r="J93" s="40"/>
    </row>
    <row r="94" spans="1:18" ht="15">
      <c r="A94"/>
      <c r="B94"/>
      <c r="C94"/>
      <c r="D94"/>
      <c r="E94"/>
      <c r="F94"/>
      <c r="G94"/>
      <c r="H94"/>
      <c r="I94"/>
      <c r="M94" s="40"/>
      <c r="O94" s="40"/>
      <c r="P94" s="40"/>
      <c r="Q94" s="40"/>
      <c r="R94" s="40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7" t="s">
        <v>208</v>
      </c>
      <c r="H119" s="27">
        <f>+J188</f>
        <v>0</v>
      </c>
    </row>
    <row r="120" spans="7:8">
      <c r="H120" s="27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&amp;C&amp;"Arial MT,Bold"&amp;10SCHEDULE 1 RATE
BLACK HILLS POWER, INC.&amp;RExhibit No. BHP-11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CU AC Rate Design - True-Up</vt:lpstr>
      <vt:lpstr>True-Up</vt:lpstr>
      <vt:lpstr>Capital True-up</vt:lpstr>
      <vt:lpstr>BHP WP5 Depreciation Rates</vt:lpstr>
      <vt:lpstr>True-Up Rate Base</vt:lpstr>
      <vt:lpstr>BHP WP7 CU AC LOADS</vt:lpstr>
      <vt:lpstr>BHP Sch. 1</vt:lpstr>
      <vt:lpstr>'BHP Sch. 1'!Print_Area</vt:lpstr>
      <vt:lpstr>'BHP WP5 Depreciation Rates'!Print_Area</vt:lpstr>
      <vt:lpstr>'BHP WP7 CU AC LOADS'!Print_Area</vt:lpstr>
      <vt:lpstr>'Capital True-up'!Print_Area</vt:lpstr>
      <vt:lpstr>'CU AC Rate Design - True-Up'!Print_Area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2015-05-29T16:26:37Z</cp:lastPrinted>
  <dcterms:created xsi:type="dcterms:W3CDTF">1997-04-03T19:40:56Z</dcterms:created>
  <dcterms:modified xsi:type="dcterms:W3CDTF">2020-06-01T14:38:37Z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