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6563_20_BHBE 2019 Adjustments\Originals\"/>
    </mc:Choice>
  </mc:AlternateContent>
  <xr:revisionPtr revIDLastSave="0" documentId="8_{79D7F970-B2A9-45A0-B69D-C26FFD1B3A0D}" xr6:coauthVersionLast="44" xr6:coauthVersionMax="44" xr10:uidLastSave="{00000000-0000-0000-0000-000000000000}"/>
  <bookViews>
    <workbookView xWindow="-120" yWindow="-120" windowWidth="29040" windowHeight="15990" tabRatio="893" firstSheet="1" activeTab="1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35" l="1"/>
  <c r="E77" i="35"/>
  <c r="R69" i="37"/>
  <c r="R70" i="37"/>
  <c r="E71" i="37"/>
  <c r="F71" i="37"/>
  <c r="G71" i="37"/>
  <c r="H71" i="37"/>
  <c r="I71" i="37"/>
  <c r="J71" i="37"/>
  <c r="K71" i="37"/>
  <c r="L71" i="37"/>
  <c r="M71" i="37"/>
  <c r="N71" i="37"/>
  <c r="O71" i="37"/>
  <c r="P71" i="37"/>
  <c r="Q71" i="37"/>
  <c r="R71" i="37"/>
  <c r="R73" i="37"/>
  <c r="R74" i="37"/>
  <c r="E75" i="37"/>
  <c r="F75" i="37"/>
  <c r="G75" i="37"/>
  <c r="H75" i="37"/>
  <c r="I75" i="37"/>
  <c r="J75" i="37"/>
  <c r="K75" i="37"/>
  <c r="L75" i="37"/>
  <c r="M75" i="37"/>
  <c r="N75" i="37"/>
  <c r="O75" i="37"/>
  <c r="P75" i="37"/>
  <c r="Q75" i="37"/>
  <c r="R75" i="37"/>
  <c r="R77" i="37"/>
  <c r="R78" i="37"/>
  <c r="E79" i="37"/>
  <c r="F79" i="37"/>
  <c r="G79" i="37"/>
  <c r="H79" i="37"/>
  <c r="I79" i="37"/>
  <c r="J79" i="37"/>
  <c r="R79" i="37"/>
  <c r="K79" i="37"/>
  <c r="L79" i="37"/>
  <c r="M79" i="37"/>
  <c r="N79" i="37"/>
  <c r="O79" i="37"/>
  <c r="P79" i="37"/>
  <c r="Q79" i="37"/>
  <c r="F51" i="37"/>
  <c r="F56" i="37"/>
  <c r="E51" i="37"/>
  <c r="E56" i="37"/>
  <c r="L54" i="37"/>
  <c r="K54" i="37"/>
  <c r="E19" i="35"/>
  <c r="O4" i="31"/>
  <c r="O3" i="31"/>
  <c r="Q18" i="37"/>
  <c r="P18" i="37"/>
  <c r="Q25" i="37"/>
  <c r="O25" i="37"/>
  <c r="N25" i="37"/>
  <c r="M25" i="37"/>
  <c r="L25" i="37"/>
  <c r="K25" i="37"/>
  <c r="I25" i="37"/>
  <c r="I35" i="37"/>
  <c r="J25" i="37"/>
  <c r="H25" i="37"/>
  <c r="G25" i="37"/>
  <c r="F25" i="37"/>
  <c r="P25" i="37"/>
  <c r="Q15" i="37"/>
  <c r="P15" i="37"/>
  <c r="O18" i="37"/>
  <c r="O15" i="37"/>
  <c r="O35" i="37"/>
  <c r="N18" i="37"/>
  <c r="N15" i="37"/>
  <c r="M18" i="37"/>
  <c r="M15" i="37"/>
  <c r="L18" i="37"/>
  <c r="L15" i="37"/>
  <c r="K18" i="37"/>
  <c r="K15" i="37"/>
  <c r="K35" i="37"/>
  <c r="J18" i="37"/>
  <c r="J15" i="37"/>
  <c r="I18" i="37"/>
  <c r="I15" i="37"/>
  <c r="H18" i="37"/>
  <c r="H15" i="37"/>
  <c r="G18" i="37"/>
  <c r="G15" i="37"/>
  <c r="F18" i="37"/>
  <c r="F15" i="37"/>
  <c r="E18" i="37"/>
  <c r="R18" i="37"/>
  <c r="J184" i="35"/>
  <c r="H196" i="35"/>
  <c r="J196" i="35"/>
  <c r="F55" i="37"/>
  <c r="E55" i="37"/>
  <c r="J2" i="24"/>
  <c r="R29" i="37"/>
  <c r="E22" i="37"/>
  <c r="P22" i="37"/>
  <c r="I22" i="37"/>
  <c r="H35" i="37"/>
  <c r="F22" i="37"/>
  <c r="I206" i="24"/>
  <c r="J206" i="24"/>
  <c r="I128" i="24"/>
  <c r="J128" i="24"/>
  <c r="F14" i="41"/>
  <c r="F13" i="41"/>
  <c r="F12" i="41"/>
  <c r="I2" i="37"/>
  <c r="R2" i="37"/>
  <c r="H1" i="3"/>
  <c r="J63" i="35"/>
  <c r="K77" i="31"/>
  <c r="N53" i="31"/>
  <c r="R16" i="37"/>
  <c r="D20" i="3"/>
  <c r="D27" i="3"/>
  <c r="J11" i="24"/>
  <c r="H31" i="35"/>
  <c r="J31" i="35"/>
  <c r="R27" i="37"/>
  <c r="R37" i="37"/>
  <c r="R19" i="37"/>
  <c r="E44" i="24"/>
  <c r="H24" i="24"/>
  <c r="F24" i="24"/>
  <c r="F44" i="24"/>
  <c r="R17" i="37"/>
  <c r="R20" i="37"/>
  <c r="E35" i="37"/>
  <c r="H11" i="3"/>
  <c r="J22" i="24"/>
  <c r="J20" i="24"/>
  <c r="J21" i="24"/>
  <c r="J19" i="24"/>
  <c r="J18" i="24"/>
  <c r="J17" i="24"/>
  <c r="J16" i="24"/>
  <c r="J15" i="24"/>
  <c r="J14" i="24"/>
  <c r="J13" i="24"/>
  <c r="J12" i="24"/>
  <c r="I24" i="24"/>
  <c r="G24" i="24"/>
  <c r="E24" i="24"/>
  <c r="D24" i="24"/>
  <c r="E105" i="35"/>
  <c r="G25" i="35"/>
  <c r="G45" i="35"/>
  <c r="G99" i="35"/>
  <c r="G80" i="35"/>
  <c r="G81" i="35"/>
  <c r="G82" i="35"/>
  <c r="J32" i="24"/>
  <c r="J33" i="24"/>
  <c r="J34" i="24"/>
  <c r="J35" i="24"/>
  <c r="J36" i="24"/>
  <c r="J37" i="24"/>
  <c r="J38" i="24"/>
  <c r="J39" i="24"/>
  <c r="J40" i="24"/>
  <c r="J41" i="24"/>
  <c r="J42" i="24"/>
  <c r="A12" i="3"/>
  <c r="A13" i="3"/>
  <c r="A14" i="3"/>
  <c r="A15" i="3"/>
  <c r="A16" i="3"/>
  <c r="A17" i="3"/>
  <c r="A18" i="3"/>
  <c r="A19" i="3"/>
  <c r="A20" i="3"/>
  <c r="G12" i="3"/>
  <c r="G13" i="3"/>
  <c r="H13" i="3"/>
  <c r="D14" i="3"/>
  <c r="D22" i="3"/>
  <c r="N52" i="31"/>
  <c r="N54" i="31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D44" i="24"/>
  <c r="G44" i="24"/>
  <c r="H44" i="24"/>
  <c r="I44" i="24"/>
  <c r="I114" i="24"/>
  <c r="I115" i="24"/>
  <c r="A16" i="37"/>
  <c r="R21" i="37"/>
  <c r="G22" i="37"/>
  <c r="H22" i="37"/>
  <c r="N22" i="37"/>
  <c r="C25" i="37"/>
  <c r="C35" i="37"/>
  <c r="C28" i="37"/>
  <c r="C38" i="37"/>
  <c r="C30" i="37"/>
  <c r="C40" i="37"/>
  <c r="C31" i="37"/>
  <c r="R31" i="37"/>
  <c r="E31" i="35"/>
  <c r="G35" i="37"/>
  <c r="L35" i="37"/>
  <c r="N35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C41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1" i="37"/>
  <c r="E46" i="35"/>
  <c r="G52" i="37"/>
  <c r="E47" i="35"/>
  <c r="G53" i="37"/>
  <c r="E48" i="35"/>
  <c r="G54" i="37"/>
  <c r="E49" i="35"/>
  <c r="G58" i="37"/>
  <c r="E53" i="35"/>
  <c r="J53" i="35"/>
  <c r="G62" i="37"/>
  <c r="E57" i="35"/>
  <c r="G63" i="37"/>
  <c r="G64" i="37"/>
  <c r="E59" i="35"/>
  <c r="E65" i="37"/>
  <c r="F65" i="37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E32" i="31"/>
  <c r="J193" i="35"/>
  <c r="E198" i="35"/>
  <c r="E199" i="35"/>
  <c r="F197" i="35"/>
  <c r="J197" i="35"/>
  <c r="J199" i="35"/>
  <c r="E106" i="35"/>
  <c r="A16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E101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E45" i="35"/>
  <c r="J79" i="35"/>
  <c r="J157" i="35"/>
  <c r="J139" i="35"/>
  <c r="J31" i="24"/>
  <c r="J44" i="24"/>
  <c r="Q22" i="37"/>
  <c r="P35" i="37"/>
  <c r="Q35" i="37"/>
  <c r="J122" i="35"/>
  <c r="L22" i="37"/>
  <c r="F35" i="37"/>
  <c r="J24" i="24"/>
  <c r="G22" i="41"/>
  <c r="M22" i="37"/>
  <c r="R15" i="37"/>
  <c r="E15" i="35"/>
  <c r="M35" i="37"/>
  <c r="G55" i="37"/>
  <c r="K22" i="37"/>
  <c r="J35" i="37"/>
  <c r="J22" i="37"/>
  <c r="E20" i="35"/>
  <c r="E16" i="35"/>
  <c r="J135" i="35"/>
  <c r="E17" i="35"/>
  <c r="E37" i="35"/>
  <c r="M53" i="31"/>
  <c r="R25" i="37"/>
  <c r="E25" i="35"/>
  <c r="E27" i="35"/>
  <c r="J164" i="35"/>
  <c r="J165" i="35"/>
  <c r="H84" i="35"/>
  <c r="J84" i="35"/>
  <c r="H90" i="35"/>
  <c r="J90" i="35"/>
  <c r="J200" i="35"/>
  <c r="F15" i="41"/>
  <c r="G13" i="41"/>
  <c r="G15" i="41"/>
  <c r="H13" i="41"/>
  <c r="E23" i="41"/>
  <c r="F23" i="41"/>
  <c r="G12" i="41"/>
  <c r="H12" i="41"/>
  <c r="E22" i="41"/>
  <c r="G14" i="41"/>
  <c r="H14" i="41"/>
  <c r="E24" i="41"/>
  <c r="F24" i="41"/>
  <c r="J138" i="35"/>
  <c r="J140" i="35"/>
  <c r="B22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R41" i="37"/>
  <c r="E21" i="35"/>
  <c r="J21" i="35"/>
  <c r="J41" i="35"/>
  <c r="G23" i="41"/>
  <c r="G24" i="41"/>
  <c r="H24" i="41"/>
  <c r="E45" i="41"/>
  <c r="J141" i="35"/>
  <c r="J143" i="35"/>
  <c r="G179" i="35"/>
  <c r="E88" i="35"/>
  <c r="D28" i="3"/>
  <c r="D30" i="3"/>
  <c r="E18" i="35"/>
  <c r="E25" i="41"/>
  <c r="E43" i="41"/>
  <c r="H15" i="41"/>
  <c r="E58" i="35"/>
  <c r="G65" i="37"/>
  <c r="R35" i="37"/>
  <c r="E50" i="35"/>
  <c r="A17" i="37"/>
  <c r="R22" i="37"/>
  <c r="H12" i="3"/>
  <c r="H14" i="3"/>
  <c r="E39" i="37"/>
  <c r="O22" i="37"/>
  <c r="D34" i="3"/>
  <c r="D32" i="3"/>
  <c r="D31" i="3"/>
  <c r="D33" i="3"/>
  <c r="H23" i="41"/>
  <c r="E41" i="35"/>
  <c r="A18" i="37"/>
  <c r="A19" i="37"/>
  <c r="A20" i="37"/>
  <c r="A21" i="37"/>
  <c r="A22" i="37"/>
  <c r="A23" i="37"/>
  <c r="A24" i="37"/>
  <c r="A25" i="37"/>
  <c r="D22" i="37"/>
  <c r="A26" i="37"/>
  <c r="D35" i="37"/>
  <c r="A27" i="37"/>
  <c r="D36" i="37"/>
  <c r="A28" i="37"/>
  <c r="D37" i="37"/>
  <c r="A29" i="37"/>
  <c r="D38" i="37"/>
  <c r="A30" i="37"/>
  <c r="D39" i="37"/>
  <c r="A31" i="37"/>
  <c r="D40" i="37"/>
  <c r="A32" i="37"/>
  <c r="A33" i="37"/>
  <c r="A34" i="37"/>
  <c r="A35" i="37"/>
  <c r="D41" i="37"/>
  <c r="D32" i="37"/>
  <c r="A36" i="37"/>
  <c r="A37" i="37"/>
  <c r="A38" i="37"/>
  <c r="A39" i="37"/>
  <c r="A40" i="37"/>
  <c r="A41" i="37"/>
  <c r="A42" i="37"/>
  <c r="A48" i="37"/>
  <c r="A49" i="37"/>
  <c r="A50" i="37"/>
  <c r="D42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D56" i="37"/>
  <c r="D65" i="37"/>
  <c r="F172" i="35"/>
  <c r="H172" i="35"/>
  <c r="H175" i="35"/>
  <c r="J175" i="35"/>
  <c r="H58" i="35"/>
  <c r="J58" i="35"/>
  <c r="H88" i="35"/>
  <c r="J88" i="35"/>
  <c r="H16" i="35"/>
  <c r="J16" i="35"/>
  <c r="H76" i="35"/>
  <c r="E135" i="35"/>
  <c r="A17" i="35"/>
  <c r="E89" i="35"/>
  <c r="E91" i="35"/>
  <c r="E35" i="35"/>
  <c r="J146" i="35"/>
  <c r="J168" i="35"/>
  <c r="J76" i="35"/>
  <c r="H83" i="35"/>
  <c r="J83" i="35"/>
  <c r="H77" i="35"/>
  <c r="J77" i="35"/>
  <c r="E146" i="35"/>
  <c r="A18" i="35"/>
  <c r="H95" i="35"/>
  <c r="H18" i="35"/>
  <c r="E180" i="35"/>
  <c r="J147" i="35"/>
  <c r="J151" i="35"/>
  <c r="A19" i="35"/>
  <c r="J95" i="35"/>
  <c r="H96" i="35"/>
  <c r="J96" i="35"/>
  <c r="J18" i="35"/>
  <c r="H28" i="35"/>
  <c r="H19" i="35"/>
  <c r="H29" i="35"/>
  <c r="J29" i="35"/>
  <c r="H78" i="35"/>
  <c r="A20" i="35"/>
  <c r="A21" i="35"/>
  <c r="H80" i="35"/>
  <c r="H89" i="35"/>
  <c r="J89" i="35"/>
  <c r="J91" i="35"/>
  <c r="J78" i="35"/>
  <c r="H82" i="35"/>
  <c r="J82" i="35"/>
  <c r="J80" i="35"/>
  <c r="H81" i="35"/>
  <c r="J81" i="35"/>
  <c r="D22" i="35"/>
  <c r="A22" i="35"/>
  <c r="A23" i="35"/>
  <c r="A24" i="35"/>
  <c r="A25" i="35"/>
  <c r="A26" i="35"/>
  <c r="D35" i="35"/>
  <c r="E154" i="35"/>
  <c r="A27" i="35"/>
  <c r="D36" i="35"/>
  <c r="E164" i="35"/>
  <c r="A28" i="35"/>
  <c r="D37" i="35"/>
  <c r="A29" i="35"/>
  <c r="D38" i="35"/>
  <c r="A30" i="35"/>
  <c r="D39" i="35"/>
  <c r="A31" i="35"/>
  <c r="D40" i="35"/>
  <c r="A32" i="35"/>
  <c r="A33" i="35"/>
  <c r="A34" i="35"/>
  <c r="A35" i="35"/>
  <c r="D41" i="35"/>
  <c r="D32" i="35"/>
  <c r="A36" i="35"/>
  <c r="A37" i="35"/>
  <c r="A38" i="35"/>
  <c r="A39" i="35"/>
  <c r="A40" i="35"/>
  <c r="A41" i="35"/>
  <c r="A42" i="35"/>
  <c r="A43" i="35"/>
  <c r="A44" i="35"/>
  <c r="A45" i="35"/>
  <c r="D42" i="35"/>
  <c r="A46" i="35"/>
  <c r="A47" i="35"/>
  <c r="A48" i="35"/>
  <c r="A49" i="35"/>
  <c r="A50" i="35"/>
  <c r="A51" i="35"/>
  <c r="A52" i="35"/>
  <c r="A53" i="35"/>
  <c r="A54" i="35"/>
  <c r="A55" i="35"/>
  <c r="A56" i="35"/>
  <c r="D51" i="35"/>
  <c r="A57" i="35"/>
  <c r="A58" i="35"/>
  <c r="A59" i="35"/>
  <c r="A60" i="35"/>
  <c r="D60" i="35"/>
  <c r="A61" i="35"/>
  <c r="A62" i="35"/>
  <c r="D62" i="35"/>
  <c r="A76" i="35"/>
  <c r="A77" i="35"/>
  <c r="A78" i="35"/>
  <c r="A79" i="35"/>
  <c r="A80" i="35"/>
  <c r="A81" i="35"/>
  <c r="A82" i="35"/>
  <c r="A83" i="35"/>
  <c r="A84" i="35"/>
  <c r="A85" i="35"/>
  <c r="C85" i="35"/>
  <c r="D56" i="35"/>
  <c r="A86" i="35"/>
  <c r="A87" i="35"/>
  <c r="A88" i="35"/>
  <c r="A89" i="35"/>
  <c r="A90" i="35"/>
  <c r="A91" i="35"/>
  <c r="A92" i="35"/>
  <c r="A93" i="35"/>
  <c r="A94" i="35"/>
  <c r="A95" i="35"/>
  <c r="C91" i="35"/>
  <c r="A96" i="35"/>
  <c r="A97" i="35"/>
  <c r="A98" i="35"/>
  <c r="A99" i="35"/>
  <c r="A100" i="35"/>
  <c r="A101" i="35"/>
  <c r="A102" i="35"/>
  <c r="A103" i="35"/>
  <c r="A104" i="35"/>
  <c r="A105" i="35"/>
  <c r="A106" i="35"/>
  <c r="C101" i="35"/>
  <c r="A107" i="35"/>
  <c r="A108" i="35"/>
  <c r="A109" i="35"/>
  <c r="A110" i="35"/>
  <c r="A111" i="35"/>
  <c r="A112" i="35"/>
  <c r="A113" i="35"/>
  <c r="C115" i="35"/>
  <c r="A114" i="35"/>
  <c r="A115" i="35"/>
  <c r="D110" i="35"/>
  <c r="A116" i="35"/>
  <c r="A117" i="35"/>
  <c r="A118" i="35"/>
  <c r="A119" i="35"/>
  <c r="C119" i="35"/>
  <c r="D52" i="31"/>
  <c r="A135" i="35"/>
  <c r="A136" i="35"/>
  <c r="A137" i="35"/>
  <c r="A138" i="35"/>
  <c r="C138" i="35"/>
  <c r="A139" i="35"/>
  <c r="A140" i="35"/>
  <c r="C140" i="35"/>
  <c r="A141" i="35"/>
  <c r="A142" i="35"/>
  <c r="A143" i="35"/>
  <c r="A144" i="35"/>
  <c r="A145" i="35"/>
  <c r="A146" i="35"/>
  <c r="C143" i="35"/>
  <c r="A147" i="35"/>
  <c r="A148" i="35"/>
  <c r="A149" i="35"/>
  <c r="C149" i="35"/>
  <c r="C139" i="35"/>
  <c r="A150" i="35"/>
  <c r="A151" i="35"/>
  <c r="A152" i="35"/>
  <c r="A153" i="35"/>
  <c r="A154" i="35"/>
  <c r="C141" i="35"/>
  <c r="C151" i="35"/>
  <c r="A155" i="35"/>
  <c r="A156" i="35"/>
  <c r="C156" i="35"/>
  <c r="A157" i="35"/>
  <c r="A158" i="35"/>
  <c r="C159" i="35"/>
  <c r="C158" i="35"/>
  <c r="A159" i="35"/>
  <c r="A160" i="35"/>
  <c r="A161" i="35"/>
  <c r="A162" i="35"/>
  <c r="A163" i="35"/>
  <c r="A164" i="35"/>
  <c r="C161" i="35"/>
  <c r="A165" i="35"/>
  <c r="A166" i="35"/>
  <c r="C168" i="35"/>
  <c r="C157" i="35"/>
  <c r="A167" i="35"/>
  <c r="A168" i="35"/>
  <c r="A169" i="35"/>
  <c r="A170" i="35"/>
  <c r="A171" i="35"/>
  <c r="A172" i="35"/>
  <c r="A173" i="35"/>
  <c r="C166" i="35"/>
  <c r="A174" i="35"/>
  <c r="A175" i="35"/>
  <c r="A176" i="35"/>
  <c r="A177" i="35"/>
  <c r="A178" i="35"/>
  <c r="A179" i="35"/>
  <c r="C175" i="35"/>
  <c r="A180" i="35"/>
  <c r="A181" i="35"/>
  <c r="A182" i="35"/>
  <c r="A183" i="35"/>
  <c r="A184" i="35"/>
  <c r="A185" i="35"/>
  <c r="A186" i="35"/>
  <c r="A187" i="35"/>
  <c r="A188" i="35"/>
  <c r="A189" i="35"/>
  <c r="C181" i="35"/>
  <c r="A190" i="35"/>
  <c r="A191" i="35"/>
  <c r="A192" i="35"/>
  <c r="A193" i="35"/>
  <c r="D198" i="35"/>
  <c r="A194" i="35"/>
  <c r="A195" i="35"/>
  <c r="A196" i="35"/>
  <c r="E193" i="35"/>
  <c r="A197" i="35"/>
  <c r="A198" i="35"/>
  <c r="A199" i="35"/>
  <c r="C113" i="35"/>
  <c r="C107" i="35"/>
  <c r="C199" i="35"/>
  <c r="J19" i="35"/>
  <c r="E22" i="35"/>
  <c r="E39" i="35"/>
  <c r="R39" i="37"/>
  <c r="J39" i="35"/>
  <c r="E51" i="35"/>
  <c r="G56" i="37"/>
  <c r="E26" i="37"/>
  <c r="F26" i="37"/>
  <c r="G26" i="37"/>
  <c r="H26" i="37"/>
  <c r="I26" i="37"/>
  <c r="J26" i="37"/>
  <c r="K26" i="37"/>
  <c r="L26" i="37"/>
  <c r="M26" i="37"/>
  <c r="N26" i="37"/>
  <c r="O26" i="37"/>
  <c r="P26" i="37"/>
  <c r="Q26" i="37"/>
  <c r="R26" i="37"/>
  <c r="E26" i="35"/>
  <c r="E28" i="37"/>
  <c r="F28" i="37"/>
  <c r="G28" i="37"/>
  <c r="H28" i="37"/>
  <c r="I28" i="37"/>
  <c r="J28" i="37"/>
  <c r="K28" i="37"/>
  <c r="L28" i="37"/>
  <c r="R28" i="37"/>
  <c r="M28" i="37"/>
  <c r="N28" i="37"/>
  <c r="O28" i="37"/>
  <c r="P28" i="37"/>
  <c r="Q28" i="37"/>
  <c r="E30" i="37"/>
  <c r="F30" i="37"/>
  <c r="R30" i="37"/>
  <c r="G30" i="37"/>
  <c r="H30" i="37"/>
  <c r="I30" i="37"/>
  <c r="J30" i="37"/>
  <c r="K30" i="37"/>
  <c r="L30" i="37"/>
  <c r="M30" i="37"/>
  <c r="N30" i="37"/>
  <c r="O30" i="37"/>
  <c r="P30" i="37"/>
  <c r="Q30" i="37"/>
  <c r="E32" i="37"/>
  <c r="G32" i="37"/>
  <c r="H32" i="37"/>
  <c r="I32" i="37"/>
  <c r="J32" i="37"/>
  <c r="K32" i="37"/>
  <c r="L32" i="37"/>
  <c r="M32" i="37"/>
  <c r="N32" i="37"/>
  <c r="O32" i="37"/>
  <c r="P32" i="37"/>
  <c r="Q32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E38" i="37"/>
  <c r="F38" i="37"/>
  <c r="G38" i="37"/>
  <c r="H38" i="37"/>
  <c r="I38" i="37"/>
  <c r="J38" i="37"/>
  <c r="K38" i="37"/>
  <c r="L38" i="37"/>
  <c r="M38" i="37"/>
  <c r="N38" i="37"/>
  <c r="O38" i="37"/>
  <c r="P38" i="37"/>
  <c r="Q38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E42" i="37"/>
  <c r="F42" i="37"/>
  <c r="G42" i="37"/>
  <c r="H42" i="37"/>
  <c r="I42" i="37"/>
  <c r="J42" i="37"/>
  <c r="K42" i="37"/>
  <c r="L42" i="37"/>
  <c r="M42" i="37"/>
  <c r="N42" i="37"/>
  <c r="O42" i="37"/>
  <c r="P42" i="37"/>
  <c r="Q42" i="37"/>
  <c r="R32" i="37"/>
  <c r="E28" i="35"/>
  <c r="R38" i="37"/>
  <c r="E36" i="35"/>
  <c r="J154" i="35"/>
  <c r="R40" i="37"/>
  <c r="E30" i="35"/>
  <c r="E40" i="35"/>
  <c r="F32" i="37"/>
  <c r="J156" i="35"/>
  <c r="J158" i="35"/>
  <c r="J159" i="35"/>
  <c r="J161" i="35"/>
  <c r="H26" i="35"/>
  <c r="J26" i="35"/>
  <c r="E179" i="35"/>
  <c r="E181" i="35"/>
  <c r="E32" i="35"/>
  <c r="E42" i="35"/>
  <c r="J28" i="35"/>
  <c r="J38" i="35"/>
  <c r="E38" i="35"/>
  <c r="R42" i="37"/>
  <c r="J36" i="35"/>
  <c r="F179" i="35"/>
  <c r="F180" i="35"/>
  <c r="F181" i="35"/>
  <c r="H179" i="35"/>
  <c r="J181" i="35"/>
  <c r="H57" i="35"/>
  <c r="J57" i="35"/>
  <c r="H20" i="35"/>
  <c r="H30" i="35"/>
  <c r="J30" i="35"/>
  <c r="J32" i="35"/>
  <c r="J20" i="35"/>
  <c r="J22" i="35"/>
  <c r="H22" i="35"/>
  <c r="J40" i="35"/>
  <c r="J42" i="35"/>
  <c r="H42" i="35"/>
  <c r="H46" i="35"/>
  <c r="J46" i="35"/>
  <c r="H47" i="35"/>
  <c r="H59" i="35"/>
  <c r="J59" i="35"/>
  <c r="H98" i="35"/>
  <c r="H100" i="35"/>
  <c r="J100" i="35"/>
  <c r="J98" i="35"/>
  <c r="J101" i="35"/>
  <c r="J47" i="35"/>
  <c r="H48" i="35"/>
  <c r="J48" i="35"/>
  <c r="H49" i="35"/>
  <c r="J49" i="35"/>
  <c r="H50" i="35"/>
  <c r="J50" i="35"/>
  <c r="J51" i="35"/>
  <c r="E85" i="35"/>
  <c r="E56" i="35"/>
  <c r="E60" i="35"/>
  <c r="E115" i="35"/>
  <c r="J85" i="35"/>
  <c r="J56" i="35"/>
  <c r="J60" i="35"/>
  <c r="J62" i="35"/>
  <c r="J112" i="35"/>
  <c r="J110" i="35"/>
  <c r="J115" i="35"/>
  <c r="J119" i="35"/>
  <c r="M52" i="31"/>
  <c r="M54" i="31"/>
  <c r="D22" i="41"/>
  <c r="D25" i="41"/>
  <c r="E42" i="41"/>
  <c r="F22" i="41"/>
  <c r="F25" i="41"/>
  <c r="E44" i="41"/>
  <c r="E46" i="41"/>
  <c r="H22" i="41"/>
  <c r="H25" i="41"/>
  <c r="F28" i="41"/>
  <c r="F29" i="41"/>
  <c r="F30" i="41"/>
  <c r="F31" i="41"/>
  <c r="F33" i="41"/>
  <c r="F32" i="41"/>
  <c r="F34" i="41"/>
</calcChain>
</file>

<file path=xl/comments1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>
  <authors>
    <author>Chris Kilpatrick</author>
  </authors>
  <commentList>
    <comment ref="E50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3.xml><?xml version="1.0" encoding="utf-8"?>
<comments xmlns="http://schemas.openxmlformats.org/spreadsheetml/2006/main">
  <authors>
    <author>Chris Kilpatrick</author>
    <author>jkirsch</author>
  </authors>
  <commentList>
    <comment ref="E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F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G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<sst xmlns="http://schemas.openxmlformats.org/spreadsheetml/2006/main" count="758" uniqueCount="478">
  <si>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</si>
  <si>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</si>
  <si>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</si>
  <si>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</si>
  <si>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</si>
  <si>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</si>
  <si>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</si>
  <si>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</si>
  <si>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</si>
  <si>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</si>
  <si>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</si>
  <si>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</si>
  <si>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</si>
  <si>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</si>
  <si>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</si>
  <si>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</si>
  <si>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</si>
  <si>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</si>
  <si>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</si>
  <si>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</si>
  <si>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</si>
  <si>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</si>
  <si>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</si>
  <si>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</si>
  <si>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</si>
  <si>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</si>
  <si>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219.28.c - line 16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</si>
  <si>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</si>
  <si>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</si>
  <si>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</si>
  <si>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</si>
  <si>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</si>
  <si>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</si>
  <si>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</si>
  <si>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</si>
  <si>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</si>
  <si>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</si>
  <si>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</si>
  <si>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</si>
  <si>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</si>
  <si>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</si>
  <si>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(line 93 - line 112)</t>
  </si>
  <si>
    <t>(line 104 - line 122)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</si>
  <si>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</si>
  <si>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</si>
  <si>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</si>
  <si>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</si>
  <si>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</si>
  <si>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</si>
  <si>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</si>
  <si>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</si>
  <si>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</si>
  <si>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</si>
  <si>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</si>
  <si>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</si>
  <si>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</si>
  <si>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</si>
  <si>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</si>
  <si>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</si>
  <si>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</si>
  <si>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</si>
  <si>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</si>
  <si>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</si>
  <si>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</si>
  <si>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</si>
  <si>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</si>
  <si>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</si>
  <si>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</si>
  <si>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</si>
  <si>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</si>
  <si>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</si>
  <si>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</si>
  <si>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</si>
  <si>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</si>
  <si>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</si>
  <si>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</si>
  <si>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</si>
  <si>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</si>
  <si>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</si>
  <si>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</si>
  <si>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</si>
  <si>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</si>
  <si>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</si>
  <si>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</si>
  <si>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</si>
  <si>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</si>
  <si>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</si>
  <si>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</si>
  <si>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</si>
  <si>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</si>
  <si>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</si>
  <si>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</si>
  <si>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</si>
  <si>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</si>
  <si>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</si>
  <si>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</si>
  <si>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</si>
  <si>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</si>
  <si>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</si>
  <si>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</si>
  <si>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</si>
  <si>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</si>
  <si>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</si>
  <si>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</si>
  <si>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</si>
  <si>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</si>
  <si>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</si>
  <si>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</si>
  <si>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</si>
  <si>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</si>
  <si>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</si>
  <si>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</si>
  <si>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</si>
  <si>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</si>
  <si>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</si>
  <si>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</si>
  <si>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</si>
  <si>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</si>
  <si>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</si>
  <si>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</si>
  <si>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</si>
  <si>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</si>
  <si>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</si>
  <si>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</si>
  <si>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</si>
  <si>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</si>
  <si>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</si>
  <si>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</si>
  <si>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</si>
  <si>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</si>
  <si>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</si>
  <si>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</si>
  <si>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</si>
  <si>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</si>
  <si>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</si>
  <si>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</si>
  <si>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</si>
  <si>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</si>
  <si>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</si>
  <si>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</si>
  <si>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</si>
  <si>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</si>
  <si>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</si>
  <si>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</si>
  <si>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</si>
  <si>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</si>
  <si>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</si>
  <si>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</si>
  <si>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</si>
  <si>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</si>
  <si>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</si>
  <si>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</si>
  <si>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</si>
  <si>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</si>
  <si>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</si>
  <si>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</si>
  <si>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</si>
  <si>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</si>
  <si>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</si>
  <si>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</si>
  <si>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</si>
  <si>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</si>
  <si>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</si>
  <si>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</si>
  <si>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</si>
  <si>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</si>
  <si>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</si>
  <si>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</si>
  <si>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</si>
  <si>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</si>
  <si>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</si>
  <si>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</si>
  <si>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</si>
  <si>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</si>
  <si>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</si>
  <si>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</si>
  <si>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</si>
  <si>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</si>
  <si>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</si>
  <si>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</si>
  <si>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</si>
  <si>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</si>
  <si>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</si>
  <si>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</si>
  <si>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</si>
  <si>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</si>
  <si>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</si>
  <si>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</si>
  <si>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</si>
  <si>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</si>
  <si>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</si>
  <si>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</si>
  <si>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</si>
  <si>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</si>
  <si>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</si>
  <si>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</si>
  <si>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</si>
  <si>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</si>
  <si>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</si>
  <si>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</si>
  <si>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</si>
  <si>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</si>
  <si>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</si>
  <si>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</si>
  <si>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</si>
  <si>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</si>
  <si>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</si>
  <si>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</si>
  <si>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</si>
  <si>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</si>
  <si>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</si>
  <si>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</si>
  <si>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</si>
  <si>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</si>
  <si>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</si>
  <si>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</si>
  <si>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</si>
  <si>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</si>
  <si>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</si>
  <si>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</si>
  <si>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</si>
  <si>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</si>
  <si>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</si>
  <si>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</si>
  <si>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</si>
  <si>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</si>
  <si>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</si>
  <si>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</si>
  <si>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</si>
  <si>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</si>
  <si>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</si>
  <si>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</si>
  <si>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</si>
  <si>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</si>
  <si>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</si>
  <si>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</si>
  <si>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</si>
  <si>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</si>
  <si>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</si>
  <si>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</si>
  <si>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</si>
  <si>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</si>
  <si>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</si>
  <si>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</si>
  <si>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</si>
  <si>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</si>
  <si>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</si>
  <si>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</si>
  <si>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</si>
  <si>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</si>
  <si>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</si>
  <si>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</si>
  <si>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</si>
  <si>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</si>
  <si>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</si>
  <si>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</si>
  <si>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</si>
  <si>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</si>
  <si>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</si>
  <si>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</si>
  <si>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</si>
  <si>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</si>
  <si>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</si>
  <si>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</si>
  <si>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</si>
  <si>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</si>
  <si>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</si>
  <si>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</si>
  <si>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</si>
  <si>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</si>
  <si>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</si>
  <si>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</si>
  <si>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</si>
  <si>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</si>
  <si>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</si>
  <si>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</si>
  <si>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</si>
  <si>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</si>
  <si>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</si>
  <si>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</si>
  <si>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</si>
  <si>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</si>
  <si>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</si>
  <si>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</si>
  <si>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</si>
  <si>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</si>
  <si>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</si>
  <si>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</si>
  <si>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</si>
  <si>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</si>
  <si>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</si>
  <si>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</si>
  <si>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</si>
  <si>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</si>
  <si>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</si>
  <si>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</si>
  <si>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</si>
  <si>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</si>
  <si>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</si>
  <si>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</si>
  <si>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</si>
  <si>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</si>
  <si>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</si>
  <si>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</si>
  <si>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</si>
  <si>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</si>
  <si>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</si>
  <si>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</si>
  <si>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</si>
  <si>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</si>
  <si>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</si>
  <si>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</si>
  <si>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</si>
  <si>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</si>
  <si>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</si>
  <si>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</si>
  <si>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</si>
  <si>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</si>
  <si>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</si>
  <si>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</si>
  <si>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</si>
  <si>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</si>
  <si>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</si>
  <si>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</si>
  <si>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</si>
  <si>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</si>
  <si>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</si>
  <si>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</si>
  <si>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</si>
  <si>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</si>
  <si>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</si>
  <si>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</si>
  <si>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</si>
  <si>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</si>
  <si>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</si>
  <si>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</si>
  <si>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</si>
  <si>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</si>
  <si>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</si>
  <si>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</si>
  <si>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</si>
  <si>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</si>
  <si>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</si>
  <si>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</si>
  <si>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</si>
  <si>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</si>
  <si>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</si>
  <si>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</si>
  <si>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</si>
  <si>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</si>
  <si>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</si>
  <si>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</si>
  <si>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</si>
  <si>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</si>
  <si>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</si>
  <si>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</si>
  <si>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</si>
  <si>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</si>
  <si>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</si>
  <si>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</si>
  <si>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</si>
  <si>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</si>
  <si>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</si>
  <si>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</si>
  <si>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</si>
  <si>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</si>
  <si>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</si>
  <si>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</si>
  <si>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</si>
  <si>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</si>
  <si>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</si>
  <si>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</si>
  <si>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</si>
  <si>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</si>
  <si>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</si>
  <si>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</si>
  <si>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</si>
  <si>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</si>
  <si>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</si>
  <si>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</si>
  <si>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</si>
  <si>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</si>
  <si>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</si>
  <si>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</si>
  <si>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</si>
  <si>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</si>
  <si>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</si>
  <si>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</si>
  <si>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</si>
  <si>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</si>
  <si>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</si>
  <si>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263.3i &amp; l, 263.4i &amp; l, 263.11i &amp; l, 263.12 l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</si>
  <si>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</si>
  <si>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</si>
  <si>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</si>
  <si>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</si>
  <si>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</si>
  <si>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</si>
  <si>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</si>
  <si>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</si>
  <si>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</si>
  <si>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(232.1.f - 278.6.f)*.35</t>
  </si>
  <si>
    <t>263.20i &amp; l</t>
  </si>
  <si>
    <t>321.85-92.b &amp; 96.b</t>
  </si>
  <si>
    <t>line 2 x BHP-11, WP5, line 11</t>
  </si>
  <si>
    <t>(line 4 + line 6) x BHP-11, WP5, line 25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</si>
  <si>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</si>
  <si>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</si>
  <si>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</si>
  <si>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</si>
  <si>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</si>
  <si>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</si>
  <si>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</si>
  <si>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</si>
  <si>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</si>
  <si>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</si>
  <si>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117.62.c thru 117.66.c</t>
  </si>
  <si>
    <t>219.28.c</t>
  </si>
  <si>
    <t>207.99.g - line 6</t>
  </si>
  <si>
    <t>FERC Acct 118/121-1800</t>
  </si>
  <si>
    <t>219.20-24.c</t>
  </si>
  <si>
    <t>FERC Acct 119/122-1100</t>
  </si>
  <si>
    <t>ADJUSTMENTS TO RATE BASE       (Notes A &amp; H)</t>
  </si>
  <si>
    <t>TRUE UP OF RATES FOR CALENDAR YEAR 2015</t>
  </si>
  <si>
    <t>12/31/14 &amp; 12/31/15 average balance</t>
  </si>
  <si>
    <r>
      <t>2015 Actual Load Data</t>
    </r>
    <r>
      <rPr>
        <b/>
        <vertAlign val="superscript"/>
        <sz val="12"/>
        <rFont val="Arial"/>
        <family val="2"/>
      </rPr>
      <t>1</t>
    </r>
  </si>
  <si>
    <r>
      <t>2015 Projected Load Data</t>
    </r>
    <r>
      <rPr>
        <b/>
        <vertAlign val="superscript"/>
        <sz val="12"/>
        <rFont val="Arial"/>
        <family val="2"/>
      </rPr>
      <t>2</t>
    </r>
  </si>
  <si>
    <t>1 - Transmission actual load from OATI</t>
  </si>
  <si>
    <t>2 - Transmission projected load from Transmission Planning</t>
  </si>
  <si>
    <t>Actual 2015 Load</t>
  </si>
  <si>
    <t>Amount based on actual calendar year 2015</t>
  </si>
  <si>
    <t>Effective August 1, 2015</t>
  </si>
  <si>
    <t>O&amp;M - Acct 561 (2014)</t>
  </si>
  <si>
    <t>Actual Expenses (2015)</t>
  </si>
  <si>
    <t>(See Workpaper 7 2015 Actual Load Data)</t>
  </si>
  <si>
    <t>(Note H) **</t>
  </si>
  <si>
    <r>
      <t>Company Records</t>
    </r>
    <r>
      <rPr>
        <vertAlign val="superscript"/>
        <sz val="12"/>
        <rFont val="Arial"/>
        <family val="2"/>
      </rPr>
      <t>1</t>
    </r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</si>
  <si>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</si>
  <si>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</si>
  <si>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</si>
  <si>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</si>
  <si>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</si>
  <si>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</si>
  <si>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</si>
  <si>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</si>
  <si>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</si>
  <si>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</si>
  <si>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</si>
  <si>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</si>
  <si>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</si>
  <si>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</si>
  <si>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</si>
  <si>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</si>
  <si>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</si>
  <si>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</si>
  <si>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</si>
  <si>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</si>
  <si>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</si>
  <si>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</si>
  <si>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Date: May 31, 2016</t>
  </si>
  <si>
    <t>SW Maintenance ADJ</t>
  </si>
  <si>
    <t>SW Maintenance</t>
  </si>
  <si>
    <t>This line was Corrected in the Payroll refund</t>
  </si>
  <si>
    <t>SW maintenance effect on Retained Earnings</t>
  </si>
  <si>
    <t>Account 282 Adjustment</t>
  </si>
  <si>
    <t>Original</t>
  </si>
  <si>
    <t>Adjustment</t>
  </si>
  <si>
    <t>Adjusted</t>
  </si>
  <si>
    <t>ACCUMULATED DEPRECIATION CORRECTION SUMMARY</t>
  </si>
  <si>
    <t>Transmission Originally provided</t>
  </si>
  <si>
    <t>Transmission Adjustment</t>
  </si>
  <si>
    <t>Adjusted Transmission</t>
  </si>
  <si>
    <t>General and Intangible Originally provided</t>
  </si>
  <si>
    <t>General and Intangible Adjustment</t>
  </si>
  <si>
    <t>Adjusted General and Intangible</t>
  </si>
  <si>
    <t>Communication System Originally provided</t>
  </si>
  <si>
    <t>Communication System Adjustment</t>
  </si>
  <si>
    <t>Adjusted Communication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</si>
</sst>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80" formatCode="_(&quot;$&quot;* #,##0.0000_);_(&quot;$&quot;* \(#,##0.0000\);_(&quot;$&quot;* &quot;-&quot;??_);_(@_)"/>
    <numFmt numFmtId="181" formatCode="_(&quot;$&quot;* #,##0.00000_);_(&quot;$&quot;* \(#,##0.00000\);_(&quot;$&quot;* &quot;-&quot;??_);_(@_)"/>
    <numFmt numFmtId="183" formatCode="mmm\-yyyy"/>
    <numFmt numFmtId="184" formatCode="0.0000%"/>
    <numFmt numFmtId="185" formatCode="#,##0.000000"/>
    <numFmt numFmtId="186" formatCode="[$-409]mmm\-yy;@"/>
    <numFmt numFmtId="187" formatCode="&quot;$&quot;#,##0.0;[Red]\-&quot;$&quot;#,##0.0"/>
    <numFmt numFmtId="188" formatCode="00000"/>
    <numFmt numFmtId="189" formatCode="#,##0\ ;\(#,##0\);\-\ \ \ \ \ "/>
    <numFmt numFmtId="190" formatCode="#,##0\ ;\(#,##0\);\–\ \ \ \ \ "/>
    <numFmt numFmtId="191" formatCode="#,##0;\(#,##0\)"/>
    <numFmt numFmtId="192" formatCode="yyyymmdd"/>
    <numFmt numFmtId="193" formatCode="_([$€-2]* #,##0.00_);_([$€-2]* \(#,##0.00\);_([$€-2]* &quot;-&quot;??_)"/>
    <numFmt numFmtId="194" formatCode="_-* #,##0.0_-;\-* #,##0.0_-;_-* &quot;-&quot;??_-;_-@_-"/>
    <numFmt numFmtId="195" formatCode="#,##0.00&quot; $&quot;;\-#,##0.00&quot; $&quot;"/>
    <numFmt numFmtId="196" formatCode="000000000"/>
    <numFmt numFmtId="197" formatCode="#,##0.0_);\(#,##0.0\)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.00_)"/>
    <numFmt numFmtId="201" formatCode="00"/>
    <numFmt numFmtId="202" formatCode="0_);\(0\)"/>
    <numFmt numFmtId="203" formatCode="000\-00\-0000"/>
    <numFmt numFmtId="208" formatCode="[$-409]mmmm\ d\,\ yyyy;@"/>
  </numFmts>
  <fonts count="94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b/>
      <sz val="12"/>
      <name val="Arial MT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172" fontId="0" fillId="0" borderId="0" applyProtection="0"/>
    <xf numFmtId="0" fontId="6" fillId="0" borderId="0"/>
    <xf numFmtId="37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0" fontId="6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38" fontId="51" fillId="0" borderId="0" applyBorder="0" applyAlignment="0"/>
    <xf numFmtId="187" fontId="45" fillId="20" borderId="1">
      <alignment horizontal="center" vertical="center"/>
    </xf>
    <xf numFmtId="188" fontId="6" fillId="0" borderId="2">
      <alignment horizontal="left"/>
    </xf>
    <xf numFmtId="0" fontId="52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53" fillId="0" borderId="0" applyNumberFormat="0" applyFill="0" applyBorder="0" applyAlignment="0" applyProtection="0"/>
    <xf numFmtId="189" fontId="54" fillId="0" borderId="3" applyNumberFormat="0" applyFill="0" applyAlignment="0" applyProtection="0">
      <alignment horizontal="center"/>
    </xf>
    <xf numFmtId="190" fontId="54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5" fillId="0" borderId="0" applyFill="0">
      <alignment vertical="top"/>
    </xf>
    <xf numFmtId="0" fontId="56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5" fillId="0" borderId="0" applyFill="0">
      <alignment wrapText="1"/>
    </xf>
    <xf numFmtId="0" fontId="56" fillId="0" borderId="0" applyFill="0">
      <alignment horizontal="left" vertical="top" wrapText="1"/>
    </xf>
    <xf numFmtId="37" fontId="10" fillId="0" borderId="0" applyFill="0">
      <alignment horizontal="right"/>
    </xf>
    <xf numFmtId="0" fontId="57" fillId="0" borderId="0" applyNumberFormat="0" applyFont="0" applyAlignment="0">
      <alignment horizontal="center"/>
    </xf>
    <xf numFmtId="0" fontId="58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7" fillId="0" borderId="0" applyNumberFormat="0" applyFont="0" applyAlignment="0">
      <alignment horizontal="center"/>
    </xf>
    <xf numFmtId="0" fontId="59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7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61" fillId="0" borderId="0" applyFill="0">
      <alignment horizontal="right"/>
    </xf>
    <xf numFmtId="0" fontId="57" fillId="0" borderId="0" applyNumberFormat="0" applyFont="0" applyAlignment="0">
      <alignment horizontal="center"/>
    </xf>
    <xf numFmtId="0" fontId="62" fillId="0" borderId="0" applyFill="0">
      <alignment horizontal="center" vertical="center" wrapText="1"/>
    </xf>
    <xf numFmtId="0" fontId="63" fillId="0" borderId="0" applyFill="0">
      <alignment horizontal="center" vertical="center" wrapText="1"/>
    </xf>
    <xf numFmtId="37" fontId="61" fillId="0" borderId="0" applyFill="0">
      <alignment horizontal="right"/>
    </xf>
    <xf numFmtId="0" fontId="57" fillId="0" borderId="0" applyNumberFormat="0" applyFont="0" applyAlignment="0">
      <alignment horizontal="center"/>
    </xf>
    <xf numFmtId="0" fontId="64" fillId="0" borderId="0">
      <alignment horizontal="center" wrapText="1"/>
    </xf>
    <xf numFmtId="0" fontId="65" fillId="0" borderId="0" applyFill="0">
      <alignment horizontal="center" wrapText="1"/>
    </xf>
    <xf numFmtId="0" fontId="28" fillId="21" borderId="7" applyNumberFormat="0" applyAlignment="0" applyProtection="0"/>
    <xf numFmtId="0" fontId="28" fillId="21" borderId="7" applyNumberFormat="0" applyAlignment="0" applyProtection="0"/>
    <xf numFmtId="0" fontId="29" fillId="22" borderId="8" applyNumberFormat="0" applyAlignment="0" applyProtection="0"/>
    <xf numFmtId="0" fontId="29" fillId="22" borderId="8" applyNumberFormat="0" applyAlignment="0" applyProtection="0"/>
    <xf numFmtId="43" fontId="6" fillId="0" borderId="0" applyFont="0" applyFill="0" applyBorder="0" applyAlignment="0" applyProtection="0"/>
    <xf numFmtId="191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8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2" fontId="6" fillId="0" borderId="2">
      <alignment horizontal="center"/>
    </xf>
    <xf numFmtId="193" fontId="6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94" fontId="6" fillId="0" borderId="0">
      <protection locked="0"/>
    </xf>
    <xf numFmtId="0" fontId="69" fillId="0" borderId="0"/>
    <xf numFmtId="0" fontId="70" fillId="0" borderId="0"/>
    <xf numFmtId="0" fontId="71" fillId="0" borderId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38" fontId="10" fillId="23" borderId="0" applyNumberFormat="0" applyBorder="0" applyAlignment="0" applyProtection="0"/>
    <xf numFmtId="0" fontId="72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3" fillId="0" borderId="0">
      <alignment horizont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95" fontId="6" fillId="0" borderId="0">
      <protection locked="0"/>
    </xf>
    <xf numFmtId="195" fontId="6" fillId="0" borderId="0">
      <protection locked="0"/>
    </xf>
    <xf numFmtId="0" fontId="74" fillId="0" borderId="14" applyNumberFormat="0" applyFill="0" applyAlignment="0" applyProtection="0"/>
    <xf numFmtId="0" fontId="35" fillId="7" borderId="7" applyNumberFormat="0" applyAlignment="0" applyProtection="0"/>
    <xf numFmtId="10" fontId="10" fillId="24" borderId="2" applyNumberFormat="0" applyBorder="0" applyAlignment="0" applyProtection="0"/>
    <xf numFmtId="0" fontId="35" fillId="7" borderId="7" applyNumberFormat="0" applyAlignment="0" applyProtection="0"/>
    <xf numFmtId="0" fontId="10" fillId="23" borderId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96" fontId="6" fillId="0" borderId="2">
      <alignment horizontal="center"/>
    </xf>
    <xf numFmtId="197" fontId="75" fillId="0" borderId="0"/>
    <xf numFmtId="17" fontId="76" fillId="0" borderId="0">
      <alignment horizontal="center"/>
    </xf>
    <xf numFmtId="19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43" fontId="77" fillId="0" borderId="0" applyNumberFormat="0" applyFill="0" applyBorder="0" applyAlignment="0" applyProtection="0"/>
    <xf numFmtId="0" fontId="54" fillId="0" borderId="0" applyNumberFormat="0" applyFill="0" applyAlignment="0" applyProtection="0"/>
    <xf numFmtId="37" fontId="78" fillId="0" borderId="0"/>
    <xf numFmtId="200" fontId="79" fillId="0" borderId="0"/>
    <xf numFmtId="172" fontId="1" fillId="0" borderId="0" applyProtection="0"/>
    <xf numFmtId="0" fontId="6" fillId="0" borderId="0"/>
    <xf numFmtId="0" fontId="93" fillId="0" borderId="0"/>
    <xf numFmtId="0" fontId="67" fillId="0" borderId="0"/>
    <xf numFmtId="0" fontId="6" fillId="0" borderId="2">
      <alignment horizontal="center" wrapText="1"/>
    </xf>
    <xf numFmtId="2" fontId="6" fillId="0" borderId="2">
      <alignment horizontal="center"/>
    </xf>
    <xf numFmtId="201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8" fillId="21" borderId="17" applyNumberFormat="0" applyAlignment="0" applyProtection="0"/>
    <xf numFmtId="0" fontId="38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0" fillId="0" borderId="3">
      <alignment horizontal="center"/>
    </xf>
    <xf numFmtId="3" fontId="39" fillId="0" borderId="0" applyFont="0" applyFill="0" applyBorder="0" applyAlignment="0" applyProtection="0"/>
    <xf numFmtId="0" fontId="39" fillId="27" borderId="0" applyNumberFormat="0" applyFont="0" applyBorder="0" applyAlignment="0" applyProtection="0"/>
    <xf numFmtId="37" fontId="10" fillId="23" borderId="0" applyFill="0">
      <alignment horizontal="right"/>
    </xf>
    <xf numFmtId="0" fontId="61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80" fillId="0" borderId="0" applyFill="0"/>
    <xf numFmtId="0" fontId="10" fillId="0" borderId="0" applyFill="0">
      <alignment horizontal="left"/>
    </xf>
    <xf numFmtId="202" fontId="10" fillId="0" borderId="4" applyFill="0">
      <alignment horizontal="right"/>
    </xf>
    <xf numFmtId="0" fontId="6" fillId="0" borderId="0" applyNumberFormat="0" applyFont="0" applyBorder="0" applyAlignment="0"/>
    <xf numFmtId="0" fontId="58" fillId="0" borderId="0" applyFill="0">
      <alignment horizontal="left" indent="1"/>
    </xf>
    <xf numFmtId="0" fontId="61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8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81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60" fillId="0" borderId="0">
      <alignment horizontal="left" indent="4"/>
    </xf>
    <xf numFmtId="0" fontId="10" fillId="0" borderId="0" applyFill="0">
      <alignment horizontal="left"/>
    </xf>
    <xf numFmtId="37" fontId="61" fillId="0" borderId="0" applyFill="0">
      <alignment horizontal="right"/>
    </xf>
    <xf numFmtId="0" fontId="6" fillId="0" borderId="0" applyNumberFormat="0" applyFont="0" applyBorder="0" applyAlignment="0"/>
    <xf numFmtId="0" fontId="62" fillId="0" borderId="0">
      <alignment horizontal="left" indent="5"/>
    </xf>
    <xf numFmtId="0" fontId="61" fillId="0" borderId="0" applyFill="0">
      <alignment horizontal="left"/>
    </xf>
    <xf numFmtId="37" fontId="61" fillId="0" borderId="0" applyFill="0">
      <alignment horizontal="right"/>
    </xf>
    <xf numFmtId="0" fontId="6" fillId="0" borderId="0" applyNumberFormat="0" applyFont="0" applyFill="0" applyBorder="0" applyAlignment="0"/>
    <xf numFmtId="0" fontId="64" fillId="0" borderId="0" applyFill="0">
      <alignment horizontal="left" indent="6"/>
    </xf>
    <xf numFmtId="0" fontId="61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82" fillId="0" borderId="0" applyNumberFormat="0" applyAlignment="0">
      <alignment horizontal="centerContinuous"/>
    </xf>
    <xf numFmtId="0" fontId="54" fillId="0" borderId="4" applyNumberFormat="0" applyFill="0" applyAlignment="0" applyProtection="0"/>
    <xf numFmtId="37" fontId="83" fillId="0" borderId="0" applyNumberFormat="0">
      <alignment horizontal="left"/>
    </xf>
    <xf numFmtId="203" fontId="6" fillId="0" borderId="2">
      <alignment horizontal="center" wrapText="1"/>
    </xf>
    <xf numFmtId="38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3" fontId="6" fillId="0" borderId="0" applyFill="0" applyBorder="0" applyAlignment="0" applyProtection="0">
      <alignment wrapText="1"/>
    </xf>
    <xf numFmtId="37" fontId="84" fillId="0" borderId="0" applyNumberFormat="0">
      <alignment horizontal="left"/>
    </xf>
    <xf numFmtId="37" fontId="85" fillId="0" borderId="0" applyNumberFormat="0">
      <alignment horizontal="left"/>
    </xf>
    <xf numFmtId="37" fontId="86" fillId="0" borderId="0" applyNumberFormat="0">
      <alignment horizontal="left"/>
    </xf>
    <xf numFmtId="197" fontId="87" fillId="0" borderId="0"/>
    <xf numFmtId="40" fontId="88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9" fillId="0" borderId="14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394">
    <xf numFmtId="172" fontId="0" fillId="0" borderId="0" xfId="0" applyAlignment="1"/>
    <xf numFmtId="172" fontId="2" fillId="0" borderId="0" xfId="0" applyFont="1" applyAlignment="1"/>
    <xf numFmtId="0" fontId="3" fillId="0" borderId="0" xfId="0" applyNumberFormat="1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172" fontId="3" fillId="0" borderId="0" xfId="0" applyFont="1" applyAlignment="1"/>
    <xf numFmtId="0" fontId="5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49" fontId="3" fillId="0" borderId="0" xfId="0" applyNumberFormat="1" applyFont="1"/>
    <xf numFmtId="3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Fill="1" applyAlignment="1"/>
    <xf numFmtId="0" fontId="3" fillId="0" borderId="3" xfId="0" applyNumberFormat="1" applyFont="1" applyBorder="1" applyAlignment="1" applyProtection="1">
      <alignment horizontal="center"/>
      <protection locked="0"/>
    </xf>
    <xf numFmtId="172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10" fillId="0" borderId="0" xfId="168" applyFont="1"/>
    <xf numFmtId="0" fontId="6" fillId="0" borderId="0" xfId="168" applyFont="1"/>
    <xf numFmtId="0" fontId="5" fillId="0" borderId="0" xfId="168" applyFont="1"/>
    <xf numFmtId="0" fontId="11" fillId="0" borderId="0" xfId="168" applyFont="1" applyAlignment="1">
      <alignment horizontal="center"/>
    </xf>
    <xf numFmtId="0" fontId="9" fillId="0" borderId="0" xfId="168" applyFont="1"/>
    <xf numFmtId="0" fontId="10" fillId="0" borderId="0" xfId="168" applyFont="1" applyAlignment="1">
      <alignment horizontal="center"/>
    </xf>
    <xf numFmtId="0" fontId="10" fillId="0" borderId="4" xfId="168" applyFont="1" applyBorder="1" applyAlignment="1">
      <alignment horizontal="center"/>
    </xf>
    <xf numFmtId="0" fontId="12" fillId="0" borderId="0" xfId="168" applyFont="1"/>
    <xf numFmtId="0" fontId="8" fillId="0" borderId="0" xfId="168" applyFont="1"/>
    <xf numFmtId="0" fontId="10" fillId="0" borderId="0" xfId="168" applyFont="1" applyAlignment="1">
      <alignment horizontal="right"/>
    </xf>
    <xf numFmtId="0" fontId="8" fillId="0" borderId="0" xfId="168" applyFont="1" applyAlignment="1">
      <alignment horizontal="left"/>
    </xf>
    <xf numFmtId="0" fontId="11" fillId="0" borderId="0" xfId="168" applyFont="1"/>
    <xf numFmtId="164" fontId="10" fillId="0" borderId="0" xfId="168" applyNumberFormat="1" applyFont="1"/>
    <xf numFmtId="0" fontId="10" fillId="0" borderId="0" xfId="167" applyFont="1"/>
    <xf numFmtId="0" fontId="14" fillId="0" borderId="0" xfId="168" applyFont="1" applyAlignment="1">
      <alignment horizontal="left"/>
    </xf>
    <xf numFmtId="0" fontId="16" fillId="0" borderId="0" xfId="168" applyFont="1"/>
    <xf numFmtId="0" fontId="6" fillId="0" borderId="0" xfId="165" applyAlignment="1">
      <alignment horizontal="center"/>
    </xf>
    <xf numFmtId="0" fontId="6" fillId="0" borderId="0" xfId="165"/>
    <xf numFmtId="0" fontId="14" fillId="0" borderId="0" xfId="165" applyFont="1"/>
    <xf numFmtId="0" fontId="6" fillId="0" borderId="3" xfId="165" applyBorder="1" applyAlignment="1">
      <alignment horizontal="center"/>
    </xf>
    <xf numFmtId="0" fontId="6" fillId="0" borderId="3" xfId="165" applyBorder="1"/>
    <xf numFmtId="0" fontId="6" fillId="0" borderId="3" xfId="165" applyBorder="1" applyAlignment="1">
      <alignment horizontal="center" wrapText="1"/>
    </xf>
    <xf numFmtId="0" fontId="6" fillId="0" borderId="0" xfId="165" applyAlignment="1">
      <alignment horizontal="center" wrapText="1"/>
    </xf>
    <xf numFmtId="3" fontId="6" fillId="0" borderId="0" xfId="165" applyNumberFormat="1"/>
    <xf numFmtId="9" fontId="6" fillId="0" borderId="0" xfId="174"/>
    <xf numFmtId="41" fontId="6" fillId="0" borderId="0" xfId="165" applyNumberFormat="1"/>
    <xf numFmtId="174" fontId="6" fillId="0" borderId="0" xfId="165" applyNumberFormat="1"/>
    <xf numFmtId="43" fontId="6" fillId="0" borderId="0" xfId="165" applyNumberFormat="1"/>
    <xf numFmtId="173" fontId="6" fillId="0" borderId="0" xfId="165" applyNumberFormat="1"/>
    <xf numFmtId="174" fontId="6" fillId="0" borderId="3" xfId="165" applyNumberFormat="1" applyBorder="1"/>
    <xf numFmtId="0" fontId="6" fillId="0" borderId="0" xfId="165" quotePrefix="1"/>
    <xf numFmtId="10" fontId="6" fillId="0" borderId="0" xfId="174" applyNumberFormat="1"/>
    <xf numFmtId="10" fontId="6" fillId="0" borderId="0" xfId="174" applyNumberFormat="1" applyFill="1"/>
    <xf numFmtId="44" fontId="6" fillId="0" borderId="0" xfId="111"/>
    <xf numFmtId="0" fontId="6" fillId="0" borderId="0" xfId="166"/>
    <xf numFmtId="0" fontId="6" fillId="0" borderId="0" xfId="166" applyAlignment="1">
      <alignment horizontal="center"/>
    </xf>
    <xf numFmtId="0" fontId="14" fillId="0" borderId="0" xfId="166" applyFont="1"/>
    <xf numFmtId="44" fontId="6" fillId="0" borderId="0" xfId="166" applyNumberFormat="1"/>
    <xf numFmtId="0" fontId="6" fillId="0" borderId="0" xfId="166" applyFont="1"/>
    <xf numFmtId="0" fontId="6" fillId="0" borderId="0" xfId="165" applyFont="1"/>
    <xf numFmtId="0" fontId="13" fillId="0" borderId="0" xfId="168" applyFont="1" applyAlignment="1">
      <alignment horizontal="right"/>
    </xf>
    <xf numFmtId="0" fontId="14" fillId="0" borderId="0" xfId="165" applyFont="1" applyAlignment="1">
      <alignment horizontal="right"/>
    </xf>
    <xf numFmtId="0" fontId="14" fillId="0" borderId="0" xfId="165" applyFont="1" applyAlignment="1">
      <alignment horizontal="center"/>
    </xf>
    <xf numFmtId="0" fontId="6" fillId="0" borderId="0" xfId="166" applyFill="1"/>
    <xf numFmtId="173" fontId="6" fillId="0" borderId="0" xfId="105" applyNumberFormat="1" applyFont="1" applyFill="1"/>
    <xf numFmtId="0" fontId="6" fillId="0" borderId="19" xfId="163" applyBorder="1" applyAlignment="1">
      <alignment horizontal="center"/>
    </xf>
    <xf numFmtId="0" fontId="6" fillId="0" borderId="20" xfId="163" applyBorder="1" applyAlignment="1">
      <alignment horizontal="center"/>
    </xf>
    <xf numFmtId="0" fontId="6" fillId="0" borderId="0" xfId="163"/>
    <xf numFmtId="0" fontId="6" fillId="0" borderId="21" xfId="163" applyBorder="1" applyAlignment="1">
      <alignment horizontal="center"/>
    </xf>
    <xf numFmtId="0" fontId="6" fillId="0" borderId="0" xfId="163" applyBorder="1" applyAlignment="1">
      <alignment horizontal="center"/>
    </xf>
    <xf numFmtId="0" fontId="6" fillId="0" borderId="22" xfId="163" applyBorder="1" applyAlignment="1">
      <alignment horizontal="center"/>
    </xf>
    <xf numFmtId="0" fontId="6" fillId="0" borderId="3" xfId="163" applyBorder="1" applyAlignment="1">
      <alignment horizontal="center"/>
    </xf>
    <xf numFmtId="0" fontId="6" fillId="0" borderId="0" xfId="163" applyBorder="1"/>
    <xf numFmtId="0" fontId="6" fillId="0" borderId="21" xfId="163" applyBorder="1"/>
    <xf numFmtId="0" fontId="6" fillId="0" borderId="9" xfId="163" applyBorder="1"/>
    <xf numFmtId="10" fontId="6" fillId="0" borderId="0" xfId="163" applyNumberFormat="1"/>
    <xf numFmtId="10" fontId="6" fillId="0" borderId="0" xfId="163" applyNumberFormat="1" applyBorder="1" applyAlignment="1">
      <alignment horizontal="center"/>
    </xf>
    <xf numFmtId="0" fontId="6" fillId="0" borderId="23" xfId="163" applyFont="1" applyBorder="1"/>
    <xf numFmtId="0" fontId="6" fillId="0" borderId="0" xfId="163" applyAlignment="1">
      <alignment horizontal="left"/>
    </xf>
    <xf numFmtId="0" fontId="6" fillId="0" borderId="0" xfId="163" applyFont="1"/>
    <xf numFmtId="0" fontId="6" fillId="0" borderId="0" xfId="163" applyAlignment="1"/>
    <xf numFmtId="0" fontId="6" fillId="0" borderId="0" xfId="163" applyFont="1" applyAlignment="1">
      <alignment horizontal="left"/>
    </xf>
    <xf numFmtId="0" fontId="6" fillId="0" borderId="3" xfId="165" applyFont="1" applyBorder="1" applyAlignment="1">
      <alignment horizontal="center" wrapText="1"/>
    </xf>
    <xf numFmtId="44" fontId="6" fillId="0" borderId="0" xfId="111" applyNumberFormat="1"/>
    <xf numFmtId="44" fontId="6" fillId="0" borderId="0" xfId="165" applyNumberFormat="1"/>
    <xf numFmtId="180" fontId="6" fillId="0" borderId="0" xfId="111" applyNumberFormat="1"/>
    <xf numFmtId="181" fontId="6" fillId="0" borderId="0" xfId="111" applyNumberFormat="1"/>
    <xf numFmtId="0" fontId="6" fillId="0" borderId="0" xfId="165" applyFont="1" applyFill="1"/>
    <xf numFmtId="0" fontId="6" fillId="0" borderId="0" xfId="165" applyFill="1"/>
    <xf numFmtId="173" fontId="3" fillId="0" borderId="0" xfId="105" applyNumberFormat="1" applyFont="1" applyAlignment="1"/>
    <xf numFmtId="0" fontId="3" fillId="0" borderId="0" xfId="0" applyNumberFormat="1" applyFont="1" applyAlignment="1">
      <alignment horizontal="fill"/>
    </xf>
    <xf numFmtId="3" fontId="3" fillId="0" borderId="0" xfId="0" applyNumberFormat="1" applyFont="1" applyAlignment="1">
      <alignment horizontal="fill"/>
    </xf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24" xfId="163" applyFill="1" applyBorder="1" applyAlignment="1">
      <alignment horizontal="center"/>
    </xf>
    <xf numFmtId="0" fontId="6" fillId="0" borderId="20" xfId="163" applyFill="1" applyBorder="1" applyAlignment="1">
      <alignment horizontal="center"/>
    </xf>
    <xf numFmtId="0" fontId="6" fillId="0" borderId="25" xfId="163" applyFill="1" applyBorder="1" applyAlignment="1">
      <alignment horizontal="center"/>
    </xf>
    <xf numFmtId="0" fontId="6" fillId="0" borderId="0" xfId="163" applyFill="1" applyBorder="1" applyAlignment="1">
      <alignment horizontal="center"/>
    </xf>
    <xf numFmtId="0" fontId="6" fillId="0" borderId="25" xfId="163" applyFont="1" applyFill="1" applyBorder="1" applyAlignment="1">
      <alignment horizontal="center"/>
    </xf>
    <xf numFmtId="0" fontId="6" fillId="0" borderId="26" xfId="163" applyFill="1" applyBorder="1" applyAlignment="1">
      <alignment horizontal="center"/>
    </xf>
    <xf numFmtId="0" fontId="6" fillId="0" borderId="3" xfId="163" applyFill="1" applyBorder="1" applyAlignment="1">
      <alignment horizontal="center"/>
    </xf>
    <xf numFmtId="0" fontId="6" fillId="0" borderId="25" xfId="163" applyFill="1" applyBorder="1"/>
    <xf numFmtId="1" fontId="6" fillId="0" borderId="27" xfId="163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49" fontId="5" fillId="0" borderId="0" xfId="0" applyNumberFormat="1" applyFont="1" applyAlignment="1">
      <alignment horizontal="center"/>
    </xf>
    <xf numFmtId="0" fontId="6" fillId="0" borderId="0" xfId="166" applyFont="1" applyAlignment="1">
      <alignment horizontal="center"/>
    </xf>
    <xf numFmtId="0" fontId="6" fillId="0" borderId="4" xfId="166" applyFont="1" applyBorder="1" applyAlignment="1">
      <alignment horizontal="center"/>
    </xf>
    <xf numFmtId="0" fontId="3" fillId="0" borderId="0" xfId="166" applyFont="1" applyFill="1" applyAlignment="1">
      <alignment horizontal="left"/>
    </xf>
    <xf numFmtId="0" fontId="6" fillId="0" borderId="24" xfId="163" applyFont="1" applyFill="1" applyBorder="1" applyAlignment="1">
      <alignment horizontal="center"/>
    </xf>
    <xf numFmtId="0" fontId="6" fillId="0" borderId="26" xfId="163" applyFont="1" applyFill="1" applyBorder="1" applyAlignment="1">
      <alignment horizontal="center"/>
    </xf>
    <xf numFmtId="0" fontId="6" fillId="0" borderId="25" xfId="163" quotePrefix="1" applyFont="1" applyFill="1" applyBorder="1" applyAlignment="1">
      <alignment horizontal="left"/>
    </xf>
    <xf numFmtId="0" fontId="6" fillId="0" borderId="20" xfId="163" applyFill="1" applyBorder="1"/>
    <xf numFmtId="0" fontId="6" fillId="0" borderId="0" xfId="163" applyFill="1" applyBorder="1"/>
    <xf numFmtId="0" fontId="6" fillId="0" borderId="26" xfId="163" quotePrefix="1" applyFont="1" applyFill="1" applyBorder="1" applyAlignment="1">
      <alignment horizontal="left"/>
    </xf>
    <xf numFmtId="0" fontId="6" fillId="0" borderId="3" xfId="163" applyFill="1" applyBorder="1"/>
    <xf numFmtId="172" fontId="18" fillId="0" borderId="0" xfId="0" applyFont="1" applyAlignment="1"/>
    <xf numFmtId="0" fontId="18" fillId="0" borderId="0" xfId="164" applyFont="1" applyFill="1" applyAlignment="1">
      <alignment horizontal="center"/>
    </xf>
    <xf numFmtId="172" fontId="16" fillId="0" borderId="0" xfId="0" applyFont="1" applyAlignment="1"/>
    <xf numFmtId="172" fontId="16" fillId="0" borderId="0" xfId="0" applyFont="1" applyAlignment="1">
      <alignment horizontal="center"/>
    </xf>
    <xf numFmtId="172" fontId="16" fillId="0" borderId="4" xfId="0" applyFont="1" applyBorder="1" applyAlignment="1">
      <alignment horizontal="center"/>
    </xf>
    <xf numFmtId="184" fontId="18" fillId="0" borderId="6" xfId="174" applyNumberFormat="1" applyFont="1" applyBorder="1" applyAlignment="1"/>
    <xf numFmtId="0" fontId="6" fillId="0" borderId="0" xfId="163" applyFont="1" applyFill="1" applyAlignment="1">
      <alignment horizontal="left"/>
    </xf>
    <xf numFmtId="0" fontId="6" fillId="0" borderId="0" xfId="163" applyFill="1"/>
    <xf numFmtId="0" fontId="6" fillId="0" borderId="0" xfId="163" applyFill="1" applyAlignment="1">
      <alignment horizontal="left"/>
    </xf>
    <xf numFmtId="172" fontId="45" fillId="0" borderId="0" xfId="0" applyFont="1" applyAlignment="1"/>
    <xf numFmtId="172" fontId="18" fillId="0" borderId="0" xfId="0" applyFont="1" applyFill="1" applyAlignment="1"/>
    <xf numFmtId="0" fontId="10" fillId="0" borderId="0" xfId="168" applyFont="1" applyFill="1"/>
    <xf numFmtId="0" fontId="6" fillId="0" borderId="4" xfId="166" applyFont="1" applyBorder="1"/>
    <xf numFmtId="44" fontId="6" fillId="0" borderId="4" xfId="166" applyNumberFormat="1" applyFont="1" applyBorder="1" applyAlignment="1">
      <alignment horizontal="center"/>
    </xf>
    <xf numFmtId="0" fontId="6" fillId="0" borderId="0" xfId="166" applyFont="1" applyAlignment="1">
      <alignment horizontal="right"/>
    </xf>
    <xf numFmtId="172" fontId="18" fillId="0" borderId="0" xfId="0" applyFont="1" applyFill="1"/>
    <xf numFmtId="173" fontId="3" fillId="0" borderId="0" xfId="105" applyNumberFormat="1" applyFont="1" applyAlignment="1">
      <alignment horizontal="center"/>
    </xf>
    <xf numFmtId="172" fontId="6" fillId="0" borderId="0" xfId="0" applyFont="1" applyAlignment="1"/>
    <xf numFmtId="172" fontId="16" fillId="0" borderId="0" xfId="0" applyFont="1" applyFill="1" applyAlignment="1">
      <alignment horizontal="center"/>
    </xf>
    <xf numFmtId="173" fontId="18" fillId="0" borderId="0" xfId="105" applyNumberFormat="1" applyFont="1" applyAlignment="1"/>
    <xf numFmtId="3" fontId="46" fillId="0" borderId="0" xfId="0" applyNumberFormat="1" applyFont="1" applyAlignment="1"/>
    <xf numFmtId="0" fontId="10" fillId="0" borderId="0" xfId="168" applyFont="1" applyFill="1" applyAlignment="1">
      <alignment horizontal="center"/>
    </xf>
    <xf numFmtId="164" fontId="10" fillId="0" borderId="0" xfId="168" applyNumberFormat="1" applyFont="1" applyFill="1"/>
    <xf numFmtId="0" fontId="13" fillId="0" borderId="0" xfId="168" applyFont="1" applyFill="1"/>
    <xf numFmtId="0" fontId="16" fillId="0" borderId="0" xfId="168" applyFont="1" applyFill="1"/>
    <xf numFmtId="6" fontId="10" fillId="0" borderId="28" xfId="168" applyNumberFormat="1" applyFont="1" applyFill="1" applyBorder="1"/>
    <xf numFmtId="6" fontId="13" fillId="0" borderId="28" xfId="168" applyNumberFormat="1" applyFont="1" applyFill="1" applyBorder="1"/>
    <xf numFmtId="0" fontId="15" fillId="0" borderId="0" xfId="168" applyFont="1" applyFill="1"/>
    <xf numFmtId="0" fontId="18" fillId="0" borderId="0" xfId="0" applyNumberFormat="1" applyFont="1" applyAlignment="1">
      <alignment horizontal="center"/>
    </xf>
    <xf numFmtId="0" fontId="6" fillId="0" borderId="0" xfId="166" applyFont="1" applyFill="1"/>
    <xf numFmtId="172" fontId="18" fillId="0" borderId="0" xfId="0" applyFont="1" applyAlignment="1">
      <alignment horizontal="center"/>
    </xf>
    <xf numFmtId="172" fontId="18" fillId="0" borderId="4" xfId="0" applyFont="1" applyBorder="1" applyAlignment="1">
      <alignment horizontal="center"/>
    </xf>
    <xf numFmtId="0" fontId="10" fillId="0" borderId="0" xfId="168" applyFont="1" applyBorder="1" applyAlignment="1">
      <alignment horizontal="center"/>
    </xf>
    <xf numFmtId="172" fontId="14" fillId="0" borderId="0" xfId="0" applyFont="1" applyAlignment="1"/>
    <xf numFmtId="172" fontId="16" fillId="0" borderId="0" xfId="0" applyFont="1" applyBorder="1" applyAlignment="1"/>
    <xf numFmtId="172" fontId="5" fillId="0" borderId="0" xfId="0" applyFont="1" applyAlignment="1"/>
    <xf numFmtId="0" fontId="12" fillId="0" borderId="0" xfId="168" applyFont="1" applyFill="1"/>
    <xf numFmtId="173" fontId="16" fillId="0" borderId="0" xfId="105" applyNumberFormat="1" applyFont="1" applyFill="1"/>
    <xf numFmtId="6" fontId="10" fillId="0" borderId="0" xfId="168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2" fontId="1" fillId="0" borderId="0" xfId="0" applyFont="1" applyAlignment="1"/>
    <xf numFmtId="186" fontId="3" fillId="0" borderId="0" xfId="0" applyNumberFormat="1" applyFont="1" applyAlignment="1">
      <alignment horizontal="center"/>
    </xf>
    <xf numFmtId="173" fontId="3" fillId="0" borderId="6" xfId="105" applyNumberFormat="1" applyFont="1" applyFill="1" applyBorder="1" applyAlignment="1"/>
    <xf numFmtId="173" fontId="3" fillId="0" borderId="6" xfId="105" applyNumberFormat="1" applyFont="1" applyBorder="1" applyAlignment="1"/>
    <xf numFmtId="0" fontId="6" fillId="0" borderId="3" xfId="165" applyFont="1" applyBorder="1"/>
    <xf numFmtId="44" fontId="6" fillId="0" borderId="3" xfId="165" applyNumberFormat="1" applyFont="1" applyBorder="1"/>
    <xf numFmtId="170" fontId="6" fillId="0" borderId="3" xfId="174" applyNumberFormat="1" applyFont="1" applyBorder="1" applyAlignment="1">
      <alignment horizontal="right"/>
    </xf>
    <xf numFmtId="174" fontId="6" fillId="0" borderId="3" xfId="111" applyNumberFormat="1" applyFont="1" applyBorder="1"/>
    <xf numFmtId="175" fontId="17" fillId="0" borderId="0" xfId="165" applyNumberFormat="1" applyFont="1"/>
    <xf numFmtId="42" fontId="6" fillId="0" borderId="0" xfId="165" applyNumberFormat="1" applyFill="1"/>
    <xf numFmtId="42" fontId="6" fillId="0" borderId="3" xfId="165" applyNumberFormat="1" applyFill="1" applyBorder="1"/>
    <xf numFmtId="174" fontId="14" fillId="0" borderId="0" xfId="111" applyNumberFormat="1" applyFont="1" applyFill="1"/>
    <xf numFmtId="0" fontId="10" fillId="0" borderId="0" xfId="168" quotePrefix="1" applyFont="1" applyFill="1" applyAlignment="1">
      <alignment horizontal="left"/>
    </xf>
    <xf numFmtId="3" fontId="14" fillId="0" borderId="0" xfId="168" applyNumberFormat="1" applyFont="1" applyFill="1"/>
    <xf numFmtId="0" fontId="10" fillId="0" borderId="0" xfId="168" applyFont="1" applyFill="1" applyAlignment="1">
      <alignment horizontal="right"/>
    </xf>
    <xf numFmtId="177" fontId="14" fillId="0" borderId="0" xfId="111" applyNumberFormat="1" applyFont="1" applyFill="1" applyAlignment="1">
      <alignment horizontal="right"/>
    </xf>
    <xf numFmtId="174" fontId="50" fillId="0" borderId="0" xfId="165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4" fillId="0" borderId="0" xfId="0" applyFont="1" applyFill="1" applyAlignment="1"/>
    <xf numFmtId="0" fontId="18" fillId="0" borderId="0" xfId="164" applyFont="1" applyFill="1" applyAlignment="1">
      <alignment horizontal="left"/>
    </xf>
    <xf numFmtId="172" fontId="14" fillId="0" borderId="0" xfId="0" applyFont="1" applyFill="1" applyAlignment="1"/>
    <xf numFmtId="0" fontId="18" fillId="0" borderId="0" xfId="164" applyFont="1" applyFill="1"/>
    <xf numFmtId="16" fontId="18" fillId="0" borderId="0" xfId="164" applyNumberFormat="1" applyFont="1" applyFill="1" applyAlignment="1">
      <alignment horizontal="center"/>
    </xf>
    <xf numFmtId="172" fontId="22" fillId="0" borderId="0" xfId="0" applyFont="1" applyAlignment="1"/>
    <xf numFmtId="43" fontId="6" fillId="0" borderId="0" xfId="105"/>
    <xf numFmtId="165" fontId="3" fillId="30" borderId="0" xfId="0" applyNumberFormat="1" applyFont="1" applyFill="1" applyAlignment="1"/>
    <xf numFmtId="3" fontId="3" fillId="30" borderId="0" xfId="0" applyNumberFormat="1" applyFont="1" applyFill="1" applyAlignment="1"/>
    <xf numFmtId="185" fontId="3" fillId="30" borderId="0" xfId="0" applyNumberFormat="1" applyFont="1" applyFill="1" applyAlignment="1"/>
    <xf numFmtId="3" fontId="3" fillId="30" borderId="3" xfId="0" applyNumberFormat="1" applyFont="1" applyFill="1" applyBorder="1" applyAlignment="1"/>
    <xf numFmtId="164" fontId="3" fillId="30" borderId="0" xfId="0" applyNumberFormat="1" applyFont="1" applyFill="1" applyAlignment="1">
      <alignment horizontal="center"/>
    </xf>
    <xf numFmtId="173" fontId="3" fillId="30" borderId="0" xfId="105" applyNumberFormat="1" applyFont="1" applyFill="1" applyAlignment="1"/>
    <xf numFmtId="172" fontId="3" fillId="30" borderId="0" xfId="0" applyFont="1" applyFill="1" applyAlignment="1"/>
    <xf numFmtId="165" fontId="3" fillId="30" borderId="0" xfId="0" applyNumberFormat="1" applyFont="1" applyFill="1" applyAlignment="1">
      <alignment horizontal="right"/>
    </xf>
    <xf numFmtId="173" fontId="3" fillId="30" borderId="0" xfId="105" applyNumberFormat="1" applyFont="1" applyFill="1" applyBorder="1" applyAlignment="1"/>
    <xf numFmtId="173" fontId="3" fillId="30" borderId="3" xfId="105" applyNumberFormat="1" applyFont="1" applyFill="1" applyBorder="1" applyAlignment="1"/>
    <xf numFmtId="0" fontId="3" fillId="30" borderId="0" xfId="0" applyNumberFormat="1" applyFont="1" applyFill="1"/>
    <xf numFmtId="3" fontId="3" fillId="30" borderId="0" xfId="0" applyNumberFormat="1" applyFont="1" applyFill="1" applyAlignment="1">
      <alignment horizontal="center"/>
    </xf>
    <xf numFmtId="171" fontId="3" fillId="30" borderId="0" xfId="0" applyNumberFormat="1" applyFont="1" applyFill="1" applyAlignment="1">
      <alignment horizontal="left"/>
    </xf>
    <xf numFmtId="3" fontId="3" fillId="30" borderId="0" xfId="0" applyNumberFormat="1" applyFont="1" applyFill="1" applyBorder="1" applyAlignment="1"/>
    <xf numFmtId="0" fontId="3" fillId="30" borderId="0" xfId="105" applyNumberFormat="1" applyFont="1" applyFill="1" applyAlignment="1"/>
    <xf numFmtId="166" fontId="3" fillId="30" borderId="0" xfId="0" applyNumberFormat="1" applyFont="1" applyFill="1" applyAlignment="1"/>
    <xf numFmtId="0" fontId="3" fillId="30" borderId="0" xfId="0" applyNumberFormat="1" applyFont="1" applyFill="1" applyAlignment="1" applyProtection="1">
      <alignment horizontal="center"/>
      <protection locked="0"/>
    </xf>
    <xf numFmtId="164" fontId="3" fillId="30" borderId="0" xfId="0" applyNumberFormat="1" applyFont="1" applyFill="1" applyAlignment="1" applyProtection="1">
      <alignment horizontal="left"/>
      <protection locked="0"/>
    </xf>
    <xf numFmtId="166" fontId="3" fillId="30" borderId="0" xfId="0" applyNumberFormat="1" applyFont="1" applyFill="1" applyAlignment="1">
      <alignment horizontal="center"/>
    </xf>
    <xf numFmtId="172" fontId="0" fillId="30" borderId="0" xfId="0" applyFill="1" applyAlignment="1"/>
    <xf numFmtId="0" fontId="3" fillId="30" borderId="0" xfId="0" applyNumberFormat="1" applyFont="1" applyFill="1" applyAlignment="1"/>
    <xf numFmtId="3" fontId="3" fillId="30" borderId="29" xfId="0" applyNumberFormat="1" applyFont="1" applyFill="1" applyBorder="1" applyAlignment="1"/>
    <xf numFmtId="3" fontId="3" fillId="30" borderId="10" xfId="0" applyNumberFormat="1" applyFont="1" applyFill="1" applyBorder="1" applyAlignment="1"/>
    <xf numFmtId="3" fontId="3" fillId="30" borderId="4" xfId="0" applyNumberFormat="1" applyFont="1" applyFill="1" applyBorder="1" applyAlignment="1"/>
    <xf numFmtId="172" fontId="3" fillId="30" borderId="0" xfId="0" applyFont="1" applyFill="1" applyAlignment="1">
      <alignment horizontal="right"/>
    </xf>
    <xf numFmtId="0" fontId="5" fillId="30" borderId="0" xfId="0" applyNumberFormat="1" applyFont="1" applyFill="1" applyAlignment="1"/>
    <xf numFmtId="0" fontId="3" fillId="30" borderId="3" xfId="0" applyNumberFormat="1" applyFont="1" applyFill="1" applyBorder="1" applyAlignment="1" applyProtection="1">
      <alignment horizontal="center"/>
      <protection locked="0"/>
    </xf>
    <xf numFmtId="0" fontId="3" fillId="30" borderId="0" xfId="0" applyNumberFormat="1" applyFont="1" applyFill="1" applyAlignment="1" applyProtection="1">
      <protection locked="0"/>
    </xf>
    <xf numFmtId="0" fontId="3" fillId="30" borderId="0" xfId="0" applyNumberFormat="1" applyFont="1" applyFill="1" applyProtection="1">
      <protection locked="0"/>
    </xf>
    <xf numFmtId="0" fontId="3" fillId="30" borderId="3" xfId="0" applyNumberFormat="1" applyFont="1" applyFill="1" applyBorder="1" applyProtection="1">
      <protection locked="0"/>
    </xf>
    <xf numFmtId="0" fontId="3" fillId="30" borderId="3" xfId="0" applyNumberFormat="1" applyFont="1" applyFill="1" applyBorder="1"/>
    <xf numFmtId="3" fontId="3" fillId="30" borderId="6" xfId="0" applyNumberFormat="1" applyFont="1" applyFill="1" applyBorder="1" applyAlignment="1"/>
    <xf numFmtId="49" fontId="3" fillId="30" borderId="0" xfId="0" applyNumberFormat="1" applyFont="1" applyFill="1"/>
    <xf numFmtId="49" fontId="3" fillId="30" borderId="0" xfId="0" applyNumberFormat="1" applyFont="1" applyFill="1" applyAlignment="1"/>
    <xf numFmtId="49" fontId="3" fillId="30" borderId="0" xfId="0" applyNumberFormat="1" applyFont="1" applyFill="1" applyAlignment="1">
      <alignment horizontal="center"/>
    </xf>
    <xf numFmtId="185" fontId="3" fillId="30" borderId="0" xfId="0" applyNumberFormat="1" applyFont="1" applyFill="1" applyAlignment="1">
      <alignment horizontal="right"/>
    </xf>
    <xf numFmtId="172" fontId="3" fillId="30" borderId="6" xfId="0" applyFont="1" applyFill="1" applyBorder="1" applyAlignment="1"/>
    <xf numFmtId="0" fontId="3" fillId="30" borderId="6" xfId="0" applyNumberFormat="1" applyFont="1" applyFill="1" applyBorder="1"/>
    <xf numFmtId="0" fontId="3" fillId="30" borderId="0" xfId="0" applyNumberFormat="1" applyFont="1" applyFill="1" applyBorder="1"/>
    <xf numFmtId="0" fontId="3" fillId="30" borderId="6" xfId="0" applyNumberFormat="1" applyFont="1" applyFill="1" applyBorder="1" applyProtection="1">
      <protection locked="0"/>
    </xf>
    <xf numFmtId="3" fontId="3" fillId="30" borderId="3" xfId="0" applyNumberFormat="1" applyFont="1" applyFill="1" applyBorder="1" applyAlignment="1">
      <alignment horizontal="center"/>
    </xf>
    <xf numFmtId="3" fontId="3" fillId="30" borderId="0" xfId="0" applyNumberFormat="1" applyFont="1" applyFill="1" applyBorder="1" applyAlignment="1">
      <alignment horizontal="center"/>
    </xf>
    <xf numFmtId="4" fontId="3" fillId="30" borderId="0" xfId="0" applyNumberFormat="1" applyFont="1" applyFill="1" applyAlignment="1"/>
    <xf numFmtId="6" fontId="3" fillId="30" borderId="0" xfId="168" applyNumberFormat="1" applyFont="1" applyFill="1" applyBorder="1"/>
    <xf numFmtId="3" fontId="3" fillId="30" borderId="4" xfId="0" applyNumberFormat="1" applyFont="1" applyFill="1" applyBorder="1" applyAlignment="1">
      <alignment horizontal="center"/>
    </xf>
    <xf numFmtId="3" fontId="3" fillId="30" borderId="0" xfId="0" applyNumberFormat="1" applyFont="1" applyFill="1" applyAlignment="1">
      <alignment horizontal="left"/>
    </xf>
    <xf numFmtId="10" fontId="3" fillId="30" borderId="0" xfId="174" applyNumberFormat="1" applyFont="1" applyFill="1" applyAlignment="1"/>
    <xf numFmtId="9" fontId="3" fillId="30" borderId="0" xfId="174" applyFont="1" applyFill="1" applyAlignment="1"/>
    <xf numFmtId="10" fontId="3" fillId="30" borderId="0" xfId="174" applyNumberFormat="1" applyFont="1" applyFill="1" applyAlignment="1" applyProtection="1">
      <alignment horizontal="left"/>
      <protection locked="0"/>
    </xf>
    <xf numFmtId="166" fontId="3" fillId="30" borderId="0" xfId="0" applyNumberFormat="1" applyFont="1" applyFill="1" applyAlignment="1" applyProtection="1">
      <alignment horizontal="center"/>
      <protection locked="0"/>
    </xf>
    <xf numFmtId="9" fontId="3" fillId="30" borderId="6" xfId="174" applyFont="1" applyFill="1" applyBorder="1" applyAlignment="1"/>
    <xf numFmtId="10" fontId="3" fillId="30" borderId="0" xfId="174" applyNumberFormat="1" applyFont="1" applyFill="1"/>
    <xf numFmtId="0" fontId="45" fillId="30" borderId="0" xfId="0" applyNumberFormat="1" applyFont="1" applyFill="1"/>
    <xf numFmtId="0" fontId="3" fillId="30" borderId="4" xfId="0" applyNumberFormat="1" applyFont="1" applyFill="1" applyBorder="1" applyAlignment="1"/>
    <xf numFmtId="172" fontId="45" fillId="30" borderId="0" xfId="0" applyFont="1" applyFill="1" applyAlignment="1"/>
    <xf numFmtId="0" fontId="3" fillId="30" borderId="0" xfId="0" quotePrefix="1" applyNumberFormat="1" applyFont="1" applyFill="1"/>
    <xf numFmtId="10" fontId="3" fillId="30" borderId="0" xfId="0" applyNumberFormat="1" applyFont="1" applyFill="1" applyAlignment="1"/>
    <xf numFmtId="168" fontId="3" fillId="30" borderId="0" xfId="0" applyNumberFormat="1" applyFont="1" applyFill="1" applyAlignment="1"/>
    <xf numFmtId="3" fontId="3" fillId="30" borderId="0" xfId="0" quotePrefix="1" applyNumberFormat="1" applyFont="1" applyFill="1" applyAlignment="1"/>
    <xf numFmtId="172" fontId="3" fillId="30" borderId="0" xfId="0" applyFont="1" applyFill="1" applyAlignment="1">
      <alignment horizontal="left"/>
    </xf>
    <xf numFmtId="10" fontId="3" fillId="30" borderId="3" xfId="174" applyNumberFormat="1" applyFont="1" applyFill="1" applyBorder="1" applyAlignment="1"/>
    <xf numFmtId="172" fontId="3" fillId="30" borderId="0" xfId="0" applyNumberFormat="1" applyFont="1" applyFill="1" applyAlignment="1" applyProtection="1">
      <protection locked="0"/>
    </xf>
    <xf numFmtId="169" fontId="3" fillId="30" borderId="0" xfId="0" applyNumberFormat="1" applyFont="1" applyFill="1" applyProtection="1">
      <protection locked="0"/>
    </xf>
    <xf numFmtId="172" fontId="3" fillId="30" borderId="0" xfId="0" applyFont="1" applyFill="1" applyAlignment="1" applyProtection="1"/>
    <xf numFmtId="10" fontId="3" fillId="30" borderId="0" xfId="0" applyNumberFormat="1" applyFont="1" applyFill="1" applyProtection="1">
      <protection locked="0"/>
    </xf>
    <xf numFmtId="172" fontId="3" fillId="30" borderId="0" xfId="0" applyFont="1" applyFill="1" applyAlignment="1">
      <alignment horizontal="center"/>
    </xf>
    <xf numFmtId="172" fontId="0" fillId="30" borderId="0" xfId="0" applyFill="1" applyAlignment="1">
      <alignment horizontal="center"/>
    </xf>
    <xf numFmtId="0" fontId="6" fillId="30" borderId="19" xfId="163" applyFill="1" applyBorder="1" applyAlignment="1">
      <alignment horizontal="center"/>
    </xf>
    <xf numFmtId="0" fontId="6" fillId="30" borderId="24" xfId="163" applyFill="1" applyBorder="1" applyAlignment="1">
      <alignment horizontal="center"/>
    </xf>
    <xf numFmtId="0" fontId="6" fillId="30" borderId="30" xfId="163" applyFill="1" applyBorder="1" applyAlignment="1">
      <alignment horizontal="center"/>
    </xf>
    <xf numFmtId="0" fontId="6" fillId="30" borderId="21" xfId="163" applyFill="1" applyBorder="1" applyAlignment="1">
      <alignment horizontal="center"/>
    </xf>
    <xf numFmtId="0" fontId="6" fillId="30" borderId="25" xfId="163" applyFill="1" applyBorder="1" applyAlignment="1">
      <alignment horizontal="center"/>
    </xf>
    <xf numFmtId="0" fontId="6" fillId="30" borderId="31" xfId="163" applyFill="1" applyBorder="1" applyAlignment="1">
      <alignment horizontal="center"/>
    </xf>
    <xf numFmtId="0" fontId="6" fillId="30" borderId="22" xfId="163" applyFill="1" applyBorder="1" applyAlignment="1">
      <alignment horizontal="center"/>
    </xf>
    <xf numFmtId="0" fontId="6" fillId="30" borderId="26" xfId="163" applyFill="1" applyBorder="1" applyAlignment="1">
      <alignment horizontal="center"/>
    </xf>
    <xf numFmtId="0" fontId="6" fillId="30" borderId="32" xfId="163" applyFill="1" applyBorder="1" applyAlignment="1">
      <alignment horizontal="center"/>
    </xf>
    <xf numFmtId="172" fontId="6" fillId="0" borderId="0" xfId="0" applyFont="1" applyFill="1" applyAlignment="1"/>
    <xf numFmtId="0" fontId="6" fillId="0" borderId="0" xfId="164" applyFont="1" applyFill="1" applyAlignment="1">
      <alignment horizontal="left"/>
    </xf>
    <xf numFmtId="173" fontId="3" fillId="0" borderId="0" xfId="0" applyNumberFormat="1" applyFont="1" applyAlignment="1">
      <alignment horizontal="fill"/>
    </xf>
    <xf numFmtId="176" fontId="6" fillId="31" borderId="0" xfId="165" applyNumberFormat="1" applyFill="1"/>
    <xf numFmtId="0" fontId="6" fillId="0" borderId="3" xfId="165" applyFont="1" applyFill="1" applyBorder="1" applyAlignment="1">
      <alignment horizontal="center" wrapText="1"/>
    </xf>
    <xf numFmtId="0" fontId="6" fillId="0" borderId="33" xfId="165" applyBorder="1"/>
    <xf numFmtId="0" fontId="6" fillId="0" borderId="6" xfId="165" applyBorder="1"/>
    <xf numFmtId="0" fontId="6" fillId="0" borderId="34" xfId="165" applyBorder="1"/>
    <xf numFmtId="0" fontId="6" fillId="0" borderId="35" xfId="165" applyBorder="1"/>
    <xf numFmtId="0" fontId="6" fillId="0" borderId="0" xfId="165" applyBorder="1"/>
    <xf numFmtId="0" fontId="6" fillId="0" borderId="36" xfId="165" applyBorder="1"/>
    <xf numFmtId="0" fontId="6" fillId="0" borderId="37" xfId="165" applyBorder="1"/>
    <xf numFmtId="0" fontId="6" fillId="0" borderId="4" xfId="165" applyBorder="1"/>
    <xf numFmtId="0" fontId="6" fillId="0" borderId="38" xfId="165" applyBorder="1"/>
    <xf numFmtId="0" fontId="5" fillId="30" borderId="0" xfId="0" applyNumberFormat="1" applyFont="1" applyFill="1" applyAlignment="1">
      <alignment horizontal="center"/>
    </xf>
    <xf numFmtId="0" fontId="5" fillId="30" borderId="0" xfId="0" applyNumberFormat="1" applyFont="1" applyFill="1" applyAlignment="1" applyProtection="1">
      <alignment horizontal="center"/>
      <protection locked="0"/>
    </xf>
    <xf numFmtId="3" fontId="5" fillId="30" borderId="0" xfId="0" applyNumberFormat="1" applyFont="1" applyFill="1" applyAlignment="1">
      <alignment horizontal="center"/>
    </xf>
    <xf numFmtId="0" fontId="6" fillId="0" borderId="3" xfId="165" applyFont="1" applyBorder="1" applyAlignment="1">
      <alignment horizontal="center"/>
    </xf>
    <xf numFmtId="0" fontId="6" fillId="0" borderId="0" xfId="165" applyFont="1" applyAlignment="1">
      <alignment horizontal="center"/>
    </xf>
    <xf numFmtId="0" fontId="6" fillId="0" borderId="0" xfId="165" applyFont="1" applyAlignment="1">
      <alignment horizontal="center" wrapText="1"/>
    </xf>
    <xf numFmtId="170" fontId="6" fillId="0" borderId="0" xfId="174" applyNumberFormat="1" applyFont="1" applyAlignment="1">
      <alignment horizontal="right"/>
    </xf>
    <xf numFmtId="174" fontId="6" fillId="0" borderId="0" xfId="111" applyNumberFormat="1" applyFont="1"/>
    <xf numFmtId="9" fontId="6" fillId="0" borderId="0" xfId="174" applyFont="1" applyAlignment="1">
      <alignment horizontal="right"/>
    </xf>
    <xf numFmtId="174" fontId="6" fillId="0" borderId="0" xfId="165" applyNumberFormat="1" applyFont="1"/>
    <xf numFmtId="43" fontId="6" fillId="0" borderId="0" xfId="165" applyNumberFormat="1" applyFont="1" applyFill="1"/>
    <xf numFmtId="173" fontId="6" fillId="0" borderId="0" xfId="165" applyNumberFormat="1" applyFont="1" applyFill="1"/>
    <xf numFmtId="173" fontId="6" fillId="0" borderId="3" xfId="165" applyNumberFormat="1" applyFont="1" applyFill="1" applyBorder="1"/>
    <xf numFmtId="43" fontId="6" fillId="0" borderId="3" xfId="165" applyNumberFormat="1" applyFont="1" applyFill="1" applyBorder="1"/>
    <xf numFmtId="49" fontId="3" fillId="30" borderId="3" xfId="0" applyNumberFormat="1" applyFont="1" applyFill="1" applyBorder="1" applyAlignment="1">
      <alignment horizontal="center"/>
    </xf>
    <xf numFmtId="172" fontId="5" fillId="30" borderId="0" xfId="0" applyFont="1" applyFill="1" applyAlignment="1"/>
    <xf numFmtId="0" fontId="3" fillId="30" borderId="0" xfId="0" applyNumberFormat="1" applyFont="1" applyFill="1" applyAlignment="1">
      <alignment horizontal="center"/>
    </xf>
    <xf numFmtId="49" fontId="3" fillId="30" borderId="0" xfId="0" applyNumberFormat="1" applyFont="1" applyFill="1" applyAlignment="1">
      <alignment horizontal="left"/>
    </xf>
    <xf numFmtId="3" fontId="5" fillId="30" borderId="0" xfId="0" applyNumberFormat="1" applyFont="1" applyFill="1" applyAlignment="1">
      <alignment horizontal="left"/>
    </xf>
    <xf numFmtId="172" fontId="5" fillId="30" borderId="0" xfId="0" applyFont="1" applyFill="1" applyAlignment="1">
      <alignment horizontal="center"/>
    </xf>
    <xf numFmtId="3" fontId="5" fillId="30" borderId="0" xfId="0" applyNumberFormat="1" applyFont="1" applyFill="1" applyAlignment="1"/>
    <xf numFmtId="0" fontId="5" fillId="30" borderId="0" xfId="0" applyNumberFormat="1" applyFont="1" applyFill="1" applyAlignment="1" applyProtection="1">
      <alignment horizontal="left"/>
      <protection locked="0"/>
    </xf>
    <xf numFmtId="172" fontId="3" fillId="30" borderId="0" xfId="0" applyFont="1" applyFill="1" applyBorder="1" applyAlignment="1"/>
    <xf numFmtId="172" fontId="3" fillId="30" borderId="3" xfId="0" applyFont="1" applyFill="1" applyBorder="1" applyAlignment="1"/>
    <xf numFmtId="3" fontId="3" fillId="30" borderId="39" xfId="0" applyNumberFormat="1" applyFont="1" applyFill="1" applyBorder="1" applyAlignment="1"/>
    <xf numFmtId="0" fontId="4" fillId="30" borderId="0" xfId="0" applyNumberFormat="1" applyFont="1" applyFill="1" applyAlignment="1">
      <alignment horizontal="center"/>
    </xf>
    <xf numFmtId="3" fontId="4" fillId="30" borderId="0" xfId="0" applyNumberFormat="1" applyFont="1" applyFill="1" applyAlignment="1"/>
    <xf numFmtId="166" fontId="3" fillId="30" borderId="0" xfId="0" applyNumberFormat="1" applyFont="1" applyFill="1" applyAlignment="1">
      <alignment horizontal="right"/>
    </xf>
    <xf numFmtId="164" fontId="3" fillId="30" borderId="0" xfId="0" applyNumberFormat="1" applyFont="1" applyFill="1" applyAlignment="1">
      <alignment horizontal="left"/>
    </xf>
    <xf numFmtId="10" fontId="3" fillId="30" borderId="0" xfId="0" applyNumberFormat="1" applyFont="1" applyFill="1" applyAlignment="1">
      <alignment horizontal="right"/>
    </xf>
    <xf numFmtId="168" fontId="3" fillId="30" borderId="0" xfId="0" applyNumberFormat="1" applyFont="1" applyFill="1" applyAlignment="1">
      <alignment horizontal="right"/>
    </xf>
    <xf numFmtId="3" fontId="3" fillId="30" borderId="0" xfId="0" applyNumberFormat="1" applyFont="1" applyFill="1" applyAlignment="1">
      <alignment horizontal="right"/>
    </xf>
    <xf numFmtId="172" fontId="3" fillId="30" borderId="0" xfId="0" quotePrefix="1" applyFont="1" applyFill="1" applyAlignment="1"/>
    <xf numFmtId="167" fontId="3" fillId="30" borderId="0" xfId="0" applyNumberFormat="1" applyFont="1" applyFill="1" applyAlignment="1"/>
    <xf numFmtId="0" fontId="6" fillId="0" borderId="19" xfId="163" applyFill="1" applyBorder="1" applyAlignment="1">
      <alignment horizontal="center"/>
    </xf>
    <xf numFmtId="0" fontId="6" fillId="0" borderId="21" xfId="163" applyFill="1" applyBorder="1" applyAlignment="1">
      <alignment horizontal="center"/>
    </xf>
    <xf numFmtId="0" fontId="6" fillId="0" borderId="22" xfId="163" applyFill="1" applyBorder="1" applyAlignment="1">
      <alignment horizontal="center"/>
    </xf>
    <xf numFmtId="0" fontId="6" fillId="30" borderId="20" xfId="163" applyFill="1" applyBorder="1" applyAlignment="1">
      <alignment horizontal="center"/>
    </xf>
    <xf numFmtId="0" fontId="6" fillId="30" borderId="0" xfId="163" applyFill="1" applyBorder="1" applyAlignment="1">
      <alignment horizontal="center"/>
    </xf>
    <xf numFmtId="0" fontId="6" fillId="30" borderId="25" xfId="163" applyFill="1" applyBorder="1"/>
    <xf numFmtId="1" fontId="6" fillId="30" borderId="27" xfId="163" applyNumberFormat="1" applyFill="1" applyBorder="1" applyAlignment="1">
      <alignment horizontal="center"/>
    </xf>
    <xf numFmtId="0" fontId="6" fillId="30" borderId="0" xfId="163" applyFill="1"/>
    <xf numFmtId="0" fontId="6" fillId="30" borderId="24" xfId="163" applyFont="1" applyFill="1" applyBorder="1" applyAlignment="1">
      <alignment horizontal="center"/>
    </xf>
    <xf numFmtId="0" fontId="6" fillId="30" borderId="25" xfId="163" applyFont="1" applyFill="1" applyBorder="1" applyAlignment="1">
      <alignment horizontal="center"/>
    </xf>
    <xf numFmtId="0" fontId="6" fillId="30" borderId="3" xfId="163" applyFill="1" applyBorder="1" applyAlignment="1">
      <alignment horizontal="center"/>
    </xf>
    <xf numFmtId="0" fontId="6" fillId="30" borderId="26" xfId="163" applyFont="1" applyFill="1" applyBorder="1" applyAlignment="1">
      <alignment horizontal="center"/>
    </xf>
    <xf numFmtId="10" fontId="6" fillId="0" borderId="0" xfId="166" applyNumberFormat="1" applyFont="1"/>
    <xf numFmtId="1" fontId="6" fillId="0" borderId="0" xfId="163" applyNumberFormat="1" applyFill="1" applyBorder="1" applyAlignment="1">
      <alignment horizontal="center"/>
    </xf>
    <xf numFmtId="43" fontId="14" fillId="0" borderId="0" xfId="105" applyFont="1" applyFill="1" applyAlignment="1"/>
    <xf numFmtId="172" fontId="12" fillId="0" borderId="0" xfId="0" applyFont="1" applyAlignment="1"/>
    <xf numFmtId="43" fontId="14" fillId="0" borderId="0" xfId="105" applyNumberFormat="1" applyFont="1" applyAlignment="1"/>
    <xf numFmtId="7" fontId="14" fillId="0" borderId="6" xfId="0" applyNumberFormat="1" applyFont="1" applyBorder="1" applyAlignment="1"/>
    <xf numFmtId="0" fontId="14" fillId="31" borderId="0" xfId="165" applyFont="1" applyFill="1"/>
    <xf numFmtId="0" fontId="6" fillId="31" borderId="0" xfId="165" applyFill="1"/>
    <xf numFmtId="0" fontId="6" fillId="31" borderId="0" xfId="165" applyFont="1" applyFill="1"/>
    <xf numFmtId="3" fontId="49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6" fontId="3" fillId="0" borderId="0" xfId="0" applyNumberFormat="1" applyFont="1" applyFill="1" applyAlignment="1">
      <alignment horizontal="center"/>
    </xf>
    <xf numFmtId="173" fontId="3" fillId="0" borderId="4" xfId="105" applyNumberFormat="1" applyFont="1" applyFill="1" applyBorder="1" applyAlignment="1"/>
    <xf numFmtId="0" fontId="3" fillId="0" borderId="0" xfId="0" applyNumberFormat="1" applyFont="1" applyFill="1"/>
    <xf numFmtId="172" fontId="0" fillId="0" borderId="0" xfId="0" applyFill="1" applyAlignment="1"/>
    <xf numFmtId="3" fontId="3" fillId="30" borderId="0" xfId="0" applyNumberFormat="1" applyFont="1" applyFill="1" applyAlignment="1"/>
    <xf numFmtId="174" fontId="6" fillId="0" borderId="0" xfId="111" applyNumberFormat="1" applyFont="1" applyFill="1"/>
    <xf numFmtId="172" fontId="0" fillId="30" borderId="0" xfId="0" applyFill="1" applyAlignment="1">
      <alignment horizontal="right"/>
    </xf>
    <xf numFmtId="172" fontId="3" fillId="0" borderId="0" xfId="0" applyFont="1" applyAlignment="1">
      <alignment horizontal="right"/>
    </xf>
    <xf numFmtId="172" fontId="1" fillId="0" borderId="0" xfId="0" applyFont="1" applyAlignment="1">
      <alignment horizontal="right"/>
    </xf>
    <xf numFmtId="0" fontId="6" fillId="0" borderId="0" xfId="165" applyAlignment="1">
      <alignment horizontal="right"/>
    </xf>
    <xf numFmtId="3" fontId="3" fillId="30" borderId="0" xfId="0" applyNumberFormat="1" applyFont="1" applyFill="1" applyAlignment="1"/>
    <xf numFmtId="1" fontId="6" fillId="30" borderId="24" xfId="163" applyNumberFormat="1" applyFill="1" applyBorder="1" applyAlignment="1">
      <alignment horizontal="center"/>
    </xf>
    <xf numFmtId="1" fontId="6" fillId="30" borderId="25" xfId="163" applyNumberFormat="1" applyFill="1" applyBorder="1" applyAlignment="1">
      <alignment horizontal="center"/>
    </xf>
    <xf numFmtId="1" fontId="6" fillId="30" borderId="26" xfId="163" applyNumberFormat="1" applyFill="1" applyBorder="1" applyAlignment="1">
      <alignment horizontal="center"/>
    </xf>
    <xf numFmtId="1" fontId="6" fillId="0" borderId="24" xfId="163" applyNumberFormat="1" applyFill="1" applyBorder="1" applyAlignment="1">
      <alignment horizontal="center"/>
    </xf>
    <xf numFmtId="1" fontId="6" fillId="0" borderId="25" xfId="163" applyNumberFormat="1" applyFill="1" applyBorder="1" applyAlignment="1">
      <alignment horizontal="center"/>
    </xf>
    <xf numFmtId="1" fontId="6" fillId="0" borderId="26" xfId="163" applyNumberFormat="1" applyFill="1" applyBorder="1" applyAlignment="1">
      <alignment horizontal="center"/>
    </xf>
    <xf numFmtId="0" fontId="6" fillId="0" borderId="24" xfId="163" applyFill="1" applyBorder="1"/>
    <xf numFmtId="0" fontId="6" fillId="0" borderId="0" xfId="166" applyFill="1" applyAlignment="1">
      <alignment horizontal="center"/>
    </xf>
    <xf numFmtId="172" fontId="6" fillId="0" borderId="0" xfId="0" applyFont="1" applyFill="1" applyAlignment="1">
      <alignment horizontal="right"/>
    </xf>
    <xf numFmtId="44" fontId="6" fillId="0" borderId="0" xfId="166" applyNumberFormat="1" applyAlignment="1">
      <alignment horizontal="center"/>
    </xf>
    <xf numFmtId="208" fontId="0" fillId="30" borderId="0" xfId="0" applyNumberFormat="1" applyFill="1" applyAlignment="1">
      <alignment horizontal="right"/>
    </xf>
    <xf numFmtId="3" fontId="3" fillId="32" borderId="0" xfId="0" applyNumberFormat="1" applyFont="1" applyFill="1" applyAlignment="1"/>
    <xf numFmtId="3" fontId="3" fillId="32" borderId="6" xfId="0" applyNumberFormat="1" applyFont="1" applyFill="1" applyBorder="1" applyAlignment="1"/>
    <xf numFmtId="3" fontId="3" fillId="32" borderId="3" xfId="0" applyNumberFormat="1" applyFont="1" applyFill="1" applyBorder="1" applyAlignment="1"/>
    <xf numFmtId="173" fontId="3" fillId="32" borderId="0" xfId="105" applyNumberFormat="1" applyFont="1" applyFill="1" applyAlignment="1"/>
    <xf numFmtId="173" fontId="3" fillId="32" borderId="3" xfId="105" applyNumberFormat="1" applyFont="1" applyFill="1" applyBorder="1" applyAlignment="1"/>
    <xf numFmtId="208" fontId="3" fillId="30" borderId="0" xfId="0" applyNumberFormat="1" applyFont="1" applyFill="1" applyAlignment="1">
      <alignment horizontal="right"/>
    </xf>
    <xf numFmtId="208" fontId="3" fillId="30" borderId="0" xfId="0" applyNumberFormat="1" applyFont="1" applyFill="1" applyBorder="1" applyAlignment="1">
      <alignment horizontal="right"/>
    </xf>
    <xf numFmtId="208" fontId="3" fillId="30" borderId="0" xfId="174" applyNumberFormat="1" applyFont="1" applyFill="1" applyAlignment="1">
      <alignment horizontal="right"/>
    </xf>
    <xf numFmtId="173" fontId="3" fillId="32" borderId="0" xfId="105" applyNumberFormat="1" applyFont="1" applyFill="1" applyBorder="1" applyAlignment="1"/>
    <xf numFmtId="172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208" fontId="6" fillId="0" borderId="0" xfId="0" applyNumberFormat="1" applyFont="1" applyAlignment="1">
      <alignment horizontal="right"/>
    </xf>
    <xf numFmtId="0" fontId="6" fillId="0" borderId="0" xfId="164" applyFont="1" applyFill="1" applyAlignment="1">
      <alignment horizontal="center"/>
    </xf>
    <xf numFmtId="184" fontId="18" fillId="32" borderId="0" xfId="174" applyNumberFormat="1" applyFont="1" applyFill="1" applyAlignment="1"/>
    <xf numFmtId="172" fontId="0" fillId="0" borderId="0" xfId="0" applyFont="1" applyAlignment="1"/>
    <xf numFmtId="3" fontId="3" fillId="33" borderId="0" xfId="0" applyNumberFormat="1" applyFont="1" applyFill="1" applyAlignment="1"/>
    <xf numFmtId="173" fontId="3" fillId="33" borderId="0" xfId="105" applyNumberFormat="1" applyFont="1" applyFill="1" applyAlignment="1"/>
    <xf numFmtId="172" fontId="0" fillId="0" borderId="0" xfId="0"/>
    <xf numFmtId="3" fontId="3" fillId="0" borderId="0" xfId="0" applyNumberFormat="1" applyFont="1"/>
    <xf numFmtId="173" fontId="3" fillId="0" borderId="0" xfId="105" applyNumberFormat="1" applyFont="1"/>
    <xf numFmtId="173" fontId="3" fillId="0" borderId="6" xfId="105" applyNumberFormat="1" applyFont="1" applyBorder="1"/>
    <xf numFmtId="172" fontId="92" fillId="0" borderId="0" xfId="0" applyFont="1"/>
    <xf numFmtId="173" fontId="0" fillId="0" borderId="0" xfId="105" applyNumberFormat="1" applyFont="1"/>
    <xf numFmtId="3" fontId="3" fillId="33" borderId="0" xfId="0" applyNumberFormat="1" applyFont="1" applyFill="1"/>
    <xf numFmtId="0" fontId="14" fillId="0" borderId="0" xfId="165" applyFont="1" applyAlignment="1">
      <alignment horizontal="center"/>
    </xf>
    <xf numFmtId="0" fontId="5" fillId="30" borderId="0" xfId="0" applyNumberFormat="1" applyFont="1" applyFill="1" applyAlignment="1" applyProtection="1">
      <alignment horizontal="center"/>
      <protection locked="0"/>
    </xf>
    <xf numFmtId="3" fontId="5" fillId="30" borderId="0" xfId="0" applyNumberFormat="1" applyFont="1" applyFill="1" applyAlignment="1">
      <alignment horizontal="center"/>
    </xf>
    <xf numFmtId="49" fontId="5" fillId="30" borderId="0" xfId="0" applyNumberFormat="1" applyFont="1" applyFill="1" applyAlignment="1">
      <alignment horizontal="center"/>
    </xf>
    <xf numFmtId="0" fontId="5" fillId="30" borderId="0" xfId="0" applyNumberFormat="1" applyFont="1" applyFill="1" applyAlignment="1">
      <alignment horizontal="center"/>
    </xf>
    <xf numFmtId="172" fontId="5" fillId="0" borderId="0" xfId="0" applyFont="1" applyAlignment="1">
      <alignment horizontal="center"/>
    </xf>
    <xf numFmtId="0" fontId="14" fillId="0" borderId="0" xfId="166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40" xfId="165" applyFont="1" applyBorder="1" applyAlignment="1">
      <alignment horizontal="center"/>
    </xf>
    <xf numFmtId="0" fontId="5" fillId="0" borderId="10" xfId="165" applyFont="1" applyBorder="1" applyAlignment="1">
      <alignment horizontal="center"/>
    </xf>
    <xf numFmtId="0" fontId="5" fillId="0" borderId="41" xfId="165" applyFont="1" applyBorder="1" applyAlignment="1">
      <alignment horizontal="center"/>
    </xf>
    <xf numFmtId="0" fontId="5" fillId="30" borderId="40" xfId="165" applyFont="1" applyFill="1" applyBorder="1" applyAlignment="1">
      <alignment horizontal="center"/>
    </xf>
    <xf numFmtId="0" fontId="5" fillId="30" borderId="10" xfId="165" applyFont="1" applyFill="1" applyBorder="1" applyAlignment="1">
      <alignment horizontal="center"/>
    </xf>
    <xf numFmtId="0" fontId="5" fillId="30" borderId="41" xfId="165" applyFont="1" applyFill="1" applyBorder="1" applyAlignment="1">
      <alignment horizontal="center"/>
    </xf>
    <xf numFmtId="0" fontId="14" fillId="0" borderId="0" xfId="168" applyFont="1" applyAlignment="1">
      <alignment horizontal="center"/>
    </xf>
  </cellXfs>
  <cellStyles count="238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0 - Style1" xfId="110"/>
    <cellStyle name="Currency" xfId="111" builtinId="4"/>
    <cellStyle name="Currency 2" xfId="112"/>
    <cellStyle name="Date" xfId="113"/>
    <cellStyle name="Euro" xfId="114"/>
    <cellStyle name="Explanatory Text" xfId="115" builtinId="53" customBuiltin="1"/>
    <cellStyle name="Explanatory Text 2" xfId="116"/>
    <cellStyle name="Fixed" xfId="117"/>
    <cellStyle name="Fixed1 - Style1" xfId="118"/>
    <cellStyle name="Gilsans" xfId="119"/>
    <cellStyle name="Gilsansl" xfId="120"/>
    <cellStyle name="Good" xfId="121" builtinId="26" customBuiltin="1"/>
    <cellStyle name="Good 2" xfId="122"/>
    <cellStyle name="Grey" xfId="123"/>
    <cellStyle name="HEADER" xfId="124"/>
    <cellStyle name="Header1" xfId="125"/>
    <cellStyle name="Header2" xfId="126"/>
    <cellStyle name="Heading" xfId="127"/>
    <cellStyle name="Heading 1" xfId="128" builtinId="16" customBuiltin="1"/>
    <cellStyle name="Heading 1 2" xfId="129"/>
    <cellStyle name="Heading 2" xfId="130" builtinId="17" customBuiltin="1"/>
    <cellStyle name="Heading 2 2" xfId="131"/>
    <cellStyle name="Heading 3" xfId="132" builtinId="18" customBuiltin="1"/>
    <cellStyle name="Heading 3 2" xfId="133"/>
    <cellStyle name="Heading 4" xfId="134" builtinId="19" customBuiltin="1"/>
    <cellStyle name="Heading 4 2" xfId="135"/>
    <cellStyle name="Heading1" xfId="136"/>
    <cellStyle name="Heading2" xfId="137"/>
    <cellStyle name="HIGHLIGHT" xfId="138"/>
    <cellStyle name="Input" xfId="139" builtinId="20" customBuiltin="1"/>
    <cellStyle name="Input [yellow]" xfId="140"/>
    <cellStyle name="Input 2" xfId="141"/>
    <cellStyle name="Lines" xfId="142"/>
    <cellStyle name="Linked Cell" xfId="143" builtinId="24" customBuiltin="1"/>
    <cellStyle name="Linked Cell 2" xfId="144"/>
    <cellStyle name="MEM SSN" xfId="145"/>
    <cellStyle name="Mine" xfId="146"/>
    <cellStyle name="mmm-yy" xfId="147"/>
    <cellStyle name="Monétaire [0]_pldt" xfId="148"/>
    <cellStyle name="Monétaire_pldt" xfId="149"/>
    <cellStyle name="Neutral" xfId="150" builtinId="28" customBuiltin="1"/>
    <cellStyle name="Neutral 2" xfId="151"/>
    <cellStyle name="New" xfId="152"/>
    <cellStyle name="No Border" xfId="153"/>
    <cellStyle name="no dec" xfId="154"/>
    <cellStyle name="Normal" xfId="0" builtinId="0"/>
    <cellStyle name="Normal - Style1" xfId="155"/>
    <cellStyle name="Normal 2" xfId="156"/>
    <cellStyle name="Normal 2 2" xfId="157"/>
    <cellStyle name="Normal 3" xfId="158"/>
    <cellStyle name="Normal 3 2" xfId="159"/>
    <cellStyle name="Normal CEN" xfId="160"/>
    <cellStyle name="Normal Centered" xfId="161"/>
    <cellStyle name="NORMAL CTR" xfId="162"/>
    <cellStyle name="Normal_2002 AREA LOADS FOR JNT TARIFF" xfId="163"/>
    <cellStyle name="Normal_Capital True-up" xfId="164"/>
    <cellStyle name="Normal_CU AC Rate Design" xfId="165"/>
    <cellStyle name="Normal_PRECorp2002HeintzResponse 8-21-03" xfId="166"/>
    <cellStyle name="Normal_Sheet1" xfId="167"/>
    <cellStyle name="Normal_TopSheet Type Ancillaries Worksheet-Updated 81903" xfId="168"/>
    <cellStyle name="Note" xfId="169" builtinId="10" customBuiltin="1"/>
    <cellStyle name="Note 2" xfId="170"/>
    <cellStyle name="nUMBER" xfId="171"/>
    <cellStyle name="Output" xfId="172" builtinId="21" customBuiltin="1"/>
    <cellStyle name="Output 2" xfId="173"/>
    <cellStyle name="Percent" xfId="174" builtinId="5"/>
    <cellStyle name="Percent [2]" xfId="175"/>
    <cellStyle name="Percent 2" xfId="176"/>
    <cellStyle name="PSChar" xfId="177"/>
    <cellStyle name="PSDate" xfId="178"/>
    <cellStyle name="PSDec" xfId="179"/>
    <cellStyle name="PSHeading" xfId="180"/>
    <cellStyle name="PSInt" xfId="181"/>
    <cellStyle name="PSSpacer" xfId="182"/>
    <cellStyle name="R00A" xfId="183"/>
    <cellStyle name="R00B" xfId="184"/>
    <cellStyle name="R00L" xfId="185"/>
    <cellStyle name="R01A" xfId="186"/>
    <cellStyle name="R01B" xfId="187"/>
    <cellStyle name="R01H" xfId="188"/>
    <cellStyle name="R01L" xfId="189"/>
    <cellStyle name="R02A" xfId="190"/>
    <cellStyle name="R02B" xfId="191"/>
    <cellStyle name="R02H" xfId="192"/>
    <cellStyle name="R02L" xfId="193"/>
    <cellStyle name="R03A" xfId="194"/>
    <cellStyle name="R03B" xfId="195"/>
    <cellStyle name="R03H" xfId="196"/>
    <cellStyle name="R03L" xfId="197"/>
    <cellStyle name="R04A" xfId="198"/>
    <cellStyle name="R04B" xfId="199"/>
    <cellStyle name="R04H" xfId="200"/>
    <cellStyle name="R04L" xfId="201"/>
    <cellStyle name="R05A" xfId="202"/>
    <cellStyle name="R05B" xfId="203"/>
    <cellStyle name="R05H" xfId="204"/>
    <cellStyle name="R05L" xfId="205"/>
    <cellStyle name="R06A" xfId="206"/>
    <cellStyle name="R06B" xfId="207"/>
    <cellStyle name="R06H" xfId="208"/>
    <cellStyle name="R06L" xfId="209"/>
    <cellStyle name="R07A" xfId="210"/>
    <cellStyle name="R07B" xfId="211"/>
    <cellStyle name="R07H" xfId="212"/>
    <cellStyle name="R07L" xfId="213"/>
    <cellStyle name="Resource Detail" xfId="214"/>
    <cellStyle name="Shade" xfId="215"/>
    <cellStyle name="single acct" xfId="216"/>
    <cellStyle name="Single Border" xfId="217"/>
    <cellStyle name="Small Page Heading" xfId="218"/>
    <cellStyle name="ssn" xfId="219"/>
    <cellStyle name="Style 1" xfId="220"/>
    <cellStyle name="Style 2" xfId="221"/>
    <cellStyle name="Style 27" xfId="222"/>
    <cellStyle name="Style 28" xfId="223"/>
    <cellStyle name="Table Sub Heading" xfId="224"/>
    <cellStyle name="Table Title" xfId="225"/>
    <cellStyle name="Table Units" xfId="226"/>
    <cellStyle name="Theirs" xfId="227"/>
    <cellStyle name="Times New Roman" xfId="228"/>
    <cellStyle name="Title" xfId="229" builtinId="15" customBuiltin="1"/>
    <cellStyle name="Title 2" xfId="230"/>
    <cellStyle name="Total" xfId="231" builtinId="25" customBuiltin="1"/>
    <cellStyle name="Total 2" xfId="232"/>
    <cellStyle name="Unprot" xfId="233"/>
    <cellStyle name="Unprot$" xfId="234"/>
    <cellStyle name="Unprotect" xfId="235"/>
    <cellStyle name="Warning Text" xfId="236" builtinId="11" customBuiltin="1"/>
    <cellStyle name="Warning Text 2" xfId="23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P46"/>
  <sheetViews>
    <sheetView topLeftCell="A16" zoomScaleNormal="100" workbookViewId="0">
      <selection activeCell="G21" sqref="G21"/>
    </sheetView>
  </sheetViews>
  <sheetFormatPr defaultColWidth="7.109375" defaultRowHeight="12.75"/>
  <cols>
    <col min="1" max="1" width="3.77734375" style="39" customWidth="1"/>
    <col min="2" max="2" width="7.109375" style="40" customWidth="1"/>
    <col min="3" max="3" width="6.88671875" style="40" customWidth="1"/>
    <col min="4" max="4" width="11.5546875" style="40" customWidth="1"/>
    <col min="5" max="5" width="11.5546875" style="40" bestFit="1" customWidth="1"/>
    <col min="6" max="6" width="12.109375" style="40" customWidth="1"/>
    <col min="7" max="7" width="8.77734375" style="40" bestFit="1" customWidth="1"/>
    <col min="8" max="8" width="9.5546875" style="40" bestFit="1" customWidth="1"/>
    <col min="9" max="9" width="7.109375" style="40" customWidth="1"/>
    <col min="10" max="10" width="8.77734375" style="40" bestFit="1" customWidth="1"/>
    <col min="11" max="11" width="7.109375" style="40" customWidth="1"/>
    <col min="12" max="12" width="11.44140625" style="40" customWidth="1"/>
    <col min="13" max="16384" width="7.109375" style="40"/>
  </cols>
  <sheetData>
    <row r="1" spans="1:11">
      <c r="H1" s="340" t="s">
        <v>459</v>
      </c>
    </row>
    <row r="2" spans="1:11">
      <c r="G2" s="90"/>
      <c r="H2" s="91"/>
      <c r="I2" s="91"/>
      <c r="J2" s="91"/>
    </row>
    <row r="3" spans="1:11" ht="15" customHeight="1">
      <c r="A3" s="377" t="s">
        <v>363</v>
      </c>
      <c r="B3" s="377"/>
      <c r="C3" s="377"/>
      <c r="D3" s="377"/>
      <c r="E3" s="377"/>
      <c r="F3" s="377"/>
      <c r="G3" s="377"/>
      <c r="H3" s="377"/>
    </row>
    <row r="4" spans="1:11" ht="15" customHeight="1">
      <c r="A4" s="377" t="s">
        <v>80</v>
      </c>
      <c r="B4" s="377"/>
      <c r="C4" s="377"/>
      <c r="D4" s="377"/>
      <c r="E4" s="377"/>
      <c r="F4" s="377"/>
      <c r="G4" s="377"/>
      <c r="H4" s="377"/>
    </row>
    <row r="6" spans="1:11">
      <c r="A6" s="41" t="s">
        <v>73</v>
      </c>
    </row>
    <row r="8" spans="1:11">
      <c r="A8" s="39">
        <v>1</v>
      </c>
      <c r="B8" s="62" t="s">
        <v>117</v>
      </c>
      <c r="D8" s="90"/>
      <c r="E8" s="91"/>
      <c r="G8" s="62"/>
      <c r="H8" s="336">
        <v>807405</v>
      </c>
      <c r="I8" s="90" t="s">
        <v>430</v>
      </c>
      <c r="K8" s="91"/>
    </row>
    <row r="9" spans="1:11">
      <c r="G9" s="62"/>
      <c r="H9" s="62"/>
    </row>
    <row r="10" spans="1:11" ht="39" thickBot="1">
      <c r="D10" s="42" t="str">
        <f>+B20</f>
        <v>Entity</v>
      </c>
      <c r="E10" s="43"/>
      <c r="F10" s="85" t="s">
        <v>167</v>
      </c>
      <c r="G10" s="277" t="s">
        <v>257</v>
      </c>
      <c r="H10" s="85" t="s">
        <v>365</v>
      </c>
    </row>
    <row r="11" spans="1:11">
      <c r="D11" s="39"/>
      <c r="F11" s="45"/>
      <c r="G11" s="278"/>
      <c r="H11" s="279"/>
    </row>
    <row r="12" spans="1:11">
      <c r="A12" s="39">
        <v>2</v>
      </c>
      <c r="D12" s="40" t="s">
        <v>366</v>
      </c>
      <c r="F12" s="86">
        <f>+L22</f>
        <v>14.596699416279272</v>
      </c>
      <c r="G12" s="280">
        <f>+F12/F$15</f>
        <v>0.42459538996735025</v>
      </c>
      <c r="H12" s="281">
        <f>+H$8*G12</f>
        <v>342820.44083658844</v>
      </c>
      <c r="J12" s="46"/>
      <c r="K12" s="47"/>
    </row>
    <row r="13" spans="1:11">
      <c r="A13" s="39">
        <v>3</v>
      </c>
      <c r="D13" s="40" t="s">
        <v>367</v>
      </c>
      <c r="F13" s="87">
        <f>+L23</f>
        <v>18.337530609334088</v>
      </c>
      <c r="G13" s="280">
        <f>+F13/F$15</f>
        <v>0.53341037847397865</v>
      </c>
      <c r="H13" s="281">
        <f>+H$8*G13</f>
        <v>430678.20663178276</v>
      </c>
      <c r="J13" s="48"/>
      <c r="K13" s="47"/>
    </row>
    <row r="14" spans="1:11" ht="13.5" thickBot="1">
      <c r="A14" s="39">
        <v>4</v>
      </c>
      <c r="D14" s="162" t="s">
        <v>368</v>
      </c>
      <c r="E14" s="162"/>
      <c r="F14" s="163">
        <f>+L24</f>
        <v>1.4436736473438563</v>
      </c>
      <c r="G14" s="164">
        <f>+F14/F$15</f>
        <v>4.1994231558671137E-2</v>
      </c>
      <c r="H14" s="165">
        <f>+H$8*G14</f>
        <v>33906.352531628872</v>
      </c>
      <c r="J14" s="48"/>
      <c r="K14" s="47"/>
    </row>
    <row r="15" spans="1:11">
      <c r="A15" s="39">
        <v>5</v>
      </c>
      <c r="D15" s="40" t="s">
        <v>201</v>
      </c>
      <c r="F15" s="87">
        <f>SUM(F12:F14)</f>
        <v>34.377903672957217</v>
      </c>
      <c r="G15" s="282">
        <f>+F15/F$15</f>
        <v>1</v>
      </c>
      <c r="H15" s="283">
        <f>SUM(H12:H14)</f>
        <v>807405.00000000012</v>
      </c>
      <c r="J15" s="46"/>
    </row>
    <row r="16" spans="1:11">
      <c r="G16" s="62"/>
      <c r="H16" s="62"/>
    </row>
    <row r="17" spans="1:16">
      <c r="G17" s="62"/>
      <c r="H17" s="62"/>
    </row>
    <row r="18" spans="1:16">
      <c r="A18" s="41" t="s">
        <v>369</v>
      </c>
      <c r="E18" s="326" t="s">
        <v>423</v>
      </c>
      <c r="F18" s="327"/>
      <c r="G18" s="328"/>
      <c r="H18" s="328"/>
    </row>
    <row r="19" spans="1:16">
      <c r="G19" s="62"/>
      <c r="H19" s="62"/>
    </row>
    <row r="20" spans="1:16" ht="39" thickBot="1">
      <c r="B20" s="43" t="s">
        <v>370</v>
      </c>
      <c r="C20" s="43"/>
      <c r="D20" s="44" t="s">
        <v>168</v>
      </c>
      <c r="E20" s="44" t="s">
        <v>170</v>
      </c>
      <c r="F20" s="44" t="s">
        <v>371</v>
      </c>
      <c r="G20" s="264" t="s">
        <v>429</v>
      </c>
      <c r="H20" s="85" t="s">
        <v>312</v>
      </c>
    </row>
    <row r="21" spans="1:16">
      <c r="G21" s="62"/>
      <c r="H21" s="62"/>
      <c r="M21" s="265" t="s">
        <v>396</v>
      </c>
      <c r="N21" s="266"/>
      <c r="O21" s="266"/>
      <c r="P21" s="267"/>
    </row>
    <row r="22" spans="1:16">
      <c r="A22" s="39">
        <v>6</v>
      </c>
      <c r="B22" s="40" t="str">
        <f>+D12</f>
        <v>Black Hills</v>
      </c>
      <c r="D22" s="174">
        <f>'True-Up'!J115</f>
        <v>12841576.29552681</v>
      </c>
      <c r="E22" s="49">
        <f>-H12</f>
        <v>-342820.44083658844</v>
      </c>
      <c r="F22" s="49">
        <f>+E22+D22</f>
        <v>12498755.854690222</v>
      </c>
      <c r="G22" s="67">
        <f>+'WP7 CU AC LOADS'!J24*1000</f>
        <v>875333.33333333337</v>
      </c>
      <c r="H22" s="284">
        <f>+F22/G22</f>
        <v>14.278852842372682</v>
      </c>
      <c r="J22" s="166" t="s">
        <v>122</v>
      </c>
      <c r="L22" s="263">
        <v>14.596699416279272</v>
      </c>
      <c r="M22" s="268" t="s">
        <v>397</v>
      </c>
      <c r="N22" s="269"/>
      <c r="O22" s="269"/>
      <c r="P22" s="270"/>
    </row>
    <row r="23" spans="1:16">
      <c r="A23" s="39">
        <v>7</v>
      </c>
      <c r="B23" s="40" t="str">
        <f>+D13</f>
        <v>Basin Electric</v>
      </c>
      <c r="D23" s="167">
        <v>16482130</v>
      </c>
      <c r="E23" s="49">
        <f>-H13</f>
        <v>-430678.20663178276</v>
      </c>
      <c r="F23" s="49">
        <f>+E23+D23</f>
        <v>16051451.793368217</v>
      </c>
      <c r="G23" s="285">
        <f>+G22</f>
        <v>875333.33333333337</v>
      </c>
      <c r="H23" s="284">
        <f>+F23/G23</f>
        <v>18.337530609331548</v>
      </c>
      <c r="J23" s="166" t="s">
        <v>122</v>
      </c>
      <c r="L23" s="263">
        <v>18.337530609334088</v>
      </c>
      <c r="M23" s="268" t="s">
        <v>398</v>
      </c>
      <c r="N23" s="269"/>
      <c r="O23" s="269"/>
      <c r="P23" s="270"/>
    </row>
    <row r="24" spans="1:16" ht="13.5" thickBot="1">
      <c r="A24" s="39">
        <v>8</v>
      </c>
      <c r="B24" s="43" t="str">
        <f>+D14</f>
        <v>PRECorp</v>
      </c>
      <c r="C24" s="43"/>
      <c r="D24" s="168">
        <v>1297602.0185064427</v>
      </c>
      <c r="E24" s="52">
        <f>-H14</f>
        <v>-33906.352531628872</v>
      </c>
      <c r="F24" s="52">
        <f>+E24+D24</f>
        <v>1263695.6659748137</v>
      </c>
      <c r="G24" s="286">
        <f>+G23</f>
        <v>875333.33333333337</v>
      </c>
      <c r="H24" s="287">
        <f>+F24/G24</f>
        <v>1.4436736473436562</v>
      </c>
      <c r="J24" s="166" t="s">
        <v>122</v>
      </c>
      <c r="L24" s="263">
        <v>1.4436736473438563</v>
      </c>
      <c r="M24" s="271" t="s">
        <v>399</v>
      </c>
      <c r="N24" s="272"/>
      <c r="O24" s="272"/>
      <c r="P24" s="273"/>
    </row>
    <row r="25" spans="1:16">
      <c r="A25" s="39">
        <v>9</v>
      </c>
      <c r="B25" s="40" t="s">
        <v>201</v>
      </c>
      <c r="D25" s="49">
        <f>SUM(D22:D24)</f>
        <v>30621308.314033251</v>
      </c>
      <c r="E25" s="49">
        <f>SUM(E22:E24)</f>
        <v>-807405.00000000012</v>
      </c>
      <c r="F25" s="49">
        <f>SUM(F22:F24)</f>
        <v>29813903.314033251</v>
      </c>
      <c r="H25" s="50">
        <f>SUM(H22:H24)</f>
        <v>34.060057099047889</v>
      </c>
    </row>
    <row r="26" spans="1:16">
      <c r="F26" s="49"/>
      <c r="G26" s="51"/>
      <c r="H26" s="50"/>
    </row>
    <row r="27" spans="1:16">
      <c r="A27" s="41" t="s">
        <v>372</v>
      </c>
    </row>
    <row r="28" spans="1:16">
      <c r="A28" s="39">
        <v>10</v>
      </c>
      <c r="D28" s="40" t="s">
        <v>373</v>
      </c>
      <c r="F28" s="56">
        <f>+H25</f>
        <v>34.060057099047889</v>
      </c>
      <c r="G28" s="53" t="s">
        <v>374</v>
      </c>
    </row>
    <row r="29" spans="1:16">
      <c r="A29" s="39">
        <f t="shared" ref="A29:A34" si="0">+A28+1</f>
        <v>11</v>
      </c>
      <c r="D29" s="40" t="s">
        <v>375</v>
      </c>
      <c r="F29" s="86">
        <f>ROUND(F28/12,2)</f>
        <v>2.84</v>
      </c>
      <c r="G29" s="53" t="s">
        <v>376</v>
      </c>
    </row>
    <row r="30" spans="1:16">
      <c r="A30" s="39">
        <f t="shared" si="0"/>
        <v>12</v>
      </c>
      <c r="D30" s="40" t="s">
        <v>377</v>
      </c>
      <c r="F30" s="86">
        <f>ROUND(F28/52,2)</f>
        <v>0.66</v>
      </c>
      <c r="G30" s="53" t="s">
        <v>378</v>
      </c>
    </row>
    <row r="31" spans="1:16">
      <c r="A31" s="39">
        <f t="shared" si="0"/>
        <v>13</v>
      </c>
      <c r="D31" s="40" t="s">
        <v>379</v>
      </c>
      <c r="E31" s="40" t="s">
        <v>380</v>
      </c>
      <c r="F31" s="88">
        <f>+F30/6</f>
        <v>0.11</v>
      </c>
      <c r="G31" s="53" t="s">
        <v>381</v>
      </c>
    </row>
    <row r="32" spans="1:16">
      <c r="A32" s="39">
        <f t="shared" si="0"/>
        <v>14</v>
      </c>
      <c r="D32" s="40" t="s">
        <v>382</v>
      </c>
      <c r="E32" s="40" t="s">
        <v>383</v>
      </c>
      <c r="F32" s="88">
        <f>+F30/7</f>
        <v>9.4285714285714292E-2</v>
      </c>
      <c r="G32" s="53" t="s">
        <v>381</v>
      </c>
    </row>
    <row r="33" spans="1:7">
      <c r="A33" s="39">
        <f t="shared" si="0"/>
        <v>15</v>
      </c>
      <c r="D33" s="40" t="s">
        <v>384</v>
      </c>
      <c r="E33" s="40" t="s">
        <v>385</v>
      </c>
      <c r="F33" s="89">
        <f>+F31/16</f>
        <v>6.875E-3</v>
      </c>
      <c r="G33" s="53" t="s">
        <v>386</v>
      </c>
    </row>
    <row r="34" spans="1:7">
      <c r="A34" s="39">
        <f t="shared" si="0"/>
        <v>16</v>
      </c>
      <c r="D34" s="40" t="s">
        <v>387</v>
      </c>
      <c r="E34" s="40" t="s">
        <v>388</v>
      </c>
      <c r="F34" s="89">
        <f>+F32/24</f>
        <v>3.9285714285714288E-3</v>
      </c>
      <c r="G34" s="53" t="s">
        <v>386</v>
      </c>
    </row>
    <row r="40" spans="1:7">
      <c r="A40" s="41" t="s">
        <v>389</v>
      </c>
    </row>
    <row r="42" spans="1:7">
      <c r="B42" s="40" t="str">
        <f>+D20</f>
        <v>Component Annual Revenue Requirements</v>
      </c>
      <c r="E42" s="49">
        <f>+D25</f>
        <v>30621308.314033251</v>
      </c>
    </row>
    <row r="43" spans="1:7">
      <c r="B43" s="62" t="s">
        <v>364</v>
      </c>
      <c r="E43" s="49">
        <f>+E25</f>
        <v>-807405.00000000012</v>
      </c>
    </row>
    <row r="44" spans="1:7">
      <c r="B44" s="40" t="str">
        <f>+F20</f>
        <v>Net Revenue Requirements</v>
      </c>
      <c r="E44" s="49">
        <f>+F25</f>
        <v>29813903.314033251</v>
      </c>
    </row>
    <row r="45" spans="1:7">
      <c r="B45" s="40" t="str">
        <f>+G20</f>
        <v>Actual 2015 Load</v>
      </c>
      <c r="E45" s="51">
        <f>+G22</f>
        <v>875333.33333333337</v>
      </c>
    </row>
    <row r="46" spans="1:7">
      <c r="B46" s="40" t="str">
        <f>+H20</f>
        <v>Annual Rate</v>
      </c>
      <c r="E46" s="56">
        <f>+E44/E45</f>
        <v>34.060057099047889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2015 BHP Attachment H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AN240"/>
  <sheetViews>
    <sheetView tabSelected="1" topLeftCell="A103" zoomScale="90" zoomScaleNormal="90" workbookViewId="0">
      <selection activeCell="J117" sqref="J117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34.5546875" customWidth="1"/>
    <col min="5" max="5" width="15.21875" customWidth="1"/>
    <col min="6" max="6" width="7.77734375" customWidth="1"/>
    <col min="7" max="7" width="5.6640625" customWidth="1"/>
    <col min="8" max="8" width="14" customWidth="1"/>
    <col min="9" max="9" width="7.109375" customWidth="1"/>
    <col min="10" max="10" width="12.77734375" customWidth="1"/>
    <col min="11" max="11" width="1.21875" customWidth="1"/>
    <col min="12" max="12" width="13.44140625" bestFit="1" customWidth="1"/>
    <col min="13" max="13" width="11.44140625" bestFit="1" customWidth="1"/>
  </cols>
  <sheetData>
    <row r="1" spans="1:40">
      <c r="A1" s="203"/>
      <c r="B1" s="203"/>
      <c r="C1" s="203"/>
      <c r="D1" s="203"/>
      <c r="E1" s="203"/>
      <c r="F1" s="203"/>
      <c r="G1" s="203"/>
      <c r="H1" s="203"/>
      <c r="I1" s="337" t="s">
        <v>442</v>
      </c>
      <c r="J1" s="352">
        <v>42521</v>
      </c>
      <c r="K1" s="203"/>
    </row>
    <row r="2" spans="1:40" ht="15.75">
      <c r="A2" s="190"/>
      <c r="B2" s="190"/>
      <c r="C2" s="190"/>
      <c r="D2" s="289"/>
      <c r="E2" s="190"/>
      <c r="F2" s="190"/>
      <c r="G2" s="190"/>
      <c r="H2" s="203"/>
      <c r="I2" s="208" t="s">
        <v>169</v>
      </c>
      <c r="J2" s="194">
        <v>2015</v>
      </c>
      <c r="K2" s="20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5" customHeight="1">
      <c r="A4" s="378" t="s">
        <v>324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5.75">
      <c r="A5" s="379" t="s">
        <v>198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>
      <c r="A6" s="190"/>
      <c r="B6" s="190"/>
      <c r="C6" s="194"/>
      <c r="D6" s="194"/>
      <c r="E6" s="203"/>
      <c r="F6" s="194"/>
      <c r="G6" s="194"/>
      <c r="H6" s="194"/>
      <c r="I6" s="194"/>
      <c r="J6" s="194"/>
      <c r="K6" s="19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15" customHeight="1">
      <c r="A7" s="380" t="s">
        <v>323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>
      <c r="A8" s="200"/>
      <c r="B8" s="190"/>
      <c r="C8" s="194"/>
      <c r="D8" s="194"/>
      <c r="E8" s="216"/>
      <c r="F8" s="194"/>
      <c r="G8" s="194"/>
      <c r="H8" s="194"/>
      <c r="I8" s="194"/>
      <c r="J8" s="194"/>
      <c r="K8" s="19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>
      <c r="A9" s="190"/>
      <c r="B9" s="190"/>
      <c r="C9" s="290" t="s">
        <v>204</v>
      </c>
      <c r="D9" s="290" t="s">
        <v>205</v>
      </c>
      <c r="E9" s="290" t="s">
        <v>206</v>
      </c>
      <c r="F9" s="185" t="s">
        <v>197</v>
      </c>
      <c r="G9" s="185"/>
      <c r="H9" s="291" t="s">
        <v>207</v>
      </c>
      <c r="I9" s="185"/>
      <c r="J9" s="218" t="s">
        <v>208</v>
      </c>
      <c r="K9" s="18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5.75">
      <c r="A10" s="190"/>
      <c r="B10" s="190"/>
      <c r="C10" s="204"/>
      <c r="D10" s="276" t="s">
        <v>209</v>
      </c>
      <c r="E10" s="185"/>
      <c r="F10" s="185"/>
      <c r="G10" s="292" t="s">
        <v>96</v>
      </c>
      <c r="H10" s="200"/>
      <c r="I10" s="185"/>
      <c r="J10" s="275" t="s">
        <v>210</v>
      </c>
      <c r="K10" s="18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5.75">
      <c r="A11" s="200" t="s">
        <v>199</v>
      </c>
      <c r="B11" s="190"/>
      <c r="C11" s="204"/>
      <c r="D11" s="293" t="s">
        <v>211</v>
      </c>
      <c r="E11" s="275" t="s">
        <v>212</v>
      </c>
      <c r="F11" s="294"/>
      <c r="G11" s="295" t="s">
        <v>86</v>
      </c>
      <c r="H11" s="243"/>
      <c r="I11" s="294"/>
      <c r="J11" s="200" t="s">
        <v>213</v>
      </c>
      <c r="K11" s="18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6.5" thickBot="1">
      <c r="A12" s="210" t="s">
        <v>200</v>
      </c>
      <c r="B12" s="190"/>
      <c r="C12" s="209" t="s">
        <v>214</v>
      </c>
      <c r="D12" s="185"/>
      <c r="E12" s="185"/>
      <c r="F12" s="185"/>
      <c r="G12" s="185"/>
      <c r="H12" s="185"/>
      <c r="I12" s="185"/>
      <c r="J12" s="185"/>
      <c r="K12" s="18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>
      <c r="A13" s="200"/>
      <c r="B13" s="190"/>
      <c r="C13" s="204"/>
      <c r="D13" s="185"/>
      <c r="E13" s="185"/>
      <c r="F13" s="185"/>
      <c r="G13" s="185"/>
      <c r="H13" s="185"/>
      <c r="I13" s="185"/>
      <c r="J13" s="185"/>
      <c r="K13" s="18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>
      <c r="A14" s="200"/>
      <c r="B14" s="190"/>
      <c r="C14" s="204" t="s">
        <v>215</v>
      </c>
      <c r="D14" s="16" t="s">
        <v>443</v>
      </c>
      <c r="E14" s="185"/>
      <c r="F14" s="185"/>
      <c r="G14" s="185"/>
      <c r="H14" s="185"/>
      <c r="I14" s="185"/>
      <c r="J14" s="185"/>
      <c r="K14" s="18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>
      <c r="A15" s="200">
        <v>1</v>
      </c>
      <c r="B15" s="190"/>
      <c r="C15" s="204" t="s">
        <v>216</v>
      </c>
      <c r="D15" s="16" t="s">
        <v>76</v>
      </c>
      <c r="E15" s="185">
        <f>+'WP6 Rate Base'!R15</f>
        <v>571434826.38461542</v>
      </c>
      <c r="F15" s="185"/>
      <c r="G15" s="185" t="s">
        <v>217</v>
      </c>
      <c r="H15" s="184" t="s">
        <v>197</v>
      </c>
      <c r="I15" s="185"/>
      <c r="J15" s="185" t="s">
        <v>197</v>
      </c>
      <c r="K15" s="18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>
      <c r="A16" s="200">
        <f>+A15+1</f>
        <v>2</v>
      </c>
      <c r="B16" s="190"/>
      <c r="C16" s="204" t="s">
        <v>218</v>
      </c>
      <c r="D16" s="16" t="s">
        <v>123</v>
      </c>
      <c r="E16" s="185">
        <f>+'WP6 Rate Base'!R16</f>
        <v>116195977.53846154</v>
      </c>
      <c r="F16" s="185"/>
      <c r="G16" s="185" t="s">
        <v>203</v>
      </c>
      <c r="H16" s="184">
        <f>+J143</f>
        <v>0.81271400000000005</v>
      </c>
      <c r="I16" s="185"/>
      <c r="J16" s="185">
        <f>+H16*E16</f>
        <v>94434097.689193234</v>
      </c>
      <c r="K16" s="18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>
      <c r="A17" s="200">
        <f t="shared" ref="A17:A62" si="0">+A16+1</f>
        <v>3</v>
      </c>
      <c r="B17" s="190"/>
      <c r="C17" s="204" t="s">
        <v>219</v>
      </c>
      <c r="D17" s="16" t="s">
        <v>124</v>
      </c>
      <c r="E17" s="185">
        <f>+'WP6 Rate Base'!R17</f>
        <v>345060966.30769229</v>
      </c>
      <c r="F17" s="185"/>
      <c r="G17" s="185" t="s">
        <v>217</v>
      </c>
      <c r="H17" s="186"/>
      <c r="I17" s="185"/>
      <c r="J17" s="185"/>
      <c r="K17" s="18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>
      <c r="A18" s="200">
        <f t="shared" si="0"/>
        <v>4</v>
      </c>
      <c r="B18" s="190"/>
      <c r="C18" s="204" t="s">
        <v>220</v>
      </c>
      <c r="D18" s="16" t="s">
        <v>444</v>
      </c>
      <c r="E18" s="185">
        <f>+'WP6 Rate Base'!R18</f>
        <v>41758572.384615384</v>
      </c>
      <c r="F18" s="185"/>
      <c r="G18" s="185" t="s">
        <v>221</v>
      </c>
      <c r="H18" s="184">
        <f>J175</f>
        <v>9.6341046249596357E-2</v>
      </c>
      <c r="I18" s="185"/>
      <c r="J18" s="185">
        <f>+H18*E18</f>
        <v>4023064.5534233479</v>
      </c>
      <c r="K18" s="18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>
      <c r="A19" s="200">
        <f t="shared" si="0"/>
        <v>5</v>
      </c>
      <c r="B19" s="190"/>
      <c r="C19" s="204" t="s">
        <v>140</v>
      </c>
      <c r="D19" s="16" t="s">
        <v>445</v>
      </c>
      <c r="E19" s="368">
        <f>+'WP6 Rate Base'!R19</f>
        <v>31168005.796411194</v>
      </c>
      <c r="F19" s="185"/>
      <c r="G19" s="185" t="s">
        <v>221</v>
      </c>
      <c r="H19" s="184">
        <f>+H18</f>
        <v>9.6341046249596357E-2</v>
      </c>
      <c r="I19" s="185"/>
      <c r="J19" s="185">
        <f>+H19*E19</f>
        <v>3002758.287939738</v>
      </c>
      <c r="K19" s="185"/>
      <c r="L19" s="367" t="s">
        <v>460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>
      <c r="A20" s="200">
        <f t="shared" si="0"/>
        <v>6</v>
      </c>
      <c r="B20" s="190"/>
      <c r="C20" s="204" t="s">
        <v>105</v>
      </c>
      <c r="D20" s="16" t="s">
        <v>444</v>
      </c>
      <c r="E20" s="185">
        <f>+'WP6 Rate Base'!R20</f>
        <v>7196694.846153846</v>
      </c>
      <c r="F20" s="185"/>
      <c r="G20" s="185" t="s">
        <v>134</v>
      </c>
      <c r="H20" s="184">
        <f>+J181</f>
        <v>0.20797390951384759</v>
      </c>
      <c r="I20" s="185"/>
      <c r="J20" s="185">
        <f>+H20*E20</f>
        <v>1496724.7627327733</v>
      </c>
      <c r="K20" s="18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5.75" thickBot="1">
      <c r="A21" s="200">
        <f t="shared" si="0"/>
        <v>7</v>
      </c>
      <c r="B21" s="190"/>
      <c r="C21" s="204" t="s">
        <v>222</v>
      </c>
      <c r="D21" s="16" t="s">
        <v>223</v>
      </c>
      <c r="E21" s="187">
        <f>+'WP6 Rate Base'!R21</f>
        <v>0</v>
      </c>
      <c r="F21" s="185"/>
      <c r="G21" s="185" t="s">
        <v>254</v>
      </c>
      <c r="H21" s="184">
        <v>0</v>
      </c>
      <c r="I21" s="185"/>
      <c r="J21" s="187">
        <f>+H21*E21</f>
        <v>0</v>
      </c>
      <c r="K21" s="18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>
      <c r="A22" s="200">
        <f t="shared" si="0"/>
        <v>8</v>
      </c>
      <c r="B22" s="190"/>
      <c r="C22" s="211" t="s">
        <v>5</v>
      </c>
      <c r="D22" s="16" t="str">
        <f>"(sum lines "&amp;A15&amp;" - "&amp;A21&amp;")"</f>
        <v>(sum lines 1 - 7)</v>
      </c>
      <c r="E22" s="185">
        <f>SUM(E15:E21)</f>
        <v>1112815043.2579496</v>
      </c>
      <c r="F22" s="185"/>
      <c r="G22" s="185" t="s">
        <v>224</v>
      </c>
      <c r="H22" s="188">
        <f>IF(E22&gt;0,+J22/E22,0)</f>
        <v>9.2519099123486451E-2</v>
      </c>
      <c r="I22" s="185"/>
      <c r="J22" s="185">
        <f>SUM(J15:J21)</f>
        <v>102956645.2932891</v>
      </c>
      <c r="K22" s="18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200">
        <f t="shared" si="0"/>
        <v>9</v>
      </c>
      <c r="B23" s="190"/>
      <c r="C23" s="204"/>
      <c r="D23" s="16"/>
      <c r="E23" s="185"/>
      <c r="F23" s="185"/>
      <c r="G23" s="185"/>
      <c r="H23" s="188"/>
      <c r="I23" s="185"/>
      <c r="J23" s="185"/>
      <c r="K23" s="18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>
      <c r="A24" s="200">
        <f t="shared" si="0"/>
        <v>10</v>
      </c>
      <c r="B24" s="190"/>
      <c r="C24" s="204" t="s">
        <v>225</v>
      </c>
      <c r="D24" s="16" t="s">
        <v>443</v>
      </c>
      <c r="E24" s="185"/>
      <c r="F24" s="185"/>
      <c r="G24" s="185"/>
      <c r="H24" s="185"/>
      <c r="I24" s="185"/>
      <c r="J24" s="185"/>
      <c r="K24" s="18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>
      <c r="A25" s="200">
        <f t="shared" si="0"/>
        <v>11</v>
      </c>
      <c r="B25" s="190"/>
      <c r="C25" s="204" t="str">
        <f>+C15</f>
        <v xml:space="preserve">  Production</v>
      </c>
      <c r="D25" s="16" t="s">
        <v>420</v>
      </c>
      <c r="E25" s="185">
        <f>+'WP6 Rate Base'!R25</f>
        <v>166147527.76923078</v>
      </c>
      <c r="F25" s="185"/>
      <c r="G25" s="185" t="str">
        <f>+G15</f>
        <v>NA</v>
      </c>
      <c r="H25" s="184" t="str">
        <f>+H15</f>
        <v xml:space="preserve"> </v>
      </c>
      <c r="I25" s="185"/>
      <c r="J25" s="185" t="s">
        <v>197</v>
      </c>
      <c r="K25" s="18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>
      <c r="A26" s="200">
        <f t="shared" si="0"/>
        <v>12</v>
      </c>
      <c r="B26" s="190"/>
      <c r="C26" s="204" t="s">
        <v>218</v>
      </c>
      <c r="D26" s="16" t="s">
        <v>125</v>
      </c>
      <c r="E26" s="16">
        <f>+'WP6 Rate Base'!R26</f>
        <v>37364084.234293312</v>
      </c>
      <c r="F26" s="185"/>
      <c r="G26" s="185" t="s">
        <v>83</v>
      </c>
      <c r="H26" s="184">
        <f>+J161</f>
        <v>0.82245900000000005</v>
      </c>
      <c r="I26" s="185"/>
      <c r="J26" s="185">
        <f>+H26*E26</f>
        <v>30730427.355252646</v>
      </c>
      <c r="K26" s="18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>
      <c r="A27" s="200">
        <f t="shared" si="0"/>
        <v>13</v>
      </c>
      <c r="B27" s="190"/>
      <c r="C27" s="204" t="s">
        <v>219</v>
      </c>
      <c r="D27" s="16" t="s">
        <v>126</v>
      </c>
      <c r="E27" s="185">
        <f>+'WP6 Rate Base'!R27</f>
        <v>115836029.38461539</v>
      </c>
      <c r="F27" s="185"/>
      <c r="G27" s="185" t="s">
        <v>217</v>
      </c>
      <c r="H27" s="184"/>
      <c r="I27" s="185"/>
      <c r="J27" s="185"/>
      <c r="K27" s="18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>
      <c r="A28" s="200">
        <f t="shared" si="0"/>
        <v>14</v>
      </c>
      <c r="B28" s="190"/>
      <c r="C28" s="204" t="str">
        <f>+C18</f>
        <v xml:space="preserve">  General &amp; Intangible</v>
      </c>
      <c r="D28" s="16" t="s">
        <v>417</v>
      </c>
      <c r="E28" s="185">
        <f>+'WP6 Rate Base'!R28</f>
        <v>21019571.213561874</v>
      </c>
      <c r="F28" s="185"/>
      <c r="G28" s="185" t="str">
        <f>+G18</f>
        <v>W/S</v>
      </c>
      <c r="H28" s="184">
        <f>+H18</f>
        <v>9.6341046249596357E-2</v>
      </c>
      <c r="I28" s="185"/>
      <c r="J28" s="185">
        <f>+H28*E28</f>
        <v>2025047.4824324488</v>
      </c>
      <c r="K28" s="18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>
      <c r="A29" s="200">
        <f t="shared" si="0"/>
        <v>15</v>
      </c>
      <c r="B29" s="190"/>
      <c r="C29" s="204" t="s">
        <v>140</v>
      </c>
      <c r="D29" s="16" t="s">
        <v>445</v>
      </c>
      <c r="E29" s="368">
        <v>18751194.714218862</v>
      </c>
      <c r="F29" s="185"/>
      <c r="G29" s="185" t="str">
        <f>+G19</f>
        <v>W/S</v>
      </c>
      <c r="H29" s="184">
        <f>+H28</f>
        <v>9.6341046249596357E-2</v>
      </c>
      <c r="I29" s="185"/>
      <c r="J29" s="185">
        <f>+H29*E29</f>
        <v>1806509.7171977463</v>
      </c>
      <c r="K29" s="185"/>
      <c r="L29" s="367" t="s">
        <v>460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>
      <c r="A30" s="200">
        <f t="shared" si="0"/>
        <v>16</v>
      </c>
      <c r="B30" s="190"/>
      <c r="C30" s="204" t="str">
        <f>+C20</f>
        <v xml:space="preserve">  Communication System</v>
      </c>
      <c r="D30" s="16" t="s">
        <v>444</v>
      </c>
      <c r="E30" s="185">
        <f>+'WP6 Rate Base'!R30</f>
        <v>2652181.701068846</v>
      </c>
      <c r="F30" s="185"/>
      <c r="G30" s="185" t="str">
        <f>+G20</f>
        <v>T&amp;D</v>
      </c>
      <c r="H30" s="184">
        <f>+H20</f>
        <v>0.20797390951384759</v>
      </c>
      <c r="I30" s="185"/>
      <c r="J30" s="185">
        <f>+H30*E30</f>
        <v>551584.59711237461</v>
      </c>
      <c r="K30" s="18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5.75" thickBot="1">
      <c r="A31" s="200">
        <f t="shared" si="0"/>
        <v>17</v>
      </c>
      <c r="B31" s="190"/>
      <c r="C31" s="204" t="str">
        <f>+C21</f>
        <v xml:space="preserve">  Common</v>
      </c>
      <c r="D31" s="16" t="s">
        <v>223</v>
      </c>
      <c r="E31" s="187">
        <f>+'WP6 Rate Base'!R31</f>
        <v>0</v>
      </c>
      <c r="F31" s="185"/>
      <c r="G31" s="185" t="str">
        <f>+G21</f>
        <v>CE</v>
      </c>
      <c r="H31" s="184">
        <f>+H21</f>
        <v>0</v>
      </c>
      <c r="I31" s="185"/>
      <c r="J31" s="187">
        <f>+H31*E31</f>
        <v>0</v>
      </c>
      <c r="K31" s="18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200">
        <f t="shared" si="0"/>
        <v>18</v>
      </c>
      <c r="B32" s="190"/>
      <c r="C32" s="204" t="s">
        <v>7</v>
      </c>
      <c r="D32" s="16" t="str">
        <f>"(sum lines "&amp;A25&amp;" - "&amp;A31&amp;")"</f>
        <v>(sum lines 11 - 17)</v>
      </c>
      <c r="E32" s="185">
        <f>SUM(E25:E31)</f>
        <v>361770589.01698905</v>
      </c>
      <c r="F32" s="185"/>
      <c r="G32" s="185"/>
      <c r="H32" s="185"/>
      <c r="I32" s="185"/>
      <c r="J32" s="185">
        <f>SUM(J25:J31)</f>
        <v>35113569.151995212</v>
      </c>
      <c r="K32" s="18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200">
        <f t="shared" si="0"/>
        <v>19</v>
      </c>
      <c r="B33" s="190"/>
      <c r="C33" s="190"/>
      <c r="D33" s="185" t="s">
        <v>197</v>
      </c>
      <c r="E33" s="190"/>
      <c r="F33" s="185"/>
      <c r="G33" s="185"/>
      <c r="H33" s="188"/>
      <c r="I33" s="185"/>
      <c r="J33" s="190"/>
      <c r="K33" s="18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200">
        <f t="shared" si="0"/>
        <v>20</v>
      </c>
      <c r="B34" s="190"/>
      <c r="C34" s="204" t="s">
        <v>226</v>
      </c>
      <c r="D34" s="16" t="s">
        <v>443</v>
      </c>
      <c r="E34" s="185"/>
      <c r="F34" s="185"/>
      <c r="G34" s="185"/>
      <c r="H34" s="185"/>
      <c r="I34" s="185"/>
      <c r="J34" s="185"/>
      <c r="K34" s="18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>
      <c r="A35" s="200">
        <f t="shared" si="0"/>
        <v>21</v>
      </c>
      <c r="B35" s="190"/>
      <c r="C35" s="204" t="str">
        <f>+C25</f>
        <v xml:space="preserve">  Production</v>
      </c>
      <c r="D35" s="185" t="str">
        <f t="shared" ref="D35:D41" si="1">"(line "&amp;A15&amp;" - line "&amp;A25&amp;")"</f>
        <v>(line 1 - line 11)</v>
      </c>
      <c r="E35" s="185">
        <f t="shared" ref="E35:E42" si="2">E15-E25</f>
        <v>405287298.61538464</v>
      </c>
      <c r="F35" s="185"/>
      <c r="G35" s="185" t="s">
        <v>94</v>
      </c>
      <c r="H35" s="188"/>
      <c r="I35" s="185"/>
      <c r="J35" s="185" t="s">
        <v>197</v>
      </c>
      <c r="K35" s="18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>
      <c r="A36" s="200">
        <f t="shared" si="0"/>
        <v>22</v>
      </c>
      <c r="B36" s="190"/>
      <c r="C36" s="204" t="s">
        <v>218</v>
      </c>
      <c r="D36" s="185" t="str">
        <f t="shared" si="1"/>
        <v>(line 2 - line 12)</v>
      </c>
      <c r="E36" s="185">
        <f t="shared" si="2"/>
        <v>78831893.304168224</v>
      </c>
      <c r="F36" s="185"/>
      <c r="G36" s="185" t="s">
        <v>94</v>
      </c>
      <c r="H36" s="184"/>
      <c r="I36" s="185"/>
      <c r="J36" s="185">
        <f>J16-J26</f>
        <v>63703670.333940588</v>
      </c>
      <c r="K36" s="18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200">
        <f t="shared" si="0"/>
        <v>23</v>
      </c>
      <c r="B37" s="190"/>
      <c r="C37" s="204" t="s">
        <v>300</v>
      </c>
      <c r="D37" s="185" t="str">
        <f t="shared" si="1"/>
        <v>(line 3 - line 13)</v>
      </c>
      <c r="E37" s="185">
        <f t="shared" si="2"/>
        <v>229224936.9230769</v>
      </c>
      <c r="F37" s="185"/>
      <c r="G37" s="185" t="s">
        <v>94</v>
      </c>
      <c r="H37" s="188"/>
      <c r="I37" s="185"/>
      <c r="J37" s="185"/>
      <c r="K37" s="18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200">
        <f t="shared" si="0"/>
        <v>24</v>
      </c>
      <c r="B38" s="190"/>
      <c r="C38" s="204" t="str">
        <f>+C28</f>
        <v xml:space="preserve">  General &amp; Intangible</v>
      </c>
      <c r="D38" s="185" t="str">
        <f t="shared" si="1"/>
        <v>(line 4 - line 14)</v>
      </c>
      <c r="E38" s="185">
        <f t="shared" si="2"/>
        <v>20739001.17105351</v>
      </c>
      <c r="F38" s="185"/>
      <c r="G38" s="185" t="s">
        <v>94</v>
      </c>
      <c r="H38" s="188"/>
      <c r="I38" s="185"/>
      <c r="J38" s="185">
        <f>J18-J28</f>
        <v>1998017.0709908991</v>
      </c>
      <c r="K38" s="18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200">
        <f t="shared" si="0"/>
        <v>25</v>
      </c>
      <c r="B39" s="190"/>
      <c r="C39" s="204" t="s">
        <v>140</v>
      </c>
      <c r="D39" s="185" t="str">
        <f t="shared" si="1"/>
        <v>(line 5 - line 15)</v>
      </c>
      <c r="E39" s="185">
        <f t="shared" si="2"/>
        <v>12416811.082192332</v>
      </c>
      <c r="F39" s="185"/>
      <c r="G39" s="185" t="s">
        <v>94</v>
      </c>
      <c r="H39" s="188"/>
      <c r="I39" s="185"/>
      <c r="J39" s="185">
        <f>J19-J29</f>
        <v>1196248.5707419917</v>
      </c>
      <c r="K39" s="18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A40" s="200">
        <f t="shared" si="0"/>
        <v>26</v>
      </c>
      <c r="B40" s="190"/>
      <c r="C40" s="204" t="str">
        <f>+C30</f>
        <v xml:space="preserve">  Communication System</v>
      </c>
      <c r="D40" s="185" t="str">
        <f t="shared" si="1"/>
        <v>(line 6 - line 16)</v>
      </c>
      <c r="E40" s="185">
        <f t="shared" si="2"/>
        <v>4544513.1450849995</v>
      </c>
      <c r="F40" s="185"/>
      <c r="G40" s="185" t="s">
        <v>94</v>
      </c>
      <c r="H40" s="188"/>
      <c r="I40" s="185"/>
      <c r="J40" s="185">
        <f>J20-J30</f>
        <v>945140.16562039871</v>
      </c>
      <c r="K40" s="18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.75" thickBot="1">
      <c r="A41" s="200">
        <f t="shared" si="0"/>
        <v>27</v>
      </c>
      <c r="B41" s="190"/>
      <c r="C41" s="204" t="str">
        <f>+C31</f>
        <v xml:space="preserve">  Common</v>
      </c>
      <c r="D41" s="185" t="str">
        <f t="shared" si="1"/>
        <v>(line 7 - line 17)</v>
      </c>
      <c r="E41" s="187">
        <f t="shared" si="2"/>
        <v>0</v>
      </c>
      <c r="F41" s="185"/>
      <c r="G41" s="185" t="s">
        <v>94</v>
      </c>
      <c r="H41" s="188"/>
      <c r="I41" s="185"/>
      <c r="J41" s="187">
        <f>J21-J31</f>
        <v>0</v>
      </c>
      <c r="K41" s="18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>
      <c r="A42" s="200">
        <f t="shared" si="0"/>
        <v>28</v>
      </c>
      <c r="B42" s="190"/>
      <c r="C42" s="204" t="s">
        <v>6</v>
      </c>
      <c r="D42" s="185" t="str">
        <f>"(sum lines "&amp;A35&amp;" - "&amp;A41&amp;")"</f>
        <v>(sum lines 21 - 27)</v>
      </c>
      <c r="E42" s="185">
        <f t="shared" si="2"/>
        <v>751044454.2409606</v>
      </c>
      <c r="F42" s="185"/>
      <c r="G42" s="185" t="s">
        <v>227</v>
      </c>
      <c r="H42" s="188">
        <f>IF(E42&gt;0,+J42/E42,0)</f>
        <v>9.0331638504486583E-2</v>
      </c>
      <c r="I42" s="185"/>
      <c r="J42" s="185">
        <f>SUM(J35:J41)</f>
        <v>67843076.141293868</v>
      </c>
      <c r="K42" s="18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>
      <c r="A43" s="200">
        <f t="shared" si="0"/>
        <v>29</v>
      </c>
      <c r="B43" s="190"/>
      <c r="C43" s="190"/>
      <c r="D43" s="185"/>
      <c r="E43" s="189"/>
      <c r="F43" s="185"/>
      <c r="G43" s="190"/>
      <c r="H43" s="190"/>
      <c r="I43" s="185"/>
      <c r="J43" s="190"/>
      <c r="K43" s="18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>
      <c r="A44" s="200">
        <f t="shared" si="0"/>
        <v>30</v>
      </c>
      <c r="B44" s="190"/>
      <c r="C44" s="211" t="s">
        <v>40</v>
      </c>
      <c r="D44" s="16" t="s">
        <v>446</v>
      </c>
      <c r="E44" s="185"/>
      <c r="F44" s="185"/>
      <c r="G44" s="185"/>
      <c r="H44" s="185"/>
      <c r="I44" s="185"/>
      <c r="J44" s="185"/>
      <c r="K44" s="18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>
      <c r="A45" s="200">
        <f t="shared" si="0"/>
        <v>31</v>
      </c>
      <c r="B45" s="190"/>
      <c r="C45" s="204" t="s">
        <v>272</v>
      </c>
      <c r="D45" s="16" t="s">
        <v>228</v>
      </c>
      <c r="E45" s="189">
        <f>+'WP6 Rate Base'!G50</f>
        <v>0</v>
      </c>
      <c r="F45" s="185"/>
      <c r="G45" s="185" t="str">
        <f>+G25</f>
        <v>NA</v>
      </c>
      <c r="H45" s="191" t="s">
        <v>293</v>
      </c>
      <c r="I45" s="185"/>
      <c r="J45" s="189">
        <v>0</v>
      </c>
      <c r="K45" s="18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>
      <c r="A46" s="200">
        <f t="shared" si="0"/>
        <v>32</v>
      </c>
      <c r="B46" s="190"/>
      <c r="C46" s="204" t="s">
        <v>273</v>
      </c>
      <c r="D46" s="16" t="s">
        <v>230</v>
      </c>
      <c r="E46" s="189">
        <f>+'WP6 Rate Base'!G51</f>
        <v>-189596795.75121087</v>
      </c>
      <c r="F46" s="185"/>
      <c r="G46" s="185" t="s">
        <v>229</v>
      </c>
      <c r="H46" s="184">
        <f>+H42</f>
        <v>9.0331638504486583E-2</v>
      </c>
      <c r="I46" s="185"/>
      <c r="J46" s="189">
        <f>E46*H46</f>
        <v>-17126589.215407357</v>
      </c>
      <c r="K46" s="18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>
      <c r="A47" s="200">
        <f t="shared" si="0"/>
        <v>33</v>
      </c>
      <c r="B47" s="190"/>
      <c r="C47" s="204" t="s">
        <v>274</v>
      </c>
      <c r="D47" s="16" t="s">
        <v>231</v>
      </c>
      <c r="E47" s="189">
        <f>+'WP6 Rate Base'!G52</f>
        <v>-29987331</v>
      </c>
      <c r="F47" s="185"/>
      <c r="G47" s="185" t="str">
        <f>+G46</f>
        <v>NP</v>
      </c>
      <c r="H47" s="184">
        <f>H42</f>
        <v>9.0331638504486583E-2</v>
      </c>
      <c r="I47" s="185"/>
      <c r="J47" s="189">
        <f>E47*H47</f>
        <v>-2708804.7436063844</v>
      </c>
      <c r="K47" s="18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>
      <c r="A48" s="200">
        <f t="shared" si="0"/>
        <v>34</v>
      </c>
      <c r="B48" s="190"/>
      <c r="C48" s="204" t="s">
        <v>276</v>
      </c>
      <c r="D48" s="16" t="s">
        <v>232</v>
      </c>
      <c r="E48" s="105">
        <f>+'WP6 Rate Base'!G53</f>
        <v>32097808</v>
      </c>
      <c r="F48" s="185"/>
      <c r="G48" s="185" t="str">
        <f>+G47</f>
        <v>NP</v>
      </c>
      <c r="H48" s="184">
        <f>+H47</f>
        <v>9.0331638504486583E-2</v>
      </c>
      <c r="I48" s="185"/>
      <c r="J48" s="189">
        <f>E48*H48</f>
        <v>2899447.5890424177</v>
      </c>
      <c r="K48" s="18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>
      <c r="A49" s="200">
        <f t="shared" si="0"/>
        <v>35</v>
      </c>
      <c r="B49" s="190"/>
      <c r="C49" s="190" t="s">
        <v>275</v>
      </c>
      <c r="D49" s="21" t="s">
        <v>127</v>
      </c>
      <c r="E49" s="189">
        <f>+'WP6 Rate Base'!G54</f>
        <v>0</v>
      </c>
      <c r="F49" s="185"/>
      <c r="G49" s="185" t="str">
        <f>+G48</f>
        <v>NP</v>
      </c>
      <c r="H49" s="184">
        <f>+H47</f>
        <v>9.0331638504486583E-2</v>
      </c>
      <c r="I49" s="185"/>
      <c r="J49" s="192">
        <f>E49*H49</f>
        <v>0</v>
      </c>
      <c r="K49" s="18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5.75" thickBot="1">
      <c r="A50" s="200">
        <f t="shared" si="0"/>
        <v>36</v>
      </c>
      <c r="B50" s="190"/>
      <c r="C50" s="204" t="s">
        <v>295</v>
      </c>
      <c r="D50" s="21" t="s">
        <v>447</v>
      </c>
      <c r="E50" s="193">
        <f>+'WP6 Rate Base'!G55</f>
        <v>2947431.55</v>
      </c>
      <c r="F50" s="185"/>
      <c r="G50" s="185" t="str">
        <f>+G49</f>
        <v>NP</v>
      </c>
      <c r="H50" s="184">
        <f>+H49</f>
        <v>9.0331638504486583E-2</v>
      </c>
      <c r="I50" s="185"/>
      <c r="J50" s="193">
        <f>+H50*E50</f>
        <v>266246.32129131857</v>
      </c>
      <c r="K50" s="18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>
      <c r="A51" s="200">
        <f t="shared" si="0"/>
        <v>37</v>
      </c>
      <c r="B51" s="190"/>
      <c r="C51" s="204" t="s">
        <v>8</v>
      </c>
      <c r="D51" s="185" t="str">
        <f>"(sum lines "&amp;A45&amp;" - "&amp;A50&amp;")"</f>
        <v>(sum lines 31 - 36)</v>
      </c>
      <c r="E51" s="105">
        <f>SUM(E45:E50)</f>
        <v>-184538887.20121086</v>
      </c>
      <c r="F51" s="185"/>
      <c r="G51" s="185"/>
      <c r="H51" s="185"/>
      <c r="I51" s="185"/>
      <c r="J51" s="189">
        <f>SUM(J45:J50)</f>
        <v>-16669700.048680006</v>
      </c>
      <c r="K51" s="18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>
      <c r="A52" s="200">
        <f t="shared" si="0"/>
        <v>38</v>
      </c>
      <c r="B52" s="190"/>
      <c r="C52" s="190"/>
      <c r="D52" s="185"/>
      <c r="E52" s="190"/>
      <c r="F52" s="185"/>
      <c r="G52" s="185"/>
      <c r="H52" s="188"/>
      <c r="I52" s="185"/>
      <c r="J52" s="190"/>
      <c r="K52" s="18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>
      <c r="A53" s="200">
        <f t="shared" si="0"/>
        <v>39</v>
      </c>
      <c r="B53" s="190"/>
      <c r="C53" s="211" t="s">
        <v>233</v>
      </c>
      <c r="D53" s="185" t="s">
        <v>302</v>
      </c>
      <c r="E53" s="185">
        <f>+'WP6 Rate Base'!G58</f>
        <v>0</v>
      </c>
      <c r="F53" s="185"/>
      <c r="G53" s="185" t="s">
        <v>390</v>
      </c>
      <c r="H53" s="184">
        <v>0</v>
      </c>
      <c r="I53" s="185"/>
      <c r="J53" s="185">
        <f>+H53*E53</f>
        <v>0</v>
      </c>
      <c r="K53" s="18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>
      <c r="A54" s="200">
        <f t="shared" si="0"/>
        <v>40</v>
      </c>
      <c r="B54" s="190"/>
      <c r="C54" s="204"/>
      <c r="D54" s="185"/>
      <c r="E54" s="185"/>
      <c r="F54" s="185"/>
      <c r="G54" s="185"/>
      <c r="H54" s="185"/>
      <c r="I54" s="185"/>
      <c r="J54" s="185"/>
      <c r="K54" s="18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>
      <c r="A55" s="200">
        <f t="shared" si="0"/>
        <v>41</v>
      </c>
      <c r="B55" s="190"/>
      <c r="C55" s="204" t="s">
        <v>301</v>
      </c>
      <c r="D55" s="185" t="s">
        <v>197</v>
      </c>
      <c r="E55" s="185"/>
      <c r="F55" s="185"/>
      <c r="G55" s="185"/>
      <c r="H55" s="185"/>
      <c r="I55" s="185"/>
      <c r="J55" s="185"/>
      <c r="K55" s="18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>
      <c r="A56" s="200">
        <f t="shared" si="0"/>
        <v>42</v>
      </c>
      <c r="B56" s="190"/>
      <c r="C56" s="204" t="s">
        <v>292</v>
      </c>
      <c r="D56" s="190" t="str">
        <f>"(1/8 * line "&amp;A85&amp;")"</f>
        <v>(1/8 * line 58)</v>
      </c>
      <c r="E56" s="185">
        <f>+E85/8</f>
        <v>3674279.3744040001</v>
      </c>
      <c r="F56" s="185"/>
      <c r="G56" s="185" t="s">
        <v>94</v>
      </c>
      <c r="H56" s="188"/>
      <c r="I56" s="185"/>
      <c r="J56" s="185">
        <f>+J85/8</f>
        <v>428255.37364364974</v>
      </c>
      <c r="K56" s="19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>
      <c r="A57" s="200">
        <f t="shared" si="0"/>
        <v>43</v>
      </c>
      <c r="B57" s="190"/>
      <c r="C57" s="204" t="s">
        <v>361</v>
      </c>
      <c r="D57" s="16" t="s">
        <v>137</v>
      </c>
      <c r="E57" s="185">
        <f>+'WP6 Rate Base'!G62</f>
        <v>4225443</v>
      </c>
      <c r="F57" s="185"/>
      <c r="G57" s="185" t="s">
        <v>134</v>
      </c>
      <c r="H57" s="184">
        <f>+J181</f>
        <v>0.20797390951384759</v>
      </c>
      <c r="I57" s="185"/>
      <c r="J57" s="185">
        <f>+H57*E57</f>
        <v>878781.90013792075</v>
      </c>
      <c r="K57" s="185" t="s">
        <v>197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>
      <c r="A58" s="200">
        <f t="shared" si="0"/>
        <v>44</v>
      </c>
      <c r="B58" s="190"/>
      <c r="C58" s="204" t="s">
        <v>361</v>
      </c>
      <c r="D58" s="16" t="s">
        <v>136</v>
      </c>
      <c r="E58" s="185">
        <f>+'WP6 Rate Base'!G63</f>
        <v>17781</v>
      </c>
      <c r="F58" s="185"/>
      <c r="G58" s="185" t="s">
        <v>203</v>
      </c>
      <c r="H58" s="184">
        <f>+J143</f>
        <v>0.81271400000000005</v>
      </c>
      <c r="I58" s="185"/>
      <c r="J58" s="185">
        <f>+H58*E58</f>
        <v>14450.867634</v>
      </c>
      <c r="K58" s="18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5.75" thickBot="1">
      <c r="A59" s="200">
        <f t="shared" si="0"/>
        <v>45</v>
      </c>
      <c r="B59" s="190"/>
      <c r="C59" s="204" t="s">
        <v>277</v>
      </c>
      <c r="D59" s="16" t="s">
        <v>448</v>
      </c>
      <c r="E59" s="207">
        <f>+'WP6 Rate Base'!G64</f>
        <v>3954681</v>
      </c>
      <c r="F59" s="185"/>
      <c r="G59" s="185" t="s">
        <v>234</v>
      </c>
      <c r="H59" s="184">
        <f>+H22</f>
        <v>9.2519099123486451E-2</v>
      </c>
      <c r="I59" s="185"/>
      <c r="J59" s="187">
        <f>+H59*E59</f>
        <v>365883.52344076853</v>
      </c>
      <c r="K59" s="18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>
      <c r="A60" s="200">
        <f t="shared" si="0"/>
        <v>46</v>
      </c>
      <c r="B60" s="190"/>
      <c r="C60" s="204" t="s">
        <v>9</v>
      </c>
      <c r="D60" s="185" t="str">
        <f>"(sum lines "&amp;A56&amp;" - "&amp;A59&amp;")"</f>
        <v>(sum lines 42 - 45)</v>
      </c>
      <c r="E60" s="16">
        <f>SUM(E56:E59)</f>
        <v>11872184.374404</v>
      </c>
      <c r="F60" s="194"/>
      <c r="G60" s="194"/>
      <c r="H60" s="194"/>
      <c r="I60" s="194"/>
      <c r="J60" s="185">
        <f>SUM(J56:J59)</f>
        <v>1687371.6648563391</v>
      </c>
      <c r="K60" s="19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5.75" thickBot="1">
      <c r="A61" s="200">
        <f t="shared" si="0"/>
        <v>47</v>
      </c>
      <c r="B61" s="190"/>
      <c r="C61" s="190"/>
      <c r="D61" s="185"/>
      <c r="E61" s="296"/>
      <c r="F61" s="185"/>
      <c r="G61" s="185"/>
      <c r="H61" s="185"/>
      <c r="I61" s="185"/>
      <c r="J61" s="297"/>
      <c r="K61" s="18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5.75" thickBot="1">
      <c r="A62" s="200">
        <f t="shared" si="0"/>
        <v>48</v>
      </c>
      <c r="B62" s="190"/>
      <c r="C62" s="204" t="s">
        <v>10</v>
      </c>
      <c r="D62" s="185" t="str">
        <f>"(sum lines "&amp;A42&amp;", "&amp;A51&amp;", "&amp;A53&amp;", &amp; "&amp;A60&amp;")"</f>
        <v>(sum lines 28, 37, 39, &amp; 46)</v>
      </c>
      <c r="E62" s="197"/>
      <c r="F62" s="185"/>
      <c r="G62" s="185"/>
      <c r="H62" s="188"/>
      <c r="I62" s="185"/>
      <c r="J62" s="298">
        <f>+J60+J53+J51+J42</f>
        <v>52860747.757470205</v>
      </c>
      <c r="K62" s="18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5.75" thickTop="1">
      <c r="A63" s="200"/>
      <c r="B63" s="190"/>
      <c r="C63" s="204"/>
      <c r="D63" s="185"/>
      <c r="E63" s="197"/>
      <c r="F63" s="185"/>
      <c r="G63" s="185"/>
      <c r="H63" s="188"/>
      <c r="I63" s="208" t="s">
        <v>442</v>
      </c>
      <c r="J63" s="359">
        <f>J1</f>
        <v>42521</v>
      </c>
      <c r="K63" s="18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>
      <c r="A64" s="200"/>
      <c r="B64" s="190"/>
      <c r="C64" s="204"/>
      <c r="D64" s="185"/>
      <c r="E64" s="185"/>
      <c r="F64" s="185"/>
      <c r="G64" s="185"/>
      <c r="H64" s="203"/>
      <c r="I64" s="208" t="str">
        <f>$I$2</f>
        <v>Service Year</v>
      </c>
      <c r="J64" s="194">
        <f>$J$2</f>
        <v>2015</v>
      </c>
      <c r="K64" s="20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>
      <c r="A65" s="200"/>
      <c r="B65" s="190"/>
      <c r="C65" s="204"/>
      <c r="D65" s="185"/>
      <c r="E65" s="185"/>
      <c r="F65" s="185"/>
      <c r="G65" s="185"/>
      <c r="H65" s="185"/>
      <c r="I65" s="185"/>
      <c r="J65" s="185"/>
      <c r="K65" s="18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5.75">
      <c r="A66" s="378" t="s">
        <v>324</v>
      </c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5.75">
      <c r="A67" s="379" t="s">
        <v>198</v>
      </c>
      <c r="B67" s="379"/>
      <c r="C67" s="379"/>
      <c r="D67" s="379"/>
      <c r="E67" s="379"/>
      <c r="F67" s="379"/>
      <c r="G67" s="379"/>
      <c r="H67" s="379"/>
      <c r="I67" s="379"/>
      <c r="J67" s="379"/>
      <c r="K67" s="37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>
      <c r="A68" s="190"/>
      <c r="B68" s="190"/>
      <c r="C68" s="194"/>
      <c r="D68" s="194"/>
      <c r="E68" s="203"/>
      <c r="F68" s="194"/>
      <c r="G68" s="194"/>
      <c r="H68" s="194"/>
      <c r="I68" s="194"/>
      <c r="J68" s="194"/>
      <c r="K68" s="19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5.75">
      <c r="A69" s="380" t="s">
        <v>323</v>
      </c>
      <c r="B69" s="380"/>
      <c r="C69" s="380"/>
      <c r="D69" s="380"/>
      <c r="E69" s="380"/>
      <c r="F69" s="380"/>
      <c r="G69" s="380"/>
      <c r="H69" s="380"/>
      <c r="I69" s="380"/>
      <c r="J69" s="380"/>
      <c r="K69" s="38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>
      <c r="A70" s="200"/>
      <c r="B70" s="190"/>
      <c r="C70" s="290" t="s">
        <v>204</v>
      </c>
      <c r="D70" s="290" t="s">
        <v>205</v>
      </c>
      <c r="E70" s="290" t="s">
        <v>206</v>
      </c>
      <c r="F70" s="185" t="s">
        <v>197</v>
      </c>
      <c r="G70" s="185"/>
      <c r="H70" s="291" t="s">
        <v>207</v>
      </c>
      <c r="I70" s="185"/>
      <c r="J70" s="218" t="s">
        <v>208</v>
      </c>
      <c r="K70" s="18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>
      <c r="A71" s="200"/>
      <c r="B71" s="190"/>
      <c r="C71" s="290"/>
      <c r="D71" s="212"/>
      <c r="E71" s="212"/>
      <c r="F71" s="212"/>
      <c r="G71" s="212"/>
      <c r="H71" s="212"/>
      <c r="I71" s="212"/>
      <c r="J71" s="212"/>
      <c r="K71" s="21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5.75">
      <c r="A72" s="200" t="s">
        <v>199</v>
      </c>
      <c r="B72" s="190"/>
      <c r="C72" s="204"/>
      <c r="D72" s="276" t="s">
        <v>209</v>
      </c>
      <c r="E72" s="185"/>
      <c r="F72" s="185"/>
      <c r="G72" s="294" t="str">
        <f>+G10</f>
        <v xml:space="preserve">      Allocator</v>
      </c>
      <c r="H72" s="200"/>
      <c r="I72" s="185"/>
      <c r="J72" s="275" t="s">
        <v>210</v>
      </c>
      <c r="K72" s="18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6.5" thickBot="1">
      <c r="A73" s="210" t="s">
        <v>200</v>
      </c>
      <c r="B73" s="190"/>
      <c r="C73" s="204"/>
      <c r="D73" s="293" t="s">
        <v>211</v>
      </c>
      <c r="E73" s="275" t="s">
        <v>212</v>
      </c>
      <c r="F73" s="294"/>
      <c r="G73" s="295" t="str">
        <f>+G11</f>
        <v xml:space="preserve">        (page 4)</v>
      </c>
      <c r="H73" s="190"/>
      <c r="I73" s="294"/>
      <c r="J73" s="200" t="s">
        <v>213</v>
      </c>
      <c r="K73" s="18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5.75">
      <c r="A74" s="190"/>
      <c r="B74" s="190"/>
      <c r="C74" s="204"/>
      <c r="D74" s="185"/>
      <c r="E74" s="299"/>
      <c r="F74" s="300"/>
      <c r="G74" s="274"/>
      <c r="H74" s="190"/>
      <c r="I74" s="300"/>
      <c r="J74" s="299"/>
      <c r="K74" s="18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>
      <c r="A75" s="200"/>
      <c r="B75" s="190"/>
      <c r="C75" s="204" t="s">
        <v>235</v>
      </c>
      <c r="D75" s="185"/>
      <c r="E75" s="185"/>
      <c r="F75" s="185"/>
      <c r="G75" s="185"/>
      <c r="H75" s="185"/>
      <c r="I75" s="185"/>
      <c r="J75" s="185"/>
      <c r="K75" s="18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>
      <c r="A76" s="200">
        <f>+A62+1</f>
        <v>49</v>
      </c>
      <c r="B76" s="190"/>
      <c r="C76" s="204" t="s">
        <v>236</v>
      </c>
      <c r="D76" s="185" t="s">
        <v>141</v>
      </c>
      <c r="E76" s="368">
        <v>22660616</v>
      </c>
      <c r="F76" s="185"/>
      <c r="G76" s="185" t="s">
        <v>203</v>
      </c>
      <c r="H76" s="184">
        <f>+J143</f>
        <v>0.81271400000000005</v>
      </c>
      <c r="I76" s="185"/>
      <c r="J76" s="185">
        <f>+H76*E76</f>
        <v>18416599.871824</v>
      </c>
      <c r="K76" s="19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>
      <c r="A77" s="200">
        <f>+A76+1</f>
        <v>50</v>
      </c>
      <c r="B77" s="190"/>
      <c r="C77" s="204" t="s">
        <v>52</v>
      </c>
      <c r="D77" s="185" t="s">
        <v>403</v>
      </c>
      <c r="E77" s="376">
        <f>736+571418+332232+266146+795798+1270-11159+169862+19065613</f>
        <v>21191916</v>
      </c>
      <c r="F77" s="185"/>
      <c r="G77" s="185" t="str">
        <f>+G76</f>
        <v>TP</v>
      </c>
      <c r="H77" s="184">
        <f>+H76</f>
        <v>0.81271400000000005</v>
      </c>
      <c r="I77" s="185"/>
      <c r="J77" s="185">
        <f t="shared" ref="J77:J84" si="3">+H77*E77</f>
        <v>17222966.820024002</v>
      </c>
      <c r="K77" s="194"/>
      <c r="L77" s="367" t="s">
        <v>461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>
      <c r="A78" s="200">
        <f t="shared" ref="A78:A119" si="4">+A77+1</f>
        <v>51</v>
      </c>
      <c r="B78" s="190"/>
      <c r="C78" s="204" t="s">
        <v>237</v>
      </c>
      <c r="D78" s="185" t="s">
        <v>128</v>
      </c>
      <c r="E78" s="368">
        <f>29079863.6+L78</f>
        <v>29173988.995232001</v>
      </c>
      <c r="F78" s="185"/>
      <c r="G78" s="185" t="s">
        <v>221</v>
      </c>
      <c r="H78" s="184">
        <f>+H28</f>
        <v>9.6341046249596357E-2</v>
      </c>
      <c r="I78" s="185"/>
      <c r="J78" s="185">
        <f t="shared" si="3"/>
        <v>2810652.6230748612</v>
      </c>
      <c r="K78" s="185"/>
      <c r="L78" s="1">
        <v>94125.39523200001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>
      <c r="A79" s="200">
        <f t="shared" si="4"/>
        <v>52</v>
      </c>
      <c r="B79" s="190"/>
      <c r="C79" s="204" t="s">
        <v>49</v>
      </c>
      <c r="D79" s="185" t="s">
        <v>138</v>
      </c>
      <c r="E79" s="353">
        <v>506790</v>
      </c>
      <c r="F79" s="185"/>
      <c r="G79" s="185" t="s">
        <v>390</v>
      </c>
      <c r="H79" s="184">
        <v>1</v>
      </c>
      <c r="I79" s="185"/>
      <c r="J79" s="185">
        <f t="shared" si="3"/>
        <v>506790</v>
      </c>
      <c r="K79" s="18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>
      <c r="A80" s="200">
        <f t="shared" si="4"/>
        <v>53</v>
      </c>
      <c r="B80" s="190"/>
      <c r="C80" s="204" t="s">
        <v>296</v>
      </c>
      <c r="D80" s="185" t="s">
        <v>171</v>
      </c>
      <c r="E80" s="185">
        <v>227200</v>
      </c>
      <c r="F80" s="185"/>
      <c r="G80" s="185" t="str">
        <f>G78</f>
        <v>W/S</v>
      </c>
      <c r="H80" s="184">
        <f>H78</f>
        <v>9.6341046249596357E-2</v>
      </c>
      <c r="I80" s="185"/>
      <c r="J80" s="185">
        <f t="shared" si="3"/>
        <v>21888.685707908291</v>
      </c>
      <c r="K80" s="18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>
      <c r="A81" s="200">
        <f t="shared" si="4"/>
        <v>54</v>
      </c>
      <c r="B81" s="190"/>
      <c r="C81" s="204" t="s">
        <v>297</v>
      </c>
      <c r="D81" s="185" t="s">
        <v>172</v>
      </c>
      <c r="E81" s="353">
        <v>242516</v>
      </c>
      <c r="F81" s="185"/>
      <c r="G81" s="185" t="str">
        <f>+G80</f>
        <v>W/S</v>
      </c>
      <c r="H81" s="184">
        <f>+H80</f>
        <v>9.6341046249596357E-2</v>
      </c>
      <c r="I81" s="185"/>
      <c r="J81" s="185">
        <f t="shared" si="3"/>
        <v>23364.24517226711</v>
      </c>
      <c r="K81" s="18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>
      <c r="A82" s="200">
        <f t="shared" si="4"/>
        <v>55</v>
      </c>
      <c r="B82" s="190"/>
      <c r="C82" s="204" t="s">
        <v>51</v>
      </c>
      <c r="D82" s="185"/>
      <c r="E82" s="353">
        <v>726348</v>
      </c>
      <c r="F82" s="185"/>
      <c r="G82" s="185" t="str">
        <f>G78</f>
        <v>W/S</v>
      </c>
      <c r="H82" s="184">
        <f>H78</f>
        <v>9.6341046249596357E-2</v>
      </c>
      <c r="I82" s="185"/>
      <c r="J82" s="185">
        <f t="shared" si="3"/>
        <v>69977.126261301819</v>
      </c>
      <c r="K82" s="18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>
      <c r="A83" s="200">
        <f t="shared" si="4"/>
        <v>56</v>
      </c>
      <c r="B83" s="190"/>
      <c r="C83" s="204" t="s">
        <v>50</v>
      </c>
      <c r="D83" s="185"/>
      <c r="E83" s="353">
        <v>0</v>
      </c>
      <c r="F83" s="185"/>
      <c r="G83" s="196" t="str">
        <f>+G76</f>
        <v>TP</v>
      </c>
      <c r="H83" s="184">
        <f>+H76</f>
        <v>0.81271400000000005</v>
      </c>
      <c r="I83" s="185"/>
      <c r="J83" s="185">
        <f>+H83*E83</f>
        <v>0</v>
      </c>
      <c r="K83" s="18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5.75" thickBot="1">
      <c r="A84" s="200">
        <f t="shared" si="4"/>
        <v>57</v>
      </c>
      <c r="B84" s="190"/>
      <c r="C84" s="204" t="s">
        <v>222</v>
      </c>
      <c r="D84" s="185" t="str">
        <f>+D31</f>
        <v>356.1</v>
      </c>
      <c r="E84" s="187">
        <v>0</v>
      </c>
      <c r="F84" s="185"/>
      <c r="G84" s="185" t="s">
        <v>254</v>
      </c>
      <c r="H84" s="184">
        <f>+H31</f>
        <v>0</v>
      </c>
      <c r="I84" s="185"/>
      <c r="J84" s="187">
        <f t="shared" si="3"/>
        <v>0</v>
      </c>
      <c r="K84" s="18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>
      <c r="A85" s="200">
        <f t="shared" si="4"/>
        <v>58</v>
      </c>
      <c r="B85" s="190"/>
      <c r="C85" s="204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85"/>
      <c r="E85" s="185">
        <f>+E76-E77+E78-E79-E82+E84+E83+E80-E81</f>
        <v>29394234.995232001</v>
      </c>
      <c r="F85" s="185"/>
      <c r="G85" s="185"/>
      <c r="H85" s="185"/>
      <c r="I85" s="185"/>
      <c r="J85" s="185">
        <f>+J76-J77+J78-J79-J82+J84+J83+J80-J81</f>
        <v>3426042.9891491979</v>
      </c>
      <c r="K85" s="18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>
      <c r="A86" s="200">
        <f t="shared" si="4"/>
        <v>59</v>
      </c>
      <c r="B86" s="190"/>
      <c r="C86" s="190"/>
      <c r="D86" s="185"/>
      <c r="E86" s="190"/>
      <c r="F86" s="185"/>
      <c r="G86" s="185"/>
      <c r="H86" s="185"/>
      <c r="I86" s="185"/>
      <c r="J86" s="190"/>
      <c r="K86" s="18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>
      <c r="A87" s="200">
        <f t="shared" si="4"/>
        <v>60</v>
      </c>
      <c r="B87" s="190"/>
      <c r="C87" s="204" t="s">
        <v>176</v>
      </c>
      <c r="D87" s="185"/>
      <c r="E87" s="185"/>
      <c r="F87" s="185"/>
      <c r="G87" s="185"/>
      <c r="H87" s="185"/>
      <c r="I87" s="185"/>
      <c r="J87" s="185"/>
      <c r="K87" s="18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>
      <c r="A88" s="200">
        <f t="shared" si="4"/>
        <v>61</v>
      </c>
      <c r="B88" s="190"/>
      <c r="C88" s="204" t="str">
        <f>+C16</f>
        <v xml:space="preserve">  Transmission</v>
      </c>
      <c r="D88" s="185" t="s">
        <v>404</v>
      </c>
      <c r="E88" s="185">
        <f>E16*'BHP WP5 Depreciation Rates'!H17</f>
        <v>2695746.6788923074</v>
      </c>
      <c r="F88" s="185"/>
      <c r="G88" s="185" t="s">
        <v>203</v>
      </c>
      <c r="H88" s="184">
        <f>+J143</f>
        <v>0.81271400000000005</v>
      </c>
      <c r="I88" s="185"/>
      <c r="J88" s="185">
        <f>+H88*E88</f>
        <v>2190871.0663892827</v>
      </c>
      <c r="K88" s="18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>
      <c r="A89" s="200">
        <f t="shared" si="4"/>
        <v>62</v>
      </c>
      <c r="B89" s="190"/>
      <c r="C89" s="204" t="s">
        <v>298</v>
      </c>
      <c r="D89" s="185" t="s">
        <v>405</v>
      </c>
      <c r="E89" s="185">
        <f>(E18+E20)*'BHP WP5 Depreciation Rates'!H31</f>
        <v>3196778.9501692308</v>
      </c>
      <c r="F89" s="185"/>
      <c r="G89" s="185" t="s">
        <v>221</v>
      </c>
      <c r="H89" s="184">
        <f>H78</f>
        <v>9.6341046249596357E-2</v>
      </c>
      <c r="I89" s="185"/>
      <c r="J89" s="185">
        <f>+H89*E89</f>
        <v>307981.02868798998</v>
      </c>
      <c r="K89" s="18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5.75" thickBot="1">
      <c r="A90" s="200">
        <f t="shared" si="4"/>
        <v>63</v>
      </c>
      <c r="B90" s="190"/>
      <c r="C90" s="204" t="str">
        <f>+C84</f>
        <v xml:space="preserve">  Common</v>
      </c>
      <c r="D90" s="185" t="s">
        <v>129</v>
      </c>
      <c r="E90" s="187">
        <v>0</v>
      </c>
      <c r="F90" s="185"/>
      <c r="G90" s="185" t="s">
        <v>254</v>
      </c>
      <c r="H90" s="184">
        <f>+H84</f>
        <v>0</v>
      </c>
      <c r="I90" s="185"/>
      <c r="J90" s="187">
        <f>+H90*E90</f>
        <v>0</v>
      </c>
      <c r="K90" s="18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>
      <c r="A91" s="200">
        <f t="shared" si="4"/>
        <v>64</v>
      </c>
      <c r="B91" s="190"/>
      <c r="C91" s="204" t="str">
        <f>"TOTAL DEPRECIATION (Sum lines "&amp;A88&amp;" - "&amp;A90&amp;")"</f>
        <v>TOTAL DEPRECIATION (Sum lines 61 - 63)</v>
      </c>
      <c r="D91" s="185"/>
      <c r="E91" s="185">
        <f>SUM(E88:E90)</f>
        <v>5892525.6290615387</v>
      </c>
      <c r="F91" s="185"/>
      <c r="G91" s="185"/>
      <c r="H91" s="185"/>
      <c r="I91" s="185"/>
      <c r="J91" s="185">
        <f>SUM(J88:J90)</f>
        <v>2498852.0950772725</v>
      </c>
      <c r="K91" s="18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>
      <c r="A92" s="200">
        <f t="shared" si="4"/>
        <v>65</v>
      </c>
      <c r="B92" s="190"/>
      <c r="C92" s="204"/>
      <c r="D92" s="185"/>
      <c r="E92" s="185"/>
      <c r="F92" s="185"/>
      <c r="G92" s="185"/>
      <c r="H92" s="185"/>
      <c r="I92" s="185"/>
      <c r="J92" s="185"/>
      <c r="K92" s="18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>
      <c r="A93" s="200">
        <f t="shared" si="4"/>
        <v>66</v>
      </c>
      <c r="B93" s="190"/>
      <c r="C93" s="204" t="s">
        <v>92</v>
      </c>
      <c r="D93" s="190"/>
      <c r="E93" s="185"/>
      <c r="F93" s="185"/>
      <c r="G93" s="185"/>
      <c r="H93" s="185"/>
      <c r="I93" s="185"/>
      <c r="J93" s="185"/>
      <c r="K93" s="18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>
      <c r="A94" s="200">
        <f t="shared" si="4"/>
        <v>67</v>
      </c>
      <c r="B94" s="190"/>
      <c r="C94" s="204" t="s">
        <v>238</v>
      </c>
      <c r="D94" s="190"/>
      <c r="E94" s="198"/>
      <c r="F94" s="185"/>
      <c r="G94" s="185"/>
      <c r="H94" s="190"/>
      <c r="I94" s="185"/>
      <c r="J94" s="190"/>
      <c r="K94" s="18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>
      <c r="A95" s="200">
        <f t="shared" si="4"/>
        <v>68</v>
      </c>
      <c r="B95" s="190"/>
      <c r="C95" s="204" t="s">
        <v>239</v>
      </c>
      <c r="D95" s="185" t="s">
        <v>391</v>
      </c>
      <c r="E95" s="368">
        <v>-168576</v>
      </c>
      <c r="F95" s="185"/>
      <c r="G95" s="185" t="s">
        <v>221</v>
      </c>
      <c r="H95" s="199">
        <f>+J175</f>
        <v>9.6341046249596357E-2</v>
      </c>
      <c r="I95" s="185"/>
      <c r="J95" s="185">
        <f>+H95*E95</f>
        <v>-16240.788212571955</v>
      </c>
      <c r="K95" s="185"/>
      <c r="L95" s="367" t="s">
        <v>462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>
      <c r="A96" s="200">
        <f t="shared" si="4"/>
        <v>69</v>
      </c>
      <c r="B96" s="190"/>
      <c r="C96" s="204" t="s">
        <v>240</v>
      </c>
      <c r="D96" s="185" t="s">
        <v>78</v>
      </c>
      <c r="E96" s="353">
        <v>0</v>
      </c>
      <c r="F96" s="185"/>
      <c r="G96" s="185" t="str">
        <f>+G95</f>
        <v>W/S</v>
      </c>
      <c r="H96" s="199">
        <f>+H95</f>
        <v>9.6341046249596357E-2</v>
      </c>
      <c r="I96" s="185"/>
      <c r="J96" s="185">
        <f>+H96*E96</f>
        <v>0</v>
      </c>
      <c r="K96" s="18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>
      <c r="A97" s="200">
        <f t="shared" si="4"/>
        <v>70</v>
      </c>
      <c r="B97" s="190"/>
      <c r="C97" s="204" t="s">
        <v>241</v>
      </c>
      <c r="D97" s="185" t="s">
        <v>197</v>
      </c>
      <c r="E97" s="335"/>
      <c r="F97" s="185"/>
      <c r="G97" s="185"/>
      <c r="H97" s="190"/>
      <c r="I97" s="185"/>
      <c r="J97" s="190"/>
      <c r="K97" s="18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>
      <c r="A98" s="200">
        <f t="shared" si="4"/>
        <v>71</v>
      </c>
      <c r="B98" s="190"/>
      <c r="C98" s="204" t="s">
        <v>242</v>
      </c>
      <c r="D98" s="185" t="s">
        <v>402</v>
      </c>
      <c r="E98" s="353">
        <v>5971462</v>
      </c>
      <c r="F98" s="185"/>
      <c r="G98" s="185" t="s">
        <v>234</v>
      </c>
      <c r="H98" s="199">
        <f>+H22</f>
        <v>9.2519099123486451E-2</v>
      </c>
      <c r="I98" s="185"/>
      <c r="J98" s="185">
        <f>+H98*E98</f>
        <v>552474.2846901326</v>
      </c>
      <c r="K98" s="18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>
      <c r="A99" s="200">
        <f t="shared" si="4"/>
        <v>72</v>
      </c>
      <c r="B99" s="190"/>
      <c r="C99" s="204" t="s">
        <v>243</v>
      </c>
      <c r="D99" s="185" t="s">
        <v>78</v>
      </c>
      <c r="E99" s="353">
        <v>0</v>
      </c>
      <c r="F99" s="185"/>
      <c r="G99" s="185" t="str">
        <f>+G45</f>
        <v>NA</v>
      </c>
      <c r="H99" s="301" t="s">
        <v>293</v>
      </c>
      <c r="I99" s="185"/>
      <c r="J99" s="185">
        <v>0</v>
      </c>
      <c r="K99" s="18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5.75" thickBot="1">
      <c r="A100" s="200">
        <f t="shared" si="4"/>
        <v>73</v>
      </c>
      <c r="B100" s="190"/>
      <c r="C100" s="204" t="s">
        <v>244</v>
      </c>
      <c r="D100" s="185" t="str">
        <f>+D99</f>
        <v>263.i</v>
      </c>
      <c r="E100" s="355">
        <v>0</v>
      </c>
      <c r="F100" s="185"/>
      <c r="G100" s="185" t="str">
        <f>+G98</f>
        <v>GP</v>
      </c>
      <c r="H100" s="199">
        <f>+H98</f>
        <v>9.2519099123486451E-2</v>
      </c>
      <c r="I100" s="185"/>
      <c r="J100" s="187">
        <f>+H100*E100</f>
        <v>0</v>
      </c>
      <c r="K100" s="18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>
      <c r="A101" s="200">
        <f t="shared" si="4"/>
        <v>74</v>
      </c>
      <c r="B101" s="190"/>
      <c r="C101" s="204" t="str">
        <f>"TOTAL OTHER TAXES  (sum lines "&amp;A95&amp;" - "&amp;A100&amp;")"</f>
        <v>TOTAL OTHER TAXES  (sum lines 68 - 73)</v>
      </c>
      <c r="D101" s="185"/>
      <c r="E101" s="185">
        <f>SUM(E95:E100)</f>
        <v>5802886</v>
      </c>
      <c r="F101" s="185"/>
      <c r="G101" s="185"/>
      <c r="H101" s="199"/>
      <c r="I101" s="185"/>
      <c r="J101" s="185">
        <f>SUM(J95:J100)</f>
        <v>536233.49647756061</v>
      </c>
      <c r="K101" s="18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>
      <c r="A102" s="200">
        <f t="shared" si="4"/>
        <v>75</v>
      </c>
      <c r="B102" s="190"/>
      <c r="C102" s="204"/>
      <c r="D102" s="185"/>
      <c r="E102" s="185"/>
      <c r="F102" s="185"/>
      <c r="G102" s="185"/>
      <c r="H102" s="199"/>
      <c r="I102" s="185"/>
      <c r="J102" s="185"/>
      <c r="K102" s="18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>
      <c r="A103" s="200">
        <f t="shared" si="4"/>
        <v>76</v>
      </c>
      <c r="B103" s="190"/>
      <c r="C103" s="204"/>
      <c r="D103" s="185"/>
      <c r="E103" s="185"/>
      <c r="F103" s="185"/>
      <c r="G103" s="185"/>
      <c r="H103" s="199"/>
      <c r="I103" s="185"/>
      <c r="J103" s="185"/>
      <c r="K103" s="18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>
      <c r="A104" s="200">
        <f t="shared" si="4"/>
        <v>77</v>
      </c>
      <c r="B104" s="190"/>
      <c r="C104" s="204" t="s">
        <v>245</v>
      </c>
      <c r="D104" s="185" t="s">
        <v>91</v>
      </c>
      <c r="E104" s="185"/>
      <c r="F104" s="185"/>
      <c r="G104" s="190"/>
      <c r="H104" s="202"/>
      <c r="I104" s="185"/>
      <c r="J104" s="190"/>
      <c r="K104" s="18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>
      <c r="A105" s="200">
        <f t="shared" si="4"/>
        <v>78</v>
      </c>
      <c r="B105" s="190"/>
      <c r="C105" s="302" t="s">
        <v>289</v>
      </c>
      <c r="D105" s="185"/>
      <c r="E105" s="303">
        <f>IF(E232&gt;0,1-(((1-E233)*(1-E232))/(1-E233*E232*E234)),0)</f>
        <v>0.35</v>
      </c>
      <c r="F105" s="185"/>
      <c r="G105" s="190"/>
      <c r="H105" s="202"/>
      <c r="I105" s="185"/>
      <c r="J105" s="190"/>
      <c r="K105" s="18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>
      <c r="A106" s="200">
        <f t="shared" si="4"/>
        <v>79</v>
      </c>
      <c r="B106" s="190"/>
      <c r="C106" s="190" t="s">
        <v>290</v>
      </c>
      <c r="D106" s="185"/>
      <c r="E106" s="303">
        <f>IF(J199&gt;0,(E105/(1-E105))*(1-J196/J199),0)</f>
        <v>0.37859172150151099</v>
      </c>
      <c r="F106" s="185"/>
      <c r="G106" s="190"/>
      <c r="H106" s="202"/>
      <c r="I106" s="185"/>
      <c r="J106" s="190"/>
      <c r="K106" s="18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>
      <c r="A107" s="200">
        <f t="shared" si="4"/>
        <v>80</v>
      </c>
      <c r="B107" s="190"/>
      <c r="C107" s="204" t="str">
        <f>"       where WCLTD=(line "&amp;A196&amp;") and R= (line "&amp;A199&amp;")"</f>
        <v xml:space="preserve">       where WCLTD=(line 154) and R= (line 157)</v>
      </c>
      <c r="D107" s="185"/>
      <c r="E107" s="185"/>
      <c r="F107" s="185"/>
      <c r="G107" s="190"/>
      <c r="H107" s="202"/>
      <c r="I107" s="185"/>
      <c r="J107" s="190"/>
      <c r="K107" s="18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>
      <c r="A108" s="200">
        <f t="shared" si="4"/>
        <v>81</v>
      </c>
      <c r="B108" s="190"/>
      <c r="C108" s="204" t="s">
        <v>93</v>
      </c>
      <c r="D108" s="185"/>
      <c r="E108" s="185"/>
      <c r="F108" s="185"/>
      <c r="G108" s="190"/>
      <c r="H108" s="202"/>
      <c r="I108" s="185"/>
      <c r="J108" s="190"/>
      <c r="K108" s="18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>
      <c r="A109" s="200">
        <f t="shared" si="4"/>
        <v>82</v>
      </c>
      <c r="B109" s="190"/>
      <c r="C109" s="302"/>
      <c r="D109" s="185"/>
      <c r="E109" s="304"/>
      <c r="F109" s="185"/>
      <c r="G109" s="190"/>
      <c r="H109" s="202"/>
      <c r="I109" s="185"/>
      <c r="J109" s="190"/>
      <c r="K109" s="18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>
      <c r="A110" s="200">
        <f t="shared" si="4"/>
        <v>83</v>
      </c>
      <c r="B110" s="190"/>
      <c r="C110" s="201" t="s">
        <v>279</v>
      </c>
      <c r="D110" s="190" t="str">
        <f>"(line "&amp;A106&amp;" * line "&amp;A113&amp;")"</f>
        <v>(line 79 * line 86)</v>
      </c>
      <c r="E110" s="305"/>
      <c r="F110" s="185"/>
      <c r="G110" s="185" t="s">
        <v>197</v>
      </c>
      <c r="H110" s="199" t="s">
        <v>197</v>
      </c>
      <c r="I110" s="185"/>
      <c r="J110" s="185">
        <f>E106*J112</f>
        <v>1752211.8018191585</v>
      </c>
      <c r="K110" s="18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>
      <c r="A111" s="200">
        <f t="shared" si="4"/>
        <v>84</v>
      </c>
      <c r="B111" s="190"/>
      <c r="C111" s="306"/>
      <c r="D111" s="307"/>
      <c r="E111" s="185"/>
      <c r="F111" s="185"/>
      <c r="G111" s="185"/>
      <c r="H111" s="199"/>
      <c r="I111" s="185"/>
      <c r="J111" s="185"/>
      <c r="K111" s="18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>
      <c r="A112" s="200">
        <f t="shared" si="4"/>
        <v>85</v>
      </c>
      <c r="B112" s="190"/>
      <c r="C112" s="204" t="s">
        <v>246</v>
      </c>
      <c r="D112" s="188"/>
      <c r="E112" s="185"/>
      <c r="F112" s="185"/>
      <c r="G112" s="185" t="s">
        <v>94</v>
      </c>
      <c r="H112" s="202"/>
      <c r="I112" s="185"/>
      <c r="J112" s="185">
        <f>+$J199*J62</f>
        <v>4628235.9130036216</v>
      </c>
      <c r="K112" s="18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7.25" customHeight="1">
      <c r="A113" s="200">
        <f t="shared" si="4"/>
        <v>86</v>
      </c>
      <c r="B113" s="190"/>
      <c r="C113" s="201" t="str">
        <f>"  [ Rate Base (line "&amp;A62&amp;") * R (line "&amp;A199&amp;")]"</f>
        <v xml:space="preserve">  [ Rate Base (line 48) * R (line 157)]</v>
      </c>
      <c r="D113" s="190"/>
      <c r="E113" s="185"/>
      <c r="F113" s="185"/>
      <c r="G113" s="185"/>
      <c r="H113" s="202"/>
      <c r="I113" s="185"/>
      <c r="J113" s="185"/>
      <c r="K113" s="18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>
      <c r="A114" s="200">
        <f t="shared" si="4"/>
        <v>87</v>
      </c>
      <c r="B114" s="190"/>
      <c r="C114" s="204"/>
      <c r="D114" s="190"/>
      <c r="E114" s="197"/>
      <c r="F114" s="185"/>
      <c r="G114" s="185"/>
      <c r="H114" s="202"/>
      <c r="I114" s="185"/>
      <c r="J114" s="197"/>
      <c r="K114" s="18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5.75" thickBot="1">
      <c r="A115" s="200">
        <f t="shared" si="4"/>
        <v>88</v>
      </c>
      <c r="B115" s="190"/>
      <c r="C115" s="204" t="str">
        <f>"REVENUE REQUIREMENT  (sum lines "&amp;A85&amp;", "&amp;A91&amp;", "&amp;A101&amp;", "&amp;A110&amp;", "&amp;A112&amp;")"</f>
        <v>REVENUE REQUIREMENT  (sum lines 58, 64, 74, 83, 85)</v>
      </c>
      <c r="D115" s="185"/>
      <c r="E115" s="205">
        <f>E110+E101+E91+E85</f>
        <v>41089646.624293536</v>
      </c>
      <c r="F115" s="185"/>
      <c r="G115" s="185"/>
      <c r="H115" s="185"/>
      <c r="I115" s="185"/>
      <c r="J115" s="206">
        <f>J110+J101+J91+J85+J112</f>
        <v>12841576.29552681</v>
      </c>
      <c r="K115" s="19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5.75" thickTop="1">
      <c r="A116" s="200">
        <f t="shared" si="4"/>
        <v>89</v>
      </c>
      <c r="B116" s="190"/>
      <c r="C116" s="190"/>
      <c r="D116" s="190"/>
      <c r="E116" s="190"/>
      <c r="F116" s="190"/>
      <c r="G116" s="190"/>
      <c r="H116" s="190"/>
      <c r="I116" s="190"/>
      <c r="J116" s="190"/>
      <c r="K116" s="18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>
      <c r="A117" s="200">
        <f t="shared" si="4"/>
        <v>90</v>
      </c>
      <c r="B117" s="190"/>
      <c r="C117" s="204" t="s">
        <v>458</v>
      </c>
      <c r="D117" s="190"/>
      <c r="E117" s="190"/>
      <c r="F117" s="190"/>
      <c r="G117" s="190"/>
      <c r="H117" s="190"/>
      <c r="I117" s="190"/>
      <c r="J117" s="207">
        <v>12482763</v>
      </c>
      <c r="K117" s="18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>
      <c r="A118" s="200">
        <f t="shared" si="4"/>
        <v>91</v>
      </c>
      <c r="B118" s="190"/>
      <c r="C118" s="190"/>
      <c r="D118" s="190"/>
      <c r="E118" s="190"/>
      <c r="F118" s="190"/>
      <c r="G118" s="190"/>
      <c r="H118" s="190"/>
      <c r="I118" s="190"/>
      <c r="J118" s="190"/>
      <c r="K118" s="18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5.75" thickBot="1">
      <c r="A119" s="200">
        <f t="shared" si="4"/>
        <v>92</v>
      </c>
      <c r="B119" s="190"/>
      <c r="C119" s="190" t="str">
        <f>"TRUE-UP AMOUNT TO BE (REFUNDED)/PAID (line "&amp;A115&amp;" - line "&amp;A117&amp;")"</f>
        <v>TRUE-UP AMOUNT TO BE (REFUNDED)/PAID (line 88 - line 90)</v>
      </c>
      <c r="D119" s="190"/>
      <c r="E119" s="190"/>
      <c r="F119" s="190"/>
      <c r="G119" s="190"/>
      <c r="H119" s="190"/>
      <c r="I119" s="190"/>
      <c r="J119" s="205">
        <f>+J115-J117</f>
        <v>358813.29552680999</v>
      </c>
      <c r="K119" s="18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5.75" thickTop="1">
      <c r="A120" s="200"/>
      <c r="B120" s="190"/>
      <c r="C120" s="190"/>
      <c r="D120" s="190"/>
      <c r="E120" s="190"/>
      <c r="F120" s="190"/>
      <c r="G120" s="190"/>
      <c r="H120" s="190"/>
      <c r="I120" s="190"/>
      <c r="J120" s="190"/>
      <c r="K120" s="18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>
      <c r="A121" s="200"/>
      <c r="B121" s="190"/>
      <c r="C121" s="190"/>
      <c r="D121" s="190"/>
      <c r="E121" s="190"/>
      <c r="F121" s="190"/>
      <c r="G121" s="190"/>
      <c r="H121" s="190"/>
      <c r="I121" s="190"/>
      <c r="J121" s="190"/>
      <c r="K121" s="18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>
      <c r="A122" s="200"/>
      <c r="B122" s="190"/>
      <c r="C122" s="190"/>
      <c r="D122" s="190"/>
      <c r="E122" s="190"/>
      <c r="F122" s="190"/>
      <c r="G122" s="190"/>
      <c r="H122" s="190"/>
      <c r="I122" s="208" t="s">
        <v>442</v>
      </c>
      <c r="J122" s="358">
        <f>J1</f>
        <v>42521</v>
      </c>
      <c r="K122" s="18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>
      <c r="A123" s="200"/>
      <c r="B123" s="190"/>
      <c r="C123" s="190"/>
      <c r="D123" s="190"/>
      <c r="E123" s="190"/>
      <c r="F123" s="190"/>
      <c r="G123" s="190"/>
      <c r="H123" s="203"/>
      <c r="I123" s="208" t="str">
        <f>$I$2</f>
        <v>Service Year</v>
      </c>
      <c r="J123" s="194">
        <f>$J$2</f>
        <v>2015</v>
      </c>
      <c r="K123" s="20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>
      <c r="A124" s="200"/>
      <c r="B124" s="190"/>
      <c r="C124" s="190"/>
      <c r="D124" s="190"/>
      <c r="E124" s="190"/>
      <c r="F124" s="190"/>
      <c r="G124" s="190"/>
      <c r="H124" s="190"/>
      <c r="I124" s="190"/>
      <c r="J124" s="190"/>
      <c r="K124" s="18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5.75">
      <c r="A125" s="378" t="s">
        <v>324</v>
      </c>
      <c r="B125" s="378"/>
      <c r="C125" s="378"/>
      <c r="D125" s="378"/>
      <c r="E125" s="378"/>
      <c r="F125" s="378"/>
      <c r="G125" s="378"/>
      <c r="H125" s="378"/>
      <c r="I125" s="378"/>
      <c r="J125" s="378"/>
      <c r="K125" s="378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5.75">
      <c r="A126" s="379" t="s">
        <v>198</v>
      </c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>
      <c r="A127" s="190"/>
      <c r="B127" s="190"/>
      <c r="C127" s="194"/>
      <c r="D127" s="194"/>
      <c r="E127" s="203"/>
      <c r="F127" s="194"/>
      <c r="G127" s="194"/>
      <c r="H127" s="194"/>
      <c r="I127" s="194"/>
      <c r="J127" s="194"/>
      <c r="K127" s="19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5.75">
      <c r="A128" s="380" t="s">
        <v>323</v>
      </c>
      <c r="B128" s="380"/>
      <c r="C128" s="380"/>
      <c r="D128" s="380"/>
      <c r="E128" s="380"/>
      <c r="F128" s="380"/>
      <c r="G128" s="380"/>
      <c r="H128" s="380"/>
      <c r="I128" s="380"/>
      <c r="J128" s="380"/>
      <c r="K128" s="38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>
      <c r="A129" s="200"/>
      <c r="B129" s="190"/>
      <c r="C129" s="190"/>
      <c r="D129" s="204"/>
      <c r="E129" s="204"/>
      <c r="F129" s="204"/>
      <c r="G129" s="204"/>
      <c r="H129" s="204"/>
      <c r="I129" s="204"/>
      <c r="J129" s="204"/>
      <c r="K129" s="20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5.75">
      <c r="A130" s="381" t="s">
        <v>3</v>
      </c>
      <c r="B130" s="381"/>
      <c r="C130" s="381"/>
      <c r="D130" s="381"/>
      <c r="E130" s="381"/>
      <c r="F130" s="381"/>
      <c r="G130" s="381"/>
      <c r="H130" s="381"/>
      <c r="I130" s="381"/>
      <c r="J130" s="381"/>
      <c r="K130" s="38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5.75">
      <c r="A131" s="200"/>
      <c r="B131" s="190"/>
      <c r="C131" s="209"/>
      <c r="D131" s="194"/>
      <c r="E131" s="194"/>
      <c r="F131" s="194"/>
      <c r="G131" s="194"/>
      <c r="H131" s="194"/>
      <c r="I131" s="194"/>
      <c r="J131" s="194"/>
      <c r="K131" s="18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5.75">
      <c r="A132" s="200" t="s">
        <v>199</v>
      </c>
      <c r="B132" s="190"/>
      <c r="C132" s="209"/>
      <c r="D132" s="194"/>
      <c r="E132" s="194"/>
      <c r="F132" s="194"/>
      <c r="G132" s="194"/>
      <c r="H132" s="194"/>
      <c r="I132" s="194"/>
      <c r="J132" s="194"/>
      <c r="K132" s="18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5.75" thickBot="1">
      <c r="A133" s="210" t="s">
        <v>200</v>
      </c>
      <c r="B133" s="190"/>
      <c r="C133" s="211" t="s">
        <v>120</v>
      </c>
      <c r="D133" s="194"/>
      <c r="E133" s="194"/>
      <c r="F133" s="194"/>
      <c r="G133" s="194"/>
      <c r="H133" s="194"/>
      <c r="I133" s="190"/>
      <c r="J133" s="190"/>
      <c r="K133" s="18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5.75" thickBot="1">
      <c r="A134" s="200"/>
      <c r="B134" s="190"/>
      <c r="C134" s="211"/>
      <c r="D134" s="194"/>
      <c r="E134" s="187" t="s">
        <v>0</v>
      </c>
      <c r="F134" s="194"/>
      <c r="G134" s="194"/>
      <c r="H134" s="194"/>
      <c r="I134" s="194"/>
      <c r="J134" s="194"/>
      <c r="K134" s="18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6.5" customHeight="1">
      <c r="A135" s="200">
        <f>+A119+1</f>
        <v>93</v>
      </c>
      <c r="B135" s="190"/>
      <c r="C135" s="212" t="s">
        <v>108</v>
      </c>
      <c r="D135" s="194"/>
      <c r="E135" s="341" t="str">
        <f>"Column (3) line "&amp;A16&amp;""</f>
        <v>Column (3) line 2</v>
      </c>
      <c r="F135" s="185"/>
      <c r="G135" s="185"/>
      <c r="H135" s="185"/>
      <c r="I135" s="185"/>
      <c r="J135" s="185">
        <f>+E16</f>
        <v>116195977.53846154</v>
      </c>
      <c r="K135" s="18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>
      <c r="A136" s="200">
        <f>+A135+1</f>
        <v>94</v>
      </c>
      <c r="B136" s="190"/>
      <c r="C136" s="212" t="s">
        <v>89</v>
      </c>
      <c r="D136" s="190"/>
      <c r="E136" s="190" t="s">
        <v>173</v>
      </c>
      <c r="F136" s="190"/>
      <c r="G136" s="190"/>
      <c r="H136" s="190"/>
      <c r="I136" s="190"/>
      <c r="J136" s="353">
        <v>23535545</v>
      </c>
      <c r="K136" s="18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5.75" thickBot="1">
      <c r="A137" s="200">
        <f t="shared" ref="A137:A199" si="5">+A136+1</f>
        <v>95</v>
      </c>
      <c r="B137" s="190"/>
      <c r="C137" s="213" t="s">
        <v>90</v>
      </c>
      <c r="D137" s="214"/>
      <c r="E137" s="187" t="s">
        <v>173</v>
      </c>
      <c r="F137" s="185"/>
      <c r="G137" s="185"/>
      <c r="H137" s="195"/>
      <c r="I137" s="185"/>
      <c r="J137" s="187">
        <v>0</v>
      </c>
      <c r="K137" s="18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>
      <c r="A138" s="200">
        <f t="shared" si="5"/>
        <v>96</v>
      </c>
      <c r="B138" s="190"/>
      <c r="C138" s="21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194"/>
      <c r="E138" s="185"/>
      <c r="F138" s="185"/>
      <c r="G138" s="185"/>
      <c r="H138" s="195"/>
      <c r="I138" s="185"/>
      <c r="J138" s="185">
        <f>J135-J136-J137</f>
        <v>92660432.538461536</v>
      </c>
      <c r="K138" s="18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>
      <c r="A139" s="200">
        <f t="shared" si="5"/>
        <v>97</v>
      </c>
      <c r="B139" s="190"/>
      <c r="C139" s="212" t="str">
        <f>"Plus Common Use AC Facilities (line "&amp;A149&amp;")"</f>
        <v>Plus Common Use AC Facilities (line 107)</v>
      </c>
      <c r="D139" s="194"/>
      <c r="E139" s="185"/>
      <c r="F139" s="185"/>
      <c r="G139" s="185"/>
      <c r="H139" s="195"/>
      <c r="I139" s="185"/>
      <c r="J139" s="185">
        <f>+J149</f>
        <v>9470507</v>
      </c>
      <c r="K139" s="18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>
      <c r="A140" s="200">
        <f t="shared" si="5"/>
        <v>98</v>
      </c>
      <c r="B140" s="190"/>
      <c r="C140" s="212" t="str">
        <f>"Total Gross Plant for the CUS System (line "&amp;A138&amp;" plus line "&amp;A139&amp;")"</f>
        <v>Total Gross Plant for the CUS System (line 96 plus line 97)</v>
      </c>
      <c r="D140" s="194"/>
      <c r="E140" s="185"/>
      <c r="F140" s="185"/>
      <c r="G140" s="185"/>
      <c r="H140" s="195"/>
      <c r="I140" s="185"/>
      <c r="J140" s="215">
        <f>SUM(J138:J139)</f>
        <v>102130939.53846154</v>
      </c>
      <c r="K140" s="18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>
      <c r="A141" s="200">
        <f t="shared" si="5"/>
        <v>99</v>
      </c>
      <c r="B141" s="190"/>
      <c r="C141" s="212" t="str">
        <f>"Total CUS Plant (line "&amp;A135&amp;" plus line "&amp;A149&amp;")"</f>
        <v>Total CUS Plant (line 93 plus line 107)</v>
      </c>
      <c r="D141" s="194"/>
      <c r="E141" s="185"/>
      <c r="F141" s="185"/>
      <c r="G141" s="185"/>
      <c r="H141" s="195"/>
      <c r="I141" s="185"/>
      <c r="J141" s="197">
        <f>+J135+J149</f>
        <v>125666484.53846154</v>
      </c>
      <c r="K141" s="18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>
      <c r="A142" s="200">
        <f t="shared" si="5"/>
        <v>100</v>
      </c>
      <c r="B142" s="190"/>
      <c r="C142" s="190"/>
      <c r="D142" s="194"/>
      <c r="E142" s="185"/>
      <c r="F142" s="185"/>
      <c r="G142" s="185"/>
      <c r="H142" s="195"/>
      <c r="I142" s="185"/>
      <c r="J142" s="190"/>
      <c r="K142" s="18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>
      <c r="A143" s="200">
        <f t="shared" si="5"/>
        <v>101</v>
      </c>
      <c r="B143" s="190"/>
      <c r="C143" s="21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216"/>
      <c r="E143" s="217"/>
      <c r="F143" s="217"/>
      <c r="G143" s="217"/>
      <c r="H143" s="218"/>
      <c r="I143" s="185" t="s">
        <v>247</v>
      </c>
      <c r="J143" s="219">
        <f>ROUND(IF(J141&gt;0,J140/J141,0),6)</f>
        <v>0.81271400000000005</v>
      </c>
      <c r="K143" s="18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>
      <c r="A144" s="200">
        <f t="shared" si="5"/>
        <v>102</v>
      </c>
      <c r="B144" s="190"/>
      <c r="C144" s="190"/>
      <c r="D144" s="190"/>
      <c r="E144" s="190"/>
      <c r="F144" s="190"/>
      <c r="G144" s="190"/>
      <c r="H144" s="190"/>
      <c r="I144" s="190"/>
      <c r="J144" s="190"/>
      <c r="K144" s="18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5.75" thickBot="1">
      <c r="A145" s="200">
        <f t="shared" si="5"/>
        <v>103</v>
      </c>
      <c r="B145" s="190"/>
      <c r="C145" s="211" t="s">
        <v>106</v>
      </c>
      <c r="D145" s="194"/>
      <c r="E145" s="187" t="s">
        <v>0</v>
      </c>
      <c r="F145" s="194"/>
      <c r="G145" s="194"/>
      <c r="H145" s="194"/>
      <c r="I145" s="194"/>
      <c r="J145" s="194"/>
      <c r="K145" s="19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>
      <c r="A146" s="200">
        <f t="shared" si="5"/>
        <v>104</v>
      </c>
      <c r="B146" s="190"/>
      <c r="C146" s="212" t="s">
        <v>107</v>
      </c>
      <c r="D146" s="194"/>
      <c r="E146" s="341" t="str">
        <f>"Column (3) line "&amp;A17&amp;""</f>
        <v>Column (3) line 3</v>
      </c>
      <c r="F146" s="185"/>
      <c r="G146" s="185"/>
      <c r="H146" s="185"/>
      <c r="I146" s="185"/>
      <c r="J146" s="185">
        <f>+E17</f>
        <v>345060966.30769229</v>
      </c>
      <c r="K146" s="19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>
      <c r="A147" s="200">
        <f t="shared" si="5"/>
        <v>105</v>
      </c>
      <c r="B147" s="190"/>
      <c r="C147" s="212" t="s">
        <v>110</v>
      </c>
      <c r="D147" s="190"/>
      <c r="E147" s="190" t="s">
        <v>173</v>
      </c>
      <c r="F147" s="190"/>
      <c r="G147" s="190"/>
      <c r="H147" s="190"/>
      <c r="I147" s="190"/>
      <c r="J147" s="185">
        <f>+J146-J149</f>
        <v>335590459.30769229</v>
      </c>
      <c r="K147" s="19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5.75" thickBot="1">
      <c r="A148" s="200">
        <f t="shared" si="5"/>
        <v>106</v>
      </c>
      <c r="B148" s="190"/>
      <c r="C148" s="213" t="s">
        <v>111</v>
      </c>
      <c r="D148" s="214"/>
      <c r="E148" s="187" t="s">
        <v>173</v>
      </c>
      <c r="F148" s="185"/>
      <c r="G148" s="185"/>
      <c r="H148" s="195"/>
      <c r="I148" s="185"/>
      <c r="J148" s="187">
        <v>0</v>
      </c>
      <c r="K148" s="19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>
      <c r="A149" s="200">
        <f t="shared" si="5"/>
        <v>107</v>
      </c>
      <c r="B149" s="190"/>
      <c r="C149" s="212" t="str">
        <f>"Common Use AC Facilities (line "&amp;A146&amp;" less lines "&amp;A147&amp;" &amp; "&amp;A148&amp;")"</f>
        <v>Common Use AC Facilities (line 104 less lines 105 &amp; 106)</v>
      </c>
      <c r="D149" s="194"/>
      <c r="E149" s="185"/>
      <c r="F149" s="185"/>
      <c r="G149" s="185"/>
      <c r="H149" s="195"/>
      <c r="I149" s="185"/>
      <c r="J149" s="353">
        <v>9470507</v>
      </c>
      <c r="K149" s="19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>
      <c r="A150" s="200">
        <f t="shared" si="5"/>
        <v>108</v>
      </c>
      <c r="B150" s="190"/>
      <c r="C150" s="190"/>
      <c r="D150" s="194"/>
      <c r="E150" s="185"/>
      <c r="F150" s="185"/>
      <c r="G150" s="185"/>
      <c r="H150" s="195"/>
      <c r="I150" s="185"/>
      <c r="J150" s="190"/>
      <c r="K150" s="19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>
      <c r="A151" s="200">
        <f t="shared" si="5"/>
        <v>109</v>
      </c>
      <c r="B151" s="190"/>
      <c r="C151" s="21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216"/>
      <c r="E151" s="217"/>
      <c r="F151" s="217"/>
      <c r="G151" s="217"/>
      <c r="H151" s="218"/>
      <c r="I151" s="185" t="s">
        <v>109</v>
      </c>
      <c r="J151" s="219">
        <f>ROUND(IF(J146&gt;0,J149/J146,0),6)</f>
        <v>2.7446000000000002E-2</v>
      </c>
      <c r="K151" s="19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>
      <c r="A152" s="200">
        <f t="shared" si="5"/>
        <v>110</v>
      </c>
      <c r="B152" s="190"/>
      <c r="C152" s="190"/>
      <c r="D152" s="194"/>
      <c r="E152" s="185"/>
      <c r="F152" s="185"/>
      <c r="G152" s="185"/>
      <c r="H152" s="195"/>
      <c r="I152" s="185"/>
      <c r="J152" s="190"/>
      <c r="K152" s="19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.75" thickBot="1">
      <c r="A153" s="200">
        <f t="shared" si="5"/>
        <v>111</v>
      </c>
      <c r="B153" s="190"/>
      <c r="C153" s="211" t="s">
        <v>225</v>
      </c>
      <c r="D153" s="194"/>
      <c r="E153" s="187" t="s">
        <v>0</v>
      </c>
      <c r="F153" s="185"/>
      <c r="G153" s="185"/>
      <c r="H153" s="195"/>
      <c r="I153" s="185"/>
      <c r="J153" s="185"/>
      <c r="K153" s="19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>
      <c r="A154" s="200">
        <f t="shared" si="5"/>
        <v>112</v>
      </c>
      <c r="B154" s="190"/>
      <c r="C154" s="190" t="s">
        <v>81</v>
      </c>
      <c r="D154" s="194"/>
      <c r="E154" s="341" t="str">
        <f>"Column (3) line "&amp;A26&amp;""</f>
        <v>Column (3) line 12</v>
      </c>
      <c r="F154" s="185"/>
      <c r="G154" s="185"/>
      <c r="H154" s="195"/>
      <c r="I154" s="185"/>
      <c r="J154" s="185">
        <f>+E26</f>
        <v>37364084.234293312</v>
      </c>
      <c r="K154" s="19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>
      <c r="A155" s="200">
        <f t="shared" si="5"/>
        <v>113</v>
      </c>
      <c r="B155" s="190"/>
      <c r="C155" s="212" t="s">
        <v>415</v>
      </c>
      <c r="D155" s="194"/>
      <c r="E155" s="185" t="s">
        <v>173</v>
      </c>
      <c r="F155" s="185"/>
      <c r="G155" s="185"/>
      <c r="H155" s="195"/>
      <c r="I155" s="185"/>
      <c r="J155" s="353">
        <v>7186098</v>
      </c>
      <c r="K155" s="19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>
      <c r="A156" s="200">
        <f t="shared" si="5"/>
        <v>114</v>
      </c>
      <c r="B156" s="190"/>
      <c r="C156" s="220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21"/>
      <c r="E156" s="215"/>
      <c r="F156" s="185"/>
      <c r="G156" s="185"/>
      <c r="H156" s="195"/>
      <c r="I156" s="185"/>
      <c r="J156" s="215">
        <f>J154-J155</f>
        <v>30177986.234293312</v>
      </c>
      <c r="K156" s="19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>
      <c r="A157" s="200">
        <f t="shared" si="5"/>
        <v>115</v>
      </c>
      <c r="B157" s="190"/>
      <c r="C157" s="212" t="str">
        <f>"Plus Common Use AC Facilities Accumulated Depreciation (line "&amp;A166&amp;")"</f>
        <v>Plus Common Use AC Facilities Accumulated Depreciation (line 124)</v>
      </c>
      <c r="D157" s="222"/>
      <c r="E157" s="197"/>
      <c r="F157" s="185"/>
      <c r="G157" s="185"/>
      <c r="H157" s="195"/>
      <c r="I157" s="185"/>
      <c r="J157" s="197">
        <f>+J166</f>
        <v>3111681</v>
      </c>
      <c r="K157" s="19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>
      <c r="A158" s="200">
        <f t="shared" si="5"/>
        <v>116</v>
      </c>
      <c r="B158" s="190"/>
      <c r="C158" s="212" t="str">
        <f>"Total Accumulated Depreciation for the CUS System (line "&amp;A156&amp;" plus line "&amp;A157&amp;")"</f>
        <v>Total Accumulated Depreciation for the CUS System (line 114 plus line 115)</v>
      </c>
      <c r="D158" s="222"/>
      <c r="E158" s="197"/>
      <c r="F158" s="185"/>
      <c r="G158" s="185"/>
      <c r="H158" s="195"/>
      <c r="I158" s="185"/>
      <c r="J158" s="215">
        <f>SUM(J156:J157)</f>
        <v>33289667.234293312</v>
      </c>
      <c r="K158" s="19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>
      <c r="A159" s="200">
        <f t="shared" si="5"/>
        <v>117</v>
      </c>
      <c r="B159" s="190"/>
      <c r="C159" s="212" t="str">
        <f>"Total CUS Accumulated Depreciation (line "&amp;A154&amp;" plus line "&amp;A157&amp;")"</f>
        <v>Total CUS Accumulated Depreciation (line 112 plus line 115)</v>
      </c>
      <c r="D159" s="222"/>
      <c r="E159" s="197"/>
      <c r="F159" s="185"/>
      <c r="G159" s="185"/>
      <c r="H159" s="195"/>
      <c r="I159" s="185"/>
      <c r="J159" s="197">
        <f>+J154+J157</f>
        <v>40475765.234293312</v>
      </c>
      <c r="K159" s="19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>
      <c r="A160" s="200">
        <f t="shared" si="5"/>
        <v>118</v>
      </c>
      <c r="B160" s="190"/>
      <c r="C160" s="190"/>
      <c r="D160" s="194"/>
      <c r="E160" s="185"/>
      <c r="F160" s="185"/>
      <c r="G160" s="185"/>
      <c r="H160" s="195"/>
      <c r="I160" s="185"/>
      <c r="J160" s="185"/>
      <c r="K160" s="19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>
      <c r="A161" s="200">
        <f t="shared" si="5"/>
        <v>119</v>
      </c>
      <c r="B161" s="190"/>
      <c r="C161" s="21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194"/>
      <c r="E161" s="185"/>
      <c r="F161" s="185"/>
      <c r="G161" s="185"/>
      <c r="H161" s="195"/>
      <c r="I161" s="185" t="s">
        <v>82</v>
      </c>
      <c r="J161" s="219">
        <f>ROUND(IF(J159&gt;0,J158/J159,0),6)</f>
        <v>0.82245900000000005</v>
      </c>
      <c r="K161" s="19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>
      <c r="A162" s="200">
        <f t="shared" si="5"/>
        <v>120</v>
      </c>
      <c r="B162" s="190"/>
      <c r="C162" s="190"/>
      <c r="D162" s="194"/>
      <c r="E162" s="185"/>
      <c r="F162" s="185"/>
      <c r="G162" s="185"/>
      <c r="H162" s="195"/>
      <c r="I162" s="185"/>
      <c r="J162" s="185"/>
      <c r="K162" s="19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.75" thickBot="1">
      <c r="A163" s="200">
        <f t="shared" si="5"/>
        <v>121</v>
      </c>
      <c r="B163" s="190"/>
      <c r="C163" s="190"/>
      <c r="D163" s="194"/>
      <c r="E163" s="187" t="s">
        <v>0</v>
      </c>
      <c r="F163" s="185"/>
      <c r="G163" s="185"/>
      <c r="H163" s="195"/>
      <c r="I163" s="185"/>
      <c r="J163" s="185"/>
      <c r="K163" s="19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>
      <c r="A164" s="200">
        <f t="shared" si="5"/>
        <v>122</v>
      </c>
      <c r="B164" s="190"/>
      <c r="C164" s="190" t="s">
        <v>84</v>
      </c>
      <c r="D164" s="194"/>
      <c r="E164" s="341" t="str">
        <f>"Column (3) line "&amp;A27&amp;""</f>
        <v>Column (3) line 13</v>
      </c>
      <c r="F164" s="185"/>
      <c r="G164" s="185"/>
      <c r="H164" s="195"/>
      <c r="I164" s="185"/>
      <c r="J164" s="185">
        <f>+E27</f>
        <v>115836029.38461539</v>
      </c>
      <c r="K164" s="19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>
      <c r="A165" s="200">
        <f t="shared" si="5"/>
        <v>123</v>
      </c>
      <c r="B165" s="190"/>
      <c r="C165" s="190" t="s">
        <v>174</v>
      </c>
      <c r="D165" s="194"/>
      <c r="E165" s="185"/>
      <c r="F165" s="185"/>
      <c r="G165" s="185"/>
      <c r="H165" s="195"/>
      <c r="I165" s="185"/>
      <c r="J165" s="185">
        <f>+J164-J166</f>
        <v>112724348.38461539</v>
      </c>
      <c r="K165" s="19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>
      <c r="A166" s="200">
        <f t="shared" si="5"/>
        <v>124</v>
      </c>
      <c r="B166" s="190"/>
      <c r="C166" s="223" t="str">
        <f>"Common Use AC Facilities (line "&amp;A164&amp;" less line "&amp;A165&amp;")"</f>
        <v>Common Use AC Facilities (line 122 less line 123)</v>
      </c>
      <c r="D166" s="221"/>
      <c r="E166" s="215"/>
      <c r="F166" s="185"/>
      <c r="G166" s="185"/>
      <c r="H166" s="195"/>
      <c r="I166" s="185"/>
      <c r="J166" s="354">
        <v>3111681</v>
      </c>
      <c r="K166" s="19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>
      <c r="A167" s="200">
        <f t="shared" si="5"/>
        <v>125</v>
      </c>
      <c r="B167" s="190"/>
      <c r="C167" s="190"/>
      <c r="D167" s="194"/>
      <c r="E167" s="185"/>
      <c r="F167" s="185"/>
      <c r="G167" s="185"/>
      <c r="H167" s="195"/>
      <c r="I167" s="185"/>
      <c r="J167" s="185"/>
      <c r="K167" s="19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>
      <c r="A168" s="200">
        <f t="shared" si="5"/>
        <v>126</v>
      </c>
      <c r="B168" s="190"/>
      <c r="C168" s="21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194"/>
      <c r="E168" s="185"/>
      <c r="F168" s="185"/>
      <c r="G168" s="185"/>
      <c r="H168" s="195"/>
      <c r="I168" s="185" t="s">
        <v>85</v>
      </c>
      <c r="J168" s="219">
        <f>ROUND(IF(J164&gt;0,J166/J164,0),6)</f>
        <v>2.6863000000000001E-2</v>
      </c>
      <c r="K168" s="19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>
      <c r="A169" s="200">
        <f t="shared" si="5"/>
        <v>127</v>
      </c>
      <c r="B169" s="190"/>
      <c r="C169" s="190"/>
      <c r="D169" s="194"/>
      <c r="E169" s="185"/>
      <c r="F169" s="185"/>
      <c r="G169" s="185"/>
      <c r="H169" s="195"/>
      <c r="I169" s="185"/>
      <c r="J169" s="185"/>
      <c r="K169" s="19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>
      <c r="A170" s="200">
        <f t="shared" si="5"/>
        <v>128</v>
      </c>
      <c r="B170" s="190"/>
      <c r="C170" s="204" t="s">
        <v>248</v>
      </c>
      <c r="D170" s="185"/>
      <c r="E170" s="185"/>
      <c r="F170" s="185"/>
      <c r="G170" s="185"/>
      <c r="H170" s="185"/>
      <c r="I170" s="185"/>
      <c r="J170" s="185"/>
      <c r="K170" s="18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.75" thickBot="1">
      <c r="A171" s="200">
        <f t="shared" si="5"/>
        <v>129</v>
      </c>
      <c r="B171" s="190"/>
      <c r="C171" s="204"/>
      <c r="D171" s="187" t="s">
        <v>249</v>
      </c>
      <c r="E171" s="224" t="s">
        <v>250</v>
      </c>
      <c r="F171" s="224" t="s">
        <v>203</v>
      </c>
      <c r="G171" s="185"/>
      <c r="H171" s="224" t="s">
        <v>251</v>
      </c>
      <c r="I171" s="197"/>
      <c r="J171" s="225"/>
      <c r="K171" s="18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>
      <c r="A172" s="200">
        <f t="shared" si="5"/>
        <v>130</v>
      </c>
      <c r="B172" s="190"/>
      <c r="C172" s="204" t="s">
        <v>218</v>
      </c>
      <c r="D172" s="185" t="s">
        <v>130</v>
      </c>
      <c r="E172" s="353">
        <v>1483779</v>
      </c>
      <c r="F172" s="226">
        <f>+J143</f>
        <v>0.81271400000000005</v>
      </c>
      <c r="G172" s="190"/>
      <c r="H172" s="185">
        <f>E172*F172</f>
        <v>1205887.9662060002</v>
      </c>
      <c r="I172" s="197"/>
      <c r="J172" s="227"/>
      <c r="K172" s="18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>
      <c r="A173" s="200">
        <f t="shared" si="5"/>
        <v>131</v>
      </c>
      <c r="B173" s="190"/>
      <c r="C173" s="204" t="s">
        <v>144</v>
      </c>
      <c r="D173" s="185" t="s">
        <v>145</v>
      </c>
      <c r="E173" s="353">
        <v>20336220</v>
      </c>
      <c r="F173" s="226">
        <v>0</v>
      </c>
      <c r="G173" s="226"/>
      <c r="H173" s="185">
        <f>E173*F173</f>
        <v>0</v>
      </c>
      <c r="I173" s="197"/>
      <c r="J173" s="225" t="s">
        <v>252</v>
      </c>
      <c r="K173" s="18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.75" thickBot="1">
      <c r="A174" s="200">
        <f t="shared" si="5"/>
        <v>132</v>
      </c>
      <c r="B174" s="190"/>
      <c r="C174" s="204" t="s">
        <v>146</v>
      </c>
      <c r="D174" s="185" t="s">
        <v>147</v>
      </c>
      <c r="E174" s="355">
        <v>-7819354</v>
      </c>
      <c r="F174" s="226">
        <v>0</v>
      </c>
      <c r="G174" s="226"/>
      <c r="H174" s="187">
        <f>E174*F174</f>
        <v>0</v>
      </c>
      <c r="I174" s="197"/>
      <c r="J174" s="210" t="s">
        <v>253</v>
      </c>
      <c r="K174" s="18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>
      <c r="A175" s="200">
        <f t="shared" si="5"/>
        <v>133</v>
      </c>
      <c r="B175" s="190"/>
      <c r="C175" s="204" t="str">
        <f>"  Adjusted Total  (sum lines "&amp;A173&amp;"-"&amp;A174&amp;")"</f>
        <v xml:space="preserve">  Adjusted Total  (sum lines 131-132)</v>
      </c>
      <c r="D175" s="185"/>
      <c r="E175" s="185">
        <f>SUM(E173:E174)</f>
        <v>12516866</v>
      </c>
      <c r="F175" s="185"/>
      <c r="G175" s="190"/>
      <c r="H175" s="185">
        <f>SUM(H172:H174)</f>
        <v>1205887.9662060002</v>
      </c>
      <c r="I175" s="185" t="s">
        <v>95</v>
      </c>
      <c r="J175" s="184">
        <f>IF(E175&gt;0,+H175/E175,0)</f>
        <v>9.6341046249596357E-2</v>
      </c>
      <c r="K175" s="19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>
      <c r="A176" s="200">
        <f t="shared" si="5"/>
        <v>134</v>
      </c>
      <c r="B176" s="190"/>
      <c r="C176" s="204"/>
      <c r="D176" s="185"/>
      <c r="E176" s="185"/>
      <c r="F176" s="185"/>
      <c r="G176" s="185"/>
      <c r="H176" s="185"/>
      <c r="I176" s="185"/>
      <c r="J176" s="185"/>
      <c r="K176" s="18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>
      <c r="A177" s="200">
        <f t="shared" si="5"/>
        <v>135</v>
      </c>
      <c r="B177" s="190"/>
      <c r="C177" s="204" t="s">
        <v>131</v>
      </c>
      <c r="D177" s="185"/>
      <c r="E177" s="185"/>
      <c r="F177" s="185"/>
      <c r="G177" s="185"/>
      <c r="H177" s="185"/>
      <c r="I177" s="185"/>
      <c r="J177" s="185"/>
      <c r="K177" s="18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75" thickBot="1">
      <c r="A178" s="200">
        <f t="shared" si="5"/>
        <v>136</v>
      </c>
      <c r="B178" s="190"/>
      <c r="C178" s="204"/>
      <c r="D178" s="185"/>
      <c r="E178" s="224" t="s">
        <v>250</v>
      </c>
      <c r="F178" s="224" t="s">
        <v>257</v>
      </c>
      <c r="G178" s="207" t="s">
        <v>203</v>
      </c>
      <c r="H178" s="228" t="s">
        <v>134</v>
      </c>
      <c r="I178" s="202"/>
      <c r="J178" s="188"/>
      <c r="K178" s="19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>
      <c r="A179" s="200">
        <f t="shared" si="5"/>
        <v>137</v>
      </c>
      <c r="B179" s="190"/>
      <c r="C179" s="204" t="s">
        <v>132</v>
      </c>
      <c r="D179" s="229" t="s">
        <v>41</v>
      </c>
      <c r="E179" s="335">
        <f>J135-J154</f>
        <v>78831893.304168224</v>
      </c>
      <c r="F179" s="230">
        <f>IF(E181&gt;0,+E179/E181,0)</f>
        <v>0.25590048838071888</v>
      </c>
      <c r="G179" s="231">
        <f>+J143</f>
        <v>0.81271400000000005</v>
      </c>
      <c r="H179" s="232">
        <f>IF(F179&gt;0,+G179*F179,0)</f>
        <v>0.20797390951384759</v>
      </c>
      <c r="I179" s="233"/>
      <c r="J179" s="200"/>
      <c r="K179" s="18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>
      <c r="A180" s="200">
        <f t="shared" si="5"/>
        <v>138</v>
      </c>
      <c r="B180" s="190"/>
      <c r="C180" s="204" t="s">
        <v>133</v>
      </c>
      <c r="D180" s="229" t="s">
        <v>42</v>
      </c>
      <c r="E180" s="335">
        <f>J146-J164</f>
        <v>229224936.9230769</v>
      </c>
      <c r="F180" s="230">
        <f>IF(E181&gt;0,+E180/E181,0)</f>
        <v>0.74409951161928123</v>
      </c>
      <c r="G180" s="190"/>
      <c r="H180" s="199"/>
      <c r="I180" s="195"/>
      <c r="J180" s="199"/>
      <c r="K180" s="20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>
      <c r="A181" s="200">
        <f t="shared" si="5"/>
        <v>139</v>
      </c>
      <c r="B181" s="190"/>
      <c r="C181" s="204" t="str">
        <f>"  Total  (sum lines "&amp;A179&amp;" - "&amp;A180&amp;")"</f>
        <v xml:space="preserve">  Total  (sum lines 137 - 138)</v>
      </c>
      <c r="D181" s="185"/>
      <c r="E181" s="215">
        <f>SUM(E179:E180)</f>
        <v>308056830.22724509</v>
      </c>
      <c r="F181" s="234">
        <f>SUM(F179:F180)</f>
        <v>1</v>
      </c>
      <c r="G181" s="185"/>
      <c r="H181" s="185"/>
      <c r="I181" s="185" t="s">
        <v>135</v>
      </c>
      <c r="J181" s="235">
        <f>+H179</f>
        <v>0.20797390951384759</v>
      </c>
      <c r="K181" s="18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>
      <c r="A182" s="200">
        <f t="shared" si="5"/>
        <v>140</v>
      </c>
      <c r="B182" s="190"/>
      <c r="C182" s="204"/>
      <c r="D182" s="185"/>
      <c r="E182" s="190"/>
      <c r="F182" s="185"/>
      <c r="G182" s="185"/>
      <c r="H182" s="185"/>
      <c r="I182" s="185"/>
      <c r="J182" s="235"/>
      <c r="K182" s="18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s="126" customFormat="1" ht="15.75" thickBot="1">
      <c r="A183" s="200">
        <f t="shared" si="5"/>
        <v>141</v>
      </c>
      <c r="B183" s="236"/>
      <c r="C183" s="237" t="s">
        <v>255</v>
      </c>
      <c r="D183" s="207" t="s">
        <v>249</v>
      </c>
      <c r="E183" s="185"/>
      <c r="F183" s="185"/>
      <c r="G183" s="185"/>
      <c r="H183" s="185"/>
      <c r="I183" s="185"/>
      <c r="J183" s="224" t="s">
        <v>250</v>
      </c>
      <c r="K183" s="185"/>
    </row>
    <row r="184" spans="1:40">
      <c r="A184" s="200">
        <f t="shared" si="5"/>
        <v>142</v>
      </c>
      <c r="B184" s="236"/>
      <c r="C184" s="194" t="s">
        <v>332</v>
      </c>
      <c r="D184" s="341" t="s">
        <v>416</v>
      </c>
      <c r="E184" s="185"/>
      <c r="F184" s="185"/>
      <c r="G184" s="185"/>
      <c r="H184" s="185"/>
      <c r="I184" s="185"/>
      <c r="J184" s="356">
        <f>20234413+205714+280887</f>
        <v>20721014</v>
      </c>
      <c r="K184" s="18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>
      <c r="A185" s="200">
        <f t="shared" si="5"/>
        <v>143</v>
      </c>
      <c r="B185" s="238"/>
      <c r="C185" s="204"/>
      <c r="D185" s="185"/>
      <c r="E185" s="185"/>
      <c r="F185" s="185"/>
      <c r="G185" s="185"/>
      <c r="H185" s="185"/>
      <c r="I185" s="185"/>
      <c r="J185" s="185"/>
      <c r="K185" s="18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>
      <c r="A186" s="200">
        <f t="shared" si="5"/>
        <v>144</v>
      </c>
      <c r="B186" s="236"/>
      <c r="C186" s="204" t="s">
        <v>333</v>
      </c>
      <c r="D186" s="185" t="s">
        <v>334</v>
      </c>
      <c r="E186" s="185"/>
      <c r="F186" s="185"/>
      <c r="G186" s="185"/>
      <c r="H186" s="185"/>
      <c r="I186" s="185"/>
      <c r="J186" s="356">
        <v>0</v>
      </c>
      <c r="K186" s="18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>
      <c r="A187" s="200">
        <f t="shared" si="5"/>
        <v>145</v>
      </c>
      <c r="B187" s="236"/>
      <c r="C187" s="204"/>
      <c r="D187" s="185"/>
      <c r="E187" s="185"/>
      <c r="F187" s="185"/>
      <c r="G187" s="185"/>
      <c r="H187" s="185"/>
      <c r="I187" s="185"/>
      <c r="J187" s="185"/>
      <c r="K187" s="18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>
      <c r="A188" s="200">
        <f t="shared" si="5"/>
        <v>146</v>
      </c>
      <c r="B188" s="236"/>
      <c r="C188" s="237" t="s">
        <v>335</v>
      </c>
      <c r="D188" s="207" t="s">
        <v>249</v>
      </c>
      <c r="E188" s="185"/>
      <c r="F188" s="185"/>
      <c r="G188" s="185"/>
      <c r="H188" s="185"/>
      <c r="I188" s="185"/>
      <c r="J188" s="185"/>
      <c r="K188" s="18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>
      <c r="A189" s="200">
        <f t="shared" si="5"/>
        <v>147</v>
      </c>
      <c r="B189" s="236"/>
      <c r="C189" s="204" t="s">
        <v>22</v>
      </c>
      <c r="D189" s="185" t="s">
        <v>336</v>
      </c>
      <c r="E189" s="194"/>
      <c r="F189" s="185"/>
      <c r="G189" s="185"/>
      <c r="H189" s="185"/>
      <c r="I189" s="185"/>
      <c r="J189" s="369">
        <v>391820730</v>
      </c>
      <c r="K189" s="185"/>
      <c r="L189" s="367" t="s">
        <v>463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>
      <c r="A190" s="200">
        <f t="shared" si="5"/>
        <v>148</v>
      </c>
      <c r="B190" s="236"/>
      <c r="C190" s="204" t="s">
        <v>337</v>
      </c>
      <c r="D190" s="185" t="s">
        <v>338</v>
      </c>
      <c r="E190" s="185"/>
      <c r="F190" s="185"/>
      <c r="G190" s="185"/>
      <c r="H190" s="185"/>
      <c r="I190" s="185"/>
      <c r="J190" s="356">
        <v>0</v>
      </c>
      <c r="K190" s="18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>
      <c r="A191" s="200">
        <f t="shared" si="5"/>
        <v>149</v>
      </c>
      <c r="B191" s="236"/>
      <c r="C191" s="204" t="s">
        <v>339</v>
      </c>
      <c r="D191" s="185" t="s">
        <v>340</v>
      </c>
      <c r="E191" s="185"/>
      <c r="F191" s="185"/>
      <c r="G191" s="185"/>
      <c r="H191" s="185"/>
      <c r="I191" s="185"/>
      <c r="J191" s="361">
        <v>0</v>
      </c>
      <c r="K191" s="18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.75" thickBot="1">
      <c r="A192" s="200">
        <f t="shared" si="5"/>
        <v>150</v>
      </c>
      <c r="B192" s="236"/>
      <c r="C192" s="204" t="s">
        <v>341</v>
      </c>
      <c r="D192" s="185" t="s">
        <v>342</v>
      </c>
      <c r="E192" s="185"/>
      <c r="F192" s="185"/>
      <c r="G192" s="185"/>
      <c r="H192" s="185"/>
      <c r="I192" s="185"/>
      <c r="J192" s="357">
        <v>1306744</v>
      </c>
      <c r="K192" s="18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>
      <c r="A193" s="200">
        <f t="shared" si="5"/>
        <v>151</v>
      </c>
      <c r="B193" s="236"/>
      <c r="C193" s="239" t="s">
        <v>343</v>
      </c>
      <c r="D193" s="185"/>
      <c r="E193" s="194" t="str">
        <f>"(sum lines "&amp;A189&amp;"-"&amp;A192&amp;")"</f>
        <v>(sum lines 147-150)</v>
      </c>
      <c r="F193" s="194"/>
      <c r="G193" s="194"/>
      <c r="H193" s="194"/>
      <c r="I193" s="194"/>
      <c r="J193" s="189">
        <f>SUM(J189:J192)</f>
        <v>393127474</v>
      </c>
      <c r="K193" s="18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>
      <c r="A194" s="200">
        <f t="shared" si="5"/>
        <v>152</v>
      </c>
      <c r="B194" s="190"/>
      <c r="C194" s="204"/>
      <c r="D194" s="185"/>
      <c r="E194" s="185"/>
      <c r="F194" s="185"/>
      <c r="G194" s="185"/>
      <c r="H194" s="195"/>
      <c r="I194" s="185"/>
      <c r="J194" s="185"/>
      <c r="K194" s="18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.75" thickBot="1">
      <c r="A195" s="200">
        <f t="shared" si="5"/>
        <v>153</v>
      </c>
      <c r="B195" s="190"/>
      <c r="C195" s="204"/>
      <c r="D195" s="22" t="s">
        <v>249</v>
      </c>
      <c r="E195" s="288" t="s">
        <v>250</v>
      </c>
      <c r="F195" s="210" t="s">
        <v>257</v>
      </c>
      <c r="G195" s="185"/>
      <c r="H195" s="210" t="s">
        <v>256</v>
      </c>
      <c r="I195" s="185"/>
      <c r="J195" s="210" t="s">
        <v>258</v>
      </c>
      <c r="K195" s="18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>
      <c r="A196" s="200">
        <f t="shared" si="5"/>
        <v>154</v>
      </c>
      <c r="B196" s="190"/>
      <c r="C196" s="211" t="s">
        <v>330</v>
      </c>
      <c r="D196" s="109" t="s">
        <v>395</v>
      </c>
      <c r="E196" s="353">
        <v>342756330</v>
      </c>
      <c r="F196" s="240">
        <v>0.43</v>
      </c>
      <c r="G196" s="241"/>
      <c r="H196" s="230">
        <f>IF(E196&gt;0,+J184/E196,0)</f>
        <v>6.0454066595940034E-2</v>
      </c>
      <c r="I196" s="190"/>
      <c r="J196" s="230">
        <f>H196*F196</f>
        <v>2.5995248636254215E-2</v>
      </c>
      <c r="K196" s="24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>
      <c r="A197" s="200">
        <f t="shared" si="5"/>
        <v>155</v>
      </c>
      <c r="B197" s="190"/>
      <c r="C197" s="211" t="s">
        <v>331</v>
      </c>
      <c r="D197" s="243" t="s">
        <v>338</v>
      </c>
      <c r="E197" s="353"/>
      <c r="F197" s="240">
        <f>IF($E$199&gt;0,E197/$E$199,0)</f>
        <v>0</v>
      </c>
      <c r="G197" s="241"/>
      <c r="H197" s="230">
        <f>IF(E197&gt;0,J186/E197,0)</f>
        <v>0</v>
      </c>
      <c r="I197" s="190"/>
      <c r="J197" s="230">
        <f>H197*F197</f>
        <v>0</v>
      </c>
      <c r="K197" s="18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.75" thickBot="1">
      <c r="A198" s="200">
        <f t="shared" si="5"/>
        <v>156</v>
      </c>
      <c r="B198" s="190"/>
      <c r="C198" s="239" t="s">
        <v>344</v>
      </c>
      <c r="D198" s="243" t="str">
        <f>"(see above line "&amp;A193&amp;")"</f>
        <v>(see above line 151)</v>
      </c>
      <c r="E198" s="187">
        <f>+J193</f>
        <v>393127474</v>
      </c>
      <c r="F198" s="240">
        <v>0.56999999999999995</v>
      </c>
      <c r="G198" s="190" t="s">
        <v>175</v>
      </c>
      <c r="H198" s="230">
        <v>0.108</v>
      </c>
      <c r="I198" s="190" t="s">
        <v>175</v>
      </c>
      <c r="J198" s="244">
        <f>H198*F198</f>
        <v>6.1559999999999997E-2</v>
      </c>
      <c r="K198" s="18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>
      <c r="A199" s="200">
        <f t="shared" si="5"/>
        <v>157</v>
      </c>
      <c r="B199" s="190"/>
      <c r="C199" s="204" t="str">
        <f>"Total  (sum lines "&amp;A196&amp;"-"&amp;A198&amp;")"</f>
        <v>Total  (sum lines 154-156)</v>
      </c>
      <c r="D199" s="190"/>
      <c r="E199" s="185">
        <f>E198+E197+E196</f>
        <v>735883804</v>
      </c>
      <c r="F199" s="185" t="s">
        <v>197</v>
      </c>
      <c r="G199" s="185"/>
      <c r="H199" s="185"/>
      <c r="I199" s="185" t="s">
        <v>360</v>
      </c>
      <c r="J199" s="230">
        <f>SUM(J196:J198)</f>
        <v>8.7555248636254218E-2</v>
      </c>
      <c r="K199" s="24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>
      <c r="A200" s="200"/>
      <c r="B200" s="190"/>
      <c r="C200" s="204"/>
      <c r="D200" s="190"/>
      <c r="E200" s="185"/>
      <c r="F200" s="185"/>
      <c r="G200" s="185"/>
      <c r="H200" s="185"/>
      <c r="I200" s="305" t="s">
        <v>442</v>
      </c>
      <c r="J200" s="360">
        <f>J1</f>
        <v>42521</v>
      </c>
      <c r="K200" s="24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>
      <c r="A201" s="190"/>
      <c r="B201" s="190"/>
      <c r="C201" s="190"/>
      <c r="D201" s="190"/>
      <c r="E201" s="190"/>
      <c r="F201" s="185"/>
      <c r="G201" s="185"/>
      <c r="H201" s="203"/>
      <c r="I201" s="208" t="str">
        <f>$I$2</f>
        <v>Service Year</v>
      </c>
      <c r="J201" s="194">
        <f>$J$2</f>
        <v>2015</v>
      </c>
      <c r="K201" s="20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>
      <c r="A202" s="200"/>
      <c r="B202" s="190"/>
      <c r="C202" s="204"/>
      <c r="D202" s="194"/>
      <c r="E202" s="185"/>
      <c r="F202" s="185"/>
      <c r="G202" s="185"/>
      <c r="H202" s="185"/>
      <c r="I202" s="194"/>
      <c r="J202" s="185"/>
      <c r="K202" s="19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75">
      <c r="A203" s="378" t="s">
        <v>324</v>
      </c>
      <c r="B203" s="378"/>
      <c r="C203" s="378"/>
      <c r="D203" s="378"/>
      <c r="E203" s="378"/>
      <c r="F203" s="378"/>
      <c r="G203" s="378"/>
      <c r="H203" s="378"/>
      <c r="I203" s="378"/>
      <c r="J203" s="378"/>
      <c r="K203" s="378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75">
      <c r="A204" s="379" t="s">
        <v>198</v>
      </c>
      <c r="B204" s="379"/>
      <c r="C204" s="379"/>
      <c r="D204" s="379"/>
      <c r="E204" s="379"/>
      <c r="F204" s="379"/>
      <c r="G204" s="379"/>
      <c r="H204" s="379"/>
      <c r="I204" s="379"/>
      <c r="J204" s="379"/>
      <c r="K204" s="37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>
      <c r="A205" s="190"/>
      <c r="B205" s="190"/>
      <c r="C205" s="194"/>
      <c r="D205" s="194"/>
      <c r="E205" s="203"/>
      <c r="F205" s="194"/>
      <c r="G205" s="194"/>
      <c r="H205" s="194"/>
      <c r="I205" s="194"/>
      <c r="J205" s="194"/>
      <c r="K205" s="19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75">
      <c r="A206" s="380" t="s">
        <v>323</v>
      </c>
      <c r="B206" s="380"/>
      <c r="C206" s="380"/>
      <c r="D206" s="380"/>
      <c r="E206" s="380"/>
      <c r="F206" s="380"/>
      <c r="G206" s="380"/>
      <c r="H206" s="380"/>
      <c r="I206" s="380"/>
      <c r="J206" s="380"/>
      <c r="K206" s="38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>
      <c r="A207" s="200"/>
      <c r="B207" s="212"/>
      <c r="C207" s="245"/>
      <c r="D207" s="200"/>
      <c r="E207" s="185"/>
      <c r="F207" s="185"/>
      <c r="G207" s="185"/>
      <c r="H207" s="185"/>
      <c r="I207" s="212"/>
      <c r="J207" s="246"/>
      <c r="K207" s="24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>
      <c r="A208" s="190"/>
      <c r="B208" s="212"/>
      <c r="C208" s="211"/>
      <c r="D208" s="200"/>
      <c r="E208" s="185"/>
      <c r="F208" s="185"/>
      <c r="G208" s="185"/>
      <c r="H208" s="185"/>
      <c r="I208" s="212"/>
      <c r="J208" s="185"/>
      <c r="K208" s="21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>
      <c r="A209" s="200"/>
      <c r="B209" s="212"/>
      <c r="C209" s="211"/>
      <c r="D209" s="200"/>
      <c r="E209" s="185"/>
      <c r="F209" s="185"/>
      <c r="G209" s="185"/>
      <c r="H209" s="185"/>
      <c r="I209" s="212"/>
      <c r="J209" s="185"/>
      <c r="K209" s="2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>
      <c r="A210" s="200"/>
      <c r="B210" s="212"/>
      <c r="C210" s="211"/>
      <c r="D210" s="200"/>
      <c r="E210" s="185"/>
      <c r="F210" s="185"/>
      <c r="G210" s="185"/>
      <c r="H210" s="185"/>
      <c r="I210" s="212"/>
      <c r="J210" s="185"/>
      <c r="K210" s="21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>
      <c r="A211" s="200" t="s">
        <v>259</v>
      </c>
      <c r="B211" s="212"/>
      <c r="C211" s="211"/>
      <c r="D211" s="212"/>
      <c r="E211" s="185"/>
      <c r="F211" s="185"/>
      <c r="G211" s="185"/>
      <c r="H211" s="185"/>
      <c r="I211" s="212"/>
      <c r="J211" s="185"/>
      <c r="K211" s="21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75" thickBot="1">
      <c r="A212" s="210" t="s">
        <v>260</v>
      </c>
      <c r="B212" s="212"/>
      <c r="C212" s="211"/>
      <c r="D212" s="212"/>
      <c r="E212" s="185"/>
      <c r="F212" s="185"/>
      <c r="G212" s="185"/>
      <c r="H212" s="185"/>
      <c r="I212" s="212"/>
      <c r="J212" s="185"/>
      <c r="K212" s="21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>
      <c r="A213" s="200"/>
      <c r="B213" s="212"/>
      <c r="C213" s="211"/>
      <c r="D213" s="212"/>
      <c r="E213" s="185"/>
      <c r="F213" s="185"/>
      <c r="G213" s="185"/>
      <c r="H213" s="185"/>
      <c r="I213" s="212"/>
      <c r="J213" s="185"/>
      <c r="K213" s="21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>
      <c r="A214" s="190"/>
      <c r="B214" s="190"/>
      <c r="C214" s="190"/>
      <c r="D214" s="190"/>
      <c r="E214" s="190"/>
      <c r="F214" s="190"/>
      <c r="G214" s="190"/>
      <c r="H214" s="190"/>
      <c r="I214" s="190"/>
      <c r="J214" s="212"/>
      <c r="K214" s="21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>
      <c r="A215" s="200" t="s">
        <v>261</v>
      </c>
      <c r="B215" s="212"/>
      <c r="C215" s="212" t="s">
        <v>362</v>
      </c>
      <c r="D215" s="212"/>
      <c r="E215" s="212"/>
      <c r="F215" s="212"/>
      <c r="G215" s="212"/>
      <c r="H215" s="212"/>
      <c r="I215" s="212"/>
      <c r="J215" s="212"/>
      <c r="K215" s="21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>
      <c r="A216" s="200"/>
      <c r="B216" s="212"/>
      <c r="C216" s="212" t="s">
        <v>87</v>
      </c>
      <c r="D216" s="212"/>
      <c r="E216" s="212"/>
      <c r="F216" s="212"/>
      <c r="G216" s="212"/>
      <c r="H216" s="212"/>
      <c r="I216" s="212"/>
      <c r="J216" s="212"/>
      <c r="K216" s="2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>
      <c r="A217" s="200"/>
      <c r="B217" s="212"/>
      <c r="C217" s="212" t="s">
        <v>115</v>
      </c>
      <c r="D217" s="212"/>
      <c r="E217" s="212"/>
      <c r="F217" s="212"/>
      <c r="G217" s="212"/>
      <c r="H217" s="212"/>
      <c r="I217" s="212"/>
      <c r="J217" s="212"/>
      <c r="K217" s="21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>
      <c r="A218" s="200" t="s">
        <v>262</v>
      </c>
      <c r="B218" s="212"/>
      <c r="C218" s="212" t="s">
        <v>268</v>
      </c>
      <c r="D218" s="212"/>
      <c r="E218" s="212"/>
      <c r="F218" s="212"/>
      <c r="G218" s="212"/>
      <c r="H218" s="212"/>
      <c r="I218" s="212"/>
      <c r="J218" s="212"/>
      <c r="K218" s="21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>
      <c r="A219" s="200" t="s">
        <v>263</v>
      </c>
      <c r="B219" s="212"/>
      <c r="C219" s="212" t="s">
        <v>79</v>
      </c>
      <c r="D219" s="212"/>
      <c r="E219" s="212"/>
      <c r="F219" s="212"/>
      <c r="G219" s="212"/>
      <c r="H219" s="212"/>
      <c r="I219" s="212"/>
      <c r="J219" s="212"/>
      <c r="K219" s="21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>
      <c r="A220" s="95" t="s">
        <v>264</v>
      </c>
      <c r="B220" s="20"/>
      <c r="C220" s="20" t="s">
        <v>88</v>
      </c>
      <c r="D220" s="212"/>
      <c r="E220" s="212"/>
      <c r="F220" s="212"/>
      <c r="G220" s="212"/>
      <c r="H220" s="212"/>
      <c r="I220" s="212"/>
      <c r="J220" s="212"/>
      <c r="K220" s="21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>
      <c r="A221" s="200" t="s">
        <v>265</v>
      </c>
      <c r="B221" s="212"/>
      <c r="C221" s="212" t="s">
        <v>400</v>
      </c>
      <c r="D221" s="212"/>
      <c r="E221" s="212"/>
      <c r="F221" s="212"/>
      <c r="G221" s="212"/>
      <c r="H221" s="212"/>
      <c r="I221" s="212"/>
      <c r="J221" s="212"/>
      <c r="K221" s="21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>
      <c r="A222" s="200"/>
      <c r="B222" s="212"/>
      <c r="C222" s="190" t="s">
        <v>139</v>
      </c>
      <c r="D222" s="212"/>
      <c r="E222" s="212"/>
      <c r="F222" s="212"/>
      <c r="G222" s="212"/>
      <c r="H222" s="212"/>
      <c r="I222" s="212"/>
      <c r="J222" s="212"/>
      <c r="K222" s="21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>
      <c r="A223" s="200" t="s">
        <v>266</v>
      </c>
      <c r="B223" s="212"/>
      <c r="C223" s="212" t="s">
        <v>271</v>
      </c>
      <c r="D223" s="212"/>
      <c r="E223" s="212"/>
      <c r="F223" s="212"/>
      <c r="G223" s="212"/>
      <c r="H223" s="212"/>
      <c r="I223" s="212"/>
      <c r="J223" s="212"/>
      <c r="K223" s="21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>
      <c r="A224" s="200"/>
      <c r="B224" s="212"/>
      <c r="C224" s="212" t="s">
        <v>196</v>
      </c>
      <c r="D224" s="212"/>
      <c r="E224" s="212"/>
      <c r="F224" s="212"/>
      <c r="G224" s="212"/>
      <c r="H224" s="212"/>
      <c r="I224" s="212"/>
      <c r="J224" s="212"/>
      <c r="K224" s="21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>
      <c r="A225" s="200"/>
      <c r="B225" s="212"/>
      <c r="C225" s="212" t="s">
        <v>294</v>
      </c>
      <c r="D225" s="212"/>
      <c r="E225" s="212"/>
      <c r="F225" s="212"/>
      <c r="G225" s="212"/>
      <c r="H225" s="212"/>
      <c r="I225" s="212"/>
      <c r="J225" s="212"/>
      <c r="K225" s="21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>
      <c r="A226" s="200" t="s">
        <v>267</v>
      </c>
      <c r="B226" s="212"/>
      <c r="C226" s="212" t="s">
        <v>278</v>
      </c>
      <c r="D226" s="212"/>
      <c r="E226" s="212"/>
      <c r="F226" s="212"/>
      <c r="G226" s="212"/>
      <c r="H226" s="212"/>
      <c r="I226" s="212"/>
      <c r="J226" s="212"/>
      <c r="K226" s="21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>
      <c r="A227" s="200"/>
      <c r="B227" s="212"/>
      <c r="C227" s="212" t="s">
        <v>280</v>
      </c>
      <c r="D227" s="212"/>
      <c r="E227" s="212"/>
      <c r="F227" s="212"/>
      <c r="G227" s="212"/>
      <c r="H227" s="212"/>
      <c r="I227" s="212"/>
      <c r="J227" s="212"/>
      <c r="K227" s="21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>
      <c r="A228" s="200"/>
      <c r="B228" s="212"/>
      <c r="C228" s="212" t="s">
        <v>281</v>
      </c>
      <c r="D228" s="212"/>
      <c r="E228" s="212"/>
      <c r="F228" s="212"/>
      <c r="G228" s="212"/>
      <c r="H228" s="212"/>
      <c r="I228" s="212"/>
      <c r="J228" s="212"/>
      <c r="K228" s="21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>
      <c r="A229" s="200"/>
      <c r="B229" s="212"/>
      <c r="C229" s="212" t="s">
        <v>282</v>
      </c>
      <c r="D229" s="212"/>
      <c r="E229" s="212"/>
      <c r="F229" s="212"/>
      <c r="G229" s="212"/>
      <c r="H229" s="212"/>
      <c r="I229" s="212"/>
      <c r="J229" s="212"/>
      <c r="K229" s="21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>
      <c r="A230" s="200"/>
      <c r="B230" s="212"/>
      <c r="C230" s="212" t="s">
        <v>283</v>
      </c>
      <c r="D230" s="212"/>
      <c r="E230" s="212"/>
      <c r="F230" s="212"/>
      <c r="G230" s="212"/>
      <c r="H230" s="212"/>
      <c r="I230" s="212"/>
      <c r="J230" s="212"/>
      <c r="K230" s="21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>
      <c r="A231" s="200"/>
      <c r="B231" s="212"/>
      <c r="C231" s="212" t="s">
        <v>116</v>
      </c>
      <c r="D231" s="212"/>
      <c r="E231" s="212"/>
      <c r="F231" s="212"/>
      <c r="G231" s="212"/>
      <c r="H231" s="212"/>
      <c r="I231" s="212"/>
      <c r="J231" s="212"/>
      <c r="K231" s="21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>
      <c r="A232" s="200" t="s">
        <v>197</v>
      </c>
      <c r="B232" s="212"/>
      <c r="C232" s="212" t="s">
        <v>291</v>
      </c>
      <c r="D232" s="212" t="s">
        <v>284</v>
      </c>
      <c r="E232" s="248">
        <v>0.35</v>
      </c>
      <c r="F232" s="212"/>
      <c r="G232" s="212"/>
      <c r="H232" s="212"/>
      <c r="I232" s="212"/>
      <c r="J232" s="212"/>
      <c r="K232" s="21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>
      <c r="A233" s="200"/>
      <c r="B233" s="212"/>
      <c r="C233" s="212"/>
      <c r="D233" s="212" t="s">
        <v>285</v>
      </c>
      <c r="E233" s="248">
        <v>0</v>
      </c>
      <c r="F233" s="212" t="s">
        <v>286</v>
      </c>
      <c r="G233" s="212"/>
      <c r="H233" s="212"/>
      <c r="I233" s="212"/>
      <c r="J233" s="212"/>
      <c r="K233" s="21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>
      <c r="A234" s="200"/>
      <c r="B234" s="212"/>
      <c r="C234" s="212"/>
      <c r="D234" s="212" t="s">
        <v>287</v>
      </c>
      <c r="E234" s="248">
        <v>0</v>
      </c>
      <c r="F234" s="212" t="s">
        <v>288</v>
      </c>
      <c r="G234" s="212"/>
      <c r="H234" s="212"/>
      <c r="I234" s="212"/>
      <c r="J234" s="212"/>
      <c r="K234" s="21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>
      <c r="A235" s="249" t="s">
        <v>269</v>
      </c>
      <c r="B235" s="190"/>
      <c r="C235" s="190" t="s">
        <v>75</v>
      </c>
      <c r="D235" s="190"/>
      <c r="E235" s="190"/>
      <c r="F235" s="190"/>
      <c r="G235" s="190"/>
      <c r="H235" s="190"/>
      <c r="I235" s="190"/>
      <c r="J235" s="190"/>
      <c r="K235" s="190"/>
    </row>
    <row r="236" spans="1:40">
      <c r="A236" s="203"/>
      <c r="B236" s="203"/>
      <c r="C236" s="211" t="s">
        <v>74</v>
      </c>
      <c r="D236" s="203"/>
      <c r="E236" s="203"/>
      <c r="F236" s="203"/>
      <c r="G236" s="203"/>
      <c r="H236" s="203"/>
      <c r="I236" s="203"/>
      <c r="J236" s="203"/>
      <c r="K236" s="203"/>
    </row>
    <row r="237" spans="1:40">
      <c r="A237" s="250" t="s">
        <v>270</v>
      </c>
      <c r="B237" s="203"/>
      <c r="C237" s="211" t="s">
        <v>46</v>
      </c>
      <c r="D237" s="203"/>
      <c r="E237" s="203"/>
      <c r="F237" s="203"/>
      <c r="G237" s="203"/>
      <c r="H237" s="203"/>
      <c r="I237" s="203"/>
      <c r="J237" s="203"/>
      <c r="K237" s="203"/>
    </row>
    <row r="238" spans="1:40">
      <c r="A238" s="203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</row>
    <row r="239" spans="1:40">
      <c r="A239" s="203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</row>
    <row r="240" spans="1:40">
      <c r="A240" s="203"/>
      <c r="B240" s="203"/>
      <c r="C240" s="203"/>
      <c r="D240" s="203"/>
      <c r="E240" s="203"/>
      <c r="F240" s="203"/>
      <c r="G240" s="203"/>
      <c r="H240" s="203"/>
      <c r="I240" s="203"/>
      <c r="J240" s="203"/>
      <c r="K240" s="203"/>
    </row>
  </sheetData>
  <mergeCells count="13">
    <mergeCell ref="A203:K203"/>
    <mergeCell ref="A204:K204"/>
    <mergeCell ref="A206:K206"/>
    <mergeCell ref="A130:K130"/>
    <mergeCell ref="A125:K125"/>
    <mergeCell ref="A126:K126"/>
    <mergeCell ref="A128:K128"/>
    <mergeCell ref="A4:K4"/>
    <mergeCell ref="A5:K5"/>
    <mergeCell ref="A7:K7"/>
    <mergeCell ref="A66:K66"/>
    <mergeCell ref="A67:K67"/>
    <mergeCell ref="A69:K69"/>
  </mergeCells>
  <phoneticPr fontId="21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3:P77"/>
  <sheetViews>
    <sheetView zoomScaleNormal="100" zoomScalePageLayoutView="81" workbookViewId="0">
      <selection activeCell="L25" sqref="L25"/>
    </sheetView>
  </sheetViews>
  <sheetFormatPr defaultRowHeight="12.75"/>
  <cols>
    <col min="1" max="1" width="3.77734375" style="117" customWidth="1"/>
    <col min="2" max="2" width="2.5546875" style="117" customWidth="1"/>
    <col min="3" max="3" width="3" style="117" customWidth="1"/>
    <col min="4" max="4" width="2.44140625" style="117" customWidth="1"/>
    <col min="5" max="6" width="8.88671875" style="117"/>
    <col min="7" max="7" width="1.77734375" style="117" customWidth="1"/>
    <col min="8" max="11" width="8.88671875" style="117"/>
    <col min="12" max="12" width="15" style="117" customWidth="1"/>
    <col min="13" max="13" width="11.88671875" style="117" customWidth="1"/>
    <col min="14" max="14" width="10.33203125" style="117" customWidth="1"/>
    <col min="15" max="15" width="9.88671875" style="117" bestFit="1" customWidth="1"/>
    <col min="16" max="16384" width="8.88671875" style="117"/>
  </cols>
  <sheetData>
    <row r="3" spans="1:16" ht="15.75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362"/>
      <c r="M3" s="362"/>
      <c r="N3" s="362" t="s">
        <v>442</v>
      </c>
      <c r="O3" s="364">
        <f>+'True-Up'!J1</f>
        <v>42521</v>
      </c>
      <c r="P3" s="152"/>
    </row>
    <row r="4" spans="1:16">
      <c r="L4" s="362"/>
      <c r="M4" s="362"/>
      <c r="N4" s="362" t="s">
        <v>169</v>
      </c>
      <c r="O4" s="363">
        <f>+'True-Up'!J2</f>
        <v>2015</v>
      </c>
    </row>
    <row r="5" spans="1:16" ht="15.75">
      <c r="A5" s="382" t="s">
        <v>456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</row>
    <row r="6" spans="1:16">
      <c r="A6" s="147" t="s">
        <v>199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</row>
    <row r="7" spans="1:16">
      <c r="A7" s="148" t="s">
        <v>200</v>
      </c>
    </row>
    <row r="8" spans="1:16" s="127" customFormat="1">
      <c r="A8" s="175">
        <v>1</v>
      </c>
      <c r="B8" s="260" t="s">
        <v>393</v>
      </c>
    </row>
    <row r="9" spans="1:16" s="127" customFormat="1">
      <c r="A9" s="175">
        <f>A8+1</f>
        <v>2</v>
      </c>
    </row>
    <row r="10" spans="1:16" s="127" customFormat="1">
      <c r="A10" s="175">
        <f t="shared" ref="A10:A74" si="0">A9+1</f>
        <v>3</v>
      </c>
      <c r="B10" s="127" t="s">
        <v>148</v>
      </c>
      <c r="D10" s="260" t="s">
        <v>394</v>
      </c>
    </row>
    <row r="11" spans="1:16" s="127" customFormat="1">
      <c r="A11" s="175">
        <f t="shared" si="0"/>
        <v>4</v>
      </c>
      <c r="E11" s="127" t="s">
        <v>152</v>
      </c>
    </row>
    <row r="12" spans="1:16" s="127" customFormat="1">
      <c r="A12" s="175">
        <f t="shared" si="0"/>
        <v>5</v>
      </c>
      <c r="E12" s="127" t="s">
        <v>149</v>
      </c>
    </row>
    <row r="13" spans="1:16" s="127" customFormat="1">
      <c r="A13" s="175">
        <f t="shared" si="0"/>
        <v>6</v>
      </c>
      <c r="E13" s="127" t="s">
        <v>150</v>
      </c>
    </row>
    <row r="14" spans="1:16" s="127" customFormat="1">
      <c r="A14" s="175">
        <f t="shared" si="0"/>
        <v>7</v>
      </c>
    </row>
    <row r="15" spans="1:16" s="127" customFormat="1">
      <c r="A15" s="175">
        <f t="shared" si="0"/>
        <v>8</v>
      </c>
      <c r="B15" s="127" t="s">
        <v>151</v>
      </c>
      <c r="D15" s="127" t="s">
        <v>153</v>
      </c>
    </row>
    <row r="16" spans="1:16" s="127" customFormat="1">
      <c r="A16" s="175">
        <f t="shared" si="0"/>
        <v>9</v>
      </c>
      <c r="E16" s="127" t="s">
        <v>154</v>
      </c>
    </row>
    <row r="17" spans="1:8" s="127" customFormat="1">
      <c r="A17" s="175">
        <f t="shared" si="0"/>
        <v>10</v>
      </c>
    </row>
    <row r="18" spans="1:8" s="127" customFormat="1">
      <c r="A18" s="175">
        <f t="shared" si="0"/>
        <v>11</v>
      </c>
      <c r="B18" s="127" t="s">
        <v>155</v>
      </c>
      <c r="D18" s="127" t="s">
        <v>156</v>
      </c>
    </row>
    <row r="19" spans="1:8" s="127" customFormat="1">
      <c r="A19" s="175">
        <f t="shared" si="0"/>
        <v>12</v>
      </c>
    </row>
    <row r="20" spans="1:8" s="127" customFormat="1">
      <c r="A20" s="175">
        <f t="shared" si="0"/>
        <v>13</v>
      </c>
      <c r="D20" s="127" t="s">
        <v>21</v>
      </c>
    </row>
    <row r="21" spans="1:8" s="127" customFormat="1">
      <c r="A21" s="175">
        <f t="shared" si="0"/>
        <v>14</v>
      </c>
    </row>
    <row r="22" spans="1:8" s="127" customFormat="1">
      <c r="A22" s="175">
        <f t="shared" si="0"/>
        <v>15</v>
      </c>
      <c r="D22" s="127" t="s">
        <v>157</v>
      </c>
      <c r="F22" s="176" t="s">
        <v>158</v>
      </c>
      <c r="G22" s="127" t="s">
        <v>19</v>
      </c>
    </row>
    <row r="23" spans="1:8" s="127" customFormat="1">
      <c r="A23" s="175">
        <f t="shared" si="0"/>
        <v>16</v>
      </c>
      <c r="H23" s="127" t="s">
        <v>118</v>
      </c>
    </row>
    <row r="24" spans="1:8" s="127" customFormat="1">
      <c r="A24" s="175">
        <f t="shared" si="0"/>
        <v>17</v>
      </c>
      <c r="H24" s="127" t="s">
        <v>20</v>
      </c>
    </row>
    <row r="25" spans="1:8" s="127" customFormat="1">
      <c r="A25" s="175">
        <f t="shared" si="0"/>
        <v>18</v>
      </c>
    </row>
    <row r="26" spans="1:8" s="127" customFormat="1">
      <c r="A26" s="175">
        <f t="shared" si="0"/>
        <v>19</v>
      </c>
      <c r="B26" s="177" t="s">
        <v>449</v>
      </c>
    </row>
    <row r="27" spans="1:8" s="127" customFormat="1">
      <c r="A27" s="175">
        <f t="shared" si="0"/>
        <v>20</v>
      </c>
    </row>
    <row r="28" spans="1:8" s="127" customFormat="1">
      <c r="A28" s="175">
        <f t="shared" si="0"/>
        <v>21</v>
      </c>
      <c r="E28" s="118" t="s">
        <v>190</v>
      </c>
      <c r="F28" s="118" t="s">
        <v>191</v>
      </c>
      <c r="G28" s="178" t="s">
        <v>192</v>
      </c>
    </row>
    <row r="29" spans="1:8" s="127" customFormat="1">
      <c r="A29" s="175">
        <f t="shared" si="0"/>
        <v>22</v>
      </c>
      <c r="B29" s="179" t="s">
        <v>53</v>
      </c>
      <c r="E29" s="118"/>
      <c r="F29" s="118"/>
      <c r="G29" s="180"/>
    </row>
    <row r="30" spans="1:8" s="127" customFormat="1">
      <c r="A30" s="175">
        <f t="shared" si="0"/>
        <v>23</v>
      </c>
      <c r="C30" s="127" t="s">
        <v>56</v>
      </c>
      <c r="E30" s="118" t="s">
        <v>194</v>
      </c>
      <c r="F30" s="365">
        <v>2010</v>
      </c>
      <c r="G30" s="261" t="s">
        <v>450</v>
      </c>
      <c r="H30" s="260"/>
    </row>
    <row r="31" spans="1:8" s="127" customFormat="1">
      <c r="A31" s="175">
        <f t="shared" si="0"/>
        <v>24</v>
      </c>
      <c r="C31" s="127" t="s">
        <v>57</v>
      </c>
      <c r="E31" s="118" t="s">
        <v>194</v>
      </c>
      <c r="F31" s="365">
        <v>2010</v>
      </c>
      <c r="G31" s="261" t="s">
        <v>451</v>
      </c>
      <c r="H31" s="260"/>
    </row>
    <row r="32" spans="1:8" s="127" customFormat="1">
      <c r="A32" s="175">
        <f t="shared" si="0"/>
        <v>25</v>
      </c>
      <c r="C32" s="127" t="s">
        <v>58</v>
      </c>
      <c r="E32" s="118" t="str">
        <f>+E30</f>
        <v>May</v>
      </c>
      <c r="F32" s="365">
        <v>2010</v>
      </c>
      <c r="G32" s="261" t="s">
        <v>452</v>
      </c>
      <c r="H32" s="260"/>
    </row>
    <row r="33" spans="1:8" s="127" customFormat="1">
      <c r="A33" s="175">
        <f t="shared" si="0"/>
        <v>26</v>
      </c>
      <c r="C33" s="127" t="s">
        <v>59</v>
      </c>
      <c r="E33" s="118" t="s">
        <v>54</v>
      </c>
      <c r="F33" s="365">
        <v>2010</v>
      </c>
      <c r="G33" s="261" t="s">
        <v>55</v>
      </c>
      <c r="H33" s="260"/>
    </row>
    <row r="34" spans="1:8" s="127" customFormat="1">
      <c r="A34" s="175">
        <f t="shared" si="0"/>
        <v>27</v>
      </c>
      <c r="E34" s="118"/>
      <c r="F34" s="118"/>
      <c r="G34" s="178"/>
    </row>
    <row r="35" spans="1:8" s="127" customFormat="1">
      <c r="A35" s="175">
        <f t="shared" si="0"/>
        <v>28</v>
      </c>
      <c r="B35" s="179" t="s">
        <v>61</v>
      </c>
      <c r="E35" s="181"/>
      <c r="F35" s="118"/>
      <c r="G35" s="178"/>
    </row>
    <row r="36" spans="1:8" s="127" customFormat="1">
      <c r="A36" s="175">
        <f t="shared" si="0"/>
        <v>29</v>
      </c>
      <c r="C36" s="127" t="s">
        <v>60</v>
      </c>
      <c r="E36" s="118" t="s">
        <v>185</v>
      </c>
      <c r="F36" s="365">
        <v>2010</v>
      </c>
      <c r="G36" s="261" t="s">
        <v>453</v>
      </c>
      <c r="H36" s="260"/>
    </row>
    <row r="37" spans="1:8" s="127" customFormat="1">
      <c r="A37" s="175">
        <f t="shared" si="0"/>
        <v>30</v>
      </c>
      <c r="C37" s="127" t="s">
        <v>62</v>
      </c>
      <c r="E37" s="118" t="s">
        <v>185</v>
      </c>
      <c r="F37" s="365">
        <v>2010</v>
      </c>
      <c r="G37" s="261" t="s">
        <v>454</v>
      </c>
      <c r="H37" s="260"/>
    </row>
    <row r="38" spans="1:8" s="127" customFormat="1">
      <c r="A38" s="175">
        <f t="shared" si="0"/>
        <v>31</v>
      </c>
      <c r="C38" s="127" t="s">
        <v>63</v>
      </c>
      <c r="E38" s="118" t="s">
        <v>185</v>
      </c>
      <c r="F38" s="365">
        <v>2010</v>
      </c>
      <c r="G38" s="261" t="s">
        <v>47</v>
      </c>
      <c r="H38" s="260"/>
    </row>
    <row r="39" spans="1:8" s="127" customFormat="1">
      <c r="A39" s="175">
        <f t="shared" si="0"/>
        <v>32</v>
      </c>
      <c r="C39" s="127" t="s">
        <v>64</v>
      </c>
      <c r="E39" s="118" t="s">
        <v>185</v>
      </c>
      <c r="F39" s="365">
        <v>2010</v>
      </c>
      <c r="G39" s="261" t="s">
        <v>66</v>
      </c>
      <c r="H39" s="260"/>
    </row>
    <row r="40" spans="1:8" s="127" customFormat="1">
      <c r="A40" s="175">
        <f t="shared" si="0"/>
        <v>33</v>
      </c>
      <c r="C40" s="127" t="s">
        <v>65</v>
      </c>
      <c r="E40" s="118" t="s">
        <v>160</v>
      </c>
      <c r="F40" s="365">
        <v>2010</v>
      </c>
      <c r="G40" s="261" t="s">
        <v>24</v>
      </c>
      <c r="H40" s="260"/>
    </row>
    <row r="41" spans="1:8" s="127" customFormat="1">
      <c r="A41" s="175">
        <f t="shared" si="0"/>
        <v>34</v>
      </c>
      <c r="C41" s="127" t="s">
        <v>23</v>
      </c>
      <c r="E41" s="181" t="s">
        <v>162</v>
      </c>
      <c r="F41" s="365">
        <v>2011</v>
      </c>
      <c r="G41" s="261" t="s">
        <v>67</v>
      </c>
      <c r="H41" s="260"/>
    </row>
    <row r="42" spans="1:8" s="127" customFormat="1">
      <c r="A42" s="175">
        <f t="shared" si="0"/>
        <v>35</v>
      </c>
    </row>
    <row r="43" spans="1:8" s="127" customFormat="1">
      <c r="A43" s="175">
        <f t="shared" si="0"/>
        <v>36</v>
      </c>
      <c r="E43" s="127" t="s">
        <v>163</v>
      </c>
      <c r="F43" s="127" t="s">
        <v>164</v>
      </c>
    </row>
    <row r="44" spans="1:8" s="127" customFormat="1">
      <c r="A44" s="175">
        <f t="shared" si="0"/>
        <v>37</v>
      </c>
      <c r="F44" s="127" t="s">
        <v>165</v>
      </c>
    </row>
    <row r="45" spans="1:8" s="127" customFormat="1">
      <c r="A45" s="175">
        <f t="shared" si="0"/>
        <v>38</v>
      </c>
      <c r="F45" s="127" t="s">
        <v>166</v>
      </c>
    </row>
    <row r="46" spans="1:8" s="127" customFormat="1">
      <c r="A46" s="175">
        <f t="shared" si="0"/>
        <v>39</v>
      </c>
      <c r="F46" s="127" t="s">
        <v>119</v>
      </c>
    </row>
    <row r="47" spans="1:8" s="127" customFormat="1">
      <c r="A47" s="175">
        <f t="shared" si="0"/>
        <v>40</v>
      </c>
      <c r="F47" s="127" t="s">
        <v>177</v>
      </c>
    </row>
    <row r="48" spans="1:8" s="127" customFormat="1">
      <c r="A48" s="175">
        <f t="shared" si="0"/>
        <v>41</v>
      </c>
      <c r="F48" s="127" t="s">
        <v>178</v>
      </c>
    </row>
    <row r="49" spans="1:15" s="127" customFormat="1">
      <c r="A49" s="175">
        <f t="shared" si="0"/>
        <v>42</v>
      </c>
    </row>
    <row r="50" spans="1:15" s="127" customFormat="1">
      <c r="A50" s="175">
        <f t="shared" si="0"/>
        <v>43</v>
      </c>
      <c r="F50" s="260" t="s">
        <v>392</v>
      </c>
    </row>
    <row r="51" spans="1:15">
      <c r="A51" s="145">
        <f t="shared" si="0"/>
        <v>44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 t="s">
        <v>210</v>
      </c>
      <c r="N51" s="150" t="s">
        <v>299</v>
      </c>
      <c r="O51" s="134"/>
    </row>
    <row r="52" spans="1:15">
      <c r="A52" s="145">
        <f t="shared" si="0"/>
        <v>45</v>
      </c>
      <c r="C52" s="117" t="s">
        <v>261</v>
      </c>
      <c r="D52" s="150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150"/>
      <c r="F52" s="150"/>
      <c r="G52" s="150"/>
      <c r="H52" s="150"/>
      <c r="I52" s="150"/>
      <c r="J52" s="150"/>
      <c r="K52" s="150"/>
      <c r="L52" s="150"/>
      <c r="M52" s="322">
        <f>+'True-Up'!J119</f>
        <v>358813.29552680999</v>
      </c>
      <c r="N52" s="322">
        <f>+'BHP Sch. 1'!D22</f>
        <v>5005</v>
      </c>
      <c r="O52" s="136"/>
    </row>
    <row r="53" spans="1:15">
      <c r="A53" s="145">
        <f t="shared" si="0"/>
        <v>46</v>
      </c>
      <c r="C53" s="117" t="s">
        <v>262</v>
      </c>
      <c r="D53" s="150" t="s">
        <v>48</v>
      </c>
      <c r="E53" s="150"/>
      <c r="F53" s="150"/>
      <c r="G53" s="150"/>
      <c r="H53" s="150"/>
      <c r="I53" s="150"/>
      <c r="J53" s="150"/>
      <c r="K53" s="323"/>
      <c r="L53" s="150"/>
      <c r="M53" s="324">
        <f>ROUND((1+$K$77)^18,2)</f>
        <v>1.05</v>
      </c>
      <c r="N53" s="324">
        <f>ROUND((1+$K$77)^18,2)</f>
        <v>1.05</v>
      </c>
      <c r="O53" s="136"/>
    </row>
    <row r="54" spans="1:15">
      <c r="A54" s="145">
        <f t="shared" si="0"/>
        <v>47</v>
      </c>
      <c r="C54" s="117" t="s">
        <v>263</v>
      </c>
      <c r="D54" s="150" t="s">
        <v>455</v>
      </c>
      <c r="E54" s="150"/>
      <c r="F54" s="150"/>
      <c r="G54" s="150"/>
      <c r="H54" s="150"/>
      <c r="I54" s="150"/>
      <c r="J54" s="150"/>
      <c r="K54" s="323"/>
      <c r="L54" s="150"/>
      <c r="M54" s="325">
        <f>+M52*M53</f>
        <v>376753.96030315052</v>
      </c>
      <c r="N54" s="325">
        <f>+N52*N53</f>
        <v>5255.25</v>
      </c>
      <c r="O54" s="136"/>
    </row>
    <row r="55" spans="1:15">
      <c r="A55" s="145">
        <f t="shared" si="0"/>
        <v>48</v>
      </c>
      <c r="K55" s="119"/>
      <c r="O55" s="119"/>
    </row>
    <row r="56" spans="1:15">
      <c r="A56" s="145">
        <f t="shared" si="0"/>
        <v>49</v>
      </c>
      <c r="E56" s="117" t="s">
        <v>157</v>
      </c>
      <c r="F56" s="117" t="s">
        <v>179</v>
      </c>
      <c r="K56" s="119"/>
      <c r="M56" s="134"/>
      <c r="O56" s="119"/>
    </row>
    <row r="57" spans="1:15">
      <c r="A57" s="145">
        <f t="shared" si="0"/>
        <v>50</v>
      </c>
      <c r="K57" s="119"/>
      <c r="N57" s="119"/>
      <c r="O57" s="119"/>
    </row>
    <row r="58" spans="1:15">
      <c r="A58" s="145">
        <f t="shared" si="0"/>
        <v>51</v>
      </c>
      <c r="D58" s="119" t="s">
        <v>180</v>
      </c>
      <c r="E58" s="119"/>
      <c r="F58" s="119"/>
      <c r="G58" s="119"/>
      <c r="H58" s="119"/>
      <c r="I58" s="119"/>
      <c r="J58" s="119"/>
      <c r="K58" s="119"/>
    </row>
    <row r="59" spans="1:15">
      <c r="A59" s="145">
        <f t="shared" si="0"/>
        <v>52</v>
      </c>
      <c r="D59" s="119"/>
      <c r="E59" s="119"/>
      <c r="F59" s="119"/>
      <c r="G59" s="119"/>
      <c r="H59" s="119"/>
      <c r="I59" s="119"/>
      <c r="J59" s="119"/>
      <c r="K59" s="135" t="s">
        <v>11</v>
      </c>
    </row>
    <row r="60" spans="1:15">
      <c r="A60" s="145">
        <f t="shared" si="0"/>
        <v>53</v>
      </c>
      <c r="D60" s="119"/>
      <c r="E60" s="121" t="s">
        <v>190</v>
      </c>
      <c r="F60" s="120"/>
      <c r="G60" s="120"/>
      <c r="H60" s="121" t="s">
        <v>191</v>
      </c>
      <c r="I60" s="151"/>
      <c r="J60" s="119"/>
      <c r="K60" s="121" t="s">
        <v>181</v>
      </c>
    </row>
    <row r="61" spans="1:15">
      <c r="A61" s="145">
        <f t="shared" si="0"/>
        <v>54</v>
      </c>
      <c r="E61" s="117" t="s">
        <v>162</v>
      </c>
      <c r="H61" s="117" t="s">
        <v>188</v>
      </c>
      <c r="K61" s="366">
        <v>2.8E-3</v>
      </c>
    </row>
    <row r="62" spans="1:15">
      <c r="A62" s="145">
        <f t="shared" si="0"/>
        <v>55</v>
      </c>
      <c r="E62" s="117" t="s">
        <v>182</v>
      </c>
      <c r="H62" s="117" t="s">
        <v>188</v>
      </c>
      <c r="K62" s="366">
        <v>2.5000000000000001E-3</v>
      </c>
    </row>
    <row r="63" spans="1:15">
      <c r="A63" s="145">
        <f t="shared" si="0"/>
        <v>56</v>
      </c>
      <c r="E63" s="117" t="s">
        <v>183</v>
      </c>
      <c r="H63" s="117" t="s">
        <v>188</v>
      </c>
      <c r="K63" s="366">
        <v>2.8E-3</v>
      </c>
    </row>
    <row r="64" spans="1:15">
      <c r="A64" s="145">
        <f t="shared" si="0"/>
        <v>57</v>
      </c>
      <c r="E64" s="117" t="s">
        <v>193</v>
      </c>
      <c r="H64" s="117" t="s">
        <v>188</v>
      </c>
      <c r="K64" s="366">
        <v>2.7000000000000001E-3</v>
      </c>
    </row>
    <row r="65" spans="1:11">
      <c r="A65" s="145">
        <f t="shared" si="0"/>
        <v>58</v>
      </c>
      <c r="E65" s="117" t="s">
        <v>194</v>
      </c>
      <c r="H65" s="117" t="s">
        <v>188</v>
      </c>
      <c r="K65" s="366">
        <v>2.8E-3</v>
      </c>
    </row>
    <row r="66" spans="1:11">
      <c r="A66" s="145">
        <f t="shared" si="0"/>
        <v>59</v>
      </c>
      <c r="E66" s="117" t="s">
        <v>195</v>
      </c>
      <c r="H66" s="117" t="s">
        <v>188</v>
      </c>
      <c r="K66" s="366">
        <v>2.7000000000000001E-3</v>
      </c>
    </row>
    <row r="67" spans="1:11">
      <c r="A67" s="145">
        <f t="shared" si="0"/>
        <v>60</v>
      </c>
      <c r="E67" s="117" t="s">
        <v>184</v>
      </c>
      <c r="H67" s="117" t="s">
        <v>188</v>
      </c>
      <c r="K67" s="366">
        <v>2.8E-3</v>
      </c>
    </row>
    <row r="68" spans="1:11">
      <c r="A68" s="145">
        <f t="shared" si="0"/>
        <v>61</v>
      </c>
      <c r="E68" s="117" t="s">
        <v>159</v>
      </c>
      <c r="H68" s="117" t="s">
        <v>188</v>
      </c>
      <c r="K68" s="366">
        <v>2.8E-3</v>
      </c>
    </row>
    <row r="69" spans="1:11">
      <c r="A69" s="145">
        <f t="shared" si="0"/>
        <v>62</v>
      </c>
      <c r="E69" s="117" t="s">
        <v>185</v>
      </c>
      <c r="H69" s="117" t="s">
        <v>188</v>
      </c>
      <c r="K69" s="366">
        <v>2.7000000000000001E-3</v>
      </c>
    </row>
    <row r="70" spans="1:11">
      <c r="A70" s="145">
        <f t="shared" si="0"/>
        <v>63</v>
      </c>
      <c r="E70" s="117" t="s">
        <v>160</v>
      </c>
      <c r="H70" s="117" t="s">
        <v>188</v>
      </c>
      <c r="K70" s="366">
        <v>2.8E-3</v>
      </c>
    </row>
    <row r="71" spans="1:11">
      <c r="A71" s="145">
        <f t="shared" si="0"/>
        <v>64</v>
      </c>
      <c r="E71" s="117" t="s">
        <v>161</v>
      </c>
      <c r="H71" s="117" t="s">
        <v>188</v>
      </c>
      <c r="K71" s="366">
        <v>2.7000000000000001E-3</v>
      </c>
    </row>
    <row r="72" spans="1:11">
      <c r="A72" s="145">
        <f t="shared" si="0"/>
        <v>65</v>
      </c>
      <c r="E72" s="117" t="s">
        <v>186</v>
      </c>
      <c r="H72" s="117" t="s">
        <v>188</v>
      </c>
      <c r="K72" s="366">
        <v>2.8E-3</v>
      </c>
    </row>
    <row r="73" spans="1:11">
      <c r="A73" s="145">
        <f t="shared" si="0"/>
        <v>66</v>
      </c>
      <c r="E73" s="117" t="s">
        <v>162</v>
      </c>
      <c r="H73" s="117" t="s">
        <v>189</v>
      </c>
      <c r="K73" s="366">
        <v>2.8E-3</v>
      </c>
    </row>
    <row r="74" spans="1:11">
      <c r="A74" s="145">
        <f t="shared" si="0"/>
        <v>67</v>
      </c>
      <c r="E74" s="117" t="s">
        <v>182</v>
      </c>
      <c r="H74" s="117" t="s">
        <v>189</v>
      </c>
      <c r="K74" s="366">
        <v>2.5999999999999999E-3</v>
      </c>
    </row>
    <row r="75" spans="1:11">
      <c r="A75" s="145">
        <f>A74+1</f>
        <v>68</v>
      </c>
      <c r="E75" s="117" t="s">
        <v>183</v>
      </c>
      <c r="H75" s="117" t="s">
        <v>189</v>
      </c>
      <c r="K75" s="366">
        <v>2.8E-3</v>
      </c>
    </row>
    <row r="76" spans="1:11">
      <c r="A76" s="145">
        <f>A75+1</f>
        <v>69</v>
      </c>
      <c r="E76" s="117" t="s">
        <v>193</v>
      </c>
      <c r="H76" s="117" t="s">
        <v>189</v>
      </c>
      <c r="K76" s="366">
        <v>2.8E-3</v>
      </c>
    </row>
    <row r="77" spans="1:11">
      <c r="A77" s="145">
        <f>A76+1</f>
        <v>70</v>
      </c>
      <c r="F77" s="117" t="s">
        <v>187</v>
      </c>
      <c r="K77" s="122">
        <f>ROUND(AVERAGE(K61:K76),6)</f>
        <v>2.7439999999999999E-3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2015 BHP Attachment H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H34"/>
  <sheetViews>
    <sheetView zoomScaleNormal="100" workbookViewId="0">
      <selection activeCell="H2" sqref="H2"/>
    </sheetView>
  </sheetViews>
  <sheetFormatPr defaultColWidth="7.109375" defaultRowHeight="12.75"/>
  <cols>
    <col min="1" max="1" width="10.21875" style="57" customWidth="1"/>
    <col min="2" max="2" width="3.5546875" style="57" customWidth="1"/>
    <col min="3" max="4" width="1.77734375" style="57" customWidth="1"/>
    <col min="5" max="5" width="4" style="57" customWidth="1"/>
    <col min="6" max="6" width="24.21875" style="57" customWidth="1"/>
    <col min="7" max="7" width="1.88671875" style="57" customWidth="1"/>
    <col min="8" max="8" width="8.21875" style="60" customWidth="1"/>
    <col min="9" max="9" width="8.21875" style="57" customWidth="1"/>
    <col min="10" max="16384" width="7.109375" style="57"/>
  </cols>
  <sheetData>
    <row r="3" spans="1:8">
      <c r="F3" s="132"/>
    </row>
    <row r="4" spans="1:8">
      <c r="A4" s="383" t="s">
        <v>457</v>
      </c>
      <c r="B4" s="383"/>
      <c r="C4" s="383"/>
      <c r="D4" s="383"/>
      <c r="E4" s="383"/>
      <c r="F4" s="383"/>
      <c r="G4" s="383"/>
      <c r="H4" s="383"/>
    </row>
    <row r="5" spans="1:8">
      <c r="B5" s="107" t="s">
        <v>199</v>
      </c>
      <c r="H5" s="351" t="s">
        <v>441</v>
      </c>
    </row>
    <row r="6" spans="1:8">
      <c r="B6" s="108" t="s">
        <v>200</v>
      </c>
      <c r="D6" s="129" t="s">
        <v>345</v>
      </c>
      <c r="E6" s="129"/>
      <c r="F6" s="129"/>
      <c r="H6" s="130" t="s">
        <v>175</v>
      </c>
    </row>
    <row r="7" spans="1:8">
      <c r="B7" s="58">
        <v>1</v>
      </c>
    </row>
    <row r="8" spans="1:8">
      <c r="B8" s="58">
        <v>2</v>
      </c>
      <c r="D8" s="59" t="s">
        <v>114</v>
      </c>
      <c r="E8" s="59"/>
    </row>
    <row r="9" spans="1:8">
      <c r="B9" s="58">
        <v>3</v>
      </c>
    </row>
    <row r="10" spans="1:8">
      <c r="B10" s="58">
        <v>4</v>
      </c>
      <c r="E10" s="57">
        <v>350</v>
      </c>
      <c r="F10" s="61" t="s">
        <v>346</v>
      </c>
      <c r="H10" s="54">
        <v>0</v>
      </c>
    </row>
    <row r="11" spans="1:8">
      <c r="B11" s="58">
        <v>5</v>
      </c>
      <c r="E11" s="57">
        <v>352</v>
      </c>
      <c r="F11" s="61" t="s">
        <v>347</v>
      </c>
      <c r="H11" s="54">
        <v>2.3900000000000001E-2</v>
      </c>
    </row>
    <row r="12" spans="1:8">
      <c r="B12" s="58">
        <v>6</v>
      </c>
      <c r="E12" s="57">
        <v>353</v>
      </c>
      <c r="F12" s="61" t="s">
        <v>348</v>
      </c>
      <c r="H12" s="54">
        <v>2.6599999999999999E-2</v>
      </c>
    </row>
    <row r="13" spans="1:8">
      <c r="B13" s="58">
        <v>7</v>
      </c>
      <c r="E13" s="57">
        <v>354</v>
      </c>
      <c r="F13" s="61" t="s">
        <v>349</v>
      </c>
      <c r="H13" s="54">
        <v>2.0400000000000001E-2</v>
      </c>
    </row>
    <row r="14" spans="1:8">
      <c r="B14" s="58">
        <v>8</v>
      </c>
      <c r="E14" s="57">
        <v>355</v>
      </c>
      <c r="F14" s="61" t="s">
        <v>350</v>
      </c>
      <c r="H14" s="54">
        <v>2.2200000000000001E-2</v>
      </c>
    </row>
    <row r="15" spans="1:8">
      <c r="B15" s="58">
        <v>9</v>
      </c>
      <c r="E15" s="57">
        <v>356</v>
      </c>
      <c r="F15" s="61" t="s">
        <v>351</v>
      </c>
      <c r="H15" s="54">
        <v>2.0400000000000001E-2</v>
      </c>
    </row>
    <row r="16" spans="1:8">
      <c r="B16" s="58">
        <v>10</v>
      </c>
      <c r="E16" s="57">
        <v>359</v>
      </c>
      <c r="F16" s="61" t="s">
        <v>352</v>
      </c>
      <c r="H16" s="54">
        <v>1.95E-2</v>
      </c>
    </row>
    <row r="17" spans="2:8">
      <c r="B17" s="58">
        <v>11</v>
      </c>
      <c r="F17" s="61" t="s">
        <v>4</v>
      </c>
      <c r="H17" s="54">
        <v>2.3199999999999998E-2</v>
      </c>
    </row>
    <row r="18" spans="2:8">
      <c r="B18" s="58">
        <v>12</v>
      </c>
      <c r="H18" s="54"/>
    </row>
    <row r="19" spans="2:8">
      <c r="B19" s="58">
        <v>13</v>
      </c>
      <c r="D19" s="59" t="s">
        <v>103</v>
      </c>
      <c r="H19" s="54"/>
    </row>
    <row r="20" spans="2:8">
      <c r="B20" s="58">
        <v>14</v>
      </c>
      <c r="H20" s="54"/>
    </row>
    <row r="21" spans="2:8">
      <c r="B21" s="58">
        <v>15</v>
      </c>
      <c r="E21" s="57">
        <v>389</v>
      </c>
      <c r="F21" s="320" t="s">
        <v>346</v>
      </c>
      <c r="H21" s="54">
        <v>0</v>
      </c>
    </row>
    <row r="22" spans="2:8">
      <c r="B22" s="58">
        <v>16</v>
      </c>
      <c r="E22" s="57">
        <v>390</v>
      </c>
      <c r="F22" s="61" t="s">
        <v>347</v>
      </c>
      <c r="H22" s="54">
        <v>4.7300000000000002E-2</v>
      </c>
    </row>
    <row r="23" spans="2:8">
      <c r="B23" s="58">
        <v>17</v>
      </c>
      <c r="E23" s="57">
        <v>391</v>
      </c>
      <c r="F23" s="61" t="s">
        <v>353</v>
      </c>
      <c r="H23" s="54">
        <v>0.1056</v>
      </c>
    </row>
    <row r="24" spans="2:8">
      <c r="B24" s="58">
        <v>18</v>
      </c>
      <c r="E24" s="57">
        <v>392</v>
      </c>
      <c r="F24" s="61" t="s">
        <v>354</v>
      </c>
      <c r="H24" s="54">
        <v>9.06E-2</v>
      </c>
    </row>
    <row r="25" spans="2:8">
      <c r="B25" s="58">
        <v>19</v>
      </c>
      <c r="E25" s="57">
        <v>393</v>
      </c>
      <c r="F25" s="61" t="s">
        <v>355</v>
      </c>
      <c r="H25" s="54">
        <v>4.2299999999999997E-2</v>
      </c>
    </row>
    <row r="26" spans="2:8">
      <c r="B26" s="58">
        <v>20</v>
      </c>
      <c r="E26" s="57">
        <v>394</v>
      </c>
      <c r="F26" s="61" t="s">
        <v>13</v>
      </c>
      <c r="H26" s="54">
        <v>4.2299999999999997E-2</v>
      </c>
    </row>
    <row r="27" spans="2:8">
      <c r="B27" s="58">
        <v>21</v>
      </c>
      <c r="E27" s="57">
        <v>395</v>
      </c>
      <c r="F27" s="61" t="s">
        <v>356</v>
      </c>
      <c r="H27" s="54">
        <v>3.0599999999999999E-2</v>
      </c>
    </row>
    <row r="28" spans="2:8">
      <c r="B28" s="58">
        <v>22</v>
      </c>
      <c r="E28" s="57">
        <v>396</v>
      </c>
      <c r="F28" s="61" t="s">
        <v>357</v>
      </c>
      <c r="H28" s="54">
        <v>4.2299999999999997E-2</v>
      </c>
    </row>
    <row r="29" spans="2:8">
      <c r="B29" s="58">
        <v>23</v>
      </c>
      <c r="E29" s="57">
        <v>397</v>
      </c>
      <c r="F29" s="61" t="s">
        <v>358</v>
      </c>
      <c r="H29" s="54">
        <v>4.3900000000000002E-2</v>
      </c>
    </row>
    <row r="30" spans="2:8">
      <c r="B30" s="58">
        <v>24</v>
      </c>
      <c r="E30" s="57">
        <v>398</v>
      </c>
      <c r="F30" s="61" t="s">
        <v>359</v>
      </c>
      <c r="H30" s="54">
        <v>5.8099999999999999E-2</v>
      </c>
    </row>
    <row r="31" spans="2:8">
      <c r="B31" s="349">
        <v>25</v>
      </c>
      <c r="C31" s="66"/>
      <c r="D31" s="66"/>
      <c r="E31" s="66"/>
      <c r="F31" s="146" t="s">
        <v>12</v>
      </c>
      <c r="G31" s="66"/>
      <c r="H31" s="55">
        <v>6.5299999999999997E-2</v>
      </c>
    </row>
    <row r="32" spans="2:8">
      <c r="B32" s="58">
        <v>26</v>
      </c>
    </row>
    <row r="33" spans="2:6">
      <c r="B33" s="58">
        <v>27</v>
      </c>
      <c r="D33" s="61" t="s">
        <v>440</v>
      </c>
      <c r="E33" s="131"/>
      <c r="F33" s="61"/>
    </row>
    <row r="34" spans="2:6">
      <c r="F34" s="61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2015 BHP Attachment H Transmission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BQ81"/>
  <sheetViews>
    <sheetView topLeftCell="A45" zoomScale="55" zoomScaleNormal="55" zoomScaleSheetLayoutView="85" workbookViewId="0">
      <selection activeCell="I66" sqref="I66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3.33203125" customWidth="1"/>
    <col min="5" max="5" width="15.21875" customWidth="1"/>
    <col min="6" max="12" width="15.88671875" customWidth="1"/>
    <col min="13" max="13" width="14.33203125" bestFit="1" customWidth="1"/>
    <col min="14" max="18" width="15.88671875" customWidth="1"/>
    <col min="20" max="20" width="10.33203125" bestFit="1" customWidth="1"/>
    <col min="21" max="21" width="12.88671875" bestFit="1" customWidth="1"/>
  </cols>
  <sheetData>
    <row r="2" spans="1:69" ht="15.75">
      <c r="A2" s="7"/>
      <c r="B2" s="7"/>
      <c r="C2" s="7"/>
      <c r="D2" s="157"/>
      <c r="E2" s="21"/>
      <c r="F2" s="7"/>
      <c r="G2" s="7"/>
      <c r="H2" s="7"/>
      <c r="I2" s="338" t="str">
        <f>'CU AC Rate Design - True-Up'!H1</f>
        <v>Date: May 31, 2016</v>
      </c>
      <c r="J2" s="7"/>
      <c r="K2" s="7"/>
      <c r="L2" s="7"/>
      <c r="O2" s="2"/>
      <c r="R2" s="339" t="str">
        <f>I2</f>
        <v>Date: May 31, 2016</v>
      </c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</row>
    <row r="3" spans="1:6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</row>
    <row r="4" spans="1:69" ht="15" customHeight="1">
      <c r="A4" s="384" t="s">
        <v>324</v>
      </c>
      <c r="B4" s="384"/>
      <c r="C4" s="384"/>
      <c r="D4" s="384"/>
      <c r="E4" s="384"/>
      <c r="F4" s="384"/>
      <c r="G4" s="384"/>
      <c r="H4" s="384"/>
      <c r="I4" s="384"/>
      <c r="J4" s="384" t="s">
        <v>324</v>
      </c>
      <c r="K4" s="384"/>
      <c r="L4" s="384"/>
      <c r="M4" s="384"/>
      <c r="N4" s="384"/>
      <c r="O4" s="384"/>
      <c r="P4" s="384"/>
      <c r="Q4" s="384"/>
      <c r="R4" s="384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</row>
    <row r="5" spans="1:69" ht="15.75">
      <c r="A5" s="385" t="s">
        <v>198</v>
      </c>
      <c r="B5" s="385"/>
      <c r="C5" s="385"/>
      <c r="D5" s="385"/>
      <c r="E5" s="385"/>
      <c r="F5" s="385"/>
      <c r="G5" s="385"/>
      <c r="H5" s="385"/>
      <c r="I5" s="385"/>
      <c r="J5" s="385" t="s">
        <v>198</v>
      </c>
      <c r="K5" s="385"/>
      <c r="L5" s="385"/>
      <c r="M5" s="385"/>
      <c r="N5" s="385"/>
      <c r="O5" s="385"/>
      <c r="P5" s="385"/>
      <c r="Q5" s="385"/>
      <c r="R5" s="385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</row>
    <row r="6" spans="1:69">
      <c r="A6" s="7"/>
      <c r="B6" s="7"/>
      <c r="C6" s="2"/>
      <c r="D6" s="2"/>
      <c r="F6" s="2"/>
      <c r="G6" s="2"/>
      <c r="H6" s="2"/>
      <c r="I6" s="2"/>
      <c r="J6" s="7"/>
      <c r="K6" s="7"/>
      <c r="L6" s="2"/>
      <c r="M6" s="2"/>
      <c r="O6" s="2"/>
      <c r="P6" s="2"/>
      <c r="Q6" s="2"/>
      <c r="R6" s="2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</row>
    <row r="7" spans="1:69" ht="15" customHeight="1">
      <c r="A7" s="386" t="s">
        <v>323</v>
      </c>
      <c r="B7" s="386"/>
      <c r="C7" s="386"/>
      <c r="D7" s="386"/>
      <c r="E7" s="386"/>
      <c r="F7" s="386"/>
      <c r="G7" s="386"/>
      <c r="H7" s="386"/>
      <c r="I7" s="386"/>
      <c r="J7" s="386" t="s">
        <v>323</v>
      </c>
      <c r="K7" s="386"/>
      <c r="L7" s="386"/>
      <c r="M7" s="386"/>
      <c r="N7" s="386"/>
      <c r="O7" s="386"/>
      <c r="P7" s="386"/>
      <c r="Q7" s="386"/>
      <c r="R7" s="386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</row>
    <row r="8" spans="1:69">
      <c r="A8" s="14"/>
      <c r="B8" s="7"/>
      <c r="C8" s="2"/>
      <c r="D8" s="2"/>
      <c r="E8" s="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</row>
    <row r="9" spans="1:69">
      <c r="A9" s="7"/>
      <c r="B9" s="7"/>
      <c r="C9" s="4"/>
      <c r="D9" s="4"/>
      <c r="E9" s="4"/>
      <c r="F9" s="5"/>
      <c r="G9" s="5"/>
      <c r="H9" s="5"/>
      <c r="I9" s="5"/>
      <c r="J9" s="5"/>
      <c r="K9" s="5"/>
      <c r="L9" s="4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</row>
    <row r="10" spans="1:69" ht="15.75">
      <c r="A10" s="7"/>
      <c r="B10" s="7"/>
      <c r="C10" s="3"/>
      <c r="D10" s="11" t="s">
        <v>209</v>
      </c>
      <c r="E10" s="5"/>
      <c r="F10" s="5"/>
      <c r="G10" s="5"/>
      <c r="H10" s="5"/>
      <c r="I10" s="5"/>
      <c r="J10" s="5"/>
      <c r="K10" s="5"/>
      <c r="L10" s="4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</row>
    <row r="11" spans="1:69" ht="15.75">
      <c r="A11" s="14" t="s">
        <v>199</v>
      </c>
      <c r="B11" s="7"/>
      <c r="C11" s="3"/>
      <c r="D11" s="18" t="s">
        <v>211</v>
      </c>
      <c r="E11" s="15" t="s">
        <v>212</v>
      </c>
      <c r="F11" s="19"/>
      <c r="G11" s="19"/>
      <c r="H11" s="19"/>
      <c r="I11" s="19"/>
      <c r="J11" s="19"/>
      <c r="K11" s="19"/>
      <c r="L11" s="4"/>
      <c r="O11" s="158"/>
      <c r="P11" s="158"/>
      <c r="Q11" s="182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</row>
    <row r="12" spans="1:69" ht="16.5" thickBot="1">
      <c r="A12" s="17" t="s">
        <v>200</v>
      </c>
      <c r="B12" s="7"/>
      <c r="C12" s="8" t="s">
        <v>214</v>
      </c>
      <c r="D12" s="5"/>
      <c r="E12" s="6" t="s">
        <v>27</v>
      </c>
      <c r="F12" s="6" t="s">
        <v>28</v>
      </c>
      <c r="G12" s="6" t="s">
        <v>29</v>
      </c>
      <c r="H12" s="6" t="s">
        <v>30</v>
      </c>
      <c r="I12" s="6" t="s">
        <v>31</v>
      </c>
      <c r="J12" s="6" t="s">
        <v>32</v>
      </c>
      <c r="K12" s="6" t="s">
        <v>33</v>
      </c>
      <c r="L12" s="6" t="s">
        <v>34</v>
      </c>
      <c r="M12" s="6" t="s">
        <v>148</v>
      </c>
      <c r="N12" s="6" t="s">
        <v>35</v>
      </c>
      <c r="O12" s="6" t="s">
        <v>36</v>
      </c>
      <c r="P12" s="6" t="s">
        <v>37</v>
      </c>
      <c r="Q12" s="6" t="s">
        <v>38</v>
      </c>
      <c r="R12" s="6" t="s">
        <v>39</v>
      </c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</row>
    <row r="13" spans="1:69">
      <c r="A13" s="14"/>
      <c r="B13" s="7"/>
      <c r="C13" s="3"/>
      <c r="D13" s="5"/>
      <c r="E13" s="159">
        <v>41974</v>
      </c>
      <c r="F13" s="159">
        <v>42005</v>
      </c>
      <c r="G13" s="159">
        <v>42036</v>
      </c>
      <c r="H13" s="159">
        <v>42064</v>
      </c>
      <c r="I13" s="159">
        <v>42095</v>
      </c>
      <c r="J13" s="159">
        <v>42125</v>
      </c>
      <c r="K13" s="159">
        <v>42156</v>
      </c>
      <c r="L13" s="159">
        <v>42186</v>
      </c>
      <c r="M13" s="159">
        <v>42217</v>
      </c>
      <c r="N13" s="159">
        <v>42248</v>
      </c>
      <c r="O13" s="159">
        <v>42278</v>
      </c>
      <c r="P13" s="159">
        <v>42309</v>
      </c>
      <c r="Q13" s="159">
        <v>42339</v>
      </c>
      <c r="R13" s="92" t="s">
        <v>25</v>
      </c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</row>
    <row r="14" spans="1:69">
      <c r="A14" s="14"/>
      <c r="B14" s="7"/>
      <c r="C14" s="3" t="s">
        <v>44</v>
      </c>
      <c r="D14" s="5" t="s">
        <v>435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S14" s="5"/>
      <c r="T14" s="5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</row>
    <row r="15" spans="1:69">
      <c r="A15" s="14">
        <v>1</v>
      </c>
      <c r="B15" s="7"/>
      <c r="C15" s="3" t="s">
        <v>216</v>
      </c>
      <c r="D15" s="5" t="s">
        <v>76</v>
      </c>
      <c r="E15" s="105">
        <v>571406548</v>
      </c>
      <c r="F15" s="105">
        <f>397032110+174511790</f>
        <v>571543900</v>
      </c>
      <c r="G15" s="105">
        <f>397265596+174991775</f>
        <v>572257371</v>
      </c>
      <c r="H15" s="105">
        <f>397301006+174829722</f>
        <v>572130728</v>
      </c>
      <c r="I15" s="105">
        <f>397808462+175177860</f>
        <v>572986322</v>
      </c>
      <c r="J15" s="105">
        <f>396626904+175178416</f>
        <v>571805320</v>
      </c>
      <c r="K15" s="105">
        <f>394972965+175075810</f>
        <v>570048775</v>
      </c>
      <c r="L15" s="105">
        <f>395602519+174982383</f>
        <v>570584902</v>
      </c>
      <c r="M15" s="105">
        <f>395618659+175058124</f>
        <v>570676783</v>
      </c>
      <c r="N15" s="105">
        <f>395677549+175082120</f>
        <v>570759669</v>
      </c>
      <c r="O15" s="105">
        <f>395995548+175414145</f>
        <v>571409693</v>
      </c>
      <c r="P15" s="105">
        <f>395981857+174394856</f>
        <v>570376713</v>
      </c>
      <c r="Q15" s="105">
        <f>398160753+174505266</f>
        <v>572666019</v>
      </c>
      <c r="R15" s="105">
        <f t="shared" ref="R15:R21" si="0">AVERAGE(E15:Q15)</f>
        <v>571434826.38461542</v>
      </c>
      <c r="S15" s="5"/>
      <c r="T15" s="7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</row>
    <row r="16" spans="1:69">
      <c r="A16" s="14">
        <f t="shared" ref="A16:A65" si="1">+A15+1</f>
        <v>2</v>
      </c>
      <c r="B16" s="7"/>
      <c r="C16" s="3" t="s">
        <v>218</v>
      </c>
      <c r="D16" s="5" t="s">
        <v>123</v>
      </c>
      <c r="E16" s="105">
        <v>115948536</v>
      </c>
      <c r="F16" s="105">
        <v>115953267</v>
      </c>
      <c r="G16" s="105">
        <v>115957070</v>
      </c>
      <c r="H16" s="105">
        <v>115999850</v>
      </c>
      <c r="I16" s="105">
        <v>115932284</v>
      </c>
      <c r="J16" s="105">
        <v>115932285</v>
      </c>
      <c r="K16" s="105">
        <v>115932286</v>
      </c>
      <c r="L16" s="105">
        <v>115932285</v>
      </c>
      <c r="M16" s="105">
        <v>115932285</v>
      </c>
      <c r="N16" s="105">
        <v>115932284</v>
      </c>
      <c r="O16" s="105">
        <v>115932285</v>
      </c>
      <c r="P16" s="105">
        <v>117454529</v>
      </c>
      <c r="Q16" s="105">
        <v>117708462</v>
      </c>
      <c r="R16" s="105">
        <f t="shared" si="0"/>
        <v>116195977.53846154</v>
      </c>
      <c r="S16" s="5"/>
      <c r="T16" s="7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</row>
    <row r="17" spans="1:69">
      <c r="A17" s="14">
        <f t="shared" si="1"/>
        <v>3</v>
      </c>
      <c r="B17" s="7"/>
      <c r="C17" s="3" t="s">
        <v>219</v>
      </c>
      <c r="D17" s="5" t="s">
        <v>124</v>
      </c>
      <c r="E17" s="105">
        <v>336651742</v>
      </c>
      <c r="F17" s="105">
        <v>336931844</v>
      </c>
      <c r="G17" s="105">
        <v>338179300</v>
      </c>
      <c r="H17" s="105">
        <v>341949208</v>
      </c>
      <c r="I17" s="105">
        <v>342364016</v>
      </c>
      <c r="J17" s="105">
        <v>343222337</v>
      </c>
      <c r="K17" s="105">
        <v>343948996</v>
      </c>
      <c r="L17" s="105">
        <v>349204283</v>
      </c>
      <c r="M17" s="105">
        <v>349637486</v>
      </c>
      <c r="N17" s="105">
        <v>350011330</v>
      </c>
      <c r="O17" s="105">
        <v>350487371</v>
      </c>
      <c r="P17" s="105">
        <v>349963820</v>
      </c>
      <c r="Q17" s="105">
        <v>353240829</v>
      </c>
      <c r="R17" s="105">
        <f t="shared" si="0"/>
        <v>345060966.30769229</v>
      </c>
      <c r="S17" s="5"/>
      <c r="T17" s="7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</row>
    <row r="18" spans="1:69">
      <c r="A18" s="14">
        <f t="shared" si="1"/>
        <v>4</v>
      </c>
      <c r="B18" s="7"/>
      <c r="C18" s="3" t="s">
        <v>220</v>
      </c>
      <c r="D18" s="5" t="s">
        <v>418</v>
      </c>
      <c r="E18" s="105">
        <f>49818554-E20</f>
        <v>42574957</v>
      </c>
      <c r="F18" s="105">
        <f>49935536-F20</f>
        <v>42691939</v>
      </c>
      <c r="G18" s="105">
        <f>50163046-G20</f>
        <v>42919449</v>
      </c>
      <c r="H18" s="105">
        <f>48006581-H20</f>
        <v>40792850</v>
      </c>
      <c r="I18" s="105">
        <f>47889022-I20</f>
        <v>40675291</v>
      </c>
      <c r="J18" s="105">
        <f>48190915-J20</f>
        <v>40969657</v>
      </c>
      <c r="K18" s="105">
        <f>47466732-K20</f>
        <v>40312446</v>
      </c>
      <c r="L18" s="105">
        <f>47086187-L20</f>
        <v>39931901</v>
      </c>
      <c r="M18" s="105">
        <f>47191286-M20</f>
        <v>40037000</v>
      </c>
      <c r="N18" s="105">
        <f>47028862-N20</f>
        <v>39874576</v>
      </c>
      <c r="O18" s="105">
        <f>47192641-O20</f>
        <v>40038355</v>
      </c>
      <c r="P18" s="105">
        <f>47829523-P20+5147675</f>
        <v>45816957</v>
      </c>
      <c r="Q18" s="105">
        <f>53471914-Q20</f>
        <v>46226063</v>
      </c>
      <c r="R18" s="105">
        <f t="shared" si="0"/>
        <v>41758572.384615384</v>
      </c>
      <c r="S18" s="5"/>
      <c r="T18" s="7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</row>
    <row r="19" spans="1:69">
      <c r="A19" s="14">
        <f t="shared" si="1"/>
        <v>5</v>
      </c>
      <c r="B19" s="7"/>
      <c r="C19" s="3" t="s">
        <v>140</v>
      </c>
      <c r="D19" s="5" t="s">
        <v>419</v>
      </c>
      <c r="E19" s="105">
        <v>29698608.717697117</v>
      </c>
      <c r="F19" s="105">
        <v>29014207.028176133</v>
      </c>
      <c r="G19" s="105">
        <v>28897756.562751144</v>
      </c>
      <c r="H19" s="105">
        <v>29250828.507694159</v>
      </c>
      <c r="I19" s="105">
        <v>30102419.990301173</v>
      </c>
      <c r="J19" s="105">
        <v>30473470.920204185</v>
      </c>
      <c r="K19" s="105">
        <v>31145281.086587202</v>
      </c>
      <c r="L19" s="105">
        <v>31135941.600074213</v>
      </c>
      <c r="M19" s="105">
        <v>30925438.548857227</v>
      </c>
      <c r="N19" s="105">
        <v>31084385.551912241</v>
      </c>
      <c r="O19" s="105">
        <v>33844407.686999254</v>
      </c>
      <c r="P19" s="105">
        <v>34460991.490310267</v>
      </c>
      <c r="Q19" s="105">
        <v>35150337.661781281</v>
      </c>
      <c r="R19" s="105">
        <f t="shared" si="0"/>
        <v>31168005.796411194</v>
      </c>
      <c r="S19" s="5"/>
      <c r="T19" s="7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</row>
    <row r="20" spans="1:69">
      <c r="A20" s="14">
        <f t="shared" si="1"/>
        <v>6</v>
      </c>
      <c r="B20" s="7"/>
      <c r="C20" s="3" t="s">
        <v>105</v>
      </c>
      <c r="D20" s="5" t="s">
        <v>104</v>
      </c>
      <c r="E20" s="105">
        <v>7243597</v>
      </c>
      <c r="F20" s="105">
        <v>7243597</v>
      </c>
      <c r="G20" s="105">
        <v>7243597</v>
      </c>
      <c r="H20" s="105">
        <v>7213731</v>
      </c>
      <c r="I20" s="105">
        <v>7213731</v>
      </c>
      <c r="J20" s="105">
        <v>7221258</v>
      </c>
      <c r="K20" s="105">
        <v>7154286</v>
      </c>
      <c r="L20" s="105">
        <v>7154286</v>
      </c>
      <c r="M20" s="105">
        <v>7154286</v>
      </c>
      <c r="N20" s="105">
        <v>7154286</v>
      </c>
      <c r="O20" s="105">
        <v>7154286</v>
      </c>
      <c r="P20" s="105">
        <v>7160241</v>
      </c>
      <c r="Q20" s="105">
        <v>7245851</v>
      </c>
      <c r="R20" s="105">
        <f t="shared" si="0"/>
        <v>7196694.846153846</v>
      </c>
      <c r="S20" s="5"/>
      <c r="T20" s="7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</row>
    <row r="21" spans="1:69">
      <c r="A21" s="14">
        <f t="shared" si="1"/>
        <v>7</v>
      </c>
      <c r="B21" s="7"/>
      <c r="C21" s="3" t="s">
        <v>222</v>
      </c>
      <c r="D21" s="5" t="s">
        <v>223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>
        <v>0</v>
      </c>
      <c r="R21" s="105">
        <f t="shared" si="0"/>
        <v>0</v>
      </c>
      <c r="S21" s="5"/>
      <c r="T21" s="7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</row>
    <row r="22" spans="1:69">
      <c r="A22" s="14">
        <f t="shared" si="1"/>
        <v>8</v>
      </c>
      <c r="B22" s="7"/>
      <c r="C22" s="13" t="s">
        <v>5</v>
      </c>
      <c r="D22" s="5" t="str">
        <f>"(sum lines "&amp;A15&amp;" - "&amp;A21&amp;")"</f>
        <v>(sum lines 1 - 7)</v>
      </c>
      <c r="E22" s="160">
        <f>SUM(E15:E21)</f>
        <v>1103523988.7176971</v>
      </c>
      <c r="F22" s="160">
        <f>SUM(F15:F21)</f>
        <v>1103378754.0281761</v>
      </c>
      <c r="G22" s="160">
        <f t="shared" ref="G22:R22" si="2">SUM(G15:G21)</f>
        <v>1105454543.5627511</v>
      </c>
      <c r="H22" s="160">
        <f t="shared" si="2"/>
        <v>1107337195.5076942</v>
      </c>
      <c r="I22" s="160">
        <f t="shared" si="2"/>
        <v>1109274063.9903011</v>
      </c>
      <c r="J22" s="160">
        <f t="shared" si="2"/>
        <v>1109624327.9202042</v>
      </c>
      <c r="K22" s="160">
        <f t="shared" si="2"/>
        <v>1108542070.0865872</v>
      </c>
      <c r="L22" s="160">
        <f t="shared" si="2"/>
        <v>1113943598.6000743</v>
      </c>
      <c r="M22" s="160">
        <f t="shared" si="2"/>
        <v>1114363278.5488572</v>
      </c>
      <c r="N22" s="160">
        <f t="shared" si="2"/>
        <v>1114816530.5519123</v>
      </c>
      <c r="O22" s="160">
        <f t="shared" si="2"/>
        <v>1118866397.6869993</v>
      </c>
      <c r="P22" s="160">
        <f t="shared" si="2"/>
        <v>1125233251.4903102</v>
      </c>
      <c r="Q22" s="160">
        <f t="shared" si="2"/>
        <v>1132237561.6617813</v>
      </c>
      <c r="R22" s="160">
        <f t="shared" si="2"/>
        <v>1112815043.2579496</v>
      </c>
      <c r="S22" s="5"/>
      <c r="T22" s="12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</row>
    <row r="23" spans="1:69">
      <c r="A23" s="14">
        <f t="shared" si="1"/>
        <v>9</v>
      </c>
      <c r="B23" s="7"/>
      <c r="C23" s="3"/>
      <c r="D23" s="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5"/>
      <c r="T23" s="5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</row>
    <row r="24" spans="1:69">
      <c r="A24" s="14">
        <f t="shared" si="1"/>
        <v>10</v>
      </c>
      <c r="B24" s="7"/>
      <c r="C24" s="3" t="s">
        <v>45</v>
      </c>
      <c r="D24" s="5" t="s">
        <v>435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5"/>
      <c r="T24" s="5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</row>
    <row r="25" spans="1:69">
      <c r="A25" s="14">
        <f t="shared" si="1"/>
        <v>11</v>
      </c>
      <c r="B25" s="7"/>
      <c r="C25" s="3" t="str">
        <f>+C15</f>
        <v xml:space="preserve">  Production</v>
      </c>
      <c r="D25" s="5" t="s">
        <v>420</v>
      </c>
      <c r="E25" s="105">
        <v>161552920</v>
      </c>
      <c r="F25" s="105">
        <f>158548602+3982109</f>
        <v>162530711</v>
      </c>
      <c r="G25" s="105">
        <f>159786636+3982109</f>
        <v>163768745</v>
      </c>
      <c r="H25" s="105">
        <f>160807600+3982109</f>
        <v>164789709</v>
      </c>
      <c r="I25" s="105">
        <f>161364032+3979608</f>
        <v>165343640</v>
      </c>
      <c r="J25" s="105">
        <f>161563520+3977109</f>
        <v>165540629</v>
      </c>
      <c r="K25" s="105">
        <f>160666624+3982109</f>
        <v>164648733</v>
      </c>
      <c r="L25" s="105">
        <f>161764813+3982108</f>
        <v>165746921</v>
      </c>
      <c r="M25" s="105">
        <f>163073886+3982108</f>
        <v>167055994</v>
      </c>
      <c r="N25" s="105">
        <f>164492996+3506048+475980</f>
        <v>168475024</v>
      </c>
      <c r="O25" s="105">
        <f>165651318+3506048+475980</f>
        <v>169633346</v>
      </c>
      <c r="P25" s="105">
        <f>165805029+4051158</f>
        <v>169856187</v>
      </c>
      <c r="Q25" s="105">
        <f>166993274+3506048+475980</f>
        <v>170975302</v>
      </c>
      <c r="R25" s="105">
        <f t="shared" ref="R25:R31" si="3">AVERAGE(E25:Q25)</f>
        <v>166147527.76923078</v>
      </c>
      <c r="S25" s="5"/>
      <c r="T25" s="5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</row>
    <row r="26" spans="1:69">
      <c r="A26" s="14">
        <f t="shared" si="1"/>
        <v>12</v>
      </c>
      <c r="B26" s="7"/>
      <c r="C26" s="3" t="s">
        <v>218</v>
      </c>
      <c r="D26" s="5" t="s">
        <v>125</v>
      </c>
      <c r="E26" s="105">
        <f>E71</f>
        <v>36166017.238301001</v>
      </c>
      <c r="F26" s="105">
        <f t="shared" ref="F26:Q26" si="4">F71</f>
        <v>36380251.901651002</v>
      </c>
      <c r="G26" s="105">
        <f t="shared" si="4"/>
        <v>36560811.755150996</v>
      </c>
      <c r="H26" s="105">
        <f t="shared" si="4"/>
        <v>36771420.747650996</v>
      </c>
      <c r="I26" s="105">
        <f t="shared" si="4"/>
        <v>36889774.361850999</v>
      </c>
      <c r="J26" s="105">
        <f t="shared" si="4"/>
        <v>37105815.976100996</v>
      </c>
      <c r="K26" s="105">
        <f t="shared" si="4"/>
        <v>37329282.590401001</v>
      </c>
      <c r="L26" s="105">
        <f t="shared" si="4"/>
        <v>37542489.204650998</v>
      </c>
      <c r="M26" s="105">
        <f t="shared" si="4"/>
        <v>37753861.818901002</v>
      </c>
      <c r="N26" s="105">
        <f t="shared" si="4"/>
        <v>37989140.433100998</v>
      </c>
      <c r="O26" s="105">
        <f t="shared" si="4"/>
        <v>38201272.047351003</v>
      </c>
      <c r="P26" s="105">
        <f t="shared" si="4"/>
        <v>38420456.773800999</v>
      </c>
      <c r="Q26" s="105">
        <f t="shared" si="4"/>
        <v>38622500.196901001</v>
      </c>
      <c r="R26" s="105">
        <f t="shared" si="3"/>
        <v>37364084.234293312</v>
      </c>
      <c r="S26" s="5"/>
      <c r="T26" s="5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</row>
    <row r="27" spans="1:69">
      <c r="A27" s="14">
        <f t="shared" si="1"/>
        <v>13</v>
      </c>
      <c r="B27" s="7"/>
      <c r="C27" s="3" t="s">
        <v>219</v>
      </c>
      <c r="D27" s="5" t="s">
        <v>126</v>
      </c>
      <c r="E27" s="105">
        <v>112236258</v>
      </c>
      <c r="F27" s="105">
        <v>112896384</v>
      </c>
      <c r="G27" s="105">
        <v>113560667</v>
      </c>
      <c r="H27" s="105">
        <v>114264155</v>
      </c>
      <c r="I27" s="105">
        <v>114654259</v>
      </c>
      <c r="J27" s="105">
        <v>115281325</v>
      </c>
      <c r="K27" s="105">
        <v>116023257</v>
      </c>
      <c r="L27" s="105">
        <v>116605445</v>
      </c>
      <c r="M27" s="105">
        <v>117278046</v>
      </c>
      <c r="N27" s="105">
        <v>117392147</v>
      </c>
      <c r="O27" s="105">
        <v>118067081</v>
      </c>
      <c r="P27" s="105">
        <v>118792780</v>
      </c>
      <c r="Q27" s="105">
        <v>118816578</v>
      </c>
      <c r="R27" s="105">
        <f>AVERAGE(E27:Q27)</f>
        <v>115836029.38461539</v>
      </c>
      <c r="S27" s="5"/>
      <c r="T27" s="5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</row>
    <row r="28" spans="1:69">
      <c r="A28" s="14">
        <f t="shared" si="1"/>
        <v>14</v>
      </c>
      <c r="B28" s="7"/>
      <c r="C28" s="3" t="str">
        <f>+C18</f>
        <v xml:space="preserve">  General &amp; Intangible</v>
      </c>
      <c r="D28" s="5" t="s">
        <v>26</v>
      </c>
      <c r="E28" s="105">
        <f>E75</f>
        <v>21666148.45709008</v>
      </c>
      <c r="F28" s="105">
        <f t="shared" ref="F28:Q28" si="5">F75</f>
        <v>21867474.983331747</v>
      </c>
      <c r="G28" s="105">
        <f t="shared" si="5"/>
        <v>21892238.00965675</v>
      </c>
      <c r="H28" s="105">
        <f t="shared" si="5"/>
        <v>20576537.119240079</v>
      </c>
      <c r="I28" s="105">
        <f t="shared" si="5"/>
        <v>20612477.124081746</v>
      </c>
      <c r="J28" s="105">
        <f t="shared" si="5"/>
        <v>20841583.021473411</v>
      </c>
      <c r="K28" s="105">
        <f t="shared" si="5"/>
        <v>20652017.018023409</v>
      </c>
      <c r="L28" s="105">
        <f t="shared" si="5"/>
        <v>20458861.893781744</v>
      </c>
      <c r="M28" s="105">
        <f t="shared" si="5"/>
        <v>20596486.052115079</v>
      </c>
      <c r="N28" s="105">
        <f t="shared" si="5"/>
        <v>20794925.685581744</v>
      </c>
      <c r="O28" s="105">
        <f t="shared" si="5"/>
        <v>20986485.000623412</v>
      </c>
      <c r="P28" s="105">
        <f t="shared" si="5"/>
        <v>21010277.513848413</v>
      </c>
      <c r="Q28" s="105">
        <f t="shared" si="5"/>
        <v>21298913.897456747</v>
      </c>
      <c r="R28" s="105">
        <f t="shared" si="3"/>
        <v>21019571.213561874</v>
      </c>
      <c r="S28" s="5"/>
      <c r="T28" s="5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</row>
    <row r="29" spans="1:69">
      <c r="A29" s="14">
        <f t="shared" si="1"/>
        <v>15</v>
      </c>
      <c r="B29" s="7"/>
      <c r="C29" s="3" t="s">
        <v>140</v>
      </c>
      <c r="D29" s="5" t="s">
        <v>421</v>
      </c>
      <c r="E29" s="105">
        <v>18367403.27648925</v>
      </c>
      <c r="F29" s="105">
        <v>18037829.305536665</v>
      </c>
      <c r="G29" s="105">
        <v>18194812.431929335</v>
      </c>
      <c r="H29" s="105">
        <v>18087046.558322001</v>
      </c>
      <c r="I29" s="105">
        <v>18246535.684714667</v>
      </c>
      <c r="J29" s="105">
        <v>18396782.811107334</v>
      </c>
      <c r="K29" s="105">
        <v>18732910.9375</v>
      </c>
      <c r="L29" s="105">
        <v>18879620.063892666</v>
      </c>
      <c r="M29" s="105">
        <v>19038111.190285333</v>
      </c>
      <c r="N29" s="105">
        <v>19208060.316677999</v>
      </c>
      <c r="O29" s="105">
        <v>19372227.443070665</v>
      </c>
      <c r="P29" s="105">
        <v>19549710.569463335</v>
      </c>
      <c r="Q29" s="105">
        <v>19654480.695856001</v>
      </c>
      <c r="R29" s="105">
        <f t="shared" si="3"/>
        <v>18751194.714218862</v>
      </c>
      <c r="S29" s="5"/>
      <c r="T29" s="5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</row>
    <row r="30" spans="1:69" ht="18">
      <c r="A30" s="14">
        <f t="shared" si="1"/>
        <v>16</v>
      </c>
      <c r="B30" s="7"/>
      <c r="C30" s="3" t="str">
        <f>+C20</f>
        <v xml:space="preserve">  Communication System</v>
      </c>
      <c r="D30" s="5" t="s">
        <v>436</v>
      </c>
      <c r="E30" s="105">
        <f>E79</f>
        <v>2450338.9876733334</v>
      </c>
      <c r="F30" s="105">
        <f t="shared" ref="F30:Q30" si="6">F79</f>
        <v>2495656.1895650001</v>
      </c>
      <c r="G30" s="105">
        <f t="shared" si="6"/>
        <v>2540974.0114566665</v>
      </c>
      <c r="H30" s="105">
        <f t="shared" si="6"/>
        <v>2546549.3766316669</v>
      </c>
      <c r="I30" s="105">
        <f t="shared" si="6"/>
        <v>2591692.7318066666</v>
      </c>
      <c r="J30" s="105">
        <f t="shared" si="6"/>
        <v>2636867.7074566665</v>
      </c>
      <c r="K30" s="105">
        <f t="shared" si="6"/>
        <v>2610910.9260066669</v>
      </c>
      <c r="L30" s="105">
        <f t="shared" si="6"/>
        <v>2655649.5645566666</v>
      </c>
      <c r="M30" s="105">
        <f t="shared" si="6"/>
        <v>2700388.2031066669</v>
      </c>
      <c r="N30" s="105">
        <f t="shared" si="6"/>
        <v>2745126.8416566667</v>
      </c>
      <c r="O30" s="105">
        <f t="shared" si="6"/>
        <v>2789865.4802066665</v>
      </c>
      <c r="P30" s="105">
        <f t="shared" si="6"/>
        <v>2834626.0071316669</v>
      </c>
      <c r="Q30" s="105">
        <f t="shared" si="6"/>
        <v>2879716.0866399999</v>
      </c>
      <c r="R30" s="105">
        <f t="shared" si="3"/>
        <v>2652181.701068846</v>
      </c>
      <c r="S30" s="5"/>
      <c r="T30" s="5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</row>
    <row r="31" spans="1:69">
      <c r="A31" s="14">
        <f t="shared" si="1"/>
        <v>17</v>
      </c>
      <c r="B31" s="7"/>
      <c r="C31" s="3" t="str">
        <f>+C21</f>
        <v xml:space="preserve">  Common</v>
      </c>
      <c r="D31" s="5" t="s">
        <v>223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>
        <v>0</v>
      </c>
      <c r="R31" s="105">
        <f t="shared" si="3"/>
        <v>0</v>
      </c>
      <c r="S31" s="5"/>
      <c r="T31" s="5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</row>
    <row r="32" spans="1:69">
      <c r="A32" s="14">
        <f t="shared" si="1"/>
        <v>18</v>
      </c>
      <c r="B32" s="7"/>
      <c r="C32" s="3" t="s">
        <v>7</v>
      </c>
      <c r="D32" s="5" t="str">
        <f>"(sum lines "&amp;A25&amp;" - "&amp;A31&amp;")"</f>
        <v>(sum lines 11 - 17)</v>
      </c>
      <c r="E32" s="160">
        <f>SUM(E25:E31)</f>
        <v>352439085.95955372</v>
      </c>
      <c r="F32" s="160">
        <f t="shared" ref="F32:R32" si="7">SUM(F25:F31)</f>
        <v>354208307.38008446</v>
      </c>
      <c r="G32" s="160">
        <f t="shared" si="7"/>
        <v>356518248.20819378</v>
      </c>
      <c r="H32" s="160">
        <f t="shared" si="7"/>
        <v>357035417.80184478</v>
      </c>
      <c r="I32" s="160">
        <f t="shared" si="7"/>
        <v>358338378.90245408</v>
      </c>
      <c r="J32" s="160">
        <f t="shared" si="7"/>
        <v>359803003.51613837</v>
      </c>
      <c r="K32" s="160">
        <f t="shared" si="7"/>
        <v>359997111.4719311</v>
      </c>
      <c r="L32" s="160">
        <f t="shared" si="7"/>
        <v>361888986.72688204</v>
      </c>
      <c r="M32" s="160">
        <f t="shared" si="7"/>
        <v>364422887.26440805</v>
      </c>
      <c r="N32" s="160">
        <f t="shared" si="7"/>
        <v>366604424.27701741</v>
      </c>
      <c r="O32" s="160">
        <f>SUM(O25:O31)</f>
        <v>369050276.97125173</v>
      </c>
      <c r="P32" s="160">
        <f>SUM(P25:P31)</f>
        <v>370464037.8642444</v>
      </c>
      <c r="Q32" s="160">
        <f>SUM(Q25:Q31)</f>
        <v>372247490.8768537</v>
      </c>
      <c r="R32" s="160">
        <f t="shared" si="7"/>
        <v>361770589.01698905</v>
      </c>
      <c r="S32" s="5"/>
      <c r="T32" s="262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</row>
    <row r="33" spans="1:69">
      <c r="A33" s="14">
        <f t="shared" si="1"/>
        <v>19</v>
      </c>
      <c r="B33" s="7"/>
      <c r="C33" s="7"/>
      <c r="D33" s="5" t="s">
        <v>197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5"/>
      <c r="T33" s="5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</row>
    <row r="34" spans="1:69">
      <c r="A34" s="14">
        <f t="shared" si="1"/>
        <v>20</v>
      </c>
      <c r="B34" s="7"/>
      <c r="C34" s="3" t="s">
        <v>226</v>
      </c>
      <c r="D34" s="5" t="s">
        <v>435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5"/>
      <c r="T34" s="5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</row>
    <row r="35" spans="1:69">
      <c r="A35" s="14">
        <f t="shared" si="1"/>
        <v>21</v>
      </c>
      <c r="B35" s="7"/>
      <c r="C35" s="3" t="str">
        <f>+C25</f>
        <v xml:space="preserve">  Production</v>
      </c>
      <c r="D35" s="5" t="str">
        <f t="shared" ref="D35:D41" si="8">"(line "&amp;A15&amp;" - line "&amp;A25&amp;")"</f>
        <v>(line 1 - line 11)</v>
      </c>
      <c r="E35" s="105">
        <f>+E15-E25</f>
        <v>409853628</v>
      </c>
      <c r="F35" s="105">
        <f t="shared" ref="F35:Q35" si="9">+F15-F25</f>
        <v>409013189</v>
      </c>
      <c r="G35" s="105">
        <f t="shared" si="9"/>
        <v>408488626</v>
      </c>
      <c r="H35" s="105">
        <f t="shared" si="9"/>
        <v>407341019</v>
      </c>
      <c r="I35" s="105">
        <f t="shared" si="9"/>
        <v>407642682</v>
      </c>
      <c r="J35" s="105">
        <f t="shared" si="9"/>
        <v>406264691</v>
      </c>
      <c r="K35" s="105">
        <f t="shared" si="9"/>
        <v>405400042</v>
      </c>
      <c r="L35" s="105">
        <f t="shared" si="9"/>
        <v>404837981</v>
      </c>
      <c r="M35" s="105">
        <f t="shared" si="9"/>
        <v>403620789</v>
      </c>
      <c r="N35" s="105">
        <f t="shared" si="9"/>
        <v>402284645</v>
      </c>
      <c r="O35" s="105">
        <f t="shared" si="9"/>
        <v>401776347</v>
      </c>
      <c r="P35" s="105">
        <f t="shared" si="9"/>
        <v>400520526</v>
      </c>
      <c r="Q35" s="105">
        <f t="shared" si="9"/>
        <v>401690717</v>
      </c>
      <c r="R35" s="105">
        <f>R15-R25</f>
        <v>405287298.61538464</v>
      </c>
      <c r="S35" s="5"/>
      <c r="T35" s="5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</row>
    <row r="36" spans="1:69">
      <c r="A36" s="14">
        <f t="shared" si="1"/>
        <v>22</v>
      </c>
      <c r="B36" s="7"/>
      <c r="C36" s="3" t="s">
        <v>218</v>
      </c>
      <c r="D36" s="5" t="str">
        <f t="shared" si="8"/>
        <v>(line 2 - line 12)</v>
      </c>
      <c r="E36" s="105">
        <f t="shared" ref="E36:Q41" si="10">+E16-E26</f>
        <v>79782518.761698991</v>
      </c>
      <c r="F36" s="105">
        <f t="shared" si="10"/>
        <v>79573015.098349005</v>
      </c>
      <c r="G36" s="105">
        <f t="shared" si="10"/>
        <v>79396258.244848996</v>
      </c>
      <c r="H36" s="105">
        <f t="shared" si="10"/>
        <v>79228429.252349004</v>
      </c>
      <c r="I36" s="105">
        <f t="shared" si="10"/>
        <v>79042509.638148993</v>
      </c>
      <c r="J36" s="105">
        <f t="shared" si="10"/>
        <v>78826469.023899004</v>
      </c>
      <c r="K36" s="105">
        <f t="shared" si="10"/>
        <v>78603003.409599006</v>
      </c>
      <c r="L36" s="105">
        <f t="shared" si="10"/>
        <v>78389795.795349002</v>
      </c>
      <c r="M36" s="105">
        <f t="shared" si="10"/>
        <v>78178423.181098998</v>
      </c>
      <c r="N36" s="105">
        <f t="shared" si="10"/>
        <v>77943143.566899002</v>
      </c>
      <c r="O36" s="105">
        <f t="shared" si="10"/>
        <v>77731012.952648997</v>
      </c>
      <c r="P36" s="105">
        <f t="shared" si="10"/>
        <v>79034072.226199001</v>
      </c>
      <c r="Q36" s="105">
        <f t="shared" si="10"/>
        <v>79085961.803099006</v>
      </c>
      <c r="R36" s="105">
        <f t="shared" ref="R36:R41" si="11">R16-R26</f>
        <v>78831893.304168224</v>
      </c>
      <c r="S36" s="5"/>
      <c r="T36" s="5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</row>
    <row r="37" spans="1:69">
      <c r="A37" s="14">
        <f t="shared" si="1"/>
        <v>23</v>
      </c>
      <c r="B37" s="7"/>
      <c r="C37" s="3" t="s">
        <v>300</v>
      </c>
      <c r="D37" s="5" t="str">
        <f t="shared" si="8"/>
        <v>(line 3 - line 13)</v>
      </c>
      <c r="E37" s="105">
        <f t="shared" si="10"/>
        <v>224415484</v>
      </c>
      <c r="F37" s="105">
        <f t="shared" si="10"/>
        <v>224035460</v>
      </c>
      <c r="G37" s="105">
        <f t="shared" si="10"/>
        <v>224618633</v>
      </c>
      <c r="H37" s="105">
        <f t="shared" si="10"/>
        <v>227685053</v>
      </c>
      <c r="I37" s="105">
        <f t="shared" si="10"/>
        <v>227709757</v>
      </c>
      <c r="J37" s="105">
        <f t="shared" si="10"/>
        <v>227941012</v>
      </c>
      <c r="K37" s="105">
        <f t="shared" si="10"/>
        <v>227925739</v>
      </c>
      <c r="L37" s="105">
        <f t="shared" si="10"/>
        <v>232598838</v>
      </c>
      <c r="M37" s="105">
        <f t="shared" si="10"/>
        <v>232359440</v>
      </c>
      <c r="N37" s="105">
        <f t="shared" si="10"/>
        <v>232619183</v>
      </c>
      <c r="O37" s="105">
        <f t="shared" si="10"/>
        <v>232420290</v>
      </c>
      <c r="P37" s="105">
        <f t="shared" si="10"/>
        <v>231171040</v>
      </c>
      <c r="Q37" s="105">
        <f t="shared" si="10"/>
        <v>234424251</v>
      </c>
      <c r="R37" s="105">
        <f t="shared" si="11"/>
        <v>229224936.9230769</v>
      </c>
      <c r="S37" s="5"/>
      <c r="T37" s="5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</row>
    <row r="38" spans="1:69">
      <c r="A38" s="14">
        <f t="shared" si="1"/>
        <v>24</v>
      </c>
      <c r="B38" s="7"/>
      <c r="C38" s="3" t="str">
        <f>+C28</f>
        <v xml:space="preserve">  General &amp; Intangible</v>
      </c>
      <c r="D38" s="5" t="str">
        <f t="shared" si="8"/>
        <v>(line 4 - line 14)</v>
      </c>
      <c r="E38" s="105">
        <f t="shared" si="10"/>
        <v>20908808.54290992</v>
      </c>
      <c r="F38" s="105">
        <f t="shared" si="10"/>
        <v>20824464.016668253</v>
      </c>
      <c r="G38" s="105">
        <f t="shared" si="10"/>
        <v>21027210.99034325</v>
      </c>
      <c r="H38" s="105">
        <f t="shared" si="10"/>
        <v>20216312.880759921</v>
      </c>
      <c r="I38" s="105">
        <f t="shared" si="10"/>
        <v>20062813.875918254</v>
      </c>
      <c r="J38" s="105">
        <f t="shared" si="10"/>
        <v>20128073.978526589</v>
      </c>
      <c r="K38" s="105">
        <f t="shared" si="10"/>
        <v>19660428.981976591</v>
      </c>
      <c r="L38" s="105">
        <f t="shared" si="10"/>
        <v>19473039.106218256</v>
      </c>
      <c r="M38" s="105">
        <f t="shared" si="10"/>
        <v>19440513.947884921</v>
      </c>
      <c r="N38" s="105">
        <f t="shared" si="10"/>
        <v>19079650.314418256</v>
      </c>
      <c r="O38" s="105">
        <f t="shared" si="10"/>
        <v>19051869.999376588</v>
      </c>
      <c r="P38" s="105">
        <f t="shared" si="10"/>
        <v>24806679.486151587</v>
      </c>
      <c r="Q38" s="105">
        <f t="shared" si="10"/>
        <v>24927149.102543253</v>
      </c>
      <c r="R38" s="105">
        <f t="shared" si="11"/>
        <v>20739001.17105351</v>
      </c>
      <c r="S38" s="5"/>
      <c r="T38" s="5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</row>
    <row r="39" spans="1:69">
      <c r="A39" s="14">
        <f t="shared" si="1"/>
        <v>25</v>
      </c>
      <c r="B39" s="7"/>
      <c r="C39" s="3" t="s">
        <v>140</v>
      </c>
      <c r="D39" s="5" t="str">
        <f t="shared" si="8"/>
        <v>(line 5 - line 15)</v>
      </c>
      <c r="E39" s="105">
        <f>+E19-E29</f>
        <v>11331205.441207867</v>
      </c>
      <c r="F39" s="105">
        <f t="shared" si="10"/>
        <v>10976377.722639468</v>
      </c>
      <c r="G39" s="105">
        <f t="shared" si="10"/>
        <v>10702944.130821809</v>
      </c>
      <c r="H39" s="105">
        <f t="shared" si="10"/>
        <v>11163781.949372157</v>
      </c>
      <c r="I39" s="105">
        <f t="shared" si="10"/>
        <v>11855884.305586506</v>
      </c>
      <c r="J39" s="105">
        <f t="shared" si="10"/>
        <v>12076688.109096851</v>
      </c>
      <c r="K39" s="105">
        <f t="shared" si="10"/>
        <v>12412370.149087202</v>
      </c>
      <c r="L39" s="105">
        <f t="shared" si="10"/>
        <v>12256321.536181547</v>
      </c>
      <c r="M39" s="105">
        <f t="shared" si="10"/>
        <v>11887327.358571894</v>
      </c>
      <c r="N39" s="105">
        <f t="shared" si="10"/>
        <v>11876325.235234242</v>
      </c>
      <c r="O39" s="105">
        <f t="shared" si="10"/>
        <v>14472180.243928589</v>
      </c>
      <c r="P39" s="105">
        <f t="shared" si="10"/>
        <v>14911280.920846932</v>
      </c>
      <c r="Q39" s="105">
        <f t="shared" si="10"/>
        <v>15495856.96592528</v>
      </c>
      <c r="R39" s="105">
        <f t="shared" si="11"/>
        <v>12416811.082192332</v>
      </c>
      <c r="S39" s="5"/>
      <c r="T39" s="5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</row>
    <row r="40" spans="1:69">
      <c r="A40" s="14">
        <f t="shared" si="1"/>
        <v>26</v>
      </c>
      <c r="B40" s="7"/>
      <c r="C40" s="3" t="str">
        <f>+C30</f>
        <v xml:space="preserve">  Communication System</v>
      </c>
      <c r="D40" s="5" t="str">
        <f t="shared" si="8"/>
        <v>(line 6 - line 16)</v>
      </c>
      <c r="E40" s="105">
        <f t="shared" si="10"/>
        <v>4793258.0123266671</v>
      </c>
      <c r="F40" s="105">
        <f t="shared" si="10"/>
        <v>4747940.8104349999</v>
      </c>
      <c r="G40" s="105">
        <f t="shared" si="10"/>
        <v>4702622.9885433335</v>
      </c>
      <c r="H40" s="105">
        <f t="shared" si="10"/>
        <v>4667181.6233683331</v>
      </c>
      <c r="I40" s="105">
        <f t="shared" si="10"/>
        <v>4622038.2681933334</v>
      </c>
      <c r="J40" s="105">
        <f t="shared" si="10"/>
        <v>4584390.292543333</v>
      </c>
      <c r="K40" s="105">
        <f t="shared" si="10"/>
        <v>4543375.0739933327</v>
      </c>
      <c r="L40" s="105">
        <f t="shared" si="10"/>
        <v>4498636.4354433334</v>
      </c>
      <c r="M40" s="105">
        <f t="shared" si="10"/>
        <v>4453897.7968933331</v>
      </c>
      <c r="N40" s="105">
        <f t="shared" si="10"/>
        <v>4409159.1583433338</v>
      </c>
      <c r="O40" s="105">
        <f t="shared" si="10"/>
        <v>4364420.5197933335</v>
      </c>
      <c r="P40" s="105">
        <f t="shared" si="10"/>
        <v>4325614.9928683331</v>
      </c>
      <c r="Q40" s="105">
        <f>+Q20-Q30</f>
        <v>4366134.9133599997</v>
      </c>
      <c r="R40" s="105">
        <f t="shared" si="11"/>
        <v>4544513.1450849995</v>
      </c>
      <c r="S40" s="5"/>
      <c r="T40" s="5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</row>
    <row r="41" spans="1:69">
      <c r="A41" s="14">
        <f t="shared" si="1"/>
        <v>27</v>
      </c>
      <c r="B41" s="7"/>
      <c r="C41" s="3" t="str">
        <f>+C31</f>
        <v xml:space="preserve">  Common</v>
      </c>
      <c r="D41" s="5" t="str">
        <f t="shared" si="8"/>
        <v>(line 7 - line 17)</v>
      </c>
      <c r="E41" s="105">
        <f t="shared" si="10"/>
        <v>0</v>
      </c>
      <c r="F41" s="105">
        <f t="shared" si="10"/>
        <v>0</v>
      </c>
      <c r="G41" s="105">
        <f t="shared" si="10"/>
        <v>0</v>
      </c>
      <c r="H41" s="105">
        <f t="shared" si="10"/>
        <v>0</v>
      </c>
      <c r="I41" s="105">
        <f t="shared" si="10"/>
        <v>0</v>
      </c>
      <c r="J41" s="105">
        <f t="shared" si="10"/>
        <v>0</v>
      </c>
      <c r="K41" s="105">
        <f t="shared" si="10"/>
        <v>0</v>
      </c>
      <c r="L41" s="105">
        <f t="shared" si="10"/>
        <v>0</v>
      </c>
      <c r="M41" s="105">
        <f t="shared" si="10"/>
        <v>0</v>
      </c>
      <c r="N41" s="105">
        <f t="shared" si="10"/>
        <v>0</v>
      </c>
      <c r="O41" s="105">
        <f t="shared" si="10"/>
        <v>0</v>
      </c>
      <c r="P41" s="105">
        <f t="shared" si="10"/>
        <v>0</v>
      </c>
      <c r="Q41" s="105">
        <f t="shared" si="10"/>
        <v>0</v>
      </c>
      <c r="R41" s="156">
        <f t="shared" si="11"/>
        <v>0</v>
      </c>
      <c r="S41" s="5"/>
      <c r="T41" s="5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</row>
    <row r="42" spans="1:69">
      <c r="A42" s="14">
        <f t="shared" si="1"/>
        <v>28</v>
      </c>
      <c r="B42" s="7"/>
      <c r="C42" s="3" t="s">
        <v>6</v>
      </c>
      <c r="D42" s="5" t="str">
        <f>"(sum lines "&amp;A35&amp;" - "&amp;A41&amp;")"</f>
        <v>(sum lines 21 - 27)</v>
      </c>
      <c r="E42" s="161">
        <f>SUM(E35:E41)</f>
        <v>751084902.75814342</v>
      </c>
      <c r="F42" s="161">
        <f t="shared" ref="F42:Q42" si="12">SUM(F35:F41)</f>
        <v>749170446.64809167</v>
      </c>
      <c r="G42" s="161">
        <f t="shared" si="12"/>
        <v>748936295.35455739</v>
      </c>
      <c r="H42" s="161">
        <f t="shared" si="12"/>
        <v>750301777.70584953</v>
      </c>
      <c r="I42" s="161">
        <f t="shared" si="12"/>
        <v>750935685.08784711</v>
      </c>
      <c r="J42" s="161">
        <f t="shared" si="12"/>
        <v>749821324.40406585</v>
      </c>
      <c r="K42" s="161">
        <f t="shared" si="12"/>
        <v>748544958.61465621</v>
      </c>
      <c r="L42" s="161">
        <f t="shared" si="12"/>
        <v>752054611.87319207</v>
      </c>
      <c r="M42" s="161">
        <f t="shared" si="12"/>
        <v>749940391.2844491</v>
      </c>
      <c r="N42" s="161">
        <f t="shared" si="12"/>
        <v>748212106.27489495</v>
      </c>
      <c r="O42" s="161">
        <f t="shared" si="12"/>
        <v>749816120.71574748</v>
      </c>
      <c r="P42" s="161">
        <f t="shared" si="12"/>
        <v>754769213.62606585</v>
      </c>
      <c r="Q42" s="161">
        <f t="shared" si="12"/>
        <v>759990070.78492761</v>
      </c>
      <c r="R42" s="161">
        <f>SUM(R35:R41)</f>
        <v>751044454.2409606</v>
      </c>
      <c r="S42" s="5"/>
      <c r="T42" s="94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</row>
    <row r="43" spans="1:69">
      <c r="A43" s="14"/>
      <c r="B43" s="7"/>
      <c r="C43" s="3"/>
      <c r="D43" s="5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5"/>
      <c r="T43" s="94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</row>
    <row r="44" spans="1:69">
      <c r="A44" s="14"/>
      <c r="B44" s="7"/>
      <c r="C44" s="3" t="s">
        <v>437</v>
      </c>
      <c r="D44" s="5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5"/>
      <c r="T44" s="94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</row>
    <row r="45" spans="1:69" ht="18">
      <c r="A45" s="14"/>
      <c r="B45" s="7"/>
      <c r="C45" s="211" t="s">
        <v>438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94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</row>
    <row r="46" spans="1:69">
      <c r="A46" s="14"/>
      <c r="B46" s="7"/>
      <c r="C46" s="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94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</row>
    <row r="47" spans="1:69" ht="23.25">
      <c r="A47" s="14"/>
      <c r="B47" s="7"/>
      <c r="C47" s="3"/>
      <c r="D47" s="5"/>
      <c r="E47" s="329" t="s">
        <v>424</v>
      </c>
      <c r="F47" s="16"/>
      <c r="G47" s="16"/>
      <c r="H47" s="1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94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</row>
    <row r="48" spans="1:69">
      <c r="A48" s="14">
        <f>+A42+1</f>
        <v>29</v>
      </c>
      <c r="B48" s="7"/>
      <c r="C48" s="7"/>
      <c r="D48" s="5"/>
      <c r="E48" s="330" t="s">
        <v>27</v>
      </c>
      <c r="F48" s="330" t="s">
        <v>28</v>
      </c>
      <c r="G48" s="330" t="s">
        <v>29</v>
      </c>
      <c r="H48" s="16"/>
      <c r="I48" s="5"/>
      <c r="J48" s="5"/>
      <c r="K48" s="5"/>
      <c r="L48" s="5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</row>
    <row r="49" spans="1:62">
      <c r="A49" s="14">
        <f t="shared" si="1"/>
        <v>30</v>
      </c>
      <c r="B49" s="7"/>
      <c r="C49" s="13" t="s">
        <v>422</v>
      </c>
      <c r="D49" s="5"/>
      <c r="E49" s="331">
        <v>41974</v>
      </c>
      <c r="F49" s="331">
        <v>42339</v>
      </c>
      <c r="G49" s="16" t="s">
        <v>43</v>
      </c>
      <c r="H49" s="16"/>
      <c r="I49" s="5"/>
      <c r="J49" s="370"/>
      <c r="K49" s="371" t="s">
        <v>464</v>
      </c>
      <c r="L49" s="371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</row>
    <row r="50" spans="1:62">
      <c r="A50" s="14">
        <f t="shared" si="1"/>
        <v>31</v>
      </c>
      <c r="B50" s="7"/>
      <c r="C50" s="3" t="s">
        <v>272</v>
      </c>
      <c r="D50" s="185" t="s">
        <v>410</v>
      </c>
      <c r="E50" s="105">
        <v>0</v>
      </c>
      <c r="F50" s="105">
        <v>0</v>
      </c>
      <c r="G50" s="105">
        <f t="shared" ref="G50:G55" si="13">(+E50+F50)/2</f>
        <v>0</v>
      </c>
      <c r="H50" s="16"/>
      <c r="I50" s="16"/>
      <c r="J50" s="370"/>
      <c r="K50" s="331">
        <v>41974</v>
      </c>
      <c r="L50" s="331">
        <v>42339</v>
      </c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</row>
    <row r="51" spans="1:62">
      <c r="A51" s="14">
        <f t="shared" si="1"/>
        <v>32</v>
      </c>
      <c r="B51" s="7"/>
      <c r="C51" s="3" t="s">
        <v>273</v>
      </c>
      <c r="D51" s="185" t="s">
        <v>411</v>
      </c>
      <c r="E51" s="105">
        <f>K54</f>
        <v>-187647134.48907253</v>
      </c>
      <c r="F51" s="105">
        <f>L54</f>
        <v>-191546457.01334921</v>
      </c>
      <c r="G51" s="105">
        <f t="shared" si="13"/>
        <v>-189596795.75121087</v>
      </c>
      <c r="H51" s="16"/>
      <c r="I51" s="5"/>
      <c r="J51" s="370"/>
      <c r="K51" s="371"/>
      <c r="L51" s="371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</row>
    <row r="52" spans="1:62">
      <c r="A52" s="14">
        <f t="shared" si="1"/>
        <v>33</v>
      </c>
      <c r="B52" s="7"/>
      <c r="C52" s="3" t="s">
        <v>274</v>
      </c>
      <c r="D52" s="185" t="s">
        <v>412</v>
      </c>
      <c r="E52" s="156">
        <v>-28378776</v>
      </c>
      <c r="F52" s="156">
        <v>-31595886</v>
      </c>
      <c r="G52" s="105">
        <f t="shared" si="13"/>
        <v>-29987331</v>
      </c>
      <c r="H52" s="16"/>
      <c r="I52" s="5"/>
      <c r="J52" s="370" t="s">
        <v>465</v>
      </c>
      <c r="K52" s="105">
        <v>-185559862</v>
      </c>
      <c r="L52" s="105">
        <v>-189107994</v>
      </c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</row>
    <row r="53" spans="1:62">
      <c r="A53" s="14">
        <f t="shared" si="1"/>
        <v>34</v>
      </c>
      <c r="B53" s="7"/>
      <c r="C53" s="3" t="s">
        <v>276</v>
      </c>
      <c r="D53" s="185" t="s">
        <v>413</v>
      </c>
      <c r="E53" s="156">
        <v>33629868</v>
      </c>
      <c r="F53" s="156">
        <v>30565748</v>
      </c>
      <c r="G53" s="105">
        <f t="shared" si="13"/>
        <v>32097808</v>
      </c>
      <c r="H53" s="16"/>
      <c r="I53" s="5"/>
      <c r="J53" s="371" t="s">
        <v>466</v>
      </c>
      <c r="K53" s="133">
        <v>-2087272.4890725443</v>
      </c>
      <c r="L53" s="133">
        <v>-2438463.0133492108</v>
      </c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</row>
    <row r="54" spans="1:62">
      <c r="A54" s="14">
        <f t="shared" si="1"/>
        <v>35</v>
      </c>
      <c r="B54" s="7"/>
      <c r="C54" s="7" t="s">
        <v>275</v>
      </c>
      <c r="D54" s="185" t="s">
        <v>414</v>
      </c>
      <c r="E54" s="156">
        <v>0</v>
      </c>
      <c r="F54" s="156">
        <v>0</v>
      </c>
      <c r="G54" s="105">
        <f t="shared" si="13"/>
        <v>0</v>
      </c>
      <c r="H54" s="16"/>
      <c r="I54" s="5"/>
      <c r="J54" s="371" t="s">
        <v>467</v>
      </c>
      <c r="K54" s="373">
        <f>K52+K53</f>
        <v>-187647134.48907253</v>
      </c>
      <c r="L54" s="373">
        <f>L52+L53</f>
        <v>-191546457.01334921</v>
      </c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</row>
    <row r="55" spans="1:62">
      <c r="A55" s="14">
        <f t="shared" si="1"/>
        <v>36</v>
      </c>
      <c r="B55" s="7"/>
      <c r="C55" s="3" t="s">
        <v>295</v>
      </c>
      <c r="D55" s="190" t="s">
        <v>401</v>
      </c>
      <c r="E55" s="332">
        <f>(8364870-91960)*0.35</f>
        <v>2895518.5</v>
      </c>
      <c r="F55" s="332">
        <f>(8571074-1518)*0.35</f>
        <v>2999344.5999999996</v>
      </c>
      <c r="G55" s="332">
        <f t="shared" si="13"/>
        <v>2947431.55</v>
      </c>
      <c r="H55" s="16"/>
      <c r="I55" s="5"/>
      <c r="J55" s="5"/>
      <c r="K55" s="5"/>
      <c r="L55" s="9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</row>
    <row r="56" spans="1:62">
      <c r="A56" s="14">
        <f t="shared" si="1"/>
        <v>37</v>
      </c>
      <c r="B56" s="7"/>
      <c r="C56" s="3" t="s">
        <v>8</v>
      </c>
      <c r="D56" s="5" t="str">
        <f>"(sum lines "&amp;A50&amp;" - "&amp;A55&amp;")"</f>
        <v>(sum lines 31 - 36)</v>
      </c>
      <c r="E56" s="105">
        <f>SUM(E50:E55)</f>
        <v>-179500523.98907253</v>
      </c>
      <c r="F56" s="105">
        <f>SUM(F50:F55)</f>
        <v>-189577250.41334921</v>
      </c>
      <c r="G56" s="105">
        <f>SUM(G50:G55)</f>
        <v>-184538887.20121086</v>
      </c>
      <c r="H56" s="16"/>
      <c r="I56" s="5"/>
      <c r="J56" s="5"/>
      <c r="K56" s="5"/>
      <c r="L56" s="93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158"/>
      <c r="BI56" s="158"/>
      <c r="BJ56" s="158"/>
    </row>
    <row r="57" spans="1:62">
      <c r="A57" s="14">
        <f t="shared" si="1"/>
        <v>38</v>
      </c>
      <c r="B57" s="7"/>
      <c r="C57" s="7"/>
      <c r="D57" s="5"/>
      <c r="E57" s="105"/>
      <c r="F57" s="105"/>
      <c r="G57" s="105"/>
      <c r="H57" s="16"/>
      <c r="I57" s="5"/>
      <c r="J57" s="5"/>
      <c r="K57" s="5"/>
      <c r="L57" s="5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</row>
    <row r="58" spans="1:62">
      <c r="A58" s="14">
        <f t="shared" si="1"/>
        <v>39</v>
      </c>
      <c r="B58" s="7"/>
      <c r="C58" s="13" t="s">
        <v>233</v>
      </c>
      <c r="D58" s="5" t="s">
        <v>302</v>
      </c>
      <c r="E58" s="105"/>
      <c r="F58" s="105"/>
      <c r="G58" s="105">
        <f>(+E58+F58)/2</f>
        <v>0</v>
      </c>
      <c r="H58" s="16"/>
      <c r="I58" s="5"/>
      <c r="J58" s="5"/>
      <c r="K58" s="5"/>
      <c r="L58" s="137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</row>
    <row r="59" spans="1:62">
      <c r="A59" s="14">
        <f t="shared" si="1"/>
        <v>40</v>
      </c>
      <c r="B59" s="7"/>
      <c r="C59" s="3"/>
      <c r="D59" s="5"/>
      <c r="E59" s="105"/>
      <c r="F59" s="105"/>
      <c r="G59" s="105"/>
      <c r="H59" s="16"/>
      <c r="I59" s="5"/>
      <c r="J59" s="5"/>
      <c r="K59" s="5"/>
      <c r="L59" s="5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</row>
    <row r="60" spans="1:62">
      <c r="A60" s="14">
        <f t="shared" si="1"/>
        <v>41</v>
      </c>
      <c r="B60" s="7"/>
      <c r="C60" s="3" t="s">
        <v>439</v>
      </c>
      <c r="D60" s="5"/>
      <c r="E60" s="105"/>
      <c r="F60" s="105"/>
      <c r="G60" s="105"/>
      <c r="H60" s="16"/>
      <c r="I60" s="5"/>
      <c r="J60" s="5"/>
      <c r="K60" s="5"/>
      <c r="L60" s="5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</row>
    <row r="61" spans="1:62">
      <c r="A61" s="14">
        <f t="shared" si="1"/>
        <v>42</v>
      </c>
      <c r="B61" s="7"/>
      <c r="C61" s="3"/>
      <c r="D61" s="21"/>
      <c r="E61" s="105"/>
      <c r="F61" s="105"/>
      <c r="G61" s="105"/>
      <c r="H61" s="16"/>
      <c r="I61" s="5"/>
      <c r="J61" s="5"/>
      <c r="K61" s="5"/>
      <c r="L61" s="6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</row>
    <row r="62" spans="1:62">
      <c r="A62" s="14">
        <f t="shared" si="1"/>
        <v>43</v>
      </c>
      <c r="B62" s="7"/>
      <c r="C62" s="3" t="s">
        <v>361</v>
      </c>
      <c r="D62" s="5" t="s">
        <v>137</v>
      </c>
      <c r="E62" s="156">
        <v>4111763</v>
      </c>
      <c r="F62" s="156">
        <v>4339123</v>
      </c>
      <c r="G62" s="105">
        <f>(+E62+F62)/2</f>
        <v>4225443</v>
      </c>
      <c r="H62" s="16"/>
      <c r="I62" s="5"/>
      <c r="J62" s="5"/>
      <c r="K62" s="5"/>
      <c r="L62" s="6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</row>
    <row r="63" spans="1:62">
      <c r="A63" s="14">
        <f t="shared" si="1"/>
        <v>44</v>
      </c>
      <c r="B63" s="7"/>
      <c r="C63" s="3" t="s">
        <v>361</v>
      </c>
      <c r="D63" s="5" t="s">
        <v>136</v>
      </c>
      <c r="E63" s="156">
        <v>15853</v>
      </c>
      <c r="F63" s="156">
        <v>19709</v>
      </c>
      <c r="G63" s="105">
        <f>(+E63+F63)/2</f>
        <v>17781</v>
      </c>
      <c r="H63" s="16"/>
      <c r="I63" s="5"/>
      <c r="J63" s="5"/>
      <c r="K63" s="5"/>
      <c r="L63" s="6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</row>
    <row r="64" spans="1:62">
      <c r="A64" s="14">
        <f t="shared" si="1"/>
        <v>45</v>
      </c>
      <c r="B64" s="7"/>
      <c r="C64" s="3" t="s">
        <v>277</v>
      </c>
      <c r="D64" s="16" t="s">
        <v>77</v>
      </c>
      <c r="E64" s="156">
        <v>4427880</v>
      </c>
      <c r="F64" s="156">
        <v>3481482</v>
      </c>
      <c r="G64" s="105">
        <f>(+E64+F64)/2</f>
        <v>3954681</v>
      </c>
      <c r="H64" s="16"/>
      <c r="I64" s="5"/>
      <c r="J64" s="5"/>
      <c r="K64" s="5"/>
      <c r="L64" s="6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</row>
    <row r="65" spans="1:62">
      <c r="A65" s="14">
        <f t="shared" si="1"/>
        <v>46</v>
      </c>
      <c r="B65" s="7"/>
      <c r="C65" s="3" t="s">
        <v>9</v>
      </c>
      <c r="D65" s="5" t="str">
        <f>"(sum lines "&amp;A61&amp;" - "&amp;A64&amp;")"</f>
        <v>(sum lines 42 - 45)</v>
      </c>
      <c r="E65" s="160">
        <f>SUM(E62:E64)</f>
        <v>8555496</v>
      </c>
      <c r="F65" s="160">
        <f>SUM(F62:F64)</f>
        <v>7840314</v>
      </c>
      <c r="G65" s="160">
        <f>SUM(G62:G64)</f>
        <v>8197905</v>
      </c>
      <c r="H65" s="333"/>
      <c r="I65" s="2"/>
      <c r="J65" s="2"/>
      <c r="K65" s="2"/>
      <c r="L65" s="93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</row>
    <row r="66" spans="1:62">
      <c r="E66" s="334"/>
      <c r="F66" s="334"/>
      <c r="G66" s="334"/>
      <c r="H66" s="334"/>
    </row>
    <row r="67" spans="1:62">
      <c r="E67" s="334"/>
      <c r="F67" s="334"/>
      <c r="G67" s="334"/>
      <c r="H67" s="334"/>
    </row>
    <row r="68" spans="1:62" ht="15.75">
      <c r="B68" s="374" t="s">
        <v>468</v>
      </c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</row>
    <row r="69" spans="1:62">
      <c r="B69" s="370"/>
      <c r="C69" s="370" t="s">
        <v>469</v>
      </c>
      <c r="D69" s="370"/>
      <c r="E69" s="372">
        <v>35073403</v>
      </c>
      <c r="F69" s="372">
        <v>35281840</v>
      </c>
      <c r="G69" s="372">
        <v>35456602</v>
      </c>
      <c r="H69" s="372">
        <v>35661411</v>
      </c>
      <c r="I69" s="372">
        <v>35773968</v>
      </c>
      <c r="J69" s="372">
        <v>35984213</v>
      </c>
      <c r="K69" s="372">
        <v>36201883</v>
      </c>
      <c r="L69" s="372">
        <v>36409293</v>
      </c>
      <c r="M69" s="372">
        <v>36614869</v>
      </c>
      <c r="N69" s="372">
        <v>36844351</v>
      </c>
      <c r="O69" s="372">
        <v>37050686</v>
      </c>
      <c r="P69" s="372">
        <v>37263998</v>
      </c>
      <c r="Q69" s="372">
        <v>37460156</v>
      </c>
      <c r="R69" s="372">
        <f t="shared" ref="R69:R79" si="14">AVERAGE(E69:Q69)</f>
        <v>36236667.153846152</v>
      </c>
    </row>
    <row r="70" spans="1:62">
      <c r="B70" s="370"/>
      <c r="C70" s="370" t="s">
        <v>470</v>
      </c>
      <c r="D70" s="370"/>
      <c r="E70" s="372">
        <v>1092614.2383009992</v>
      </c>
      <c r="F70" s="375">
        <v>1098411.9016509992</v>
      </c>
      <c r="G70" s="375">
        <v>1104209.7551509992</v>
      </c>
      <c r="H70" s="375">
        <v>1110009.7476509991</v>
      </c>
      <c r="I70" s="375">
        <v>1115806.3618509991</v>
      </c>
      <c r="J70" s="375">
        <v>1121602.9761009989</v>
      </c>
      <c r="K70" s="375">
        <v>1127399.5904009989</v>
      </c>
      <c r="L70" s="375">
        <v>1133196.204650999</v>
      </c>
      <c r="M70" s="375">
        <v>1138992.8189009991</v>
      </c>
      <c r="N70" s="375">
        <v>1144789.4331009991</v>
      </c>
      <c r="O70" s="375">
        <v>1150586.047350999</v>
      </c>
      <c r="P70" s="375">
        <v>1156458.7738009989</v>
      </c>
      <c r="Q70" s="375">
        <v>1162344.1969009989</v>
      </c>
      <c r="R70" s="372">
        <f t="shared" si="14"/>
        <v>1127417.0804471527</v>
      </c>
    </row>
    <row r="71" spans="1:62">
      <c r="B71" s="370"/>
      <c r="C71" s="370" t="s">
        <v>471</v>
      </c>
      <c r="D71" s="370"/>
      <c r="E71" s="372">
        <f>E69+E70</f>
        <v>36166017.238301001</v>
      </c>
      <c r="F71" s="372">
        <f t="shared" ref="F71:Q71" si="15">F69+F70</f>
        <v>36380251.901651002</v>
      </c>
      <c r="G71" s="372">
        <f t="shared" si="15"/>
        <v>36560811.755150996</v>
      </c>
      <c r="H71" s="372">
        <f t="shared" si="15"/>
        <v>36771420.747650996</v>
      </c>
      <c r="I71" s="372">
        <f t="shared" si="15"/>
        <v>36889774.361850999</v>
      </c>
      <c r="J71" s="372">
        <f t="shared" si="15"/>
        <v>37105815.976100996</v>
      </c>
      <c r="K71" s="372">
        <f t="shared" si="15"/>
        <v>37329282.590401001</v>
      </c>
      <c r="L71" s="372">
        <f t="shared" si="15"/>
        <v>37542489.204650998</v>
      </c>
      <c r="M71" s="372">
        <f t="shared" si="15"/>
        <v>37753861.818901002</v>
      </c>
      <c r="N71" s="372">
        <f t="shared" si="15"/>
        <v>37989140.433100998</v>
      </c>
      <c r="O71" s="372">
        <f t="shared" si="15"/>
        <v>38201272.047351003</v>
      </c>
      <c r="P71" s="372">
        <f t="shared" si="15"/>
        <v>38420456.773800999</v>
      </c>
      <c r="Q71" s="372">
        <f t="shared" si="15"/>
        <v>38622500.196901001</v>
      </c>
      <c r="R71" s="372">
        <f t="shared" si="14"/>
        <v>37364084.234293312</v>
      </c>
    </row>
    <row r="72" spans="1:62"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</row>
    <row r="73" spans="1:62">
      <c r="B73" s="370"/>
      <c r="C73" s="370" t="s">
        <v>472</v>
      </c>
      <c r="D73" s="370"/>
      <c r="E73" s="372">
        <v>17633393</v>
      </c>
      <c r="F73" s="372">
        <v>17766768.190000001</v>
      </c>
      <c r="G73" s="372">
        <v>17723217.760000002</v>
      </c>
      <c r="H73" s="372">
        <v>16342588.25</v>
      </c>
      <c r="I73" s="372">
        <v>16313786.75</v>
      </c>
      <c r="J73" s="372">
        <v>16477682.609999999</v>
      </c>
      <c r="K73" s="372">
        <v>16223952.629999999</v>
      </c>
      <c r="L73" s="372">
        <v>15967239.23</v>
      </c>
      <c r="M73" s="372">
        <v>16041137.83</v>
      </c>
      <c r="N73" s="372">
        <v>16176110.43</v>
      </c>
      <c r="O73" s="372">
        <v>16303942.029999999</v>
      </c>
      <c r="P73" s="372">
        <v>16254809.220000001</v>
      </c>
      <c r="Q73" s="372">
        <v>16469869.120000001</v>
      </c>
      <c r="R73" s="372">
        <f t="shared" si="14"/>
        <v>16591884.38846154</v>
      </c>
    </row>
    <row r="74" spans="1:62">
      <c r="B74" s="370"/>
      <c r="C74" s="370" t="s">
        <v>473</v>
      </c>
      <c r="D74" s="370"/>
      <c r="E74" s="372">
        <v>4032755.4570900793</v>
      </c>
      <c r="F74" s="372">
        <v>4100706.793331746</v>
      </c>
      <c r="G74" s="372">
        <v>4169020.2496567462</v>
      </c>
      <c r="H74" s="372">
        <v>4233948.8692400791</v>
      </c>
      <c r="I74" s="372">
        <v>4298690.3740817457</v>
      </c>
      <c r="J74" s="372">
        <v>4363900.4114734121</v>
      </c>
      <c r="K74" s="372">
        <v>4428064.3880234119</v>
      </c>
      <c r="L74" s="372">
        <v>4491622.6637817454</v>
      </c>
      <c r="M74" s="372">
        <v>4555348.2221150789</v>
      </c>
      <c r="N74" s="372">
        <v>4618815.2555817459</v>
      </c>
      <c r="O74" s="372">
        <v>4682542.9706234122</v>
      </c>
      <c r="P74" s="372">
        <v>4755468.2938484121</v>
      </c>
      <c r="Q74" s="372">
        <v>4829044.7774567455</v>
      </c>
      <c r="R74" s="372">
        <f t="shared" si="14"/>
        <v>4427686.8251003344</v>
      </c>
    </row>
    <row r="75" spans="1:62">
      <c r="B75" s="370"/>
      <c r="C75" s="370" t="s">
        <v>474</v>
      </c>
      <c r="D75" s="370"/>
      <c r="E75" s="372">
        <f>E73+E74</f>
        <v>21666148.45709008</v>
      </c>
      <c r="F75" s="372">
        <f t="shared" ref="F75:Q75" si="16">F73+F74</f>
        <v>21867474.983331747</v>
      </c>
      <c r="G75" s="372">
        <f t="shared" si="16"/>
        <v>21892238.00965675</v>
      </c>
      <c r="H75" s="372">
        <f t="shared" si="16"/>
        <v>20576537.119240079</v>
      </c>
      <c r="I75" s="372">
        <f t="shared" si="16"/>
        <v>20612477.124081746</v>
      </c>
      <c r="J75" s="372">
        <f t="shared" si="16"/>
        <v>20841583.021473411</v>
      </c>
      <c r="K75" s="372">
        <f t="shared" si="16"/>
        <v>20652017.018023409</v>
      </c>
      <c r="L75" s="372">
        <f t="shared" si="16"/>
        <v>20458861.893781744</v>
      </c>
      <c r="M75" s="372">
        <f t="shared" si="16"/>
        <v>20596486.052115079</v>
      </c>
      <c r="N75" s="372">
        <f t="shared" si="16"/>
        <v>20794925.685581744</v>
      </c>
      <c r="O75" s="372">
        <f t="shared" si="16"/>
        <v>20986485.000623412</v>
      </c>
      <c r="P75" s="372">
        <f t="shared" si="16"/>
        <v>21010277.513848413</v>
      </c>
      <c r="Q75" s="372">
        <f t="shared" si="16"/>
        <v>21298913.897456747</v>
      </c>
      <c r="R75" s="372">
        <f t="shared" si="14"/>
        <v>21019571.213561874</v>
      </c>
    </row>
    <row r="76" spans="1:62">
      <c r="B76" s="370"/>
      <c r="C76" s="370"/>
      <c r="D76" s="370"/>
      <c r="E76" s="372"/>
      <c r="F76" s="372"/>
      <c r="G76" s="372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</row>
    <row r="77" spans="1:62">
      <c r="B77" s="370"/>
      <c r="C77" s="370" t="s">
        <v>475</v>
      </c>
      <c r="D77" s="370"/>
      <c r="E77" s="372">
        <v>1612073</v>
      </c>
      <c r="F77" s="372">
        <v>1645860.81</v>
      </c>
      <c r="G77" s="372">
        <v>1679649.24</v>
      </c>
      <c r="H77" s="372">
        <v>1673742.75</v>
      </c>
      <c r="I77" s="372">
        <v>1707404.25</v>
      </c>
      <c r="J77" s="372">
        <v>1741085.39</v>
      </c>
      <c r="K77" s="372">
        <v>1703741.37</v>
      </c>
      <c r="L77" s="372">
        <v>1737092.77</v>
      </c>
      <c r="M77" s="372">
        <v>1770444.17</v>
      </c>
      <c r="N77" s="372">
        <v>1803795.57</v>
      </c>
      <c r="O77" s="372">
        <v>1837146.97</v>
      </c>
      <c r="P77" s="372">
        <v>1870510.78</v>
      </c>
      <c r="Q77" s="372">
        <v>1904067.88</v>
      </c>
      <c r="R77" s="372">
        <f t="shared" si="14"/>
        <v>1745124.2269230767</v>
      </c>
    </row>
    <row r="78" spans="1:62">
      <c r="B78" s="370"/>
      <c r="C78" s="370" t="s">
        <v>476</v>
      </c>
      <c r="D78" s="370"/>
      <c r="E78" s="372">
        <v>838265.98767333326</v>
      </c>
      <c r="F78" s="372">
        <v>849795.37956499995</v>
      </c>
      <c r="G78" s="372">
        <v>861324.77145666664</v>
      </c>
      <c r="H78" s="372">
        <v>872806.62663166667</v>
      </c>
      <c r="I78" s="372">
        <v>884288.48180666671</v>
      </c>
      <c r="J78" s="372">
        <v>895782.31745666673</v>
      </c>
      <c r="K78" s="372">
        <v>907169.55600666674</v>
      </c>
      <c r="L78" s="372">
        <v>918556.79455666675</v>
      </c>
      <c r="M78" s="372">
        <v>929944.03310666676</v>
      </c>
      <c r="N78" s="372">
        <v>941331.27165666677</v>
      </c>
      <c r="O78" s="372">
        <v>952718.51020666678</v>
      </c>
      <c r="P78" s="372">
        <v>964115.22713166673</v>
      </c>
      <c r="Q78" s="372">
        <v>975648.20664000011</v>
      </c>
      <c r="R78" s="372">
        <f t="shared" si="14"/>
        <v>907057.47414576926</v>
      </c>
    </row>
    <row r="79" spans="1:62">
      <c r="B79" s="370"/>
      <c r="C79" s="370" t="s">
        <v>477</v>
      </c>
      <c r="D79" s="370"/>
      <c r="E79" s="372">
        <f t="shared" ref="E79:Q79" si="17">E77+E78</f>
        <v>2450338.9876733334</v>
      </c>
      <c r="F79" s="372">
        <f t="shared" si="17"/>
        <v>2495656.1895650001</v>
      </c>
      <c r="G79" s="372">
        <f t="shared" si="17"/>
        <v>2540974.0114566665</v>
      </c>
      <c r="H79" s="372">
        <f t="shared" si="17"/>
        <v>2546549.3766316669</v>
      </c>
      <c r="I79" s="372">
        <f t="shared" si="17"/>
        <v>2591692.7318066666</v>
      </c>
      <c r="J79" s="372">
        <f t="shared" si="17"/>
        <v>2636867.7074566665</v>
      </c>
      <c r="K79" s="372">
        <f t="shared" si="17"/>
        <v>2610910.9260066669</v>
      </c>
      <c r="L79" s="372">
        <f t="shared" si="17"/>
        <v>2655649.5645566666</v>
      </c>
      <c r="M79" s="372">
        <f t="shared" si="17"/>
        <v>2700388.2031066669</v>
      </c>
      <c r="N79" s="372">
        <f t="shared" si="17"/>
        <v>2745126.8416566667</v>
      </c>
      <c r="O79" s="372">
        <f t="shared" si="17"/>
        <v>2789865.4802066665</v>
      </c>
      <c r="P79" s="372">
        <f t="shared" si="17"/>
        <v>2834626.0071316669</v>
      </c>
      <c r="Q79" s="372">
        <f t="shared" si="17"/>
        <v>2879716.0866399999</v>
      </c>
      <c r="R79" s="372">
        <f t="shared" si="14"/>
        <v>2652181.701068846</v>
      </c>
    </row>
    <row r="80" spans="1:62">
      <c r="B80" s="370"/>
      <c r="C80" s="370"/>
      <c r="D80" s="370"/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70"/>
      <c r="P80" s="370"/>
      <c r="Q80" s="370"/>
      <c r="R80" s="370"/>
    </row>
    <row r="81" spans="2:18">
      <c r="B81" s="370"/>
      <c r="C81" s="370"/>
      <c r="D81" s="370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0"/>
    </row>
  </sheetData>
  <mergeCells count="6">
    <mergeCell ref="A4:I4"/>
    <mergeCell ref="A5:I5"/>
    <mergeCell ref="A7:I7"/>
    <mergeCell ref="J4:R4"/>
    <mergeCell ref="J5:R5"/>
    <mergeCell ref="J7:R7"/>
  </mergeCells>
  <phoneticPr fontId="21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2015 BHP Attachment H Transmission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CC"/>
    <pageSetUpPr fitToPage="1"/>
  </sheetPr>
  <dimension ref="A1:L206"/>
  <sheetViews>
    <sheetView zoomScaleNormal="100" workbookViewId="0">
      <selection activeCell="C6" sqref="C6"/>
    </sheetView>
  </sheetViews>
  <sheetFormatPr defaultColWidth="7.109375" defaultRowHeight="12.75"/>
  <cols>
    <col min="1" max="1" width="4.77734375" style="70" customWidth="1"/>
    <col min="2" max="2" width="15.6640625" style="70" customWidth="1"/>
    <col min="3" max="3" width="7.109375" style="70" customWidth="1"/>
    <col min="4" max="4" width="8.77734375" style="70" customWidth="1"/>
    <col min="5" max="5" width="7.88671875" style="70" customWidth="1"/>
    <col min="6" max="6" width="7.6640625" style="70" customWidth="1"/>
    <col min="7" max="7" width="10.33203125" style="70" customWidth="1"/>
    <col min="8" max="8" width="13" style="70" customWidth="1"/>
    <col min="9" max="9" width="11.77734375" style="70" customWidth="1"/>
    <col min="10" max="10" width="11.21875" style="70" customWidth="1"/>
    <col min="11" max="11" width="8" style="70" customWidth="1"/>
    <col min="12" max="16384" width="7.109375" style="70"/>
  </cols>
  <sheetData>
    <row r="1" spans="1:11">
      <c r="K1" s="64"/>
    </row>
    <row r="2" spans="1:11">
      <c r="B2" s="39"/>
      <c r="C2" s="40"/>
      <c r="D2" s="40"/>
      <c r="E2" s="40"/>
      <c r="F2" s="40"/>
      <c r="G2" s="40"/>
      <c r="H2" s="40"/>
      <c r="J2" s="350" t="str">
        <f>+'CU AC Rate Design - True-Up'!H1</f>
        <v>Date: May 31, 2016</v>
      </c>
    </row>
    <row r="3" spans="1:11" ht="15" customHeight="1">
      <c r="A3" s="377" t="s">
        <v>363</v>
      </c>
      <c r="B3" s="377"/>
      <c r="C3" s="377"/>
      <c r="D3" s="377"/>
      <c r="E3" s="377"/>
      <c r="F3" s="377"/>
      <c r="G3" s="377"/>
      <c r="H3" s="377"/>
      <c r="I3" s="377"/>
      <c r="J3" s="377"/>
    </row>
    <row r="4" spans="1:11" ht="15" customHeight="1">
      <c r="A4" s="377" t="s">
        <v>80</v>
      </c>
      <c r="B4" s="377"/>
      <c r="C4" s="377"/>
      <c r="D4" s="377"/>
      <c r="E4" s="377"/>
      <c r="F4" s="377"/>
      <c r="G4" s="377"/>
      <c r="H4" s="377"/>
      <c r="I4" s="377"/>
      <c r="J4" s="377"/>
    </row>
    <row r="5" spans="1:11">
      <c r="B5" s="39"/>
      <c r="C5" s="40"/>
      <c r="D5" s="65"/>
      <c r="E5" s="40"/>
      <c r="G5" s="40"/>
      <c r="H5" s="40"/>
      <c r="I5" s="40"/>
      <c r="J5" s="40"/>
    </row>
    <row r="6" spans="1:11" ht="18.75">
      <c r="A6" s="147" t="s">
        <v>199</v>
      </c>
      <c r="B6" s="39"/>
      <c r="C6" s="40"/>
      <c r="D6" s="387" t="s">
        <v>425</v>
      </c>
      <c r="E6" s="388"/>
      <c r="F6" s="388"/>
      <c r="G6" s="388"/>
      <c r="H6" s="389"/>
      <c r="I6" s="40"/>
      <c r="J6" s="40"/>
    </row>
    <row r="7" spans="1:11" ht="13.5" thickBot="1">
      <c r="A7" s="148" t="s">
        <v>200</v>
      </c>
    </row>
    <row r="8" spans="1:11" ht="15">
      <c r="A8" s="145">
        <v>1</v>
      </c>
      <c r="B8" s="68"/>
      <c r="C8" s="69"/>
      <c r="D8" s="110" t="s">
        <v>72</v>
      </c>
      <c r="E8" s="96" t="s">
        <v>97</v>
      </c>
      <c r="F8" s="96" t="s">
        <v>98</v>
      </c>
      <c r="G8" s="97" t="s">
        <v>99</v>
      </c>
      <c r="H8" s="110" t="s">
        <v>142</v>
      </c>
      <c r="I8" s="110" t="s">
        <v>1</v>
      </c>
      <c r="J8" s="96" t="s">
        <v>329</v>
      </c>
      <c r="K8"/>
    </row>
    <row r="9" spans="1:11" ht="15">
      <c r="A9" s="145">
        <f>A8+1</f>
        <v>2</v>
      </c>
      <c r="B9" s="71"/>
      <c r="C9" s="72"/>
      <c r="D9" s="98" t="s">
        <v>329</v>
      </c>
      <c r="E9" s="98" t="s">
        <v>329</v>
      </c>
      <c r="F9" s="98" t="s">
        <v>100</v>
      </c>
      <c r="G9" s="99" t="s">
        <v>101</v>
      </c>
      <c r="H9" s="100" t="s">
        <v>143</v>
      </c>
      <c r="I9" s="100" t="s">
        <v>2</v>
      </c>
      <c r="J9" s="100" t="s">
        <v>112</v>
      </c>
      <c r="K9"/>
    </row>
    <row r="10" spans="1:11" ht="15.75" thickBot="1">
      <c r="A10" s="145">
        <f t="shared" ref="A10:A47" si="0">A9+1</f>
        <v>3</v>
      </c>
      <c r="B10" s="73"/>
      <c r="C10" s="74"/>
      <c r="D10" s="101" t="s">
        <v>102</v>
      </c>
      <c r="E10" s="98" t="s">
        <v>102</v>
      </c>
      <c r="F10" s="101" t="s">
        <v>102</v>
      </c>
      <c r="G10" s="102" t="s">
        <v>102</v>
      </c>
      <c r="H10" s="111" t="s">
        <v>102</v>
      </c>
      <c r="I10" s="111" t="s">
        <v>102</v>
      </c>
      <c r="J10" s="100" t="s">
        <v>113</v>
      </c>
      <c r="K10"/>
    </row>
    <row r="11" spans="1:11" ht="15">
      <c r="A11" s="145">
        <f t="shared" si="0"/>
        <v>4</v>
      </c>
      <c r="B11" s="112" t="s">
        <v>162</v>
      </c>
      <c r="C11" s="113"/>
      <c r="D11" s="251">
        <v>305</v>
      </c>
      <c r="E11" s="252">
        <v>376</v>
      </c>
      <c r="F11" s="253">
        <v>2</v>
      </c>
      <c r="G11" s="252">
        <v>57</v>
      </c>
      <c r="H11" s="311">
        <v>140</v>
      </c>
      <c r="I11" s="308">
        <v>80</v>
      </c>
      <c r="J11" s="96">
        <f>SUM(D11:I11)</f>
        <v>960</v>
      </c>
      <c r="K11"/>
    </row>
    <row r="12" spans="1:11" ht="15">
      <c r="A12" s="145">
        <f t="shared" si="0"/>
        <v>5</v>
      </c>
      <c r="B12" s="112" t="s">
        <v>182</v>
      </c>
      <c r="C12" s="114"/>
      <c r="D12" s="254">
        <v>283</v>
      </c>
      <c r="E12" s="255">
        <v>372</v>
      </c>
      <c r="F12" s="256">
        <v>2</v>
      </c>
      <c r="G12" s="255">
        <v>55</v>
      </c>
      <c r="H12" s="312">
        <v>140</v>
      </c>
      <c r="I12" s="309">
        <v>80</v>
      </c>
      <c r="J12" s="98">
        <f t="shared" ref="J12:J21" si="1">SUM(D12:I12)</f>
        <v>932</v>
      </c>
      <c r="K12"/>
    </row>
    <row r="13" spans="1:11" ht="15">
      <c r="A13" s="145">
        <f t="shared" si="0"/>
        <v>6</v>
      </c>
      <c r="B13" s="112" t="s">
        <v>183</v>
      </c>
      <c r="C13" s="114"/>
      <c r="D13" s="254">
        <v>273</v>
      </c>
      <c r="E13" s="255">
        <v>367</v>
      </c>
      <c r="F13" s="256">
        <v>3</v>
      </c>
      <c r="G13" s="255">
        <v>49</v>
      </c>
      <c r="H13" s="312">
        <v>140</v>
      </c>
      <c r="I13" s="309">
        <v>80</v>
      </c>
      <c r="J13" s="98">
        <f t="shared" si="1"/>
        <v>912</v>
      </c>
      <c r="K13"/>
    </row>
    <row r="14" spans="1:11" ht="15">
      <c r="A14" s="145">
        <f t="shared" si="0"/>
        <v>7</v>
      </c>
      <c r="B14" s="112" t="s">
        <v>193</v>
      </c>
      <c r="C14" s="114"/>
      <c r="D14" s="254">
        <v>227</v>
      </c>
      <c r="E14" s="255">
        <v>341</v>
      </c>
      <c r="F14" s="256">
        <v>2</v>
      </c>
      <c r="G14" s="255">
        <v>35</v>
      </c>
      <c r="H14" s="312">
        <v>140</v>
      </c>
      <c r="I14" s="309">
        <v>80</v>
      </c>
      <c r="J14" s="98">
        <f t="shared" si="1"/>
        <v>825</v>
      </c>
      <c r="K14"/>
    </row>
    <row r="15" spans="1:11" ht="15">
      <c r="A15" s="145">
        <f t="shared" si="0"/>
        <v>8</v>
      </c>
      <c r="B15" s="112" t="s">
        <v>194</v>
      </c>
      <c r="C15" s="114"/>
      <c r="D15" s="254">
        <v>223</v>
      </c>
      <c r="E15" s="255">
        <v>316</v>
      </c>
      <c r="F15" s="256">
        <v>2</v>
      </c>
      <c r="G15" s="255">
        <v>38</v>
      </c>
      <c r="H15" s="312">
        <v>140</v>
      </c>
      <c r="I15" s="309">
        <v>80</v>
      </c>
      <c r="J15" s="98">
        <f t="shared" si="1"/>
        <v>799</v>
      </c>
      <c r="K15"/>
    </row>
    <row r="16" spans="1:11" ht="15">
      <c r="A16" s="145">
        <f t="shared" si="0"/>
        <v>9</v>
      </c>
      <c r="B16" s="112" t="s">
        <v>195</v>
      </c>
      <c r="C16" s="114"/>
      <c r="D16" s="254">
        <v>270</v>
      </c>
      <c r="E16" s="255">
        <v>289</v>
      </c>
      <c r="F16" s="256">
        <v>3</v>
      </c>
      <c r="G16" s="255">
        <v>45</v>
      </c>
      <c r="H16" s="312">
        <v>130</v>
      </c>
      <c r="I16" s="309">
        <v>80</v>
      </c>
      <c r="J16" s="98">
        <f t="shared" si="1"/>
        <v>817</v>
      </c>
      <c r="K16"/>
    </row>
    <row r="17" spans="1:12" ht="15">
      <c r="A17" s="145">
        <f t="shared" si="0"/>
        <v>10</v>
      </c>
      <c r="B17" s="112" t="s">
        <v>184</v>
      </c>
      <c r="C17" s="114"/>
      <c r="D17" s="254">
        <v>328</v>
      </c>
      <c r="E17" s="255">
        <v>285</v>
      </c>
      <c r="F17" s="256">
        <v>3</v>
      </c>
      <c r="G17" s="255">
        <v>64</v>
      </c>
      <c r="H17" s="312">
        <v>130</v>
      </c>
      <c r="I17" s="309">
        <v>80</v>
      </c>
      <c r="J17" s="98">
        <f t="shared" si="1"/>
        <v>890</v>
      </c>
      <c r="K17"/>
    </row>
    <row r="18" spans="1:12" ht="15">
      <c r="A18" s="145">
        <f t="shared" si="0"/>
        <v>11</v>
      </c>
      <c r="B18" s="112" t="s">
        <v>159</v>
      </c>
      <c r="C18" s="114"/>
      <c r="D18" s="254">
        <v>342</v>
      </c>
      <c r="E18" s="255">
        <v>298</v>
      </c>
      <c r="F18" s="256">
        <v>4</v>
      </c>
      <c r="G18" s="255">
        <v>72</v>
      </c>
      <c r="H18" s="312">
        <v>130</v>
      </c>
      <c r="I18" s="309">
        <v>80</v>
      </c>
      <c r="J18" s="98">
        <f t="shared" si="1"/>
        <v>926</v>
      </c>
      <c r="K18"/>
    </row>
    <row r="19" spans="1:12" ht="15">
      <c r="A19" s="145">
        <f t="shared" si="0"/>
        <v>12</v>
      </c>
      <c r="B19" s="112" t="s">
        <v>185</v>
      </c>
      <c r="C19" s="114"/>
      <c r="D19" s="254">
        <v>316</v>
      </c>
      <c r="E19" s="255">
        <v>301</v>
      </c>
      <c r="F19" s="256">
        <v>4</v>
      </c>
      <c r="G19" s="255">
        <v>62</v>
      </c>
      <c r="H19" s="312">
        <v>130</v>
      </c>
      <c r="I19" s="309">
        <v>80</v>
      </c>
      <c r="J19" s="98">
        <f t="shared" si="1"/>
        <v>893</v>
      </c>
      <c r="K19"/>
    </row>
    <row r="20" spans="1:12" ht="15">
      <c r="A20" s="145">
        <f t="shared" si="0"/>
        <v>13</v>
      </c>
      <c r="B20" s="112" t="s">
        <v>160</v>
      </c>
      <c r="C20" s="114"/>
      <c r="D20" s="254">
        <v>254</v>
      </c>
      <c r="E20" s="255">
        <v>294</v>
      </c>
      <c r="F20" s="256">
        <v>2</v>
      </c>
      <c r="G20" s="255">
        <v>39</v>
      </c>
      <c r="H20" s="312">
        <v>130</v>
      </c>
      <c r="I20" s="309">
        <v>80</v>
      </c>
      <c r="J20" s="98">
        <f t="shared" si="1"/>
        <v>799</v>
      </c>
      <c r="K20"/>
    </row>
    <row r="21" spans="1:12" ht="15">
      <c r="A21" s="145">
        <f t="shared" si="0"/>
        <v>14</v>
      </c>
      <c r="B21" s="112" t="s">
        <v>161</v>
      </c>
      <c r="C21" s="114"/>
      <c r="D21" s="254">
        <v>265</v>
      </c>
      <c r="E21" s="255">
        <v>355</v>
      </c>
      <c r="F21" s="256">
        <v>2</v>
      </c>
      <c r="G21" s="255">
        <v>52</v>
      </c>
      <c r="H21" s="312">
        <v>130</v>
      </c>
      <c r="I21" s="309">
        <v>80</v>
      </c>
      <c r="J21" s="98">
        <f t="shared" si="1"/>
        <v>884</v>
      </c>
      <c r="K21"/>
    </row>
    <row r="22" spans="1:12" ht="15.75" thickBot="1">
      <c r="A22" s="145">
        <f t="shared" si="0"/>
        <v>15</v>
      </c>
      <c r="B22" s="115" t="s">
        <v>186</v>
      </c>
      <c r="C22" s="116"/>
      <c r="D22" s="257">
        <v>286</v>
      </c>
      <c r="E22" s="258">
        <v>313</v>
      </c>
      <c r="F22" s="259">
        <v>2</v>
      </c>
      <c r="G22" s="258">
        <v>56</v>
      </c>
      <c r="H22" s="259">
        <v>130</v>
      </c>
      <c r="I22" s="310">
        <v>80</v>
      </c>
      <c r="J22" s="101">
        <f>SUM(D22:I22)</f>
        <v>867</v>
      </c>
      <c r="K22"/>
    </row>
    <row r="23" spans="1:12" ht="15.75" thickBot="1">
      <c r="A23" s="145">
        <f t="shared" si="0"/>
        <v>16</v>
      </c>
      <c r="B23" s="76"/>
      <c r="C23" s="75"/>
      <c r="D23" s="313"/>
      <c r="E23" s="313"/>
      <c r="F23" s="313"/>
      <c r="G23" s="255"/>
      <c r="H23" s="312"/>
      <c r="I23" s="101"/>
      <c r="J23" s="103"/>
      <c r="K23"/>
    </row>
    <row r="24" spans="1:12" ht="15.75" thickBot="1">
      <c r="A24" s="145">
        <f t="shared" si="0"/>
        <v>17</v>
      </c>
      <c r="B24" s="80" t="s">
        <v>121</v>
      </c>
      <c r="C24" s="77"/>
      <c r="D24" s="314">
        <f t="shared" ref="D24:J24" si="2">SUM(D11:D22)/12</f>
        <v>281</v>
      </c>
      <c r="E24" s="314">
        <f t="shared" si="2"/>
        <v>325.58333333333331</v>
      </c>
      <c r="F24" s="314">
        <f t="shared" si="2"/>
        <v>2.5833333333333335</v>
      </c>
      <c r="G24" s="314">
        <f t="shared" si="2"/>
        <v>52</v>
      </c>
      <c r="H24" s="314">
        <f>SUM(H11:H22)/12</f>
        <v>134.16666666666666</v>
      </c>
      <c r="I24" s="104">
        <f t="shared" si="2"/>
        <v>80</v>
      </c>
      <c r="J24" s="104">
        <f t="shared" si="2"/>
        <v>875.33333333333337</v>
      </c>
      <c r="K24"/>
    </row>
    <row r="25" spans="1:12">
      <c r="A25" s="145">
        <f t="shared" si="0"/>
        <v>18</v>
      </c>
      <c r="D25" s="315"/>
      <c r="E25" s="315"/>
      <c r="F25" s="315"/>
      <c r="G25" s="315"/>
      <c r="H25" s="315"/>
    </row>
    <row r="26" spans="1:12" ht="18.75">
      <c r="A26" s="145">
        <f t="shared" si="0"/>
        <v>19</v>
      </c>
      <c r="B26" s="39"/>
      <c r="C26" s="40"/>
      <c r="D26" s="390" t="s">
        <v>426</v>
      </c>
      <c r="E26" s="391"/>
      <c r="F26" s="391"/>
      <c r="G26" s="391"/>
      <c r="H26" s="392"/>
      <c r="I26" s="40"/>
    </row>
    <row r="27" spans="1:12" ht="13.5" thickBot="1">
      <c r="A27" s="145">
        <f t="shared" si="0"/>
        <v>20</v>
      </c>
      <c r="D27" s="315"/>
      <c r="E27" s="315"/>
      <c r="F27" s="315"/>
      <c r="G27" s="315"/>
      <c r="H27" s="315"/>
    </row>
    <row r="28" spans="1:12">
      <c r="A28" s="145">
        <f t="shared" si="0"/>
        <v>21</v>
      </c>
      <c r="B28" s="68"/>
      <c r="C28" s="69"/>
      <c r="D28" s="316" t="s">
        <v>72</v>
      </c>
      <c r="E28" s="252" t="s">
        <v>97</v>
      </c>
      <c r="F28" s="252" t="s">
        <v>98</v>
      </c>
      <c r="G28" s="311" t="s">
        <v>99</v>
      </c>
      <c r="H28" s="316" t="s">
        <v>142</v>
      </c>
      <c r="I28" s="110" t="s">
        <v>1</v>
      </c>
      <c r="J28" s="96" t="s">
        <v>329</v>
      </c>
    </row>
    <row r="29" spans="1:12">
      <c r="A29" s="145">
        <f t="shared" si="0"/>
        <v>22</v>
      </c>
      <c r="B29" s="71"/>
      <c r="C29" s="72"/>
      <c r="D29" s="255" t="s">
        <v>329</v>
      </c>
      <c r="E29" s="255" t="s">
        <v>329</v>
      </c>
      <c r="F29" s="255" t="s">
        <v>100</v>
      </c>
      <c r="G29" s="312" t="s">
        <v>101</v>
      </c>
      <c r="H29" s="317" t="s">
        <v>143</v>
      </c>
      <c r="I29" s="100" t="s">
        <v>2</v>
      </c>
      <c r="J29" s="100" t="s">
        <v>112</v>
      </c>
    </row>
    <row r="30" spans="1:12" ht="13.5" thickBot="1">
      <c r="A30" s="145">
        <f t="shared" si="0"/>
        <v>23</v>
      </c>
      <c r="B30" s="73"/>
      <c r="C30" s="74"/>
      <c r="D30" s="258" t="s">
        <v>102</v>
      </c>
      <c r="E30" s="255" t="s">
        <v>102</v>
      </c>
      <c r="F30" s="258" t="s">
        <v>102</v>
      </c>
      <c r="G30" s="318" t="s">
        <v>102</v>
      </c>
      <c r="H30" s="319" t="s">
        <v>102</v>
      </c>
      <c r="I30" s="111" t="s">
        <v>102</v>
      </c>
      <c r="J30" s="111" t="s">
        <v>113</v>
      </c>
    </row>
    <row r="31" spans="1:12">
      <c r="A31" s="145">
        <f t="shared" si="0"/>
        <v>24</v>
      </c>
      <c r="B31" s="112" t="s">
        <v>162</v>
      </c>
      <c r="C31" s="113"/>
      <c r="D31" s="251">
        <v>312</v>
      </c>
      <c r="E31" s="342">
        <v>378.6</v>
      </c>
      <c r="F31" s="253">
        <v>2</v>
      </c>
      <c r="G31" s="252">
        <v>62</v>
      </c>
      <c r="H31" s="311">
        <v>140</v>
      </c>
      <c r="I31" s="308">
        <v>80</v>
      </c>
      <c r="J31" s="345">
        <f t="shared" ref="J31:J42" si="3">SUM(D31:I31)</f>
        <v>974.6</v>
      </c>
      <c r="K31" s="75"/>
      <c r="L31" s="82"/>
    </row>
    <row r="32" spans="1:12">
      <c r="A32" s="145">
        <f t="shared" si="0"/>
        <v>25</v>
      </c>
      <c r="B32" s="112" t="s">
        <v>182</v>
      </c>
      <c r="C32" s="114"/>
      <c r="D32" s="254">
        <v>315</v>
      </c>
      <c r="E32" s="343">
        <v>387</v>
      </c>
      <c r="F32" s="256">
        <v>3</v>
      </c>
      <c r="G32" s="255">
        <v>59</v>
      </c>
      <c r="H32" s="312">
        <v>140</v>
      </c>
      <c r="I32" s="309">
        <v>80</v>
      </c>
      <c r="J32" s="346">
        <f t="shared" si="3"/>
        <v>984</v>
      </c>
      <c r="K32" s="75"/>
    </row>
    <row r="33" spans="1:11">
      <c r="A33" s="145">
        <f t="shared" si="0"/>
        <v>26</v>
      </c>
      <c r="B33" s="112" t="s">
        <v>183</v>
      </c>
      <c r="C33" s="114"/>
      <c r="D33" s="254">
        <v>284</v>
      </c>
      <c r="E33" s="343">
        <v>372.6</v>
      </c>
      <c r="F33" s="256">
        <v>3</v>
      </c>
      <c r="G33" s="255">
        <v>56</v>
      </c>
      <c r="H33" s="312">
        <v>140</v>
      </c>
      <c r="I33" s="309">
        <v>80</v>
      </c>
      <c r="J33" s="346">
        <f t="shared" si="3"/>
        <v>935.6</v>
      </c>
      <c r="K33" s="75"/>
    </row>
    <row r="34" spans="1:11">
      <c r="A34" s="145">
        <f t="shared" si="0"/>
        <v>27</v>
      </c>
      <c r="B34" s="112" t="s">
        <v>193</v>
      </c>
      <c r="C34" s="114"/>
      <c r="D34" s="254">
        <v>259</v>
      </c>
      <c r="E34" s="343">
        <v>337.6</v>
      </c>
      <c r="F34" s="256">
        <v>2</v>
      </c>
      <c r="G34" s="255">
        <v>50</v>
      </c>
      <c r="H34" s="312">
        <v>140</v>
      </c>
      <c r="I34" s="309">
        <v>80</v>
      </c>
      <c r="J34" s="346">
        <f t="shared" si="3"/>
        <v>868.6</v>
      </c>
      <c r="K34" s="75"/>
    </row>
    <row r="35" spans="1:11">
      <c r="A35" s="145">
        <f t="shared" si="0"/>
        <v>28</v>
      </c>
      <c r="B35" s="112" t="s">
        <v>194</v>
      </c>
      <c r="C35" s="114"/>
      <c r="D35" s="254">
        <v>268</v>
      </c>
      <c r="E35" s="343">
        <v>322.3</v>
      </c>
      <c r="F35" s="256">
        <v>3</v>
      </c>
      <c r="G35" s="255">
        <v>50</v>
      </c>
      <c r="H35" s="312">
        <v>140</v>
      </c>
      <c r="I35" s="309">
        <v>80</v>
      </c>
      <c r="J35" s="346">
        <f t="shared" si="3"/>
        <v>863.3</v>
      </c>
      <c r="K35" s="75"/>
    </row>
    <row r="36" spans="1:11">
      <c r="A36" s="145">
        <f t="shared" si="0"/>
        <v>29</v>
      </c>
      <c r="B36" s="112" t="s">
        <v>195</v>
      </c>
      <c r="C36" s="114"/>
      <c r="D36" s="254">
        <v>330</v>
      </c>
      <c r="E36" s="343">
        <v>311.89999999999998</v>
      </c>
      <c r="F36" s="256">
        <v>3</v>
      </c>
      <c r="G36" s="255">
        <v>66</v>
      </c>
      <c r="H36" s="312">
        <v>140</v>
      </c>
      <c r="I36" s="309">
        <v>80</v>
      </c>
      <c r="J36" s="346">
        <f t="shared" si="3"/>
        <v>930.9</v>
      </c>
      <c r="K36" s="75"/>
    </row>
    <row r="37" spans="1:11">
      <c r="A37" s="145">
        <f t="shared" si="0"/>
        <v>30</v>
      </c>
      <c r="B37" s="112" t="s">
        <v>184</v>
      </c>
      <c r="C37" s="114"/>
      <c r="D37" s="254">
        <v>357</v>
      </c>
      <c r="E37" s="343">
        <v>328.5</v>
      </c>
      <c r="F37" s="256">
        <v>4</v>
      </c>
      <c r="G37" s="255">
        <v>71</v>
      </c>
      <c r="H37" s="312">
        <v>140</v>
      </c>
      <c r="I37" s="309">
        <v>80</v>
      </c>
      <c r="J37" s="346">
        <f t="shared" si="3"/>
        <v>980.5</v>
      </c>
      <c r="K37" s="75"/>
    </row>
    <row r="38" spans="1:11">
      <c r="A38" s="145">
        <f t="shared" si="0"/>
        <v>31</v>
      </c>
      <c r="B38" s="112" t="s">
        <v>159</v>
      </c>
      <c r="C38" s="114"/>
      <c r="D38" s="254">
        <v>353</v>
      </c>
      <c r="E38" s="343">
        <v>330.5</v>
      </c>
      <c r="F38" s="256">
        <v>4</v>
      </c>
      <c r="G38" s="255">
        <v>72</v>
      </c>
      <c r="H38" s="312">
        <v>140</v>
      </c>
      <c r="I38" s="309">
        <v>80</v>
      </c>
      <c r="J38" s="346">
        <f t="shared" si="3"/>
        <v>979.5</v>
      </c>
      <c r="K38" s="75"/>
    </row>
    <row r="39" spans="1:11">
      <c r="A39" s="145">
        <f t="shared" si="0"/>
        <v>32</v>
      </c>
      <c r="B39" s="112" t="s">
        <v>185</v>
      </c>
      <c r="C39" s="114"/>
      <c r="D39" s="254">
        <v>289</v>
      </c>
      <c r="E39" s="343">
        <v>316</v>
      </c>
      <c r="F39" s="256">
        <v>4</v>
      </c>
      <c r="G39" s="255">
        <v>56</v>
      </c>
      <c r="H39" s="312">
        <v>140</v>
      </c>
      <c r="I39" s="309">
        <v>80</v>
      </c>
      <c r="J39" s="346">
        <f t="shared" si="3"/>
        <v>885</v>
      </c>
      <c r="K39" s="75"/>
    </row>
    <row r="40" spans="1:11">
      <c r="A40" s="145">
        <f t="shared" si="0"/>
        <v>33</v>
      </c>
      <c r="B40" s="112" t="s">
        <v>160</v>
      </c>
      <c r="C40" s="114"/>
      <c r="D40" s="254">
        <v>269</v>
      </c>
      <c r="E40" s="343">
        <v>338.1</v>
      </c>
      <c r="F40" s="256">
        <v>4</v>
      </c>
      <c r="G40" s="255">
        <v>50</v>
      </c>
      <c r="H40" s="312">
        <v>140</v>
      </c>
      <c r="I40" s="309">
        <v>80</v>
      </c>
      <c r="J40" s="346">
        <f t="shared" si="3"/>
        <v>881.1</v>
      </c>
      <c r="K40" s="75"/>
    </row>
    <row r="41" spans="1:11">
      <c r="A41" s="145">
        <f t="shared" si="0"/>
        <v>34</v>
      </c>
      <c r="B41" s="112" t="s">
        <v>161</v>
      </c>
      <c r="C41" s="114"/>
      <c r="D41" s="254">
        <v>289</v>
      </c>
      <c r="E41" s="343">
        <v>365</v>
      </c>
      <c r="F41" s="256">
        <v>2</v>
      </c>
      <c r="G41" s="255">
        <v>59</v>
      </c>
      <c r="H41" s="312">
        <v>140</v>
      </c>
      <c r="I41" s="309">
        <v>80</v>
      </c>
      <c r="J41" s="346">
        <f t="shared" si="3"/>
        <v>935</v>
      </c>
      <c r="K41" s="75"/>
    </row>
    <row r="42" spans="1:11" ht="13.5" thickBot="1">
      <c r="A42" s="145">
        <f t="shared" si="0"/>
        <v>35</v>
      </c>
      <c r="B42" s="115" t="s">
        <v>186</v>
      </c>
      <c r="C42" s="116"/>
      <c r="D42" s="257">
        <v>318</v>
      </c>
      <c r="E42" s="344">
        <v>380.2</v>
      </c>
      <c r="F42" s="259">
        <v>3</v>
      </c>
      <c r="G42" s="258">
        <v>62</v>
      </c>
      <c r="H42" s="259">
        <v>140</v>
      </c>
      <c r="I42" s="310">
        <v>80</v>
      </c>
      <c r="J42" s="347">
        <f t="shared" si="3"/>
        <v>983.2</v>
      </c>
      <c r="K42" s="75"/>
    </row>
    <row r="43" spans="1:11" ht="13.5" thickBot="1">
      <c r="A43" s="145">
        <f t="shared" si="0"/>
        <v>36</v>
      </c>
      <c r="B43" s="76"/>
      <c r="C43" s="75"/>
      <c r="D43" s="103"/>
      <c r="E43" s="103"/>
      <c r="F43" s="103"/>
      <c r="G43" s="98"/>
      <c r="H43" s="99"/>
      <c r="I43" s="101"/>
      <c r="J43" s="348"/>
      <c r="K43" s="75"/>
    </row>
    <row r="44" spans="1:11" ht="13.5" thickBot="1">
      <c r="A44" s="145">
        <f t="shared" si="0"/>
        <v>37</v>
      </c>
      <c r="B44" s="80" t="s">
        <v>121</v>
      </c>
      <c r="C44" s="77"/>
      <c r="D44" s="104">
        <f t="shared" ref="D44:J44" si="4">SUM(D31:D42)/12</f>
        <v>303.58333333333331</v>
      </c>
      <c r="E44" s="104">
        <f t="shared" si="4"/>
        <v>347.35833333333335</v>
      </c>
      <c r="F44" s="104">
        <f t="shared" si="4"/>
        <v>3.0833333333333335</v>
      </c>
      <c r="G44" s="104">
        <f t="shared" si="4"/>
        <v>59.416666666666664</v>
      </c>
      <c r="H44" s="104">
        <f t="shared" si="4"/>
        <v>140</v>
      </c>
      <c r="I44" s="104">
        <f t="shared" si="4"/>
        <v>80</v>
      </c>
      <c r="J44" s="104">
        <f t="shared" si="4"/>
        <v>933.44166666666672</v>
      </c>
      <c r="K44" s="321"/>
    </row>
    <row r="45" spans="1:11">
      <c r="A45" s="145">
        <f t="shared" si="0"/>
        <v>38</v>
      </c>
    </row>
    <row r="46" spans="1:11">
      <c r="A46" s="145">
        <f t="shared" si="0"/>
        <v>39</v>
      </c>
      <c r="B46" s="84" t="s">
        <v>427</v>
      </c>
      <c r="C46" s="82"/>
      <c r="D46" s="78"/>
      <c r="E46" s="78"/>
      <c r="F46" s="78"/>
      <c r="G46" s="183"/>
      <c r="H46" s="183"/>
      <c r="I46" s="79"/>
    </row>
    <row r="47" spans="1:11">
      <c r="A47" s="145">
        <f t="shared" si="0"/>
        <v>40</v>
      </c>
      <c r="B47" s="84" t="s">
        <v>428</v>
      </c>
      <c r="C47" s="82"/>
      <c r="G47" s="183"/>
    </row>
    <row r="48" spans="1:11">
      <c r="A48" s="145"/>
      <c r="B48" s="84"/>
      <c r="D48" s="81"/>
      <c r="E48" s="81"/>
    </row>
    <row r="49" spans="1:7">
      <c r="A49" s="145"/>
      <c r="B49" s="123"/>
      <c r="C49" s="124"/>
      <c r="D49" s="125"/>
      <c r="E49" s="125"/>
      <c r="F49" s="124"/>
      <c r="G49" s="124"/>
    </row>
    <row r="50" spans="1:7">
      <c r="A50" s="145"/>
      <c r="B50" s="81"/>
      <c r="C50" s="81"/>
      <c r="D50" s="81"/>
      <c r="E50" s="81"/>
    </row>
    <row r="51" spans="1:7">
      <c r="A51" s="145"/>
      <c r="B51" s="81"/>
      <c r="C51" s="81"/>
      <c r="D51" s="81"/>
      <c r="E51" s="81"/>
    </row>
    <row r="52" spans="1:7">
      <c r="B52" s="81"/>
      <c r="C52" s="81"/>
      <c r="D52" s="81"/>
      <c r="E52" s="81"/>
    </row>
    <row r="53" spans="1:7">
      <c r="B53" s="81"/>
      <c r="C53" s="81"/>
      <c r="D53" s="81"/>
      <c r="E53" s="81"/>
    </row>
    <row r="54" spans="1:7">
      <c r="B54" s="81"/>
      <c r="C54" s="81"/>
      <c r="D54" s="81"/>
      <c r="E54" s="81"/>
    </row>
    <row r="55" spans="1:7">
      <c r="B55" s="81"/>
      <c r="C55" s="81"/>
      <c r="D55" s="81"/>
      <c r="E55" s="81"/>
    </row>
    <row r="56" spans="1:7">
      <c r="B56" s="81"/>
      <c r="C56" s="81"/>
      <c r="D56" s="81"/>
      <c r="E56" s="81"/>
    </row>
    <row r="57" spans="1:7">
      <c r="B57" s="81"/>
      <c r="C57" s="81"/>
      <c r="D57" s="81"/>
      <c r="E57" s="81"/>
    </row>
    <row r="58" spans="1:7">
      <c r="B58" s="81"/>
      <c r="C58" s="81"/>
      <c r="D58" s="81"/>
      <c r="E58" s="81"/>
    </row>
    <row r="59" spans="1:7">
      <c r="B59" s="83"/>
      <c r="C59" s="83"/>
      <c r="D59" s="83"/>
      <c r="E59" s="83"/>
    </row>
    <row r="114" spans="8:10">
      <c r="H114" s="70" t="s">
        <v>203</v>
      </c>
      <c r="I114" s="70">
        <f>+K183</f>
        <v>0</v>
      </c>
    </row>
    <row r="115" spans="8:10">
      <c r="I115" s="70">
        <f>+I114</f>
        <v>0</v>
      </c>
    </row>
    <row r="128" spans="8:10">
      <c r="I128" s="70">
        <f>+I6</f>
        <v>0</v>
      </c>
      <c r="J128" s="70">
        <f>+J6</f>
        <v>0</v>
      </c>
    </row>
    <row r="206" spans="9:10">
      <c r="I206" s="70">
        <f>I6</f>
        <v>0</v>
      </c>
      <c r="J206" s="70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2015 BHP Attachment H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R120"/>
  <sheetViews>
    <sheetView zoomScaleNormal="100" zoomScalePageLayoutView="125" workbookViewId="0">
      <selection activeCell="D18" sqref="D18"/>
    </sheetView>
  </sheetViews>
  <sheetFormatPr defaultColWidth="8.5546875" defaultRowHeight="11.25"/>
  <cols>
    <col min="1" max="1" width="3.77734375" style="23" customWidth="1"/>
    <col min="2" max="2" width="18.44140625" style="23" customWidth="1"/>
    <col min="3" max="3" width="11.77734375" style="23" customWidth="1"/>
    <col min="4" max="4" width="10.109375" style="23" customWidth="1"/>
    <col min="5" max="5" width="0.88671875" style="23" customWidth="1"/>
    <col min="6" max="6" width="10.109375" style="23" customWidth="1"/>
    <col min="7" max="7" width="8.5546875" style="23" customWidth="1"/>
    <col min="8" max="8" width="8" style="23" customWidth="1"/>
    <col min="9" max="12" width="8.5546875" style="23"/>
    <col min="13" max="13" width="11.88671875" style="23" customWidth="1"/>
    <col min="14" max="16384" width="8.5546875" style="23"/>
  </cols>
  <sheetData>
    <row r="1" spans="1:10" ht="12.75">
      <c r="C1" s="24"/>
      <c r="H1" s="32" t="str">
        <f>'CU AC Rate Design - True-Up'!H1</f>
        <v>Date: May 31, 2016</v>
      </c>
      <c r="J1" s="63"/>
    </row>
    <row r="2" spans="1:10">
      <c r="C2" s="38"/>
      <c r="D2" s="38"/>
      <c r="H2" s="32" t="s">
        <v>431</v>
      </c>
    </row>
    <row r="3" spans="1:10" ht="12.75">
      <c r="B3" s="393"/>
      <c r="C3" s="393"/>
      <c r="D3" s="393"/>
      <c r="E3" s="393"/>
      <c r="F3" s="393"/>
      <c r="G3" s="393"/>
      <c r="H3" s="393"/>
      <c r="J3" s="63"/>
    </row>
    <row r="4" spans="1:10" ht="12.75">
      <c r="B4" s="37"/>
      <c r="C4" s="24"/>
    </row>
    <row r="5" spans="1:10" ht="12" customHeight="1">
      <c r="B5" s="106"/>
    </row>
    <row r="8" spans="1:10" ht="13.5" customHeight="1">
      <c r="A8" s="149" t="s">
        <v>199</v>
      </c>
      <c r="D8" s="28" t="s">
        <v>303</v>
      </c>
      <c r="F8" s="28" t="s">
        <v>251</v>
      </c>
      <c r="G8" s="28"/>
      <c r="H8" s="28" t="s">
        <v>304</v>
      </c>
    </row>
    <row r="9" spans="1:10" ht="13.5" customHeight="1">
      <c r="A9" s="29" t="s">
        <v>200</v>
      </c>
      <c r="B9" s="30" t="s">
        <v>325</v>
      </c>
      <c r="C9" s="29" t="s">
        <v>305</v>
      </c>
      <c r="D9" s="29" t="s">
        <v>201</v>
      </c>
      <c r="F9" s="29" t="s">
        <v>306</v>
      </c>
      <c r="G9" s="29" t="s">
        <v>202</v>
      </c>
      <c r="H9" s="29" t="s">
        <v>201</v>
      </c>
    </row>
    <row r="10" spans="1:10" ht="13.5" customHeight="1">
      <c r="G10" s="35"/>
    </row>
    <row r="11" spans="1:10">
      <c r="A11" s="28">
        <v>1</v>
      </c>
      <c r="B11" s="23" t="s">
        <v>432</v>
      </c>
      <c r="C11" s="23" t="s">
        <v>406</v>
      </c>
      <c r="D11" s="154">
        <v>2565712</v>
      </c>
      <c r="F11" s="28" t="s">
        <v>390</v>
      </c>
      <c r="G11" s="35">
        <v>1</v>
      </c>
      <c r="H11" s="154">
        <f>D11*G11</f>
        <v>2565712</v>
      </c>
    </row>
    <row r="12" spans="1:10">
      <c r="A12" s="28">
        <f>+A11+1</f>
        <v>2</v>
      </c>
      <c r="B12" s="128" t="s">
        <v>68</v>
      </c>
      <c r="C12" s="128" t="s">
        <v>408</v>
      </c>
      <c r="D12" s="154">
        <v>1034</v>
      </c>
      <c r="E12" s="128"/>
      <c r="F12" s="138" t="s">
        <v>390</v>
      </c>
      <c r="G12" s="139">
        <f>+G11</f>
        <v>1</v>
      </c>
      <c r="H12" s="154">
        <f>D12*G12</f>
        <v>1034</v>
      </c>
      <c r="I12" s="128"/>
    </row>
    <row r="13" spans="1:10">
      <c r="A13" s="28">
        <f t="shared" ref="A13:A34" si="0">+A12+1</f>
        <v>3</v>
      </c>
      <c r="B13" s="128" t="s">
        <v>69</v>
      </c>
      <c r="C13" s="128" t="s">
        <v>409</v>
      </c>
      <c r="D13" s="154">
        <v>-8449</v>
      </c>
      <c r="E13" s="128"/>
      <c r="F13" s="138" t="s">
        <v>390</v>
      </c>
      <c r="G13" s="139">
        <f>+G12</f>
        <v>1</v>
      </c>
      <c r="H13" s="154">
        <f>D13*G13</f>
        <v>-8449</v>
      </c>
      <c r="I13" s="128"/>
    </row>
    <row r="14" spans="1:10" ht="12" thickBot="1">
      <c r="A14" s="28">
        <f t="shared" si="0"/>
        <v>4</v>
      </c>
      <c r="B14" s="140" t="s">
        <v>328</v>
      </c>
      <c r="C14" s="141"/>
      <c r="D14" s="142">
        <f>+D11-D12-D13</f>
        <v>2573127</v>
      </c>
      <c r="E14" s="128"/>
      <c r="F14" s="128"/>
      <c r="G14" s="128"/>
      <c r="H14" s="143">
        <f>+H11-H12-H13</f>
        <v>2573127</v>
      </c>
      <c r="I14" s="128"/>
    </row>
    <row r="15" spans="1:10">
      <c r="A15" s="28">
        <f t="shared" si="0"/>
        <v>5</v>
      </c>
      <c r="B15" s="128"/>
      <c r="C15" s="128"/>
      <c r="D15" s="128"/>
      <c r="E15" s="128"/>
      <c r="F15" s="128"/>
      <c r="G15" s="128"/>
      <c r="H15" s="128"/>
      <c r="I15" s="128"/>
    </row>
    <row r="16" spans="1:10">
      <c r="A16" s="28">
        <f t="shared" si="0"/>
        <v>6</v>
      </c>
      <c r="B16" s="153" t="s">
        <v>433</v>
      </c>
      <c r="C16" s="128"/>
      <c r="D16" s="128"/>
      <c r="E16" s="128"/>
      <c r="F16" s="128"/>
      <c r="G16" s="128"/>
      <c r="H16" s="128"/>
      <c r="I16" s="128"/>
    </row>
    <row r="17" spans="1:9">
      <c r="A17" s="28">
        <f t="shared" si="0"/>
        <v>7</v>
      </c>
      <c r="B17" s="23" t="s">
        <v>307</v>
      </c>
      <c r="C17" s="23" t="s">
        <v>407</v>
      </c>
      <c r="D17" s="154">
        <v>2568967</v>
      </c>
      <c r="E17" s="128"/>
      <c r="F17" s="128"/>
      <c r="G17" s="128"/>
      <c r="H17" s="128"/>
      <c r="I17" s="128"/>
    </row>
    <row r="18" spans="1:9">
      <c r="A18" s="28">
        <f t="shared" si="0"/>
        <v>8</v>
      </c>
      <c r="B18" s="128" t="s">
        <v>68</v>
      </c>
      <c r="C18" s="128" t="s">
        <v>70</v>
      </c>
      <c r="D18" s="154">
        <v>1825</v>
      </c>
      <c r="E18" s="128"/>
      <c r="F18" s="128"/>
      <c r="G18" s="128"/>
      <c r="H18" s="128"/>
      <c r="I18" s="128"/>
    </row>
    <row r="19" spans="1:9">
      <c r="A19" s="28">
        <f t="shared" si="0"/>
        <v>9</v>
      </c>
      <c r="B19" s="128" t="s">
        <v>69</v>
      </c>
      <c r="C19" s="128" t="s">
        <v>71</v>
      </c>
      <c r="D19" s="154">
        <v>-10990</v>
      </c>
      <c r="E19" s="128"/>
      <c r="F19" s="128"/>
      <c r="G19" s="128"/>
      <c r="H19" s="128"/>
      <c r="I19" s="128"/>
    </row>
    <row r="20" spans="1:9" ht="12" thickBot="1">
      <c r="A20" s="28">
        <f t="shared" si="0"/>
        <v>10</v>
      </c>
      <c r="B20" s="128"/>
      <c r="C20" s="128"/>
      <c r="D20" s="142">
        <f>+D17-D18-D19</f>
        <v>2578132</v>
      </c>
      <c r="E20" s="128"/>
      <c r="F20" s="128"/>
      <c r="G20" s="128"/>
      <c r="H20" s="128"/>
      <c r="I20" s="128"/>
    </row>
    <row r="21" spans="1:9">
      <c r="A21" s="28">
        <f t="shared" si="0"/>
        <v>11</v>
      </c>
      <c r="B21" s="128"/>
      <c r="C21" s="128"/>
      <c r="D21" s="155"/>
      <c r="E21" s="128"/>
      <c r="F21" s="128"/>
      <c r="G21" s="128"/>
      <c r="H21" s="128"/>
      <c r="I21" s="128"/>
    </row>
    <row r="22" spans="1:9">
      <c r="A22" s="28">
        <f t="shared" si="0"/>
        <v>12</v>
      </c>
      <c r="B22" s="128" t="str">
        <f>"True-up Amount to be (Refunded)/Paid (line "&amp;A20&amp;"-line "&amp;A14&amp;")"</f>
        <v>True-up Amount to be (Refunded)/Paid (line 10-line 4)</v>
      </c>
      <c r="C22" s="128"/>
      <c r="D22" s="155">
        <f>D20-D14</f>
        <v>5005</v>
      </c>
      <c r="E22" s="128"/>
      <c r="F22" s="128"/>
      <c r="G22" s="128"/>
      <c r="H22" s="128"/>
      <c r="I22" s="128"/>
    </row>
    <row r="23" spans="1:9">
      <c r="A23" s="28">
        <f t="shared" si="0"/>
        <v>13</v>
      </c>
      <c r="B23" s="128"/>
      <c r="C23" s="128"/>
      <c r="D23" s="128"/>
      <c r="E23" s="128"/>
      <c r="F23" s="128"/>
      <c r="G23" s="128"/>
      <c r="H23" s="128"/>
      <c r="I23" s="128"/>
    </row>
    <row r="24" spans="1:9">
      <c r="A24" s="28">
        <f t="shared" si="0"/>
        <v>14</v>
      </c>
      <c r="B24" s="128"/>
      <c r="C24" s="128"/>
      <c r="D24" s="128"/>
      <c r="E24" s="128"/>
      <c r="F24" s="128"/>
      <c r="G24" s="128"/>
      <c r="H24" s="128"/>
      <c r="I24" s="128"/>
    </row>
    <row r="25" spans="1:9">
      <c r="A25" s="28">
        <f t="shared" si="0"/>
        <v>15</v>
      </c>
      <c r="B25" s="144" t="s">
        <v>308</v>
      </c>
      <c r="C25" s="128"/>
      <c r="D25" s="128"/>
      <c r="E25" s="128"/>
      <c r="F25" s="128"/>
      <c r="G25" s="128"/>
      <c r="H25" s="128"/>
      <c r="I25" s="128"/>
    </row>
    <row r="26" spans="1:9">
      <c r="A26" s="28">
        <f t="shared" si="0"/>
        <v>16</v>
      </c>
    </row>
    <row r="27" spans="1:9" ht="12.75">
      <c r="A27" s="28">
        <f t="shared" si="0"/>
        <v>17</v>
      </c>
      <c r="B27" s="128" t="s">
        <v>309</v>
      </c>
      <c r="C27" s="128"/>
      <c r="D27" s="169">
        <f>D20</f>
        <v>2578132</v>
      </c>
    </row>
    <row r="28" spans="1:9" ht="12.75">
      <c r="A28" s="28">
        <f t="shared" si="0"/>
        <v>18</v>
      </c>
      <c r="B28" s="170" t="s">
        <v>310</v>
      </c>
      <c r="C28" s="128"/>
      <c r="D28" s="171">
        <f>'WP7 CU AC LOADS'!J24*1000</f>
        <v>875333.33333333337</v>
      </c>
      <c r="F28" s="31" t="s">
        <v>311</v>
      </c>
      <c r="G28" s="128" t="s">
        <v>434</v>
      </c>
      <c r="H28" s="128"/>
    </row>
    <row r="29" spans="1:9" ht="12">
      <c r="A29" s="28">
        <f t="shared" si="0"/>
        <v>19</v>
      </c>
      <c r="B29" s="128"/>
      <c r="C29" s="128"/>
      <c r="D29" s="128"/>
      <c r="F29" s="31"/>
      <c r="G29" s="128"/>
    </row>
    <row r="30" spans="1:9" ht="12.75">
      <c r="A30" s="28">
        <f t="shared" si="0"/>
        <v>20</v>
      </c>
      <c r="B30" s="172" t="s">
        <v>312</v>
      </c>
      <c r="C30" s="128"/>
      <c r="D30" s="173">
        <f>D27/D28</f>
        <v>2.9453145468392994</v>
      </c>
      <c r="E30" s="23" t="s">
        <v>313</v>
      </c>
      <c r="F30" s="33" t="s">
        <v>314</v>
      </c>
      <c r="G30" s="128" t="s">
        <v>14</v>
      </c>
    </row>
    <row r="31" spans="1:9" ht="12.75">
      <c r="A31" s="28">
        <f t="shared" si="0"/>
        <v>21</v>
      </c>
      <c r="B31" s="172" t="s">
        <v>315</v>
      </c>
      <c r="C31" s="128"/>
      <c r="D31" s="173">
        <f>D30/12</f>
        <v>0.24544287890327496</v>
      </c>
      <c r="E31" s="23" t="s">
        <v>313</v>
      </c>
      <c r="F31" s="33" t="s">
        <v>316</v>
      </c>
      <c r="G31" s="128" t="s">
        <v>15</v>
      </c>
    </row>
    <row r="32" spans="1:9" ht="12.75">
      <c r="A32" s="28">
        <f t="shared" si="0"/>
        <v>22</v>
      </c>
      <c r="B32" s="172" t="s">
        <v>317</v>
      </c>
      <c r="C32" s="128"/>
      <c r="D32" s="173">
        <f>D30/52</f>
        <v>5.6640664362294216E-2</v>
      </c>
      <c r="E32" s="23" t="s">
        <v>313</v>
      </c>
      <c r="F32" s="33" t="s">
        <v>318</v>
      </c>
      <c r="G32" s="128" t="s">
        <v>16</v>
      </c>
    </row>
    <row r="33" spans="1:8" ht="12.75">
      <c r="A33" s="28">
        <f t="shared" si="0"/>
        <v>23</v>
      </c>
      <c r="B33" s="172" t="s">
        <v>319</v>
      </c>
      <c r="C33" s="138" t="s">
        <v>326</v>
      </c>
      <c r="D33" s="173">
        <f>D30/365</f>
        <v>8.0693549228473948E-3</v>
      </c>
      <c r="E33" s="23" t="s">
        <v>313</v>
      </c>
      <c r="F33" s="33" t="s">
        <v>320</v>
      </c>
      <c r="G33" s="128" t="s">
        <v>17</v>
      </c>
    </row>
    <row r="34" spans="1:8" ht="12.75">
      <c r="A34" s="28">
        <f t="shared" si="0"/>
        <v>24</v>
      </c>
      <c r="B34" s="172" t="s">
        <v>321</v>
      </c>
      <c r="C34" s="138" t="s">
        <v>327</v>
      </c>
      <c r="D34" s="173">
        <f>(D30/8760)*1000</f>
        <v>0.33622312178530817</v>
      </c>
      <c r="E34" s="23" t="s">
        <v>313</v>
      </c>
      <c r="F34" s="33" t="s">
        <v>322</v>
      </c>
      <c r="G34" s="128" t="s">
        <v>18</v>
      </c>
    </row>
    <row r="35" spans="1:8">
      <c r="B35" s="32"/>
      <c r="G35" s="128"/>
    </row>
    <row r="36" spans="1:8">
      <c r="G36" s="128"/>
    </row>
    <row r="37" spans="1:8">
      <c r="G37" s="128"/>
    </row>
    <row r="42" spans="1:8" ht="10.5" customHeight="1"/>
    <row r="46" spans="1:8" ht="15.75">
      <c r="H46" s="25"/>
    </row>
    <row r="47" spans="1:8" ht="15">
      <c r="H47" s="27"/>
    </row>
    <row r="48" spans="1:8">
      <c r="H48" s="23" t="s">
        <v>197</v>
      </c>
    </row>
    <row r="52" spans="1:9" ht="14.25">
      <c r="C52" s="26"/>
    </row>
    <row r="53" spans="1:9" ht="14.25">
      <c r="C53" s="26"/>
    </row>
    <row r="54" spans="1:9" ht="14.25">
      <c r="C54" s="34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36"/>
      <c r="O92" s="36"/>
      <c r="P92" s="36"/>
      <c r="Q92" s="36"/>
      <c r="R92" s="36"/>
    </row>
    <row r="93" spans="1:18" ht="15">
      <c r="A93"/>
      <c r="B93"/>
      <c r="C93"/>
      <c r="D93"/>
      <c r="E93"/>
      <c r="F93"/>
      <c r="G93"/>
      <c r="H93"/>
      <c r="I93"/>
      <c r="J93" s="36"/>
    </row>
    <row r="94" spans="1:18" ht="15">
      <c r="A94"/>
      <c r="B94"/>
      <c r="C94"/>
      <c r="D94"/>
      <c r="E94"/>
      <c r="F94"/>
      <c r="G94"/>
      <c r="H94"/>
      <c r="I94"/>
      <c r="M94" s="36"/>
      <c r="O94" s="36"/>
      <c r="P94" s="36"/>
      <c r="Q94" s="36"/>
      <c r="R94" s="36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23" t="s">
        <v>203</v>
      </c>
      <c r="H119" s="23">
        <f>+J188</f>
        <v>0</v>
      </c>
    </row>
    <row r="120" spans="7:8">
      <c r="H120" s="23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2015 BHP Attachment H Transmission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2016-05-27T18:32:53Z</cp:lastPrinted>
  <dcterms:created xsi:type="dcterms:W3CDTF">1997-04-03T19:40:56Z</dcterms:created>
  <dcterms:modified xsi:type="dcterms:W3CDTF">2020-06-01T14:39:12Z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