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N:\BHSC\Communications\IHCS_2020 Workfront\66563_20_BHBE 2019 Adjustments\Originals\"/>
    </mc:Choice>
  </mc:AlternateContent>
  <xr:revisionPtr revIDLastSave="0" documentId="8_{E7D24655-DDC3-44F1-A090-7A94A5E74AAD}" xr6:coauthVersionLast="44" xr6:coauthVersionMax="44" xr10:uidLastSave="{00000000-0000-0000-0000-000000000000}"/>
  <bookViews>
    <workbookView xWindow="-120" yWindow="-120" windowWidth="29040" windowHeight="15990" tabRatio="893" activeTab="1"/>
  </bookViews>
  <sheets>
    <sheet name="CU AC Rate Design - True-Up" sheetId="41" r:id="rId1"/>
    <sheet name="True-Up" sheetId="35" r:id="rId2"/>
    <sheet name="Capital True-up" sheetId="31" r:id="rId3"/>
    <sheet name="BHP WP5 Depreciation Rates" sheetId="34" r:id="rId4"/>
    <sheet name="WP6 Rate Base" sheetId="37" r:id="rId5"/>
    <sheet name="WP7 CU AC LOADS" sheetId="24" r:id="rId6"/>
    <sheet name="BHP Sch. 1" sheetId="3" r:id="rId7"/>
  </sheets>
  <definedNames>
    <definedName name="_xlnm.Print_Area" localSheetId="6">'BHP Sch. 1'!$A$1:$I$37</definedName>
    <definedName name="_xlnm.Print_Area" localSheetId="2">'Capital True-up'!$A$3:$P$77</definedName>
    <definedName name="_xlnm.Print_Area" localSheetId="0">'CU AC Rate Design - True-Up'!$A$1:$H$36</definedName>
    <definedName name="_xlnm.Print_Area" localSheetId="1">'True-Up'!$A$1:$K$237</definedName>
    <definedName name="_xlnm.Print_Area" localSheetId="4">'WP6 Rate Base'!$A$1:$R$65</definedName>
    <definedName name="_xlnm.Print_Area" localSheetId="5">'WP7 CU AC LOADS'!$A$1:$J$47</definedName>
    <definedName name="_xlnm.Print_Titles" localSheetId="4">'WP6 Rate Base'!$A:$A</definedName>
  </definedNames>
  <calcPr calcId="191029" fullCalcOnLoad="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8" i="35" l="1"/>
  <c r="E71" i="37"/>
  <c r="E75" i="37"/>
  <c r="E28" i="37"/>
  <c r="E38" i="37"/>
  <c r="E79" i="37"/>
  <c r="E30" i="37"/>
  <c r="E51" i="37"/>
  <c r="O28" i="37"/>
  <c r="O38" i="37"/>
  <c r="N28" i="37"/>
  <c r="J28" i="37"/>
  <c r="G28" i="37"/>
  <c r="G38" i="37"/>
  <c r="F28" i="37"/>
  <c r="P26" i="37"/>
  <c r="P36" i="37"/>
  <c r="N26" i="37"/>
  <c r="L26" i="37"/>
  <c r="J26" i="37"/>
  <c r="J36" i="37"/>
  <c r="H26" i="37"/>
  <c r="H36" i="37"/>
  <c r="F26" i="37"/>
  <c r="E26" i="37"/>
  <c r="Q79" i="37"/>
  <c r="Q30" i="37"/>
  <c r="Q40" i="37"/>
  <c r="P79" i="37"/>
  <c r="P30" i="37"/>
  <c r="P40" i="37"/>
  <c r="O79" i="37"/>
  <c r="O30" i="37"/>
  <c r="O40" i="37"/>
  <c r="N79" i="37"/>
  <c r="N30" i="37"/>
  <c r="M79" i="37"/>
  <c r="M30" i="37"/>
  <c r="M40" i="37"/>
  <c r="L79" i="37"/>
  <c r="L30" i="37"/>
  <c r="L40" i="37"/>
  <c r="K79" i="37"/>
  <c r="K30" i="37"/>
  <c r="K40" i="37"/>
  <c r="J79" i="37"/>
  <c r="J30" i="37"/>
  <c r="J40" i="37"/>
  <c r="I79" i="37"/>
  <c r="I30" i="37"/>
  <c r="I40" i="37"/>
  <c r="H79" i="37"/>
  <c r="H30" i="37"/>
  <c r="H40" i="37"/>
  <c r="G79" i="37"/>
  <c r="G30" i="37"/>
  <c r="G40" i="37"/>
  <c r="F79" i="37"/>
  <c r="F30" i="37"/>
  <c r="R78" i="37"/>
  <c r="R77" i="37"/>
  <c r="Q75" i="37"/>
  <c r="Q28" i="37"/>
  <c r="Q38" i="37"/>
  <c r="P75" i="37"/>
  <c r="P28" i="37"/>
  <c r="P38" i="37"/>
  <c r="O75" i="37"/>
  <c r="N75" i="37"/>
  <c r="M75" i="37"/>
  <c r="M28" i="37"/>
  <c r="M38" i="37"/>
  <c r="L75" i="37"/>
  <c r="L28" i="37"/>
  <c r="L38" i="37"/>
  <c r="K75" i="37"/>
  <c r="K28" i="37"/>
  <c r="K38" i="37"/>
  <c r="J75" i="37"/>
  <c r="I75" i="37"/>
  <c r="I28" i="37"/>
  <c r="I38" i="37"/>
  <c r="H75" i="37"/>
  <c r="H28" i="37"/>
  <c r="H38" i="37"/>
  <c r="G75" i="37"/>
  <c r="F75" i="37"/>
  <c r="R74" i="37"/>
  <c r="R73" i="37"/>
  <c r="Q71" i="37"/>
  <c r="Q26" i="37"/>
  <c r="Q36" i="37"/>
  <c r="P71" i="37"/>
  <c r="O71" i="37"/>
  <c r="O26" i="37"/>
  <c r="N71" i="37"/>
  <c r="M71" i="37"/>
  <c r="M26" i="37"/>
  <c r="L71" i="37"/>
  <c r="K71" i="37"/>
  <c r="K26" i="37"/>
  <c r="J71" i="37"/>
  <c r="I71" i="37"/>
  <c r="R71" i="37"/>
  <c r="H71" i="37"/>
  <c r="G71" i="37"/>
  <c r="G26" i="37"/>
  <c r="F71" i="37"/>
  <c r="R70" i="37"/>
  <c r="R69" i="37"/>
  <c r="L54" i="37"/>
  <c r="F51" i="37"/>
  <c r="F56" i="37"/>
  <c r="K54" i="37"/>
  <c r="E95" i="35"/>
  <c r="J78" i="35"/>
  <c r="E39" i="35"/>
  <c r="H196" i="35"/>
  <c r="G18" i="37"/>
  <c r="R18" i="37"/>
  <c r="H18" i="37"/>
  <c r="I18" i="37"/>
  <c r="J18" i="37"/>
  <c r="K18" i="37"/>
  <c r="L18" i="37"/>
  <c r="M18" i="37"/>
  <c r="N18" i="37"/>
  <c r="N22" i="37"/>
  <c r="O18" i="37"/>
  <c r="P18" i="37"/>
  <c r="P22" i="37"/>
  <c r="F18" i="37"/>
  <c r="Q25" i="37"/>
  <c r="Q18" i="37"/>
  <c r="F55" i="37"/>
  <c r="E55" i="37"/>
  <c r="G55" i="37"/>
  <c r="E50" i="35"/>
  <c r="O4" i="31"/>
  <c r="O3" i="31"/>
  <c r="O35" i="37"/>
  <c r="K35" i="37"/>
  <c r="I35" i="37"/>
  <c r="J196" i="35"/>
  <c r="J2" i="24"/>
  <c r="I22" i="37"/>
  <c r="H35" i="37"/>
  <c r="F22" i="37"/>
  <c r="E22" i="37"/>
  <c r="I206" i="24"/>
  <c r="J206" i="24"/>
  <c r="I128" i="24"/>
  <c r="J128" i="24"/>
  <c r="F14" i="41"/>
  <c r="F13" i="41"/>
  <c r="F12" i="41"/>
  <c r="I2" i="37"/>
  <c r="R2" i="37"/>
  <c r="H1" i="3"/>
  <c r="J63" i="35"/>
  <c r="K77" i="31"/>
  <c r="N53" i="31"/>
  <c r="R16" i="37"/>
  <c r="D20" i="3"/>
  <c r="D27" i="3"/>
  <c r="J11" i="24"/>
  <c r="H31" i="35"/>
  <c r="R27" i="37"/>
  <c r="R19" i="37"/>
  <c r="E44" i="24"/>
  <c r="H24" i="24"/>
  <c r="F24" i="24"/>
  <c r="F44" i="24"/>
  <c r="R17" i="37"/>
  <c r="R37" i="37"/>
  <c r="R20" i="37"/>
  <c r="E20" i="35"/>
  <c r="E35" i="37"/>
  <c r="H11" i="3"/>
  <c r="J22" i="24"/>
  <c r="J20" i="24"/>
  <c r="J21" i="24"/>
  <c r="J19" i="24"/>
  <c r="J18" i="24"/>
  <c r="J17" i="24"/>
  <c r="J16" i="24"/>
  <c r="J15" i="24"/>
  <c r="J14" i="24"/>
  <c r="J24" i="24"/>
  <c r="G22" i="41"/>
  <c r="J13" i="24"/>
  <c r="J12" i="24"/>
  <c r="I24" i="24"/>
  <c r="G24" i="24"/>
  <c r="E24" i="24"/>
  <c r="D24" i="24"/>
  <c r="E105" i="35"/>
  <c r="G25" i="35"/>
  <c r="G45" i="35"/>
  <c r="G99" i="35"/>
  <c r="G80" i="35"/>
  <c r="G81" i="35"/>
  <c r="G82" i="35"/>
  <c r="E39" i="37"/>
  <c r="J32" i="24"/>
  <c r="J44" i="24"/>
  <c r="J33" i="24"/>
  <c r="J34" i="24"/>
  <c r="J35" i="24"/>
  <c r="J36" i="24"/>
  <c r="J37" i="24"/>
  <c r="J38" i="24"/>
  <c r="J39" i="24"/>
  <c r="J40" i="24"/>
  <c r="J41" i="24"/>
  <c r="J42" i="24"/>
  <c r="A12" i="3"/>
  <c r="A13" i="3"/>
  <c r="A14" i="3"/>
  <c r="A15" i="3"/>
  <c r="A16" i="3"/>
  <c r="A17" i="3"/>
  <c r="A18" i="3"/>
  <c r="A19" i="3"/>
  <c r="A20" i="3"/>
  <c r="G12" i="3"/>
  <c r="G13" i="3"/>
  <c r="H13" i="3"/>
  <c r="D14" i="3"/>
  <c r="D22" i="3"/>
  <c r="H119" i="3"/>
  <c r="H120" i="3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D44" i="24"/>
  <c r="G44" i="24"/>
  <c r="H44" i="24"/>
  <c r="I44" i="24"/>
  <c r="I114" i="24"/>
  <c r="I115" i="24"/>
  <c r="A16" i="37"/>
  <c r="A17" i="37"/>
  <c r="R21" i="37"/>
  <c r="G22" i="37"/>
  <c r="H22" i="37"/>
  <c r="C25" i="37"/>
  <c r="C35" i="37"/>
  <c r="C28" i="37"/>
  <c r="C38" i="37"/>
  <c r="R29" i="37"/>
  <c r="R39" i="37"/>
  <c r="C30" i="37"/>
  <c r="C40" i="37"/>
  <c r="C31" i="37"/>
  <c r="R31" i="37"/>
  <c r="E31" i="35"/>
  <c r="G35" i="37"/>
  <c r="L35" i="37"/>
  <c r="N35" i="37"/>
  <c r="E36" i="37"/>
  <c r="F36" i="37"/>
  <c r="L36" i="37"/>
  <c r="N36" i="37"/>
  <c r="E37" i="37"/>
  <c r="F37" i="37"/>
  <c r="G37" i="37"/>
  <c r="H37" i="37"/>
  <c r="I37" i="37"/>
  <c r="J37" i="37"/>
  <c r="K37" i="37"/>
  <c r="L37" i="37"/>
  <c r="M37" i="37"/>
  <c r="N37" i="37"/>
  <c r="O37" i="37"/>
  <c r="P37" i="37"/>
  <c r="Q37" i="37"/>
  <c r="F38" i="37"/>
  <c r="F39" i="37"/>
  <c r="G39" i="37"/>
  <c r="H39" i="37"/>
  <c r="I39" i="37"/>
  <c r="J39" i="37"/>
  <c r="K39" i="37"/>
  <c r="L39" i="37"/>
  <c r="M39" i="37"/>
  <c r="N39" i="37"/>
  <c r="O39" i="37"/>
  <c r="P39" i="37"/>
  <c r="Q39" i="37"/>
  <c r="C41" i="37"/>
  <c r="E41" i="37"/>
  <c r="F41" i="37"/>
  <c r="G41" i="37"/>
  <c r="H41" i="37"/>
  <c r="I41" i="37"/>
  <c r="J41" i="37"/>
  <c r="K41" i="37"/>
  <c r="L41" i="37"/>
  <c r="M41" i="37"/>
  <c r="N41" i="37"/>
  <c r="O41" i="37"/>
  <c r="P41" i="37"/>
  <c r="Q41" i="37"/>
  <c r="G52" i="37"/>
  <c r="G53" i="37"/>
  <c r="E48" i="35"/>
  <c r="G54" i="37"/>
  <c r="E49" i="35"/>
  <c r="G58" i="37"/>
  <c r="E53" i="35"/>
  <c r="J53" i="35"/>
  <c r="G62" i="37"/>
  <c r="E57" i="35"/>
  <c r="G63" i="37"/>
  <c r="E58" i="35"/>
  <c r="G64" i="37"/>
  <c r="E59" i="35"/>
  <c r="E65" i="37"/>
  <c r="F65" i="37"/>
  <c r="A9" i="31"/>
  <c r="A10" i="31"/>
  <c r="A11" i="31"/>
  <c r="A12" i="31"/>
  <c r="A13" i="31"/>
  <c r="A14" i="31"/>
  <c r="A15" i="31"/>
  <c r="A16" i="31"/>
  <c r="A17" i="31"/>
  <c r="A18" i="31"/>
  <c r="A19" i="31"/>
  <c r="A20" i="31"/>
  <c r="A21" i="31"/>
  <c r="A22" i="31"/>
  <c r="A23" i="31"/>
  <c r="A24" i="31"/>
  <c r="A25" i="31"/>
  <c r="A26" i="31"/>
  <c r="A27" i="31"/>
  <c r="A28" i="31"/>
  <c r="A29" i="31"/>
  <c r="A30" i="31"/>
  <c r="A31" i="31"/>
  <c r="A32" i="31"/>
  <c r="A33" i="31"/>
  <c r="A34" i="31"/>
  <c r="A35" i="31"/>
  <c r="A36" i="31"/>
  <c r="A37" i="31"/>
  <c r="A38" i="31"/>
  <c r="A39" i="31"/>
  <c r="A40" i="31"/>
  <c r="A41" i="31"/>
  <c r="A42" i="31"/>
  <c r="A43" i="31"/>
  <c r="A44" i="31"/>
  <c r="A45" i="31"/>
  <c r="A46" i="31"/>
  <c r="A47" i="31"/>
  <c r="A48" i="31"/>
  <c r="A49" i="31"/>
  <c r="A50" i="31"/>
  <c r="A51" i="31"/>
  <c r="A52" i="31"/>
  <c r="A53" i="31"/>
  <c r="A54" i="31"/>
  <c r="A55" i="31"/>
  <c r="A56" i="31"/>
  <c r="A57" i="31"/>
  <c r="A58" i="31"/>
  <c r="A59" i="31"/>
  <c r="A60" i="31"/>
  <c r="A61" i="31"/>
  <c r="A62" i="31"/>
  <c r="A63" i="31"/>
  <c r="A64" i="31"/>
  <c r="A65" i="31"/>
  <c r="A66" i="31"/>
  <c r="A67" i="31"/>
  <c r="A68" i="31"/>
  <c r="A69" i="31"/>
  <c r="A70" i="31"/>
  <c r="A71" i="31"/>
  <c r="A72" i="31"/>
  <c r="A73" i="31"/>
  <c r="A74" i="31"/>
  <c r="A75" i="31"/>
  <c r="A76" i="31"/>
  <c r="A77" i="31"/>
  <c r="E32" i="31"/>
  <c r="J193" i="35"/>
  <c r="E198" i="35"/>
  <c r="E199" i="35"/>
  <c r="F197" i="35"/>
  <c r="J197" i="35"/>
  <c r="J199" i="35"/>
  <c r="E106" i="35"/>
  <c r="A16" i="35"/>
  <c r="E135" i="35"/>
  <c r="C25" i="35"/>
  <c r="C35" i="35"/>
  <c r="H25" i="35"/>
  <c r="C28" i="35"/>
  <c r="C38" i="35"/>
  <c r="G28" i="35"/>
  <c r="G29" i="35"/>
  <c r="C30" i="35"/>
  <c r="C40" i="35"/>
  <c r="G30" i="35"/>
  <c r="C31" i="35"/>
  <c r="C41" i="35"/>
  <c r="G31" i="35"/>
  <c r="G47" i="35"/>
  <c r="G48" i="35"/>
  <c r="G49" i="35"/>
  <c r="G50" i="35"/>
  <c r="I64" i="35"/>
  <c r="J64" i="35"/>
  <c r="G72" i="35"/>
  <c r="G73" i="35"/>
  <c r="G77" i="35"/>
  <c r="G83" i="35"/>
  <c r="D84" i="35"/>
  <c r="C88" i="35"/>
  <c r="C90" i="35"/>
  <c r="E101" i="35"/>
  <c r="G96" i="35"/>
  <c r="D100" i="35"/>
  <c r="G100" i="35"/>
  <c r="I123" i="35"/>
  <c r="J123" i="35"/>
  <c r="H173" i="35"/>
  <c r="H174" i="35"/>
  <c r="E175" i="35"/>
  <c r="H197" i="35"/>
  <c r="J198" i="35"/>
  <c r="I201" i="35"/>
  <c r="J201" i="35"/>
  <c r="D10" i="41"/>
  <c r="B22" i="41"/>
  <c r="B23" i="41"/>
  <c r="B24" i="41"/>
  <c r="A29" i="41"/>
  <c r="A30" i="41"/>
  <c r="A31" i="41"/>
  <c r="A32" i="41"/>
  <c r="A33" i="41"/>
  <c r="A34" i="41"/>
  <c r="B42" i="41"/>
  <c r="B44" i="41"/>
  <c r="B45" i="41"/>
  <c r="B46" i="41"/>
  <c r="G50" i="37"/>
  <c r="J79" i="35"/>
  <c r="J157" i="35"/>
  <c r="J139" i="35"/>
  <c r="J31" i="24"/>
  <c r="Q22" i="37"/>
  <c r="P35" i="37"/>
  <c r="E21" i="35"/>
  <c r="J21" i="35"/>
  <c r="Q35" i="37"/>
  <c r="J122" i="35"/>
  <c r="L22" i="37"/>
  <c r="F35" i="37"/>
  <c r="A18" i="37"/>
  <c r="M22" i="37"/>
  <c r="R15" i="37"/>
  <c r="R22" i="37"/>
  <c r="M35" i="37"/>
  <c r="K22" i="37"/>
  <c r="J35" i="37"/>
  <c r="J22" i="37"/>
  <c r="A19" i="37"/>
  <c r="A20" i="37"/>
  <c r="M53" i="31"/>
  <c r="R25" i="37"/>
  <c r="E25" i="35"/>
  <c r="H84" i="35"/>
  <c r="H90" i="35"/>
  <c r="J90" i="35"/>
  <c r="A17" i="35"/>
  <c r="E146" i="35"/>
  <c r="J84" i="35"/>
  <c r="J200" i="35"/>
  <c r="G65" i="37"/>
  <c r="E15" i="35"/>
  <c r="N52" i="31"/>
  <c r="N54" i="31"/>
  <c r="R35" i="37"/>
  <c r="E16" i="35"/>
  <c r="E17" i="35"/>
  <c r="J135" i="35"/>
  <c r="J146" i="35"/>
  <c r="J147" i="35"/>
  <c r="J141" i="35"/>
  <c r="J151" i="35"/>
  <c r="E47" i="35"/>
  <c r="F15" i="41"/>
  <c r="G15" i="41"/>
  <c r="G14" i="41"/>
  <c r="H14" i="41"/>
  <c r="E24" i="41"/>
  <c r="F24" i="41"/>
  <c r="G12" i="41"/>
  <c r="H12" i="41"/>
  <c r="E45" i="41"/>
  <c r="G23" i="41"/>
  <c r="G24" i="41"/>
  <c r="H24" i="41"/>
  <c r="R41" i="37"/>
  <c r="E22" i="41"/>
  <c r="D28" i="3"/>
  <c r="D30" i="3"/>
  <c r="E35" i="35"/>
  <c r="A21" i="37"/>
  <c r="B22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E41" i="35"/>
  <c r="J31" i="35"/>
  <c r="J41" i="35"/>
  <c r="E45" i="35"/>
  <c r="E18" i="35"/>
  <c r="J143" i="35"/>
  <c r="G13" i="41"/>
  <c r="H13" i="41"/>
  <c r="E23" i="41"/>
  <c r="F23" i="41"/>
  <c r="H23" i="41"/>
  <c r="H12" i="3"/>
  <c r="H14" i="3"/>
  <c r="J138" i="35"/>
  <c r="J140" i="35"/>
  <c r="E27" i="35"/>
  <c r="E88" i="35"/>
  <c r="N38" i="37"/>
  <c r="O22" i="37"/>
  <c r="A18" i="35"/>
  <c r="D33" i="3"/>
  <c r="D32" i="3"/>
  <c r="D34" i="3"/>
  <c r="D31" i="3"/>
  <c r="E89" i="35"/>
  <c r="E91" i="35"/>
  <c r="A19" i="35"/>
  <c r="H15" i="41"/>
  <c r="E25" i="41"/>
  <c r="E43" i="41"/>
  <c r="H88" i="35"/>
  <c r="J88" i="35"/>
  <c r="H16" i="35"/>
  <c r="J16" i="35"/>
  <c r="G179" i="35"/>
  <c r="F172" i="35"/>
  <c r="H172" i="35"/>
  <c r="H175" i="35"/>
  <c r="J175" i="35"/>
  <c r="H76" i="35"/>
  <c r="H58" i="35"/>
  <c r="J58" i="35"/>
  <c r="D22" i="37"/>
  <c r="A22" i="37"/>
  <c r="A23" i="37"/>
  <c r="A24" i="37"/>
  <c r="A25" i="37"/>
  <c r="J164" i="35"/>
  <c r="E37" i="35"/>
  <c r="E22" i="35"/>
  <c r="A26" i="37"/>
  <c r="D35" i="37"/>
  <c r="H83" i="35"/>
  <c r="J83" i="35"/>
  <c r="H77" i="35"/>
  <c r="J77" i="35"/>
  <c r="J165" i="35"/>
  <c r="E180" i="35"/>
  <c r="J168" i="35"/>
  <c r="H95" i="35"/>
  <c r="H18" i="35"/>
  <c r="A20" i="35"/>
  <c r="J95" i="35"/>
  <c r="H96" i="35"/>
  <c r="J96" i="35"/>
  <c r="A27" i="37"/>
  <c r="D36" i="37"/>
  <c r="A21" i="35"/>
  <c r="J18" i="35"/>
  <c r="H28" i="35"/>
  <c r="H19" i="35"/>
  <c r="J19" i="35"/>
  <c r="A28" i="37"/>
  <c r="D37" i="37"/>
  <c r="H78" i="35"/>
  <c r="H29" i="35"/>
  <c r="D22" i="35"/>
  <c r="A22" i="35"/>
  <c r="A23" i="35"/>
  <c r="A24" i="35"/>
  <c r="A25" i="35"/>
  <c r="H80" i="35"/>
  <c r="H82" i="35"/>
  <c r="J82" i="35"/>
  <c r="H89" i="35"/>
  <c r="J89" i="35"/>
  <c r="J91" i="35"/>
  <c r="A26" i="35"/>
  <c r="D35" i="35"/>
  <c r="D38" i="37"/>
  <c r="A29" i="37"/>
  <c r="A30" i="37"/>
  <c r="D39" i="37"/>
  <c r="E154" i="35"/>
  <c r="A27" i="35"/>
  <c r="D36" i="35"/>
  <c r="H81" i="35"/>
  <c r="J81" i="35"/>
  <c r="J80" i="35"/>
  <c r="E164" i="35"/>
  <c r="A28" i="35"/>
  <c r="D37" i="35"/>
  <c r="A31" i="37"/>
  <c r="D40" i="37"/>
  <c r="A32" i="37"/>
  <c r="A33" i="37"/>
  <c r="A34" i="37"/>
  <c r="A35" i="37"/>
  <c r="D41" i="37"/>
  <c r="D32" i="37"/>
  <c r="A29" i="35"/>
  <c r="D38" i="35"/>
  <c r="A30" i="35"/>
  <c r="D39" i="35"/>
  <c r="A36" i="37"/>
  <c r="A37" i="37"/>
  <c r="A38" i="37"/>
  <c r="A39" i="37"/>
  <c r="A40" i="37"/>
  <c r="A41" i="37"/>
  <c r="A42" i="37"/>
  <c r="A48" i="37"/>
  <c r="A49" i="37"/>
  <c r="A50" i="37"/>
  <c r="A31" i="35"/>
  <c r="D40" i="35"/>
  <c r="D42" i="37"/>
  <c r="A51" i="37"/>
  <c r="A52" i="37"/>
  <c r="A53" i="37"/>
  <c r="A54" i="37"/>
  <c r="A55" i="37"/>
  <c r="A56" i="37"/>
  <c r="A57" i="37"/>
  <c r="A58" i="37"/>
  <c r="A59" i="37"/>
  <c r="A60" i="37"/>
  <c r="A61" i="37"/>
  <c r="D56" i="37"/>
  <c r="A32" i="35"/>
  <c r="A33" i="35"/>
  <c r="A34" i="35"/>
  <c r="A35" i="35"/>
  <c r="D41" i="35"/>
  <c r="D32" i="35"/>
  <c r="A62" i="37"/>
  <c r="A63" i="37"/>
  <c r="A64" i="37"/>
  <c r="A65" i="37"/>
  <c r="D65" i="37"/>
  <c r="A36" i="35"/>
  <c r="A37" i="35"/>
  <c r="A38" i="35"/>
  <c r="A39" i="35"/>
  <c r="A40" i="35"/>
  <c r="A41" i="35"/>
  <c r="A42" i="35"/>
  <c r="A43" i="35"/>
  <c r="A44" i="35"/>
  <c r="A45" i="35"/>
  <c r="D42" i="35"/>
  <c r="A46" i="35"/>
  <c r="A47" i="35"/>
  <c r="A48" i="35"/>
  <c r="A49" i="35"/>
  <c r="A50" i="35"/>
  <c r="A51" i="35"/>
  <c r="A52" i="35"/>
  <c r="A53" i="35"/>
  <c r="A54" i="35"/>
  <c r="A55" i="35"/>
  <c r="A56" i="35"/>
  <c r="D51" i="35"/>
  <c r="A57" i="35"/>
  <c r="A58" i="35"/>
  <c r="A59" i="35"/>
  <c r="A60" i="35"/>
  <c r="A61" i="35"/>
  <c r="A62" i="35"/>
  <c r="D62" i="35"/>
  <c r="D60" i="35"/>
  <c r="A76" i="35"/>
  <c r="A77" i="35"/>
  <c r="A78" i="35"/>
  <c r="A79" i="35"/>
  <c r="A80" i="35"/>
  <c r="A81" i="35"/>
  <c r="A82" i="35"/>
  <c r="A83" i="35"/>
  <c r="A84" i="35"/>
  <c r="A85" i="35"/>
  <c r="D56" i="35"/>
  <c r="A86" i="35"/>
  <c r="A87" i="35"/>
  <c r="A88" i="35"/>
  <c r="C85" i="35"/>
  <c r="A89" i="35"/>
  <c r="A90" i="35"/>
  <c r="A91" i="35"/>
  <c r="C91" i="35"/>
  <c r="A92" i="35"/>
  <c r="A93" i="35"/>
  <c r="A94" i="35"/>
  <c r="A95" i="35"/>
  <c r="A96" i="35"/>
  <c r="A97" i="35"/>
  <c r="A98" i="35"/>
  <c r="A99" i="35"/>
  <c r="A100" i="35"/>
  <c r="A101" i="35"/>
  <c r="C101" i="35"/>
  <c r="A102" i="35"/>
  <c r="A103" i="35"/>
  <c r="A104" i="35"/>
  <c r="A105" i="35"/>
  <c r="A106" i="35"/>
  <c r="A107" i="35"/>
  <c r="A108" i="35"/>
  <c r="A109" i="35"/>
  <c r="A110" i="35"/>
  <c r="A111" i="35"/>
  <c r="A112" i="35"/>
  <c r="A113" i="35"/>
  <c r="C115" i="35"/>
  <c r="A114" i="35"/>
  <c r="A115" i="35"/>
  <c r="D110" i="35"/>
  <c r="A116" i="35"/>
  <c r="A117" i="35"/>
  <c r="A118" i="35"/>
  <c r="A119" i="35"/>
  <c r="D52" i="31"/>
  <c r="A135" i="35"/>
  <c r="C119" i="35"/>
  <c r="A136" i="35"/>
  <c r="A137" i="35"/>
  <c r="A138" i="35"/>
  <c r="C138" i="35"/>
  <c r="A139" i="35"/>
  <c r="A140" i="35"/>
  <c r="C140" i="35"/>
  <c r="A141" i="35"/>
  <c r="A142" i="35"/>
  <c r="A143" i="35"/>
  <c r="A144" i="35"/>
  <c r="A145" i="35"/>
  <c r="A146" i="35"/>
  <c r="A147" i="35"/>
  <c r="A148" i="35"/>
  <c r="A149" i="35"/>
  <c r="C143" i="35"/>
  <c r="C139" i="35"/>
  <c r="A150" i="35"/>
  <c r="A151" i="35"/>
  <c r="A152" i="35"/>
  <c r="A153" i="35"/>
  <c r="A154" i="35"/>
  <c r="C141" i="35"/>
  <c r="C149" i="35"/>
  <c r="C151" i="35"/>
  <c r="A155" i="35"/>
  <c r="A156" i="35"/>
  <c r="C156" i="35"/>
  <c r="C158" i="35"/>
  <c r="A157" i="35"/>
  <c r="A158" i="35"/>
  <c r="C159" i="35"/>
  <c r="A159" i="35"/>
  <c r="A160" i="35"/>
  <c r="A161" i="35"/>
  <c r="A162" i="35"/>
  <c r="A163" i="35"/>
  <c r="A164" i="35"/>
  <c r="A165" i="35"/>
  <c r="A166" i="35"/>
  <c r="C166" i="35"/>
  <c r="C161" i="35"/>
  <c r="C157" i="35"/>
  <c r="A167" i="35"/>
  <c r="A168" i="35"/>
  <c r="A169" i="35"/>
  <c r="A170" i="35"/>
  <c r="A171" i="35"/>
  <c r="A172" i="35"/>
  <c r="A173" i="35"/>
  <c r="C168" i="35"/>
  <c r="A174" i="35"/>
  <c r="A175" i="35"/>
  <c r="A176" i="35"/>
  <c r="A177" i="35"/>
  <c r="A178" i="35"/>
  <c r="A179" i="35"/>
  <c r="A180" i="35"/>
  <c r="A181" i="35"/>
  <c r="A182" i="35"/>
  <c r="A183" i="35"/>
  <c r="A184" i="35"/>
  <c r="A185" i="35"/>
  <c r="A186" i="35"/>
  <c r="A187" i="35"/>
  <c r="A188" i="35"/>
  <c r="A189" i="35"/>
  <c r="C181" i="35"/>
  <c r="C175" i="35"/>
  <c r="A190" i="35"/>
  <c r="A191" i="35"/>
  <c r="A192" i="35"/>
  <c r="A193" i="35"/>
  <c r="A194" i="35"/>
  <c r="A195" i="35"/>
  <c r="A196" i="35"/>
  <c r="D198" i="35"/>
  <c r="E193" i="35"/>
  <c r="A197" i="35"/>
  <c r="A198" i="35"/>
  <c r="A199" i="35"/>
  <c r="C113" i="35"/>
  <c r="C199" i="35"/>
  <c r="C107" i="35"/>
  <c r="J29" i="35"/>
  <c r="J39" i="35"/>
  <c r="J76" i="35"/>
  <c r="E85" i="35"/>
  <c r="E56" i="35"/>
  <c r="E60" i="35"/>
  <c r="F32" i="37"/>
  <c r="L32" i="37"/>
  <c r="M36" i="37"/>
  <c r="M42" i="37"/>
  <c r="M32" i="37"/>
  <c r="K32" i="37"/>
  <c r="K36" i="37"/>
  <c r="I26" i="37"/>
  <c r="P42" i="37"/>
  <c r="K42" i="37"/>
  <c r="H32" i="37"/>
  <c r="P32" i="37"/>
  <c r="H42" i="37"/>
  <c r="N32" i="37"/>
  <c r="E40" i="37"/>
  <c r="E32" i="37"/>
  <c r="R28" i="37"/>
  <c r="E28" i="35"/>
  <c r="E38" i="35"/>
  <c r="R30" i="37"/>
  <c r="R40" i="37"/>
  <c r="E56" i="37"/>
  <c r="Q42" i="37"/>
  <c r="N40" i="37"/>
  <c r="F40" i="37"/>
  <c r="F42" i="37"/>
  <c r="Q32" i="37"/>
  <c r="N42" i="37"/>
  <c r="G32" i="37"/>
  <c r="O32" i="37"/>
  <c r="L42" i="37"/>
  <c r="J38" i="37"/>
  <c r="J42" i="37"/>
  <c r="E42" i="37"/>
  <c r="O36" i="37"/>
  <c r="O42" i="37"/>
  <c r="G36" i="37"/>
  <c r="G42" i="37"/>
  <c r="J32" i="37"/>
  <c r="R26" i="37"/>
  <c r="R79" i="37"/>
  <c r="R75" i="37"/>
  <c r="E30" i="35"/>
  <c r="E40" i="35"/>
  <c r="R32" i="37"/>
  <c r="R38" i="37"/>
  <c r="I32" i="37"/>
  <c r="I36" i="37"/>
  <c r="I42" i="37"/>
  <c r="J28" i="35"/>
  <c r="J38" i="35"/>
  <c r="R36" i="37"/>
  <c r="R42" i="37"/>
  <c r="E26" i="35"/>
  <c r="E32" i="35"/>
  <c r="E42" i="35"/>
  <c r="J154" i="35"/>
  <c r="E36" i="35"/>
  <c r="E179" i="35"/>
  <c r="E181" i="35"/>
  <c r="J159" i="35"/>
  <c r="J161" i="35"/>
  <c r="H26" i="35"/>
  <c r="J26" i="35"/>
  <c r="J36" i="35"/>
  <c r="J156" i="35"/>
  <c r="J158" i="35"/>
  <c r="F180" i="35"/>
  <c r="F179" i="35"/>
  <c r="F181" i="35"/>
  <c r="H179" i="35"/>
  <c r="J181" i="35"/>
  <c r="H20" i="35"/>
  <c r="H57" i="35"/>
  <c r="J57" i="35"/>
  <c r="J20" i="35"/>
  <c r="H30" i="35"/>
  <c r="J30" i="35"/>
  <c r="J32" i="35"/>
  <c r="J22" i="35"/>
  <c r="H22" i="35"/>
  <c r="J40" i="35"/>
  <c r="J42" i="35"/>
  <c r="H42" i="35"/>
  <c r="H46" i="35"/>
  <c r="H47" i="35"/>
  <c r="H59" i="35"/>
  <c r="J59" i="35"/>
  <c r="H98" i="35"/>
  <c r="J98" i="35"/>
  <c r="H100" i="35"/>
  <c r="J100" i="35"/>
  <c r="J47" i="35"/>
  <c r="H48" i="35"/>
  <c r="J48" i="35"/>
  <c r="H49" i="35"/>
  <c r="J49" i="35"/>
  <c r="H50" i="35"/>
  <c r="J50" i="35"/>
  <c r="J101" i="35"/>
  <c r="G51" i="37"/>
  <c r="G56" i="37"/>
  <c r="E46" i="35"/>
  <c r="E51" i="35"/>
  <c r="J46" i="35"/>
  <c r="J51" i="35"/>
  <c r="J85" i="35"/>
  <c r="J56" i="35"/>
  <c r="J60" i="35"/>
  <c r="J62" i="35"/>
  <c r="J112" i="35"/>
  <c r="J110" i="35"/>
  <c r="J115" i="35"/>
  <c r="D22" i="41"/>
  <c r="E115" i="35"/>
  <c r="J119" i="35"/>
  <c r="M52" i="31"/>
  <c r="M54" i="31"/>
  <c r="D25" i="41"/>
  <c r="E42" i="41"/>
  <c r="F22" i="41"/>
  <c r="F25" i="41"/>
  <c r="E44" i="41"/>
  <c r="E46" i="41"/>
  <c r="H22" i="41"/>
  <c r="H25" i="41"/>
  <c r="F28" i="41"/>
  <c r="F29" i="41"/>
  <c r="F30" i="41"/>
  <c r="F31" i="41"/>
  <c r="F33" i="41"/>
  <c r="F32" i="41"/>
  <c r="F34" i="41"/>
</calcChain>
</file>

<file path=xl/comments1.xml><?xml version="1.0" encoding="utf-8"?>
<comments xmlns="http://schemas.openxmlformats.org/spreadsheetml/2006/main">
  <authors>
    <author>Chris Kilpatrick</author>
  </authors>
  <commentList>
    <comment ref="D23" authorId="0" shapeId="0">
      <text>
        <r>
          <rPr>
            <b/>
            <sz val="8"/>
            <color indexed="81"/>
            <rFont val="Tahoma"/>
            <family val="2"/>
          </rPr>
          <t>Chris Kilpatrick:</t>
        </r>
        <r>
          <rPr>
            <sz val="8"/>
            <color indexed="81"/>
            <rFont val="Tahoma"/>
            <family val="2"/>
          </rPr>
          <t xml:space="preserve">
This is Basin's revenue requirement amount in their filing dated May 20, 2011.</t>
        </r>
      </text>
    </comment>
  </commentList>
</comments>
</file>

<file path=xl/comments2.xml><?xml version="1.0" encoding="utf-8"?>
<comments xmlns="http://schemas.openxmlformats.org/spreadsheetml/2006/main">
  <authors>
    <author>Chris Kilpatrick</author>
  </authors>
  <commentList>
    <comment ref="E50" authorId="0" shapeId="0">
      <text>
        <r>
          <rPr>
            <b/>
            <sz val="10"/>
            <color indexed="81"/>
            <rFont val="Tahoma"/>
            <family val="2"/>
          </rPr>
          <t>Chris Kilpatrick:</t>
        </r>
        <r>
          <rPr>
            <sz val="10"/>
            <color indexed="81"/>
            <rFont val="Tahoma"/>
            <family val="2"/>
          </rPr>
          <t xml:space="preserve">
Accounts 182-3000 positive, 254-1100 and 254-1200 negative.  All accounts multiplied by 35% tax rate.</t>
        </r>
      </text>
    </comment>
  </commentList>
</comments>
</file>

<file path=xl/comments3.xml><?xml version="1.0" encoding="utf-8"?>
<comments xmlns="http://schemas.openxmlformats.org/spreadsheetml/2006/main">
  <authors>
    <author>Chris Kilpatrick</author>
    <author>jkirsch</author>
  </authors>
  <commentList>
    <comment ref="E55" authorId="0" shapeId="0">
      <text>
        <r>
          <rPr>
            <b/>
            <sz val="10"/>
            <color indexed="81"/>
            <rFont val="Tahoma"/>
            <family val="2"/>
          </rPr>
          <t>Chris Kilpatrick:</t>
        </r>
        <r>
          <rPr>
            <sz val="10"/>
            <color indexed="81"/>
            <rFont val="Tahoma"/>
            <family val="2"/>
          </rPr>
          <t xml:space="preserve">
Accounts 182-390 positive, 254-015 and 254-012 negative.  All accounts multiplied by 35% tax rate.</t>
        </r>
      </text>
    </comment>
    <comment ref="F55" authorId="0" shapeId="0">
      <text>
        <r>
          <rPr>
            <b/>
            <sz val="10"/>
            <color indexed="81"/>
            <rFont val="Tahoma"/>
            <family val="2"/>
          </rPr>
          <t>Chris Kilpatrick:</t>
        </r>
        <r>
          <rPr>
            <sz val="10"/>
            <color indexed="81"/>
            <rFont val="Tahoma"/>
            <family val="2"/>
          </rPr>
          <t xml:space="preserve">
Accounts 182-390 positive, 254-015 and 254-012 negative.  All accounts multiplied by 35% tax rate.</t>
        </r>
      </text>
    </comment>
    <comment ref="G73" authorId="1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reconciling items from property accounting reconciliation</t>
        </r>
      </text>
    </comment>
    <comment ref="N73" authorId="1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Includes vehicle transfers</t>
        </r>
      </text>
    </comment>
    <comment ref="O73" authorId="1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includes vehicle transfers</t>
        </r>
      </text>
    </comment>
    <comment ref="P73" authorId="1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includes vehicle transfer</t>
        </r>
      </text>
    </comment>
  </commentList>
</comments>
</file>

<file path=xl/comments4.xml><?xml version="1.0" encoding="utf-8"?>
<comments xmlns="http://schemas.openxmlformats.org/spreadsheetml/2006/main">
  <authors>
    <author>Wentz, Erin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Wentz, Erin:</t>
        </r>
        <r>
          <rPr>
            <sz val="8"/>
            <color indexed="81"/>
            <rFont val="Tahoma"/>
            <family val="2"/>
          </rPr>
          <t xml:space="preserve">
Use amount in contract and billed
</t>
        </r>
      </text>
    </comment>
  </commentList>
</comments>
</file>

<file path=xl/sharedStrings.xml><?xml version="1.0" encoding="utf-8"?>
<sst xmlns="http://schemas.openxmlformats.org/spreadsheetml/2006/main" count="765" uniqueCount="480">
  <si>
    <t>Reference</t>
  </si>
  <si>
    <t>CHEYENNE</t>
  </si>
  <si>
    <t>LIGHT CUS</t>
  </si>
  <si>
    <t>SUPPORTING CALCULATIONS AND NOTES</t>
  </si>
  <si>
    <t>Total Transmission Plant</t>
  </si>
  <si>
    <t>TOTAL GROSS PLANT</t>
  </si>
  <si>
    <t xml:space="preserve">TOTAL NET PLANT </t>
  </si>
  <si>
    <t xml:space="preserve">TOTAL ACCUM. DEPRECIATION </t>
  </si>
  <si>
    <t>TOTAL ADJUSTMENTS</t>
  </si>
  <si>
    <t xml:space="preserve">TOTAL WORKING CAPITAL </t>
  </si>
  <si>
    <t xml:space="preserve">TRANSMISSION RATE BASE </t>
  </si>
  <si>
    <t>Interest 35.19a</t>
  </si>
  <si>
    <t>Total General Plant</t>
  </si>
  <si>
    <t>Tools, Shop and Garage Equipment</t>
  </si>
  <si>
    <t>Line 17 / line 18</t>
  </si>
  <si>
    <t>Line 20 / 12</t>
  </si>
  <si>
    <t>Line 20 / 52</t>
  </si>
  <si>
    <t>Line 20 / 365</t>
  </si>
  <si>
    <t>(Line 20 / 8760)*1000</t>
  </si>
  <si>
    <t>Sum of (the monthly rates for the 4 months ending April 30 of the current year and</t>
  </si>
  <si>
    <t>divided by 16 months.</t>
  </si>
  <si>
    <t>True-Up Adjustment equals the True-Up Adjustment before Interest multiplied by (1+i)^18 months.</t>
  </si>
  <si>
    <t>Proprietary Capital</t>
  </si>
  <si>
    <t>Step 10</t>
  </si>
  <si>
    <t>TO to hold an open meeting for it's customers and representatives to explain the formula rate projections and cost details</t>
  </si>
  <si>
    <t>13 month average</t>
  </si>
  <si>
    <t>(a)</t>
  </si>
  <si>
    <t>(b)</t>
  </si>
  <si>
    <t>(c)</t>
  </si>
  <si>
    <t>(d)</t>
  </si>
  <si>
    <t>(e)</t>
  </si>
  <si>
    <t>(f)</t>
  </si>
  <si>
    <t>(g)</t>
  </si>
  <si>
    <t>(h)</t>
  </si>
  <si>
    <t>(j)</t>
  </si>
  <si>
    <t>(k)</t>
  </si>
  <si>
    <t>(l)</t>
  </si>
  <si>
    <t>(m)</t>
  </si>
  <si>
    <t>(n)</t>
  </si>
  <si>
    <t xml:space="preserve">ADJUSTMENTS TO RATE BASE      </t>
  </si>
  <si>
    <t>Average Balance</t>
  </si>
  <si>
    <t>GROSS PLANT IN SERVICE (101 &amp; 106)</t>
  </si>
  <si>
    <t>ACCUMULATED DEPRECIATION (108)</t>
  </si>
  <si>
    <t>Depreciation rates, PBOP, ROE, and Capital Structure are fixed amounts that can be changed only through a Section 205 filing.</t>
  </si>
  <si>
    <t xml:space="preserve">TO adds weighted Capital Adds, Accumulated Depreciation and Depreciation Expense to plant in service in Formula </t>
  </si>
  <si>
    <t>Future Value Factor (1+i)^18</t>
  </si>
  <si>
    <t xml:space="preserve">    Less FERC Annual Fees  (Note D)</t>
  </si>
  <si>
    <t xml:space="preserve">    Plus Transmission Related Reg. Comm.  Exp. (Note E)</t>
  </si>
  <si>
    <t xml:space="preserve">    Less: EPRI &amp; Reg. Comm. Exp. &amp; Non-safety  Ad. (Note E)</t>
  </si>
  <si>
    <t xml:space="preserve">    Less: Account 565 and 561</t>
  </si>
  <si>
    <t>True-Up Calculation:</t>
  </si>
  <si>
    <t xml:space="preserve">July </t>
  </si>
  <si>
    <t>TO either collects or pays the lump-sum adjustment calculated above</t>
  </si>
  <si>
    <t>Step 1</t>
  </si>
  <si>
    <t>Step 2</t>
  </si>
  <si>
    <t>Step 3</t>
  </si>
  <si>
    <t>Step 4</t>
  </si>
  <si>
    <t>Step 5</t>
  </si>
  <si>
    <t>Annual Rate Calculation:</t>
  </si>
  <si>
    <t>Step 6</t>
  </si>
  <si>
    <t>Step 7</t>
  </si>
  <si>
    <t>Step 8</t>
  </si>
  <si>
    <t>Step 9</t>
  </si>
  <si>
    <t>Post results of Step 7 on web site</t>
  </si>
  <si>
    <t>Results of Step 7 go into effect</t>
  </si>
  <si>
    <t xml:space="preserve">   Less Account 561.6</t>
  </si>
  <si>
    <t xml:space="preserve">   Less Account 561.7</t>
  </si>
  <si>
    <t>pg 321.90.b</t>
  </si>
  <si>
    <t>pg 321.91.b</t>
  </si>
  <si>
    <t>BHP</t>
  </si>
  <si>
    <t>Allocation of the Revenue Credits to the Common Use AC Facilities:</t>
  </si>
  <si>
    <t>All other rate base items are based on the average of the beginning of the year and end of year balances.</t>
  </si>
  <si>
    <t>For the True-Up calculation only, Gross Plant, Accumulated Depreciation and Net Plant are based on the 13-monthly plant balances.</t>
  </si>
  <si>
    <t>205.46.g</t>
  </si>
  <si>
    <t>111.57.c</t>
  </si>
  <si>
    <t>263.i</t>
  </si>
  <si>
    <t>Cash Working Capital assigned to transmission is one-eighth of O&amp;M allocated to transmission at line 42, column 5.</t>
  </si>
  <si>
    <t>Common Use AC Facilities</t>
  </si>
  <si>
    <t>Total Transmission Accumulated Depreciation</t>
  </si>
  <si>
    <t>TPA=</t>
  </si>
  <si>
    <t>TPA</t>
  </si>
  <si>
    <t>Total Distribution Accumulated Depreciation</t>
  </si>
  <si>
    <t>DPA=</t>
  </si>
  <si>
    <t xml:space="preserve">        (page 4)</t>
  </si>
  <si>
    <t xml:space="preserve">  or liabilities related to FASB 109.  Balance of Account 255 is reduced by prior flow through and excluded if the utility </t>
  </si>
  <si>
    <t xml:space="preserve">The FERC's annual charges for the year assessed the Transmission Owner for service since annual charges assessed directly under this tariff. </t>
  </si>
  <si>
    <t xml:space="preserve">Less transmission plant excluded from Common Use Facilities </t>
  </si>
  <si>
    <t xml:space="preserve">Less transmission plant included in Ancillary Services </t>
  </si>
  <si>
    <t xml:space="preserve"> (Note G)</t>
  </si>
  <si>
    <t>TAXES OTHER THAN INCOME TAXES  (Note F)</t>
  </si>
  <si>
    <t xml:space="preserve">       and FIT, SIT &amp; p are as given in footnote G.</t>
  </si>
  <si>
    <t>Auto</t>
  </si>
  <si>
    <t>WS=</t>
  </si>
  <si>
    <t xml:space="preserve">      Allocator</t>
  </si>
  <si>
    <t>BASIN</t>
  </si>
  <si>
    <t>SD</t>
  </si>
  <si>
    <t xml:space="preserve">CITY OF </t>
  </si>
  <si>
    <t>WEST</t>
  </si>
  <si>
    <t>GILLETTE</t>
  </si>
  <si>
    <t>LOAD</t>
  </si>
  <si>
    <t>General Plant</t>
  </si>
  <si>
    <t>207.94.g</t>
  </si>
  <si>
    <t xml:space="preserve">  Communication System</t>
  </si>
  <si>
    <t>DISTRIBUTION PLANT INCLUDED IN JOINT TARIFF RATES</t>
  </si>
  <si>
    <t xml:space="preserve">Total distribution plant    </t>
  </si>
  <si>
    <t xml:space="preserve">Total transmission plant </t>
  </si>
  <si>
    <t>DP=</t>
  </si>
  <si>
    <t xml:space="preserve">Less distribution plant excluded from Common Use Facilities </t>
  </si>
  <si>
    <t xml:space="preserve">Less distribution plant included in Ancillary Services </t>
  </si>
  <si>
    <t>COMMON USE</t>
  </si>
  <si>
    <t>AC LOAD</t>
  </si>
  <si>
    <t>Transmission Plant</t>
  </si>
  <si>
    <t xml:space="preserve">  chose to utilize amortization of tax credits against taxable income.  Account 281 is not allocated.</t>
  </si>
  <si>
    <t xml:space="preserve">  multiplied by (1/1-T) (page 7, line 26).</t>
  </si>
  <si>
    <t>Revenue Credits - Non-Firm transmission revenue</t>
  </si>
  <si>
    <t>the monthly rates for the 12 months ending December 31 of the preceding year)</t>
  </si>
  <si>
    <t>worksheet included in the filed Formula Rate template, the inputs to the worksheet must meet this transparency</t>
  </si>
  <si>
    <t>TRANSMISSION PLANT INCLUDED IN JOINT TARIFF RATES</t>
  </si>
  <si>
    <t>ANNUAL AVERAGE MW</t>
  </si>
  <si>
    <t>Circular Reference</t>
  </si>
  <si>
    <t>207.58.g</t>
  </si>
  <si>
    <t>207.75.g</t>
  </si>
  <si>
    <t>219.25.c</t>
  </si>
  <si>
    <t>219.26.c</t>
  </si>
  <si>
    <t>267.8.h</t>
  </si>
  <si>
    <t>323.194.b</t>
  </si>
  <si>
    <t>336.11.b</t>
  </si>
  <si>
    <t>354.21.b</t>
  </si>
  <si>
    <t>TRANSMISSION &amp; DISTRIBUTION ALLOCATOR (T&amp;D)</t>
  </si>
  <si>
    <t>Transmission Net Plant</t>
  </si>
  <si>
    <t>Distribution Net Plant</t>
  </si>
  <si>
    <t>T&amp;D</t>
  </si>
  <si>
    <t xml:space="preserve">T&amp;D = </t>
  </si>
  <si>
    <t>227.8.c</t>
  </si>
  <si>
    <t>227.5.c</t>
  </si>
  <si>
    <t>350.1.b</t>
  </si>
  <si>
    <t xml:space="preserve">   related advertising included in Account 930.1.  </t>
  </si>
  <si>
    <t xml:space="preserve">  Allocated Plant</t>
  </si>
  <si>
    <t>321.112.b</t>
  </si>
  <si>
    <t>FIRM</t>
  </si>
  <si>
    <t>POINT TO POINT</t>
  </si>
  <si>
    <t xml:space="preserve">  Total Wages Expense</t>
  </si>
  <si>
    <t>354.28.b</t>
  </si>
  <si>
    <t xml:space="preserve">  Less:  A&amp;G Wages</t>
  </si>
  <si>
    <t>354.27.b</t>
  </si>
  <si>
    <t>(i)</t>
  </si>
  <si>
    <t>in its Form No. 1 and its books and records for that calendar year, consistent with FERC</t>
  </si>
  <si>
    <t>accounting policies.</t>
  </si>
  <si>
    <t>(ii)</t>
  </si>
  <si>
    <t>Transmission Revenue Requirement (ATRR) for the previous calendar year based on its actual costs as reflected</t>
  </si>
  <si>
    <t>Black Hills Power shall determine the difference between the recalculated ATRR as determined in paragraph (i)</t>
  </si>
  <si>
    <t>above, and ATRR based on projected costs for the previous calendar year (True-Up Adj before Interest).</t>
  </si>
  <si>
    <t>(iii)</t>
  </si>
  <si>
    <t>The True-Up Adjustment shall be determined as follows:</t>
  </si>
  <si>
    <t>Where:</t>
  </si>
  <si>
    <t>i =</t>
  </si>
  <si>
    <t>August</t>
  </si>
  <si>
    <t>October</t>
  </si>
  <si>
    <t>November</t>
  </si>
  <si>
    <t>January</t>
  </si>
  <si>
    <t>Note 1:</t>
  </si>
  <si>
    <t>To the extent possible each input into the Formula Rate used to calculate the actual ATRR included in the True-Up</t>
  </si>
  <si>
    <t>Adjustment either will be taken directly from the FERC Form No. 1 or will be reconcilable to the FERC Form No. 1</t>
  </si>
  <si>
    <t xml:space="preserve">by the application of clearly identified and supported information.  If the reconciliation is provided through a </t>
  </si>
  <si>
    <t>Components of the Annual Rate (lines 6-8)</t>
  </si>
  <si>
    <t>Component Annual Revenue Requirements</t>
  </si>
  <si>
    <t>Service Year</t>
  </si>
  <si>
    <t>Allocated Revenue Credits (lines 2-4)</t>
  </si>
  <si>
    <t xml:space="preserve"> (Note I)</t>
  </si>
  <si>
    <t xml:space="preserve"> (Company Records)</t>
  </si>
  <si>
    <t>Company Records</t>
  </si>
  <si>
    <t>Less distribution accumulated depreciation excluded from Common Use Facilities (Company Records)</t>
  </si>
  <si>
    <t>(Note I)</t>
  </si>
  <si>
    <t>DEPRECIATION EXPENSE  (Note I)</t>
  </si>
  <si>
    <t>standard, and doing so will satisfy this transparency requirement for the amounts that are output from the</t>
  </si>
  <si>
    <t>worksheet and input to the main body of the Formula Rate.</t>
  </si>
  <si>
    <t>i = average interest rate as calculated below</t>
  </si>
  <si>
    <t>Interest on Amount of Refunds or Surcharges Interest 35.19a for Current Year</t>
  </si>
  <si>
    <t>for Month</t>
  </si>
  <si>
    <t>February</t>
  </si>
  <si>
    <t>March</t>
  </si>
  <si>
    <t>July</t>
  </si>
  <si>
    <t>September</t>
  </si>
  <si>
    <t>December</t>
  </si>
  <si>
    <t>Average Interest Rate</t>
  </si>
  <si>
    <t>Year 1</t>
  </si>
  <si>
    <t>Year 2</t>
  </si>
  <si>
    <t>Month</t>
  </si>
  <si>
    <t>Year</t>
  </si>
  <si>
    <t>Action</t>
  </si>
  <si>
    <t>April</t>
  </si>
  <si>
    <t>May</t>
  </si>
  <si>
    <t>June</t>
  </si>
  <si>
    <t xml:space="preserve">  Taxes related to income are excluded.  Gross receipts taxes are not included in transmission revenue requirement in rates, </t>
  </si>
  <si>
    <t xml:space="preserve"> </t>
  </si>
  <si>
    <t xml:space="preserve"> Utilizing FERC Form 1 Data</t>
  </si>
  <si>
    <t>Line</t>
  </si>
  <si>
    <t>No.</t>
  </si>
  <si>
    <t>Total</t>
  </si>
  <si>
    <t>Allocator</t>
  </si>
  <si>
    <t>TP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</si>
  <si>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</si>
  <si>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</si>
  <si>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</si>
  <si>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</si>
  <si>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</si>
  <si>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</si>
  <si>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</si>
  <si>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</si>
  <si>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</si>
  <si>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>(Col 3 times Col 4)</t>
  </si>
  <si>
    <t>RATE BASE: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</si>
  <si>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</si>
  <si>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</si>
  <si>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</si>
  <si>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</si>
  <si>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</si>
  <si>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</si>
  <si>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</si>
  <si>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</si>
  <si>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356.1</t>
  </si>
  <si>
    <t>GP=</t>
  </si>
  <si>
    <t>ACCUMULATED DEPRECIATION</t>
  </si>
  <si>
    <t>NET PLANT IN SERVICE</t>
  </si>
  <si>
    <t>NP=</t>
  </si>
  <si>
    <t>273.8.k</t>
  </si>
  <si>
    <t>NP</t>
  </si>
  <si>
    <t>275.2.k</t>
  </si>
  <si>
    <t>277.9.k</t>
  </si>
  <si>
    <t>234.8.c</t>
  </si>
  <si>
    <t xml:space="preserve">LAND HELD FOR FUTURE USE </t>
  </si>
  <si>
    <t>GP</t>
  </si>
  <si>
    <t>O&amp;M</t>
  </si>
  <si>
    <t xml:space="preserve">  Transmission </t>
  </si>
  <si>
    <t xml:space="preserve">  A&amp;G</t>
  </si>
  <si>
    <t xml:space="preserve">  LABOR RELATED</t>
  </si>
  <si>
    <t xml:space="preserve">          Payroll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</si>
  <si>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</si>
  <si>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</si>
  <si>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</si>
  <si>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</si>
  <si>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</si>
  <si>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INCOME TAXES          </t>
  </si>
  <si>
    <t xml:space="preserve">RETURN </t>
  </si>
  <si>
    <t>TP=</t>
  </si>
  <si>
    <t>WAGES &amp; SALARY ALLOCATOR   (W&amp;S)</t>
  </si>
  <si>
    <t>Form 1 Reference</t>
  </si>
  <si>
    <t>$</t>
  </si>
  <si>
    <t>Allocation</t>
  </si>
  <si>
    <t>W&amp;S Allocator</t>
  </si>
  <si>
    <t>($ / Allocation)</t>
  </si>
  <si>
    <t>CE</t>
  </si>
  <si>
    <t>RETURN (R)</t>
  </si>
  <si>
    <t>Cost</t>
  </si>
  <si>
    <t>%</t>
  </si>
  <si>
    <t>Weighted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</si>
  <si>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</si>
  <si>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</si>
  <si>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</si>
  <si>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</si>
  <si>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</si>
  <si>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</si>
  <si>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</si>
  <si>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</si>
  <si>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</si>
  <si>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Identified in Form 1 as being only transmission related.</t>
  </si>
  <si>
    <t>H</t>
  </si>
  <si>
    <t>I</t>
  </si>
  <si>
    <t>Includes only FICA, unemployment, highway, property, gross receipts, and other assessments charged in the current year.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</si>
  <si>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</si>
  <si>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</si>
  <si>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</si>
  <si>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255 (enter negative)</t>
  </si>
  <si>
    <t xml:space="preserve">  Account No. 190 </t>
  </si>
  <si>
    <t xml:space="preserve">  Prepayments (Account 165)</t>
  </si>
  <si>
    <t>The currently effective income tax rate,  where FIT is the Federal income tax rate; SIT is the State income tax rate, and p =</t>
  </si>
  <si>
    <t>Total Income Taxes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</si>
  <si>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</si>
  <si>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</si>
  <si>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</si>
  <si>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rate base, must reduce its income tax expense by the amount of the Amortized Investment Tax Credit (Form 1, 266.8.f)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</si>
  <si>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</si>
  <si>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</si>
  <si>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</si>
  <si>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</si>
  <si>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</si>
  <si>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 xml:space="preserve">     T=1 - {[(1 - SIT) * (1 - FIT)] / (1 - SIT * FIT * p)} =</t>
  </si>
  <si>
    <t xml:space="preserve">     CIT=(T/1-T) * (1-(WCLTD/R)) =</t>
  </si>
  <si>
    <t xml:space="preserve">         Inputs Required:</t>
  </si>
  <si>
    <t xml:space="preserve">  CWC  </t>
  </si>
  <si>
    <t>zero</t>
  </si>
  <si>
    <t xml:space="preserve">   since they are recovered elsewhere.</t>
  </si>
  <si>
    <t xml:space="preserve">  FAS 109 Adjustment</t>
  </si>
  <si>
    <t xml:space="preserve">    Plus:  Fixed PBOP expense</t>
  </si>
  <si>
    <t xml:space="preserve">    Less:  Actual PBOP expense</t>
  </si>
  <si>
    <t xml:space="preserve">  General &amp; intangible</t>
  </si>
  <si>
    <t>Schedule 1</t>
  </si>
  <si>
    <t xml:space="preserve">  Distribution </t>
  </si>
  <si>
    <t>WORKING CAPITAL  (Notes C &amp; H)</t>
  </si>
  <si>
    <t>214.x.d  (Notes B &amp; H)</t>
  </si>
  <si>
    <t xml:space="preserve">Company </t>
  </si>
  <si>
    <t xml:space="preserve">Scheduling </t>
  </si>
  <si>
    <t>Form No. 1 Refer.</t>
  </si>
  <si>
    <t>Method</t>
  </si>
  <si>
    <t>O&amp;M - Acct 561</t>
  </si>
  <si>
    <t>SCHEDULE NO. 1 RATE:</t>
  </si>
  <si>
    <t>REVENUE REQUIREMENT</t>
  </si>
  <si>
    <t>Avg 12 CP+Firm Whlng</t>
  </si>
  <si>
    <t>kW</t>
  </si>
  <si>
    <t>Annual Rate</t>
  </si>
  <si>
    <t>/</t>
  </si>
  <si>
    <t>kW-YR</t>
  </si>
  <si>
    <t>Monthly Rate</t>
  </si>
  <si>
    <t>kW-Mo</t>
  </si>
  <si>
    <t>Weekly Rate</t>
  </si>
  <si>
    <t>kW-Wk</t>
  </si>
  <si>
    <t>Daily Rate</t>
  </si>
  <si>
    <t>kW-Day</t>
  </si>
  <si>
    <t>Hourly Rate</t>
  </si>
  <si>
    <t>MWH</t>
  </si>
  <si>
    <t>Black Hills Power, Inc.</t>
  </si>
  <si>
    <t>Cost of Service</t>
  </si>
  <si>
    <t xml:space="preserve">Schedule No. 1 </t>
  </si>
  <si>
    <t>365 days/Yr</t>
  </si>
  <si>
    <t>8760 hours/Yr</t>
  </si>
  <si>
    <t>Schedule No. 1 Total Rev Requirement</t>
  </si>
  <si>
    <t>TOTAL</t>
  </si>
  <si>
    <t xml:space="preserve">  Long Term Debt</t>
  </si>
  <si>
    <t xml:space="preserve">  Preferred Stock </t>
  </si>
  <si>
    <t>Long Term Interest</t>
  </si>
  <si>
    <t>Preferred Dividends</t>
  </si>
  <si>
    <t>118.29.c (positive number)</t>
  </si>
  <si>
    <t>Development of Common Stock:</t>
  </si>
  <si>
    <t>112.16.c</t>
  </si>
  <si>
    <t>Less:  Preferred Stock</t>
  </si>
  <si>
    <t>112.3.c</t>
  </si>
  <si>
    <t>Less:  Undistributed Earnings</t>
  </si>
  <si>
    <t>112.12.c (enter negative)</t>
  </si>
  <si>
    <t>Less:  Accum Other Comp Inc</t>
  </si>
  <si>
    <t>112.15.c (enter negative)</t>
  </si>
  <si>
    <t xml:space="preserve">   Adjusted Common Stock</t>
  </si>
  <si>
    <t xml:space="preserve">  Adjusted Common Stock</t>
  </si>
  <si>
    <t>Plant Type</t>
  </si>
  <si>
    <t>Land and Land Rights</t>
  </si>
  <si>
    <t>Structures and Improvements</t>
  </si>
  <si>
    <t>Station Equipment</t>
  </si>
  <si>
    <t>Towers and Fixtures</t>
  </si>
  <si>
    <t>Poles and Fixtures</t>
  </si>
  <si>
    <t>Overhead Conductors and Devices</t>
  </si>
  <si>
    <t>Roads and Trails</t>
  </si>
  <si>
    <t>Office Furniture and Equipment</t>
  </si>
  <si>
    <t>Transportation Equipment</t>
  </si>
  <si>
    <t>Stores Equipment</t>
  </si>
  <si>
    <t>Laboratory Equipment</t>
  </si>
  <si>
    <t>Power Operated Equipment</t>
  </si>
  <si>
    <t>Communication Equipment</t>
  </si>
  <si>
    <t>Miscellaneous Equipment</t>
  </si>
  <si>
    <t xml:space="preserve">R = </t>
  </si>
  <si>
    <t xml:space="preserve">  Materials &amp; Supplies</t>
  </si>
  <si>
    <t xml:space="preserve">The balances in Accounts 281, 282, 283 and 190, as adjusted by any amounts in contra accounts identified as regulatory assets </t>
  </si>
  <si>
    <t>Joint Tariff Rates</t>
  </si>
  <si>
    <t>Revenue Credits</t>
  </si>
  <si>
    <t>Allocated Revenue Credits</t>
  </si>
  <si>
    <t>Black Hills</t>
  </si>
  <si>
    <t>Basin Electric</t>
  </si>
  <si>
    <t>PRECorp</t>
  </si>
  <si>
    <t>Common Use AC Facilities Rates:</t>
  </si>
  <si>
    <t>Entity</t>
  </si>
  <si>
    <t>Net Revenue Requirements</t>
  </si>
  <si>
    <t>Rates:</t>
  </si>
  <si>
    <t>Annual</t>
  </si>
  <si>
    <t>/kW-year</t>
  </si>
  <si>
    <t>Monthly</t>
  </si>
  <si>
    <t>/kW-month</t>
  </si>
  <si>
    <t>Weekly</t>
  </si>
  <si>
    <t>/kW-week</t>
  </si>
  <si>
    <t>Daily On-Peak</t>
  </si>
  <si>
    <t>6 days/week</t>
  </si>
  <si>
    <t>/kW-day</t>
  </si>
  <si>
    <t>Daily Off-Peak</t>
  </si>
  <si>
    <t>7 days/week</t>
  </si>
  <si>
    <t>Hourly On-Peak</t>
  </si>
  <si>
    <t>16 hours/day</t>
  </si>
  <si>
    <t>/kW-hour</t>
  </si>
  <si>
    <t>Hourly Off-Peak</t>
  </si>
  <si>
    <t>24 hours/day</t>
  </si>
  <si>
    <t>Check:</t>
  </si>
  <si>
    <t>DA</t>
  </si>
  <si>
    <t>Complete for Each Calendar Year beginning in 2009</t>
  </si>
  <si>
    <t>The True-Up Adjustment component of the Formula Rate for each Rate Year beginning with rates effective January 1, 2010 shall be determined as follows:</t>
  </si>
  <si>
    <t>Beginning with 2009, no later than June 1 of each year, Black Hills Power shall recalculate an adjusted Annual</t>
  </si>
  <si>
    <t xml:space="preserve">112.24.c </t>
  </si>
  <si>
    <t>Note:  to address the circular reference</t>
  </si>
  <si>
    <t>copy and paste values from cells H22:H24</t>
  </si>
  <si>
    <t>to L22:L24 until the rates in H22:H24 no</t>
  </si>
  <si>
    <t>longer change.</t>
  </si>
  <si>
    <t>Line 1 - EPRI Annual Membership Dues listed in Form 1 at 335.1.b, all Regulatory Commission Expenses itemized at 351.h, and non-safety</t>
  </si>
  <si>
    <t>pg 321.85-92.c</t>
  </si>
  <si>
    <t>pg 321.85-92.b</t>
  </si>
  <si>
    <t>pg 321.90.c</t>
  </si>
  <si>
    <t>pg 321.91.c</t>
  </si>
  <si>
    <t>113.62.c</t>
  </si>
  <si>
    <t>113.63.c</t>
  </si>
  <si>
    <t>113.64.c</t>
  </si>
  <si>
    <t>111.82.c</t>
  </si>
  <si>
    <t>113.57.c</t>
  </si>
  <si>
    <t xml:space="preserve">Less transmission accumulated depreciation excluded from Common Use Facilities </t>
  </si>
  <si>
    <t>219.28.c</t>
  </si>
  <si>
    <t>207.99.g - line 6</t>
  </si>
  <si>
    <t>219.20-24.c</t>
  </si>
  <si>
    <t>ADJUSTMENTS TO RATE BASE       (Notes A &amp; H)</t>
  </si>
  <si>
    <t>1 - Transmission actual load from OATI</t>
  </si>
  <si>
    <t>2 - Transmission projected load from Transmission Planning</t>
  </si>
  <si>
    <t>(Note H) **</t>
  </si>
  <si>
    <t>** Columns a and m use the FERC Form 1 balance except where otherwise referenced. Columns b through l are the Company's FERC account balances.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</si>
  <si>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Communication System Accumulated Depreciation based on Communication System Plant in Service share of General &amp; Intangible Accumulated Depreciation.</t>
    </r>
  </si>
  <si>
    <t>WORKING CAPITAL  EXCLUDING CASH WORKING CAPITAL (Notes C &amp; H)</t>
  </si>
  <si>
    <t>* The above rates were developed in June 2006. See Note I.</t>
  </si>
  <si>
    <t>Rates*</t>
  </si>
  <si>
    <t>Date</t>
  </si>
  <si>
    <t>(Note H)</t>
  </si>
  <si>
    <t>See Workpaper 4</t>
  </si>
  <si>
    <t>See Workpaper 5</t>
  </si>
  <si>
    <t>(Notes A &amp; H)</t>
  </si>
  <si>
    <t>(232.1.f - 278.1.f - 278.3.f)*.35</t>
  </si>
  <si>
    <t>111.57.d</t>
  </si>
  <si>
    <t>Summary of Formula Rate Process including True-Up Adjustment  (Using 2009 as an example)</t>
  </si>
  <si>
    <t>TO populates the formula with 2009 Actual data and calculates the 2009 True-up Adjustment before Interest</t>
  </si>
  <si>
    <t>TO compares the revenue received during 2009 to the True-Up calculation done above</t>
  </si>
  <si>
    <t>TO calculates the Interest to include in the 2009 True-Up Adjustment</t>
  </si>
  <si>
    <t>TO populates the formula with 2009 Actual data plus known additions placed in service (over $1,000,000) for 2010 (See WP 2 for an example)</t>
  </si>
  <si>
    <t>TO estimates transmission Capital Additions (over $1,000,000) for 2011 expected to be in service in 2011 (See WP 3 for an example)</t>
  </si>
  <si>
    <t>True-Up Amount to be (Refunded)/Paid based on 2009 Actual Costs (A*B)</t>
  </si>
  <si>
    <t>Capital True Up</t>
  </si>
  <si>
    <t>Depreciation Rates</t>
  </si>
  <si>
    <t>ESTIMATED REVENUE REQUIREMENT (pg. 3 line 95)</t>
  </si>
  <si>
    <t>Date: May 31, 2017</t>
  </si>
  <si>
    <t>TRUE UP OF RATES FOR CALENDAR YEAR 2016</t>
  </si>
  <si>
    <t>12/31/15 &amp; 12/31/16 average balance</t>
  </si>
  <si>
    <r>
      <t>2016 Actual Load Data</t>
    </r>
    <r>
      <rPr>
        <b/>
        <vertAlign val="superscript"/>
        <sz val="12"/>
        <rFont val="Arial"/>
        <family val="2"/>
      </rPr>
      <t>1</t>
    </r>
  </si>
  <si>
    <r>
      <t>2016 Projected Load Data</t>
    </r>
    <r>
      <rPr>
        <b/>
        <vertAlign val="superscript"/>
        <sz val="12"/>
        <rFont val="Arial"/>
        <family val="2"/>
      </rPr>
      <t>2</t>
    </r>
  </si>
  <si>
    <t>Actual 2016 Load</t>
  </si>
  <si>
    <t>(See Workpaper 7 2016 Actual Load Data)</t>
  </si>
  <si>
    <t>Actual Expenses (2016)</t>
  </si>
  <si>
    <t>Amount based on actual calendar year 2016</t>
  </si>
  <si>
    <t>O&amp;M - Acct 561 (2015)</t>
  </si>
  <si>
    <t>Effective August 1, 2017</t>
  </si>
  <si>
    <t>321.84-92.b &amp; 96.b</t>
  </si>
  <si>
    <t>336.7.b</t>
  </si>
  <si>
    <t>336.10.b &amp; 336.1.d&amp;e</t>
  </si>
  <si>
    <t>263.3i, 263.4i, 263.12i</t>
  </si>
  <si>
    <t>263.23i</t>
  </si>
  <si>
    <t>line 22</t>
  </si>
  <si>
    <t>line 23</t>
  </si>
  <si>
    <t>117, sum of 62.c through 66.c</t>
  </si>
  <si>
    <t>201.13.e + 201.13.f</t>
  </si>
  <si>
    <t>See Workpaper 9 (column b)</t>
  </si>
  <si>
    <t xml:space="preserve">201.14.e + 201.14.f </t>
  </si>
  <si>
    <t>See Workpaper 9 (column c)</t>
  </si>
  <si>
    <t>(232.1.f - 278.3.f)*.35</t>
  </si>
  <si>
    <t>SW Maintenance Adj</t>
  </si>
  <si>
    <t>Lobbying Adj</t>
  </si>
  <si>
    <t>Merger Related</t>
  </si>
  <si>
    <t>SW Maintenance Impact on Retained earnings</t>
  </si>
  <si>
    <t>Account 282 Adjustment</t>
  </si>
  <si>
    <t>Original</t>
  </si>
  <si>
    <t>Adjustment</t>
  </si>
  <si>
    <t>Adjusted</t>
  </si>
  <si>
    <t>ACCUMULATED DEPRECIATION CORRECTION SUMMARY</t>
  </si>
  <si>
    <t>Transmission Originally provided</t>
  </si>
  <si>
    <t>Transmission Adjustment</t>
  </si>
  <si>
    <t>Adjusted Transmission</t>
  </si>
  <si>
    <t>General and Intangible Originally provided</t>
  </si>
  <si>
    <t>General and Intangible Adjustment</t>
  </si>
  <si>
    <t>Adjusted General and Intangible</t>
  </si>
  <si>
    <t>Communication System Originally provided</t>
  </si>
  <si>
    <t>Communication System Adjustment</t>
  </si>
  <si>
    <t>Adjusted Communication System</t>
  </si>
  <si>
    <t>Depreciation rate change adj</t>
  </si>
  <si>
    <t>Benefit Geography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</si>
</sst>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4"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0.0000"/>
    <numFmt numFmtId="169" formatCode="&quot;$&quot;#,##0"/>
    <numFmt numFmtId="170" formatCode="0.0%"/>
    <numFmt numFmtId="171" formatCode="#,##0.0"/>
    <numFmt numFmtId="172" formatCode="&quot;$&quot;#,##0.00"/>
    <numFmt numFmtId="173" formatCode="_(* #,##0_);_(* \(#,##0\);_(* &quot;-&quot;??_);_(@_)"/>
    <numFmt numFmtId="174" formatCode="_(&quot;$&quot;* #,##0_);_(&quot;$&quot;* \(#,##0\);_(&quot;$&quot;* &quot;-&quot;??_);_(@_)"/>
    <numFmt numFmtId="175" formatCode="_(* #,##0.0000_);_(* \(#,##0.0000\);_(* &quot;-&quot;??_);_(@_)"/>
    <numFmt numFmtId="176" formatCode="0.0000000"/>
    <numFmt numFmtId="177" formatCode="_(&quot;$&quot;* #,##0.000_);_(&quot;$&quot;* \(#,##0.000\);_(&quot;$&quot;* &quot;-&quot;??_);_(@_)"/>
    <numFmt numFmtId="180" formatCode="_(&quot;$&quot;* #,##0.0000_);_(&quot;$&quot;* \(#,##0.0000\);_(&quot;$&quot;* &quot;-&quot;??_);_(@_)"/>
    <numFmt numFmtId="181" formatCode="_(&quot;$&quot;* #,##0.00000_);_(&quot;$&quot;* \(#,##0.00000\);_(&quot;$&quot;* &quot;-&quot;??_);_(@_)"/>
    <numFmt numFmtId="183" formatCode="mmm\-yyyy"/>
    <numFmt numFmtId="184" formatCode="0.0000%"/>
    <numFmt numFmtId="185" formatCode="#,##0.000000"/>
    <numFmt numFmtId="186" formatCode="[$-409]mmm\-yy;@"/>
    <numFmt numFmtId="187" formatCode="&quot;$&quot;#,##0.0;[Red]\-&quot;$&quot;#,##0.0"/>
    <numFmt numFmtId="188" formatCode="00000"/>
    <numFmt numFmtId="189" formatCode="#,##0\ ;\(#,##0\);\-\ \ \ \ \ "/>
    <numFmt numFmtId="190" formatCode="#,##0\ ;\(#,##0\);\–\ \ \ \ \ "/>
    <numFmt numFmtId="191" formatCode="#,##0;\(#,##0\)"/>
    <numFmt numFmtId="192" formatCode="yyyymmdd"/>
    <numFmt numFmtId="193" formatCode="_([$€-2]* #,##0.00_);_([$€-2]* \(#,##0.00\);_([$€-2]* &quot;-&quot;??_)"/>
    <numFmt numFmtId="194" formatCode="_-* #,##0.0_-;\-* #,##0.0_-;_-* &quot;-&quot;??_-;_-@_-"/>
    <numFmt numFmtId="195" formatCode="#,##0.00&quot; $&quot;;\-#,##0.00&quot; $&quot;"/>
    <numFmt numFmtId="196" formatCode="000000000"/>
    <numFmt numFmtId="197" formatCode="#,##0.0_);\(#,##0.0\)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0.00_)"/>
    <numFmt numFmtId="201" formatCode="00"/>
    <numFmt numFmtId="202" formatCode="0_);\(0\)"/>
    <numFmt numFmtId="203" formatCode="000\-00\-0000"/>
    <numFmt numFmtId="208" formatCode="[$-409]mmmm\ d\,\ yyyy;@"/>
  </numFmts>
  <fonts count="94">
    <font>
      <sz val="12"/>
      <name val="Arial MT"/>
    </font>
    <font>
      <sz val="12"/>
      <name val="Arial MT"/>
    </font>
    <font>
      <sz val="12"/>
      <name val="Arial MT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 MT"/>
    </font>
    <font>
      <sz val="12"/>
      <color indexed="10"/>
      <name val="Arial MT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sz val="10"/>
      <name val="Times New Roman"/>
      <family val="1"/>
    </font>
    <font>
      <sz val="12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name val="Arial"/>
      <family val="2"/>
    </font>
    <font>
      <sz val="10"/>
      <color indexed="17"/>
      <name val="Arial"/>
      <family val="2"/>
    </font>
    <font>
      <sz val="8"/>
      <name val="Helv"/>
    </font>
    <font>
      <sz val="9"/>
      <name val="AGaramond"/>
    </font>
    <font>
      <sz val="12"/>
      <name val="Tms Rmn"/>
    </font>
    <font>
      <sz val="11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2"/>
      <name val="Helv"/>
    </font>
    <font>
      <sz val="10"/>
      <name val="Helv"/>
    </font>
    <font>
      <sz val="9"/>
      <name val="GillSans"/>
    </font>
    <font>
      <sz val="9"/>
      <name val="GillSans Light"/>
    </font>
    <font>
      <b/>
      <u/>
      <sz val="11"/>
      <color indexed="37"/>
      <name val="Arial"/>
      <family val="2"/>
    </font>
    <font>
      <b/>
      <sz val="15"/>
      <name val="Times New Roman"/>
      <family val="1"/>
    </font>
    <font>
      <sz val="10"/>
      <color indexed="12"/>
      <name val="Arial"/>
      <family val="2"/>
    </font>
    <font>
      <sz val="12"/>
      <color indexed="14"/>
      <name val="Arial"/>
      <family val="2"/>
    </font>
    <font>
      <u/>
      <sz val="8"/>
      <name val="Helv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i/>
      <sz val="16"/>
      <name val="Arial"/>
      <family val="2"/>
    </font>
    <font>
      <i/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</font>
    <font>
      <b/>
      <sz val="11"/>
      <name val="Times New Roman"/>
      <family val="1"/>
    </font>
    <font>
      <sz val="8"/>
      <color indexed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b/>
      <sz val="12"/>
      <name val="Arial MT"/>
    </font>
    <font>
      <sz val="11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8">
    <xf numFmtId="172" fontId="0" fillId="0" borderId="0" applyProtection="0"/>
    <xf numFmtId="0" fontId="6" fillId="0" borderId="0"/>
    <xf numFmtId="37" fontId="39" fillId="0" borderId="0" applyFont="0" applyFill="0" applyBorder="0" applyAlignment="0" applyProtection="0"/>
    <xf numFmtId="37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7" fontId="39" fillId="0" borderId="0" applyFont="0" applyFill="0" applyBorder="0" applyAlignment="0" applyProtection="0"/>
    <xf numFmtId="37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7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7" fontId="39" fillId="0" borderId="0" applyFont="0" applyFill="0" applyBorder="0" applyAlignment="0" applyProtection="0"/>
    <xf numFmtId="0" fontId="6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38" fontId="51" fillId="0" borderId="0" applyBorder="0" applyAlignment="0"/>
    <xf numFmtId="187" fontId="45" fillId="20" borderId="1">
      <alignment horizontal="center" vertical="center"/>
    </xf>
    <xf numFmtId="188" fontId="6" fillId="0" borderId="2">
      <alignment horizontal="left"/>
    </xf>
    <xf numFmtId="0" fontId="52" fillId="0" borderId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53" fillId="0" borderId="0" applyNumberFormat="0" applyFill="0" applyBorder="0" applyAlignment="0" applyProtection="0"/>
    <xf numFmtId="189" fontId="54" fillId="0" borderId="3" applyNumberFormat="0" applyFill="0" applyAlignment="0" applyProtection="0">
      <alignment horizontal="center"/>
    </xf>
    <xf numFmtId="190" fontId="54" fillId="0" borderId="4" applyFill="0" applyAlignment="0" applyProtection="0">
      <alignment horizontal="center"/>
    </xf>
    <xf numFmtId="38" fontId="6" fillId="0" borderId="0">
      <alignment horizontal="right"/>
    </xf>
    <xf numFmtId="37" fontId="10" fillId="0" borderId="0" applyFill="0">
      <alignment horizontal="right"/>
    </xf>
    <xf numFmtId="37" fontId="10" fillId="0" borderId="0">
      <alignment horizontal="right"/>
    </xf>
    <xf numFmtId="0" fontId="10" fillId="0" borderId="0" applyFill="0">
      <alignment horizontal="center"/>
    </xf>
    <xf numFmtId="37" fontId="10" fillId="0" borderId="5" applyFill="0">
      <alignment horizontal="right"/>
    </xf>
    <xf numFmtId="37" fontId="10" fillId="0" borderId="0">
      <alignment horizontal="right"/>
    </xf>
    <xf numFmtId="0" fontId="55" fillId="0" borderId="0" applyFill="0">
      <alignment vertical="top"/>
    </xf>
    <xf numFmtId="0" fontId="56" fillId="0" borderId="0" applyFill="0">
      <alignment horizontal="left" vertical="top"/>
    </xf>
    <xf numFmtId="37" fontId="10" fillId="0" borderId="6" applyFill="0">
      <alignment horizontal="right"/>
    </xf>
    <xf numFmtId="0" fontId="6" fillId="0" borderId="0" applyNumberFormat="0" applyFont="0" applyAlignment="0"/>
    <xf numFmtId="0" fontId="55" fillId="0" borderId="0" applyFill="0">
      <alignment wrapText="1"/>
    </xf>
    <xf numFmtId="0" fontId="56" fillId="0" borderId="0" applyFill="0">
      <alignment horizontal="left" vertical="top" wrapText="1"/>
    </xf>
    <xf numFmtId="37" fontId="10" fillId="0" borderId="0" applyFill="0">
      <alignment horizontal="right"/>
    </xf>
    <xf numFmtId="0" fontId="57" fillId="0" borderId="0" applyNumberFormat="0" applyFont="0" applyAlignment="0">
      <alignment horizontal="center"/>
    </xf>
    <xf numFmtId="0" fontId="58" fillId="0" borderId="0" applyFill="0">
      <alignment vertical="top" wrapText="1"/>
    </xf>
    <xf numFmtId="0" fontId="5" fillId="0" borderId="0" applyFill="0">
      <alignment horizontal="left" vertical="top" wrapText="1"/>
    </xf>
    <xf numFmtId="37" fontId="10" fillId="0" borderId="0" applyFill="0">
      <alignment horizontal="right"/>
    </xf>
    <xf numFmtId="0" fontId="57" fillId="0" borderId="0" applyNumberFormat="0" applyFont="0" applyAlignment="0">
      <alignment horizontal="center"/>
    </xf>
    <xf numFmtId="0" fontId="59" fillId="0" borderId="0" applyFill="0">
      <alignment vertical="center" wrapText="1"/>
    </xf>
    <xf numFmtId="0" fontId="3" fillId="0" borderId="0">
      <alignment horizontal="left" vertical="center" wrapText="1"/>
    </xf>
    <xf numFmtId="37" fontId="10" fillId="0" borderId="0" applyFill="0">
      <alignment horizontal="right"/>
    </xf>
    <xf numFmtId="0" fontId="57" fillId="0" borderId="0" applyNumberFormat="0" applyFont="0" applyAlignment="0">
      <alignment horizontal="center"/>
    </xf>
    <xf numFmtId="0" fontId="60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37" fontId="61" fillId="0" borderId="0" applyFill="0">
      <alignment horizontal="right"/>
    </xf>
    <xf numFmtId="0" fontId="57" fillId="0" borderId="0" applyNumberFormat="0" applyFont="0" applyAlignment="0">
      <alignment horizontal="center"/>
    </xf>
    <xf numFmtId="0" fontId="62" fillId="0" borderId="0" applyFill="0">
      <alignment horizontal="center" vertical="center" wrapText="1"/>
    </xf>
    <xf numFmtId="0" fontId="63" fillId="0" borderId="0" applyFill="0">
      <alignment horizontal="center" vertical="center" wrapText="1"/>
    </xf>
    <xf numFmtId="37" fontId="61" fillId="0" borderId="0" applyFill="0">
      <alignment horizontal="right"/>
    </xf>
    <xf numFmtId="0" fontId="57" fillId="0" borderId="0" applyNumberFormat="0" applyFont="0" applyAlignment="0">
      <alignment horizontal="center"/>
    </xf>
    <xf numFmtId="0" fontId="64" fillId="0" borderId="0">
      <alignment horizontal="center" wrapText="1"/>
    </xf>
    <xf numFmtId="0" fontId="65" fillId="0" borderId="0" applyFill="0">
      <alignment horizontal="center" wrapText="1"/>
    </xf>
    <xf numFmtId="0" fontId="28" fillId="21" borderId="7" applyNumberFormat="0" applyAlignment="0" applyProtection="0"/>
    <xf numFmtId="0" fontId="28" fillId="21" borderId="7" applyNumberFormat="0" applyAlignment="0" applyProtection="0"/>
    <xf numFmtId="0" fontId="29" fillId="22" borderId="8" applyNumberFormat="0" applyAlignment="0" applyProtection="0"/>
    <xf numFmtId="0" fontId="29" fillId="22" borderId="8" applyNumberFormat="0" applyAlignment="0" applyProtection="0"/>
    <xf numFmtId="43" fontId="6" fillId="0" borderId="0" applyFont="0" applyFill="0" applyBorder="0" applyAlignment="0" applyProtection="0"/>
    <xf numFmtId="191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68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2" fontId="6" fillId="0" borderId="2">
      <alignment horizontal="center"/>
    </xf>
    <xf numFmtId="193" fontId="6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4" fontId="6" fillId="0" borderId="0">
      <protection locked="0"/>
    </xf>
    <xf numFmtId="0" fontId="69" fillId="0" borderId="0"/>
    <xf numFmtId="0" fontId="70" fillId="0" borderId="0"/>
    <xf numFmtId="0" fontId="71" fillId="0" borderId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38" fontId="10" fillId="23" borderId="0" applyNumberFormat="0" applyBorder="0" applyAlignment="0" applyProtection="0"/>
    <xf numFmtId="0" fontId="72" fillId="0" borderId="0" applyNumberFormat="0" applyFill="0" applyBorder="0" applyAlignment="0" applyProtection="0"/>
    <xf numFmtId="0" fontId="5" fillId="0" borderId="9" applyNumberFormat="0" applyAlignment="0" applyProtection="0">
      <alignment horizontal="left" vertical="center"/>
    </xf>
    <xf numFmtId="0" fontId="5" fillId="0" borderId="10">
      <alignment horizontal="left" vertical="center"/>
    </xf>
    <xf numFmtId="0" fontId="73" fillId="0" borderId="0">
      <alignment horizontal="center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95" fontId="6" fillId="0" borderId="0">
      <protection locked="0"/>
    </xf>
    <xf numFmtId="195" fontId="6" fillId="0" borderId="0">
      <protection locked="0"/>
    </xf>
    <xf numFmtId="0" fontId="74" fillId="0" borderId="14" applyNumberFormat="0" applyFill="0" applyAlignment="0" applyProtection="0"/>
    <xf numFmtId="0" fontId="35" fillId="7" borderId="7" applyNumberFormat="0" applyAlignment="0" applyProtection="0"/>
    <xf numFmtId="10" fontId="10" fillId="24" borderId="2" applyNumberFormat="0" applyBorder="0" applyAlignment="0" applyProtection="0"/>
    <xf numFmtId="0" fontId="35" fillId="7" borderId="7" applyNumberFormat="0" applyAlignment="0" applyProtection="0"/>
    <xf numFmtId="0" fontId="10" fillId="23" borderId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196" fontId="6" fillId="0" borderId="2">
      <alignment horizontal="center"/>
    </xf>
    <xf numFmtId="197" fontId="75" fillId="0" borderId="0"/>
    <xf numFmtId="17" fontId="76" fillId="0" borderId="0">
      <alignment horizontal="center"/>
    </xf>
    <xf numFmtId="19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43" fontId="77" fillId="0" borderId="0" applyNumberFormat="0" applyFill="0" applyBorder="0" applyAlignment="0" applyProtection="0"/>
    <xf numFmtId="0" fontId="54" fillId="0" borderId="0" applyNumberFormat="0" applyFill="0" applyAlignment="0" applyProtection="0"/>
    <xf numFmtId="37" fontId="78" fillId="0" borderId="0"/>
    <xf numFmtId="200" fontId="79" fillId="0" borderId="0"/>
    <xf numFmtId="172" fontId="1" fillId="0" borderId="0" applyProtection="0"/>
    <xf numFmtId="0" fontId="6" fillId="0" borderId="0"/>
    <xf numFmtId="0" fontId="93" fillId="0" borderId="0"/>
    <xf numFmtId="0" fontId="67" fillId="0" borderId="0"/>
    <xf numFmtId="0" fontId="6" fillId="0" borderId="2">
      <alignment horizontal="center" wrapText="1"/>
    </xf>
    <xf numFmtId="2" fontId="6" fillId="0" borderId="2">
      <alignment horizontal="center"/>
    </xf>
    <xf numFmtId="201" fontId="14" fillId="0" borderId="2" applyFont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18" fillId="26" borderId="16" applyNumberFormat="0" applyFont="0" applyAlignment="0" applyProtection="0"/>
    <xf numFmtId="0" fontId="6" fillId="26" borderId="16" applyNumberFormat="0" applyFont="0" applyAlignment="0" applyProtection="0"/>
    <xf numFmtId="1" fontId="6" fillId="0" borderId="2">
      <alignment horizontal="center"/>
    </xf>
    <xf numFmtId="0" fontId="38" fillId="21" borderId="17" applyNumberFormat="0" applyAlignment="0" applyProtection="0"/>
    <xf numFmtId="0" fontId="38" fillId="21" borderId="17" applyNumberFormat="0" applyAlignment="0" applyProtection="0"/>
    <xf numFmtId="9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40" fillId="0" borderId="3">
      <alignment horizontal="center"/>
    </xf>
    <xf numFmtId="3" fontId="39" fillId="0" borderId="0" applyFont="0" applyFill="0" applyBorder="0" applyAlignment="0" applyProtection="0"/>
    <xf numFmtId="0" fontId="39" fillId="27" borderId="0" applyNumberFormat="0" applyFont="0" applyBorder="0" applyAlignment="0" applyProtection="0"/>
    <xf numFmtId="37" fontId="10" fillId="23" borderId="0" applyFill="0">
      <alignment horizontal="right"/>
    </xf>
    <xf numFmtId="0" fontId="61" fillId="0" borderId="0">
      <alignment horizontal="left"/>
    </xf>
    <xf numFmtId="0" fontId="10" fillId="0" borderId="0" applyFill="0">
      <alignment horizontal="left"/>
    </xf>
    <xf numFmtId="37" fontId="10" fillId="0" borderId="4" applyFill="0">
      <alignment horizontal="right"/>
    </xf>
    <xf numFmtId="0" fontId="14" fillId="0" borderId="2" applyNumberFormat="0" applyFont="0" applyBorder="0">
      <alignment horizontal="right"/>
    </xf>
    <xf numFmtId="0" fontId="80" fillId="0" borderId="0" applyFill="0"/>
    <xf numFmtId="0" fontId="10" fillId="0" borderId="0" applyFill="0">
      <alignment horizontal="left"/>
    </xf>
    <xf numFmtId="202" fontId="10" fillId="0" borderId="4" applyFill="0">
      <alignment horizontal="right"/>
    </xf>
    <xf numFmtId="0" fontId="6" fillId="0" borderId="0" applyNumberFormat="0" applyFont="0" applyBorder="0" applyAlignment="0"/>
    <xf numFmtId="0" fontId="58" fillId="0" borderId="0" applyFill="0">
      <alignment horizontal="left" indent="1"/>
    </xf>
    <xf numFmtId="0" fontId="61" fillId="0" borderId="0" applyFill="0">
      <alignment horizontal="left"/>
    </xf>
    <xf numFmtId="37" fontId="10" fillId="0" borderId="0" applyFill="0">
      <alignment horizontal="right"/>
    </xf>
    <xf numFmtId="0" fontId="6" fillId="0" borderId="0" applyNumberFormat="0" applyFont="0" applyFill="0" applyBorder="0" applyAlignment="0"/>
    <xf numFmtId="0" fontId="58" fillId="0" borderId="0" applyFill="0">
      <alignment horizontal="left" indent="2"/>
    </xf>
    <xf numFmtId="0" fontId="10" fillId="0" borderId="0" applyFill="0">
      <alignment horizontal="left"/>
    </xf>
    <xf numFmtId="37" fontId="10" fillId="0" borderId="0" applyFill="0">
      <alignment horizontal="right"/>
    </xf>
    <xf numFmtId="0" fontId="6" fillId="0" borderId="0" applyNumberFormat="0" applyFont="0" applyBorder="0" applyAlignment="0"/>
    <xf numFmtId="0" fontId="81" fillId="0" borderId="0">
      <alignment horizontal="left" indent="3"/>
    </xf>
    <xf numFmtId="0" fontId="10" fillId="0" borderId="0" applyFill="0">
      <alignment horizontal="left"/>
    </xf>
    <xf numFmtId="37" fontId="10" fillId="0" borderId="0" applyFill="0">
      <alignment horizontal="right"/>
    </xf>
    <xf numFmtId="0" fontId="6" fillId="0" borderId="0" applyNumberFormat="0" applyFont="0" applyBorder="0" applyAlignment="0"/>
    <xf numFmtId="0" fontId="60" fillId="0" borderId="0">
      <alignment horizontal="left" indent="4"/>
    </xf>
    <xf numFmtId="0" fontId="10" fillId="0" borderId="0" applyFill="0">
      <alignment horizontal="left"/>
    </xf>
    <xf numFmtId="37" fontId="61" fillId="0" borderId="0" applyFill="0">
      <alignment horizontal="right"/>
    </xf>
    <xf numFmtId="0" fontId="6" fillId="0" borderId="0" applyNumberFormat="0" applyFont="0" applyBorder="0" applyAlignment="0"/>
    <xf numFmtId="0" fontId="62" fillId="0" borderId="0">
      <alignment horizontal="left" indent="5"/>
    </xf>
    <xf numFmtId="0" fontId="61" fillId="0" borderId="0" applyFill="0">
      <alignment horizontal="left"/>
    </xf>
    <xf numFmtId="37" fontId="61" fillId="0" borderId="0" applyFill="0">
      <alignment horizontal="right"/>
    </xf>
    <xf numFmtId="0" fontId="6" fillId="0" borderId="0" applyNumberFormat="0" applyFont="0" applyFill="0" applyBorder="0" applyAlignment="0"/>
    <xf numFmtId="0" fontId="64" fillId="0" borderId="0" applyFill="0">
      <alignment horizontal="left" indent="6"/>
    </xf>
    <xf numFmtId="0" fontId="61" fillId="0" borderId="0" applyFill="0">
      <alignment horizontal="left"/>
    </xf>
    <xf numFmtId="38" fontId="11" fillId="28" borderId="4">
      <alignment horizontal="right"/>
    </xf>
    <xf numFmtId="38" fontId="6" fillId="29" borderId="0" applyNumberFormat="0" applyFont="0" applyBorder="0" applyAlignment="0" applyProtection="0"/>
    <xf numFmtId="0" fontId="82" fillId="0" borderId="0" applyNumberFormat="0" applyAlignment="0">
      <alignment horizontal="centerContinuous"/>
    </xf>
    <xf numFmtId="0" fontId="54" fillId="0" borderId="4" applyNumberFormat="0" applyFill="0" applyAlignment="0" applyProtection="0"/>
    <xf numFmtId="37" fontId="83" fillId="0" borderId="0" applyNumberFormat="0">
      <alignment horizontal="left"/>
    </xf>
    <xf numFmtId="203" fontId="6" fillId="0" borderId="2">
      <alignment horizontal="center" wrapText="1"/>
    </xf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6" fillId="0" borderId="0" applyNumberFormat="0" applyFill="0" applyBorder="0" applyProtection="0">
      <alignment horizontal="right" wrapText="1"/>
    </xf>
    <xf numFmtId="183" fontId="6" fillId="0" borderId="0" applyFill="0" applyBorder="0" applyAlignment="0" applyProtection="0">
      <alignment wrapText="1"/>
    </xf>
    <xf numFmtId="37" fontId="84" fillId="0" borderId="0" applyNumberFormat="0">
      <alignment horizontal="left"/>
    </xf>
    <xf numFmtId="37" fontId="85" fillId="0" borderId="0" applyNumberFormat="0">
      <alignment horizontal="left"/>
    </xf>
    <xf numFmtId="37" fontId="86" fillId="0" borderId="0" applyNumberFormat="0">
      <alignment horizontal="left"/>
    </xf>
    <xf numFmtId="197" fontId="87" fillId="0" borderId="0"/>
    <xf numFmtId="40" fontId="88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37" fontId="10" fillId="28" borderId="0" applyNumberFormat="0" applyBorder="0" applyAlignment="0" applyProtection="0"/>
    <xf numFmtId="37" fontId="10" fillId="0" borderId="0"/>
    <xf numFmtId="3" fontId="89" fillId="0" borderId="14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387">
    <xf numFmtId="172" fontId="0" fillId="0" borderId="0" xfId="0" applyAlignment="1"/>
    <xf numFmtId="172" fontId="2" fillId="0" borderId="0" xfId="0" applyFont="1" applyAlignment="1"/>
    <xf numFmtId="0" fontId="3" fillId="0" borderId="0" xfId="0" applyNumberFormat="1" applyFont="1"/>
    <xf numFmtId="0" fontId="3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3" fontId="3" fillId="0" borderId="0" xfId="0" applyNumberFormat="1" applyFont="1" applyAlignment="1"/>
    <xf numFmtId="3" fontId="3" fillId="0" borderId="0" xfId="0" applyNumberFormat="1" applyFont="1" applyAlignment="1">
      <alignment horizontal="center"/>
    </xf>
    <xf numFmtId="172" fontId="3" fillId="0" borderId="0" xfId="0" applyFont="1" applyAlignment="1"/>
    <xf numFmtId="0" fontId="5" fillId="0" borderId="0" xfId="0" applyNumberFormat="1" applyFont="1" applyAlignment="1"/>
    <xf numFmtId="164" fontId="3" fillId="0" borderId="0" xfId="0" applyNumberFormat="1" applyFont="1" applyAlignment="1">
      <alignment horizontal="center"/>
    </xf>
    <xf numFmtId="49" fontId="3" fillId="0" borderId="0" xfId="0" applyNumberFormat="1" applyFont="1"/>
    <xf numFmtId="3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0" fontId="3" fillId="0" borderId="0" xfId="0" applyNumberFormat="1" applyFont="1" applyAlignment="1" applyProtection="1"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Fill="1" applyAlignment="1"/>
    <xf numFmtId="0" fontId="3" fillId="0" borderId="3" xfId="0" applyNumberFormat="1" applyFont="1" applyBorder="1" applyAlignment="1" applyProtection="1">
      <alignment horizontal="center"/>
      <protection locked="0"/>
    </xf>
    <xf numFmtId="172" fontId="5" fillId="0" borderId="0" xfId="0" applyFont="1" applyAlignment="1">
      <alignment horizontal="center"/>
    </xf>
    <xf numFmtId="3" fontId="5" fillId="0" borderId="0" xfId="0" applyNumberFormat="1" applyFont="1" applyAlignment="1"/>
    <xf numFmtId="0" fontId="3" fillId="0" borderId="0" xfId="0" applyNumberFormat="1" applyFont="1" applyFill="1" applyProtection="1">
      <protection locked="0"/>
    </xf>
    <xf numFmtId="172" fontId="3" fillId="0" borderId="0" xfId="0" applyFont="1" applyFill="1" applyAlignment="1"/>
    <xf numFmtId="3" fontId="3" fillId="0" borderId="3" xfId="0" applyNumberFormat="1" applyFont="1" applyFill="1" applyBorder="1" applyAlignment="1"/>
    <xf numFmtId="0" fontId="10" fillId="0" borderId="0" xfId="168" applyFont="1"/>
    <xf numFmtId="0" fontId="6" fillId="0" borderId="0" xfId="168" applyFont="1"/>
    <xf numFmtId="0" fontId="5" fillId="0" borderId="0" xfId="168" applyFont="1"/>
    <xf numFmtId="0" fontId="11" fillId="0" borderId="0" xfId="168" applyFont="1" applyAlignment="1">
      <alignment horizontal="center"/>
    </xf>
    <xf numFmtId="0" fontId="9" fillId="0" borderId="0" xfId="168" applyFont="1"/>
    <xf numFmtId="0" fontId="10" fillId="0" borderId="0" xfId="168" applyFont="1" applyAlignment="1">
      <alignment horizontal="center"/>
    </xf>
    <xf numFmtId="0" fontId="10" fillId="0" borderId="4" xfId="168" applyFont="1" applyBorder="1" applyAlignment="1">
      <alignment horizontal="center"/>
    </xf>
    <xf numFmtId="0" fontId="12" fillId="0" borderId="0" xfId="168" applyFont="1"/>
    <xf numFmtId="0" fontId="8" fillId="0" borderId="0" xfId="168" applyFont="1"/>
    <xf numFmtId="0" fontId="10" fillId="0" borderId="0" xfId="168" applyFont="1" applyAlignment="1">
      <alignment horizontal="right"/>
    </xf>
    <xf numFmtId="0" fontId="8" fillId="0" borderId="0" xfId="168" applyFont="1" applyAlignment="1">
      <alignment horizontal="left"/>
    </xf>
    <xf numFmtId="0" fontId="11" fillId="0" borderId="0" xfId="168" applyFont="1"/>
    <xf numFmtId="164" fontId="10" fillId="0" borderId="0" xfId="168" applyNumberFormat="1" applyFont="1"/>
    <xf numFmtId="0" fontId="10" fillId="0" borderId="0" xfId="167" applyFont="1"/>
    <xf numFmtId="0" fontId="14" fillId="0" borderId="0" xfId="168" applyFont="1" applyAlignment="1">
      <alignment horizontal="left"/>
    </xf>
    <xf numFmtId="0" fontId="16" fillId="0" borderId="0" xfId="168" applyFont="1"/>
    <xf numFmtId="0" fontId="6" fillId="0" borderId="0" xfId="165" applyAlignment="1">
      <alignment horizontal="center"/>
    </xf>
    <xf numFmtId="0" fontId="6" fillId="0" borderId="0" xfId="165"/>
    <xf numFmtId="0" fontId="14" fillId="0" borderId="0" xfId="165" applyFont="1"/>
    <xf numFmtId="0" fontId="6" fillId="0" borderId="3" xfId="165" applyBorder="1" applyAlignment="1">
      <alignment horizontal="center"/>
    </xf>
    <xf numFmtId="0" fontId="6" fillId="0" borderId="3" xfId="165" applyBorder="1"/>
    <xf numFmtId="0" fontId="6" fillId="0" borderId="3" xfId="165" applyBorder="1" applyAlignment="1">
      <alignment horizontal="center" wrapText="1"/>
    </xf>
    <xf numFmtId="0" fontId="6" fillId="0" borderId="0" xfId="165" applyAlignment="1">
      <alignment horizontal="center" wrapText="1"/>
    </xf>
    <xf numFmtId="3" fontId="6" fillId="0" borderId="0" xfId="165" applyNumberFormat="1"/>
    <xf numFmtId="9" fontId="6" fillId="0" borderId="0" xfId="174"/>
    <xf numFmtId="41" fontId="6" fillId="0" borderId="0" xfId="165" applyNumberFormat="1"/>
    <xf numFmtId="174" fontId="6" fillId="0" borderId="0" xfId="165" applyNumberFormat="1"/>
    <xf numFmtId="43" fontId="6" fillId="0" borderId="0" xfId="165" applyNumberFormat="1"/>
    <xf numFmtId="173" fontId="6" fillId="0" borderId="0" xfId="165" applyNumberFormat="1"/>
    <xf numFmtId="174" fontId="6" fillId="0" borderId="3" xfId="165" applyNumberFormat="1" applyBorder="1"/>
    <xf numFmtId="0" fontId="6" fillId="0" borderId="0" xfId="165" quotePrefix="1"/>
    <xf numFmtId="44" fontId="6" fillId="0" borderId="0" xfId="111"/>
    <xf numFmtId="0" fontId="6" fillId="0" borderId="0" xfId="166"/>
    <xf numFmtId="0" fontId="6" fillId="0" borderId="0" xfId="166" applyAlignment="1">
      <alignment horizontal="center"/>
    </xf>
    <xf numFmtId="0" fontId="14" fillId="0" borderId="0" xfId="166" applyFont="1"/>
    <xf numFmtId="44" fontId="6" fillId="0" borderId="0" xfId="166" applyNumberFormat="1"/>
    <xf numFmtId="0" fontId="6" fillId="0" borderId="0" xfId="166" applyFont="1"/>
    <xf numFmtId="0" fontId="6" fillId="0" borderId="0" xfId="165" applyFont="1"/>
    <xf numFmtId="0" fontId="13" fillId="0" borderId="0" xfId="168" applyFont="1" applyAlignment="1">
      <alignment horizontal="right"/>
    </xf>
    <xf numFmtId="0" fontId="14" fillId="0" borderId="0" xfId="165" applyFont="1" applyAlignment="1">
      <alignment horizontal="right"/>
    </xf>
    <xf numFmtId="0" fontId="14" fillId="0" borderId="0" xfId="165" applyFont="1" applyAlignment="1">
      <alignment horizontal="center"/>
    </xf>
    <xf numFmtId="0" fontId="6" fillId="0" borderId="0" xfId="166" applyFill="1"/>
    <xf numFmtId="173" fontId="6" fillId="0" borderId="0" xfId="105" applyNumberFormat="1" applyFont="1" applyFill="1"/>
    <xf numFmtId="0" fontId="6" fillId="0" borderId="19" xfId="163" applyBorder="1" applyAlignment="1">
      <alignment horizontal="center"/>
    </xf>
    <xf numFmtId="0" fontId="6" fillId="0" borderId="20" xfId="163" applyBorder="1" applyAlignment="1">
      <alignment horizontal="center"/>
    </xf>
    <xf numFmtId="0" fontId="6" fillId="0" borderId="0" xfId="163"/>
    <xf numFmtId="0" fontId="6" fillId="0" borderId="21" xfId="163" applyBorder="1" applyAlignment="1">
      <alignment horizontal="center"/>
    </xf>
    <xf numFmtId="0" fontId="6" fillId="0" borderId="0" xfId="163" applyBorder="1" applyAlignment="1">
      <alignment horizontal="center"/>
    </xf>
    <xf numFmtId="0" fontId="6" fillId="0" borderId="22" xfId="163" applyBorder="1" applyAlignment="1">
      <alignment horizontal="center"/>
    </xf>
    <xf numFmtId="0" fontId="6" fillId="0" borderId="3" xfId="163" applyBorder="1" applyAlignment="1">
      <alignment horizontal="center"/>
    </xf>
    <xf numFmtId="0" fontId="6" fillId="0" borderId="0" xfId="163" applyBorder="1"/>
    <xf numFmtId="0" fontId="6" fillId="0" borderId="21" xfId="163" applyBorder="1"/>
    <xf numFmtId="0" fontId="6" fillId="0" borderId="9" xfId="163" applyBorder="1"/>
    <xf numFmtId="10" fontId="6" fillId="0" borderId="0" xfId="163" applyNumberFormat="1"/>
    <xf numFmtId="10" fontId="6" fillId="0" borderId="0" xfId="163" applyNumberFormat="1" applyBorder="1" applyAlignment="1">
      <alignment horizontal="center"/>
    </xf>
    <xf numFmtId="0" fontId="6" fillId="0" borderId="23" xfId="163" applyFont="1" applyBorder="1"/>
    <xf numFmtId="0" fontId="6" fillId="0" borderId="0" xfId="163" applyAlignment="1">
      <alignment horizontal="left"/>
    </xf>
    <xf numFmtId="0" fontId="6" fillId="0" borderId="0" xfId="163" applyFont="1"/>
    <xf numFmtId="0" fontId="6" fillId="0" borderId="0" xfId="163" applyAlignment="1"/>
    <xf numFmtId="0" fontId="6" fillId="0" borderId="0" xfId="163" applyFont="1" applyAlignment="1">
      <alignment horizontal="left"/>
    </xf>
    <xf numFmtId="0" fontId="6" fillId="0" borderId="3" xfId="165" applyFont="1" applyBorder="1" applyAlignment="1">
      <alignment horizontal="center" wrapText="1"/>
    </xf>
    <xf numFmtId="44" fontId="6" fillId="0" borderId="0" xfId="111" applyNumberFormat="1"/>
    <xf numFmtId="44" fontId="6" fillId="0" borderId="0" xfId="165" applyNumberFormat="1"/>
    <xf numFmtId="180" fontId="6" fillId="0" borderId="0" xfId="111" applyNumberFormat="1"/>
    <xf numFmtId="181" fontId="6" fillId="0" borderId="0" xfId="111" applyNumberFormat="1"/>
    <xf numFmtId="0" fontId="6" fillId="0" borderId="0" xfId="165" applyFont="1" applyFill="1"/>
    <xf numFmtId="0" fontId="6" fillId="0" borderId="0" xfId="165" applyFill="1"/>
    <xf numFmtId="173" fontId="3" fillId="0" borderId="0" xfId="105" applyNumberFormat="1" applyFont="1" applyAlignment="1"/>
    <xf numFmtId="0" fontId="3" fillId="0" borderId="0" xfId="0" applyNumberFormat="1" applyFont="1" applyAlignment="1">
      <alignment horizontal="fill"/>
    </xf>
    <xf numFmtId="3" fontId="3" fillId="0" borderId="0" xfId="0" applyNumberFormat="1" applyFont="1" applyAlignment="1">
      <alignment horizontal="fill"/>
    </xf>
    <xf numFmtId="0" fontId="3" fillId="0" borderId="0" xfId="0" applyNumberFormat="1" applyFont="1" applyFill="1" applyAlignment="1" applyProtection="1">
      <alignment horizontal="center"/>
      <protection locked="0"/>
    </xf>
    <xf numFmtId="0" fontId="6" fillId="0" borderId="24" xfId="163" applyFill="1" applyBorder="1" applyAlignment="1">
      <alignment horizontal="center"/>
    </xf>
    <xf numFmtId="0" fontId="6" fillId="0" borderId="20" xfId="163" applyFill="1" applyBorder="1" applyAlignment="1">
      <alignment horizontal="center"/>
    </xf>
    <xf numFmtId="0" fontId="6" fillId="0" borderId="25" xfId="163" applyFill="1" applyBorder="1" applyAlignment="1">
      <alignment horizontal="center"/>
    </xf>
    <xf numFmtId="0" fontId="6" fillId="0" borderId="0" xfId="163" applyFill="1" applyBorder="1" applyAlignment="1">
      <alignment horizontal="center"/>
    </xf>
    <xf numFmtId="0" fontId="6" fillId="0" borderId="25" xfId="163" applyFont="1" applyFill="1" applyBorder="1" applyAlignment="1">
      <alignment horizontal="center"/>
    </xf>
    <xf numFmtId="0" fontId="6" fillId="0" borderId="26" xfId="163" applyFill="1" applyBorder="1" applyAlignment="1">
      <alignment horizontal="center"/>
    </xf>
    <xf numFmtId="0" fontId="6" fillId="0" borderId="3" xfId="163" applyFill="1" applyBorder="1" applyAlignment="1">
      <alignment horizontal="center"/>
    </xf>
    <xf numFmtId="0" fontId="6" fillId="0" borderId="25" xfId="163" applyFill="1" applyBorder="1"/>
    <xf numFmtId="1" fontId="6" fillId="0" borderId="27" xfId="163" applyNumberFormat="1" applyFill="1" applyBorder="1" applyAlignment="1">
      <alignment horizontal="center"/>
    </xf>
    <xf numFmtId="173" fontId="3" fillId="0" borderId="0" xfId="105" applyNumberFormat="1" applyFont="1" applyFill="1" applyAlignment="1"/>
    <xf numFmtId="49" fontId="5" fillId="0" borderId="0" xfId="0" applyNumberFormat="1" applyFont="1" applyAlignment="1">
      <alignment horizontal="center"/>
    </xf>
    <xf numFmtId="0" fontId="6" fillId="0" borderId="0" xfId="166" applyFont="1" applyAlignment="1">
      <alignment horizontal="center"/>
    </xf>
    <xf numFmtId="0" fontId="6" fillId="0" borderId="4" xfId="166" applyFont="1" applyBorder="1" applyAlignment="1">
      <alignment horizontal="center"/>
    </xf>
    <xf numFmtId="0" fontId="3" fillId="0" borderId="0" xfId="166" applyFont="1" applyFill="1" applyAlignment="1">
      <alignment horizontal="left"/>
    </xf>
    <xf numFmtId="0" fontId="6" fillId="0" borderId="24" xfId="163" applyFont="1" applyFill="1" applyBorder="1" applyAlignment="1">
      <alignment horizontal="center"/>
    </xf>
    <xf numFmtId="0" fontId="6" fillId="0" borderId="26" xfId="163" applyFont="1" applyFill="1" applyBorder="1" applyAlignment="1">
      <alignment horizontal="center"/>
    </xf>
    <xf numFmtId="0" fontId="6" fillId="0" borderId="25" xfId="163" quotePrefix="1" applyFont="1" applyFill="1" applyBorder="1" applyAlignment="1">
      <alignment horizontal="left"/>
    </xf>
    <xf numFmtId="0" fontId="6" fillId="0" borderId="20" xfId="163" applyFill="1" applyBorder="1"/>
    <xf numFmtId="0" fontId="6" fillId="0" borderId="0" xfId="163" applyFill="1" applyBorder="1"/>
    <xf numFmtId="0" fontId="6" fillId="0" borderId="26" xfId="163" quotePrefix="1" applyFont="1" applyFill="1" applyBorder="1" applyAlignment="1">
      <alignment horizontal="left"/>
    </xf>
    <xf numFmtId="0" fontId="6" fillId="0" borderId="3" xfId="163" applyFill="1" applyBorder="1"/>
    <xf numFmtId="172" fontId="18" fillId="0" borderId="0" xfId="0" applyFont="1" applyAlignment="1"/>
    <xf numFmtId="0" fontId="18" fillId="0" borderId="0" xfId="164" applyFont="1" applyFill="1" applyAlignment="1">
      <alignment horizontal="center"/>
    </xf>
    <xf numFmtId="172" fontId="16" fillId="0" borderId="0" xfId="0" applyFont="1" applyAlignment="1"/>
    <xf numFmtId="172" fontId="16" fillId="0" borderId="0" xfId="0" applyFont="1" applyAlignment="1">
      <alignment horizontal="center"/>
    </xf>
    <xf numFmtId="172" fontId="16" fillId="0" borderId="4" xfId="0" applyFont="1" applyBorder="1" applyAlignment="1">
      <alignment horizontal="center"/>
    </xf>
    <xf numFmtId="184" fontId="18" fillId="0" borderId="6" xfId="174" applyNumberFormat="1" applyFont="1" applyBorder="1" applyAlignment="1"/>
    <xf numFmtId="0" fontId="6" fillId="0" borderId="0" xfId="163" applyFont="1" applyFill="1" applyAlignment="1">
      <alignment horizontal="left"/>
    </xf>
    <xf numFmtId="0" fontId="6" fillId="0" borderId="0" xfId="163" applyFill="1"/>
    <xf numFmtId="0" fontId="6" fillId="0" borderId="0" xfId="163" applyFill="1" applyAlignment="1">
      <alignment horizontal="left"/>
    </xf>
    <xf numFmtId="172" fontId="45" fillId="0" borderId="0" xfId="0" applyFont="1" applyAlignment="1"/>
    <xf numFmtId="172" fontId="18" fillId="0" borderId="0" xfId="0" applyFont="1" applyFill="1" applyAlignment="1"/>
    <xf numFmtId="0" fontId="10" fillId="0" borderId="0" xfId="168" applyFont="1" applyFill="1"/>
    <xf numFmtId="0" fontId="6" fillId="0" borderId="4" xfId="166" applyFont="1" applyBorder="1"/>
    <xf numFmtId="44" fontId="6" fillId="0" borderId="4" xfId="166" applyNumberFormat="1" applyFont="1" applyBorder="1" applyAlignment="1">
      <alignment horizontal="center"/>
    </xf>
    <xf numFmtId="0" fontId="6" fillId="0" borderId="0" xfId="166" applyFont="1" applyAlignment="1">
      <alignment horizontal="right"/>
    </xf>
    <xf numFmtId="172" fontId="18" fillId="0" borderId="0" xfId="0" applyFont="1" applyFill="1"/>
    <xf numFmtId="173" fontId="3" fillId="0" borderId="0" xfId="105" applyNumberFormat="1" applyFont="1" applyAlignment="1">
      <alignment horizontal="center"/>
    </xf>
    <xf numFmtId="172" fontId="6" fillId="0" borderId="0" xfId="0" applyFont="1" applyAlignment="1"/>
    <xf numFmtId="172" fontId="16" fillId="0" borderId="0" xfId="0" applyFont="1" applyFill="1" applyAlignment="1">
      <alignment horizontal="center"/>
    </xf>
    <xf numFmtId="173" fontId="18" fillId="0" borderId="0" xfId="105" applyNumberFormat="1" applyFont="1" applyAlignment="1"/>
    <xf numFmtId="3" fontId="46" fillId="0" borderId="0" xfId="0" applyNumberFormat="1" applyFont="1" applyAlignment="1"/>
    <xf numFmtId="0" fontId="10" fillId="0" borderId="0" xfId="168" applyFont="1" applyFill="1" applyAlignment="1">
      <alignment horizontal="center"/>
    </xf>
    <xf numFmtId="164" fontId="10" fillId="0" borderId="0" xfId="168" applyNumberFormat="1" applyFont="1" applyFill="1"/>
    <xf numFmtId="0" fontId="13" fillId="0" borderId="0" xfId="168" applyFont="1" applyFill="1"/>
    <xf numFmtId="0" fontId="16" fillId="0" borderId="0" xfId="168" applyFont="1" applyFill="1"/>
    <xf numFmtId="6" fontId="10" fillId="0" borderId="28" xfId="168" applyNumberFormat="1" applyFont="1" applyFill="1" applyBorder="1"/>
    <xf numFmtId="6" fontId="13" fillId="0" borderId="28" xfId="168" applyNumberFormat="1" applyFont="1" applyFill="1" applyBorder="1"/>
    <xf numFmtId="0" fontId="15" fillId="0" borderId="0" xfId="168" applyFont="1" applyFill="1"/>
    <xf numFmtId="0" fontId="18" fillId="0" borderId="0" xfId="0" applyNumberFormat="1" applyFont="1" applyAlignment="1">
      <alignment horizontal="center"/>
    </xf>
    <xf numFmtId="0" fontId="6" fillId="0" borderId="0" xfId="166" applyFont="1" applyFill="1"/>
    <xf numFmtId="172" fontId="18" fillId="0" borderId="0" xfId="0" applyFont="1" applyAlignment="1">
      <alignment horizontal="center"/>
    </xf>
    <xf numFmtId="172" fontId="18" fillId="0" borderId="4" xfId="0" applyFont="1" applyBorder="1" applyAlignment="1">
      <alignment horizontal="center"/>
    </xf>
    <xf numFmtId="0" fontId="10" fillId="0" borderId="0" xfId="168" applyFont="1" applyBorder="1" applyAlignment="1">
      <alignment horizontal="center"/>
    </xf>
    <xf numFmtId="172" fontId="14" fillId="0" borderId="0" xfId="0" applyFont="1" applyAlignment="1"/>
    <xf numFmtId="172" fontId="16" fillId="0" borderId="0" xfId="0" applyFont="1" applyBorder="1" applyAlignment="1"/>
    <xf numFmtId="172" fontId="5" fillId="0" borderId="0" xfId="0" applyFont="1" applyAlignment="1"/>
    <xf numFmtId="0" fontId="12" fillId="0" borderId="0" xfId="168" applyFont="1" applyFill="1"/>
    <xf numFmtId="173" fontId="16" fillId="0" borderId="0" xfId="105" applyNumberFormat="1" applyFont="1" applyFill="1"/>
    <xf numFmtId="6" fontId="10" fillId="0" borderId="0" xfId="168" applyNumberFormat="1" applyFont="1" applyFill="1" applyBorder="1"/>
    <xf numFmtId="173" fontId="3" fillId="0" borderId="0" xfId="105" applyNumberFormat="1" applyFont="1" applyFill="1" applyBorder="1" applyAlignment="1"/>
    <xf numFmtId="172" fontId="5" fillId="0" borderId="0" xfId="0" applyFont="1" applyFill="1" applyAlignment="1"/>
    <xf numFmtId="172" fontId="1" fillId="0" borderId="0" xfId="0" applyFont="1" applyAlignment="1"/>
    <xf numFmtId="186" fontId="3" fillId="0" borderId="0" xfId="0" applyNumberFormat="1" applyFont="1" applyAlignment="1">
      <alignment horizontal="center"/>
    </xf>
    <xf numFmtId="173" fontId="3" fillId="0" borderId="6" xfId="105" applyNumberFormat="1" applyFont="1" applyFill="1" applyBorder="1" applyAlignment="1"/>
    <xf numFmtId="173" fontId="3" fillId="0" borderId="6" xfId="105" applyNumberFormat="1" applyFont="1" applyBorder="1" applyAlignment="1"/>
    <xf numFmtId="0" fontId="6" fillId="0" borderId="3" xfId="165" applyFont="1" applyBorder="1"/>
    <xf numFmtId="44" fontId="6" fillId="0" borderId="3" xfId="165" applyNumberFormat="1" applyFont="1" applyBorder="1"/>
    <xf numFmtId="170" fontId="6" fillId="0" borderId="3" xfId="174" applyNumberFormat="1" applyFont="1" applyBorder="1" applyAlignment="1">
      <alignment horizontal="right"/>
    </xf>
    <xf numFmtId="174" fontId="6" fillId="0" borderId="3" xfId="111" applyNumberFormat="1" applyFont="1" applyBorder="1"/>
    <xf numFmtId="175" fontId="17" fillId="0" borderId="0" xfId="165" applyNumberFormat="1" applyFont="1"/>
    <xf numFmtId="174" fontId="14" fillId="0" borderId="0" xfId="111" applyNumberFormat="1" applyFont="1" applyFill="1"/>
    <xf numFmtId="0" fontId="10" fillId="0" borderId="0" xfId="168" quotePrefix="1" applyFont="1" applyFill="1" applyAlignment="1">
      <alignment horizontal="left"/>
    </xf>
    <xf numFmtId="3" fontId="14" fillId="0" borderId="0" xfId="168" applyNumberFormat="1" applyFont="1" applyFill="1"/>
    <xf numFmtId="0" fontId="10" fillId="0" borderId="0" xfId="168" applyFont="1" applyFill="1" applyAlignment="1">
      <alignment horizontal="right"/>
    </xf>
    <xf numFmtId="177" fontId="14" fillId="0" borderId="0" xfId="111" applyNumberFormat="1" applyFont="1" applyFill="1" applyAlignment="1">
      <alignment horizontal="right"/>
    </xf>
    <xf numFmtId="174" fontId="50" fillId="0" borderId="0" xfId="165" applyNumberFormat="1" applyFont="1" applyFill="1"/>
    <xf numFmtId="0" fontId="18" fillId="0" borderId="0" xfId="0" applyNumberFormat="1" applyFont="1" applyFill="1" applyAlignment="1">
      <alignment horizontal="center"/>
    </xf>
    <xf numFmtId="172" fontId="18" fillId="0" borderId="0" xfId="0" applyFont="1" applyFill="1" applyAlignment="1">
      <alignment horizontal="right"/>
    </xf>
    <xf numFmtId="172" fontId="44" fillId="0" borderId="0" xfId="0" applyFont="1" applyFill="1" applyAlignment="1"/>
    <xf numFmtId="0" fontId="18" fillId="0" borderId="0" xfId="164" applyFont="1" applyFill="1" applyAlignment="1">
      <alignment horizontal="left"/>
    </xf>
    <xf numFmtId="172" fontId="14" fillId="0" borderId="0" xfId="0" applyFont="1" applyFill="1" applyAlignment="1"/>
    <xf numFmtId="0" fontId="18" fillId="0" borderId="0" xfId="164" applyFont="1" applyFill="1"/>
    <xf numFmtId="16" fontId="18" fillId="0" borderId="0" xfId="164" applyNumberFormat="1" applyFont="1" applyFill="1" applyAlignment="1">
      <alignment horizontal="center"/>
    </xf>
    <xf numFmtId="172" fontId="22" fillId="0" borderId="0" xfId="0" applyFont="1" applyAlignment="1"/>
    <xf numFmtId="43" fontId="6" fillId="0" borderId="0" xfId="105"/>
    <xf numFmtId="165" fontId="3" fillId="30" borderId="0" xfId="0" applyNumberFormat="1" applyFont="1" applyFill="1" applyAlignment="1"/>
    <xf numFmtId="3" fontId="3" fillId="30" borderId="0" xfId="0" applyNumberFormat="1" applyFont="1" applyFill="1" applyAlignment="1"/>
    <xf numFmtId="185" fontId="3" fillId="30" borderId="0" xfId="0" applyNumberFormat="1" applyFont="1" applyFill="1" applyAlignment="1"/>
    <xf numFmtId="3" fontId="3" fillId="30" borderId="3" xfId="0" applyNumberFormat="1" applyFont="1" applyFill="1" applyBorder="1" applyAlignment="1"/>
    <xf numFmtId="164" fontId="3" fillId="30" borderId="0" xfId="0" applyNumberFormat="1" applyFont="1" applyFill="1" applyAlignment="1">
      <alignment horizontal="center"/>
    </xf>
    <xf numFmtId="173" fontId="3" fillId="30" borderId="0" xfId="105" applyNumberFormat="1" applyFont="1" applyFill="1" applyAlignment="1"/>
    <xf numFmtId="172" fontId="3" fillId="30" borderId="0" xfId="0" applyFont="1" applyFill="1" applyAlignment="1"/>
    <xf numFmtId="165" fontId="3" fillId="30" borderId="0" xfId="0" applyNumberFormat="1" applyFont="1" applyFill="1" applyAlignment="1">
      <alignment horizontal="right"/>
    </xf>
    <xf numFmtId="173" fontId="3" fillId="30" borderId="0" xfId="105" applyNumberFormat="1" applyFont="1" applyFill="1" applyBorder="1" applyAlignment="1"/>
    <xf numFmtId="173" fontId="3" fillId="30" borderId="3" xfId="105" applyNumberFormat="1" applyFont="1" applyFill="1" applyBorder="1" applyAlignment="1"/>
    <xf numFmtId="0" fontId="3" fillId="30" borderId="0" xfId="0" applyNumberFormat="1" applyFont="1" applyFill="1"/>
    <xf numFmtId="3" fontId="3" fillId="30" borderId="0" xfId="0" applyNumberFormat="1" applyFont="1" applyFill="1" applyAlignment="1">
      <alignment horizontal="center"/>
    </xf>
    <xf numFmtId="171" fontId="3" fillId="30" borderId="0" xfId="0" applyNumberFormat="1" applyFont="1" applyFill="1" applyAlignment="1">
      <alignment horizontal="left"/>
    </xf>
    <xf numFmtId="3" fontId="3" fillId="30" borderId="0" xfId="0" applyNumberFormat="1" applyFont="1" applyFill="1" applyBorder="1" applyAlignment="1"/>
    <xf numFmtId="0" fontId="3" fillId="30" borderId="0" xfId="105" applyNumberFormat="1" applyFont="1" applyFill="1" applyAlignment="1"/>
    <xf numFmtId="166" fontId="3" fillId="30" borderId="0" xfId="0" applyNumberFormat="1" applyFont="1" applyFill="1" applyAlignment="1"/>
    <xf numFmtId="0" fontId="3" fillId="30" borderId="0" xfId="0" applyNumberFormat="1" applyFont="1" applyFill="1" applyAlignment="1" applyProtection="1">
      <alignment horizontal="center"/>
      <protection locked="0"/>
    </xf>
    <xf numFmtId="164" fontId="3" fillId="30" borderId="0" xfId="0" applyNumberFormat="1" applyFont="1" applyFill="1" applyAlignment="1" applyProtection="1">
      <alignment horizontal="left"/>
      <protection locked="0"/>
    </xf>
    <xf numFmtId="166" fontId="3" fillId="30" borderId="0" xfId="0" applyNumberFormat="1" applyFont="1" applyFill="1" applyAlignment="1">
      <alignment horizontal="center"/>
    </xf>
    <xf numFmtId="172" fontId="0" fillId="30" borderId="0" xfId="0" applyFill="1" applyAlignment="1"/>
    <xf numFmtId="0" fontId="3" fillId="30" borderId="0" xfId="0" applyNumberFormat="1" applyFont="1" applyFill="1" applyAlignment="1"/>
    <xf numFmtId="3" fontId="3" fillId="30" borderId="29" xfId="0" applyNumberFormat="1" applyFont="1" applyFill="1" applyBorder="1" applyAlignment="1"/>
    <xf numFmtId="3" fontId="3" fillId="30" borderId="10" xfId="0" applyNumberFormat="1" applyFont="1" applyFill="1" applyBorder="1" applyAlignment="1"/>
    <xf numFmtId="3" fontId="3" fillId="30" borderId="4" xfId="0" applyNumberFormat="1" applyFont="1" applyFill="1" applyBorder="1" applyAlignment="1"/>
    <xf numFmtId="172" fontId="3" fillId="30" borderId="0" xfId="0" applyFont="1" applyFill="1" applyAlignment="1">
      <alignment horizontal="right"/>
    </xf>
    <xf numFmtId="0" fontId="5" fillId="30" borderId="0" xfId="0" applyNumberFormat="1" applyFont="1" applyFill="1" applyAlignment="1"/>
    <xf numFmtId="0" fontId="3" fillId="30" borderId="3" xfId="0" applyNumberFormat="1" applyFont="1" applyFill="1" applyBorder="1" applyAlignment="1" applyProtection="1">
      <alignment horizontal="center"/>
      <protection locked="0"/>
    </xf>
    <xf numFmtId="0" fontId="3" fillId="30" borderId="0" xfId="0" applyNumberFormat="1" applyFont="1" applyFill="1" applyAlignment="1" applyProtection="1">
      <protection locked="0"/>
    </xf>
    <xf numFmtId="0" fontId="3" fillId="30" borderId="0" xfId="0" applyNumberFormat="1" applyFont="1" applyFill="1" applyProtection="1">
      <protection locked="0"/>
    </xf>
    <xf numFmtId="0" fontId="3" fillId="30" borderId="3" xfId="0" applyNumberFormat="1" applyFont="1" applyFill="1" applyBorder="1" applyProtection="1">
      <protection locked="0"/>
    </xf>
    <xf numFmtId="0" fontId="3" fillId="30" borderId="3" xfId="0" applyNumberFormat="1" applyFont="1" applyFill="1" applyBorder="1"/>
    <xf numFmtId="3" fontId="3" fillId="30" borderId="6" xfId="0" applyNumberFormat="1" applyFont="1" applyFill="1" applyBorder="1" applyAlignment="1"/>
    <xf numFmtId="49" fontId="3" fillId="30" borderId="0" xfId="0" applyNumberFormat="1" applyFont="1" applyFill="1"/>
    <xf numFmtId="49" fontId="3" fillId="30" borderId="0" xfId="0" applyNumberFormat="1" applyFont="1" applyFill="1" applyAlignment="1"/>
    <xf numFmtId="49" fontId="3" fillId="30" borderId="0" xfId="0" applyNumberFormat="1" applyFont="1" applyFill="1" applyAlignment="1">
      <alignment horizontal="center"/>
    </xf>
    <xf numFmtId="185" fontId="3" fillId="30" borderId="0" xfId="0" applyNumberFormat="1" applyFont="1" applyFill="1" applyAlignment="1">
      <alignment horizontal="right"/>
    </xf>
    <xf numFmtId="172" fontId="3" fillId="30" borderId="6" xfId="0" applyFont="1" applyFill="1" applyBorder="1" applyAlignment="1"/>
    <xf numFmtId="0" fontId="3" fillId="30" borderId="6" xfId="0" applyNumberFormat="1" applyFont="1" applyFill="1" applyBorder="1"/>
    <xf numFmtId="0" fontId="3" fillId="30" borderId="0" xfId="0" applyNumberFormat="1" applyFont="1" applyFill="1" applyBorder="1"/>
    <xf numFmtId="0" fontId="3" fillId="30" borderId="6" xfId="0" applyNumberFormat="1" applyFont="1" applyFill="1" applyBorder="1" applyProtection="1">
      <protection locked="0"/>
    </xf>
    <xf numFmtId="3" fontId="3" fillId="30" borderId="3" xfId="0" applyNumberFormat="1" applyFont="1" applyFill="1" applyBorder="1" applyAlignment="1">
      <alignment horizontal="center"/>
    </xf>
    <xf numFmtId="3" fontId="3" fillId="30" borderId="0" xfId="0" applyNumberFormat="1" applyFont="1" applyFill="1" applyBorder="1" applyAlignment="1">
      <alignment horizontal="center"/>
    </xf>
    <xf numFmtId="4" fontId="3" fillId="30" borderId="0" xfId="0" applyNumberFormat="1" applyFont="1" applyFill="1" applyAlignment="1"/>
    <xf numFmtId="6" fontId="3" fillId="30" borderId="0" xfId="168" applyNumberFormat="1" applyFont="1" applyFill="1" applyBorder="1"/>
    <xf numFmtId="3" fontId="3" fillId="30" borderId="4" xfId="0" applyNumberFormat="1" applyFont="1" applyFill="1" applyBorder="1" applyAlignment="1">
      <alignment horizontal="center"/>
    </xf>
    <xf numFmtId="10" fontId="3" fillId="30" borderId="0" xfId="174" applyNumberFormat="1" applyFont="1" applyFill="1" applyAlignment="1"/>
    <xf numFmtId="9" fontId="3" fillId="30" borderId="0" xfId="174" applyFont="1" applyFill="1" applyAlignment="1"/>
    <xf numFmtId="10" fontId="3" fillId="30" borderId="0" xfId="174" applyNumberFormat="1" applyFont="1" applyFill="1" applyAlignment="1" applyProtection="1">
      <alignment horizontal="left"/>
      <protection locked="0"/>
    </xf>
    <xf numFmtId="166" fontId="3" fillId="30" borderId="0" xfId="0" applyNumberFormat="1" applyFont="1" applyFill="1" applyAlignment="1" applyProtection="1">
      <alignment horizontal="center"/>
      <protection locked="0"/>
    </xf>
    <xf numFmtId="9" fontId="3" fillId="30" borderId="6" xfId="174" applyFont="1" applyFill="1" applyBorder="1" applyAlignment="1"/>
    <xf numFmtId="10" fontId="3" fillId="30" borderId="0" xfId="174" applyNumberFormat="1" applyFont="1" applyFill="1"/>
    <xf numFmtId="0" fontId="45" fillId="30" borderId="0" xfId="0" applyNumberFormat="1" applyFont="1" applyFill="1"/>
    <xf numFmtId="0" fontId="3" fillId="30" borderId="4" xfId="0" applyNumberFormat="1" applyFont="1" applyFill="1" applyBorder="1" applyAlignment="1"/>
    <xf numFmtId="172" fontId="45" fillId="30" borderId="0" xfId="0" applyFont="1" applyFill="1" applyAlignment="1"/>
    <xf numFmtId="0" fontId="3" fillId="30" borderId="0" xfId="0" quotePrefix="1" applyNumberFormat="1" applyFont="1" applyFill="1"/>
    <xf numFmtId="10" fontId="3" fillId="30" borderId="0" xfId="0" applyNumberFormat="1" applyFont="1" applyFill="1" applyAlignment="1"/>
    <xf numFmtId="168" fontId="3" fillId="30" borderId="0" xfId="0" applyNumberFormat="1" applyFont="1" applyFill="1" applyAlignment="1"/>
    <xf numFmtId="3" fontId="3" fillId="30" borderId="0" xfId="0" quotePrefix="1" applyNumberFormat="1" applyFont="1" applyFill="1" applyAlignment="1"/>
    <xf numFmtId="172" fontId="3" fillId="30" borderId="0" xfId="0" applyFont="1" applyFill="1" applyAlignment="1">
      <alignment horizontal="left"/>
    </xf>
    <xf numFmtId="10" fontId="3" fillId="30" borderId="3" xfId="174" applyNumberFormat="1" applyFont="1" applyFill="1" applyBorder="1" applyAlignment="1"/>
    <xf numFmtId="172" fontId="3" fillId="30" borderId="0" xfId="0" applyNumberFormat="1" applyFont="1" applyFill="1" applyAlignment="1" applyProtection="1">
      <protection locked="0"/>
    </xf>
    <xf numFmtId="169" fontId="3" fillId="30" borderId="0" xfId="0" applyNumberFormat="1" applyFont="1" applyFill="1" applyProtection="1">
      <protection locked="0"/>
    </xf>
    <xf numFmtId="172" fontId="3" fillId="30" borderId="0" xfId="0" applyFont="1" applyFill="1" applyAlignment="1" applyProtection="1"/>
    <xf numFmtId="10" fontId="3" fillId="30" borderId="0" xfId="0" applyNumberFormat="1" applyFont="1" applyFill="1" applyProtection="1">
      <protection locked="0"/>
    </xf>
    <xf numFmtId="172" fontId="3" fillId="30" borderId="0" xfId="0" applyFont="1" applyFill="1" applyAlignment="1">
      <alignment horizontal="center"/>
    </xf>
    <xf numFmtId="172" fontId="0" fillId="30" borderId="0" xfId="0" applyFill="1" applyAlignment="1">
      <alignment horizontal="center"/>
    </xf>
    <xf numFmtId="0" fontId="6" fillId="30" borderId="24" xfId="163" applyFill="1" applyBorder="1" applyAlignment="1">
      <alignment horizontal="center"/>
    </xf>
    <xf numFmtId="0" fontId="6" fillId="30" borderId="25" xfId="163" applyFill="1" applyBorder="1" applyAlignment="1">
      <alignment horizontal="center"/>
    </xf>
    <xf numFmtId="0" fontId="6" fillId="30" borderId="26" xfId="163" applyFill="1" applyBorder="1" applyAlignment="1">
      <alignment horizontal="center"/>
    </xf>
    <xf numFmtId="172" fontId="6" fillId="0" borderId="0" xfId="0" applyFont="1" applyFill="1" applyAlignment="1"/>
    <xf numFmtId="0" fontId="6" fillId="0" borderId="0" xfId="164" applyFont="1" applyFill="1" applyAlignment="1">
      <alignment horizontal="left"/>
    </xf>
    <xf numFmtId="173" fontId="3" fillId="0" borderId="0" xfId="0" applyNumberFormat="1" applyFont="1" applyAlignment="1">
      <alignment horizontal="fill"/>
    </xf>
    <xf numFmtId="0" fontId="6" fillId="0" borderId="3" xfId="165" applyFont="1" applyFill="1" applyBorder="1" applyAlignment="1">
      <alignment horizontal="center" wrapText="1"/>
    </xf>
    <xf numFmtId="0" fontId="6" fillId="0" borderId="30" xfId="165" applyBorder="1"/>
    <xf numFmtId="0" fontId="6" fillId="0" borderId="6" xfId="165" applyBorder="1"/>
    <xf numFmtId="0" fontId="6" fillId="0" borderId="31" xfId="165" applyBorder="1"/>
    <xf numFmtId="0" fontId="6" fillId="0" borderId="32" xfId="165" applyBorder="1"/>
    <xf numFmtId="0" fontId="6" fillId="0" borderId="0" xfId="165" applyBorder="1"/>
    <xf numFmtId="0" fontId="6" fillId="0" borderId="33" xfId="165" applyBorder="1"/>
    <xf numFmtId="0" fontId="6" fillId="0" borderId="34" xfId="165" applyBorder="1"/>
    <xf numFmtId="0" fontId="6" fillId="0" borderId="4" xfId="165" applyBorder="1"/>
    <xf numFmtId="0" fontId="6" fillId="0" borderId="35" xfId="165" applyBorder="1"/>
    <xf numFmtId="0" fontId="5" fillId="30" borderId="0" xfId="0" applyNumberFormat="1" applyFont="1" applyFill="1" applyAlignment="1">
      <alignment horizontal="center"/>
    </xf>
    <xf numFmtId="0" fontId="5" fillId="30" borderId="0" xfId="0" applyNumberFormat="1" applyFont="1" applyFill="1" applyAlignment="1" applyProtection="1">
      <alignment horizontal="center"/>
      <protection locked="0"/>
    </xf>
    <xf numFmtId="3" fontId="5" fillId="30" borderId="0" xfId="0" applyNumberFormat="1" applyFont="1" applyFill="1" applyAlignment="1">
      <alignment horizontal="center"/>
    </xf>
    <xf numFmtId="0" fontId="6" fillId="0" borderId="3" xfId="165" applyFont="1" applyBorder="1" applyAlignment="1">
      <alignment horizontal="center"/>
    </xf>
    <xf numFmtId="0" fontId="6" fillId="0" borderId="0" xfId="165" applyFont="1" applyAlignment="1">
      <alignment horizontal="center"/>
    </xf>
    <xf numFmtId="0" fontId="6" fillId="0" borderId="0" xfId="165" applyFont="1" applyAlignment="1">
      <alignment horizontal="center" wrapText="1"/>
    </xf>
    <xf numFmtId="170" fontId="6" fillId="0" borderId="0" xfId="174" applyNumberFormat="1" applyFont="1" applyAlignment="1">
      <alignment horizontal="right"/>
    </xf>
    <xf numFmtId="174" fontId="6" fillId="0" borderId="0" xfId="111" applyNumberFormat="1" applyFont="1"/>
    <xf numFmtId="9" fontId="6" fillId="0" borderId="0" xfId="174" applyFont="1" applyAlignment="1">
      <alignment horizontal="right"/>
    </xf>
    <xf numFmtId="174" fontId="6" fillId="0" borderId="0" xfId="165" applyNumberFormat="1" applyFont="1"/>
    <xf numFmtId="43" fontId="6" fillId="0" borderId="0" xfId="165" applyNumberFormat="1" applyFont="1" applyFill="1"/>
    <xf numFmtId="173" fontId="6" fillId="0" borderId="0" xfId="165" applyNumberFormat="1" applyFont="1" applyFill="1"/>
    <xf numFmtId="173" fontId="6" fillId="0" borderId="3" xfId="165" applyNumberFormat="1" applyFont="1" applyFill="1" applyBorder="1"/>
    <xf numFmtId="43" fontId="6" fillId="0" borderId="3" xfId="165" applyNumberFormat="1" applyFont="1" applyFill="1" applyBorder="1"/>
    <xf numFmtId="49" fontId="3" fillId="30" borderId="3" xfId="0" applyNumberFormat="1" applyFont="1" applyFill="1" applyBorder="1" applyAlignment="1">
      <alignment horizontal="center"/>
    </xf>
    <xf numFmtId="172" fontId="5" fillId="30" borderId="0" xfId="0" applyFont="1" applyFill="1" applyAlignment="1"/>
    <xf numFmtId="0" fontId="3" fillId="30" borderId="0" xfId="0" applyNumberFormat="1" applyFont="1" applyFill="1" applyAlignment="1">
      <alignment horizontal="center"/>
    </xf>
    <xf numFmtId="49" fontId="3" fillId="30" borderId="0" xfId="0" applyNumberFormat="1" applyFont="1" applyFill="1" applyAlignment="1">
      <alignment horizontal="left"/>
    </xf>
    <xf numFmtId="3" fontId="5" fillId="30" borderId="0" xfId="0" applyNumberFormat="1" applyFont="1" applyFill="1" applyAlignment="1">
      <alignment horizontal="left"/>
    </xf>
    <xf numFmtId="172" fontId="5" fillId="30" borderId="0" xfId="0" applyFont="1" applyFill="1" applyAlignment="1">
      <alignment horizontal="center"/>
    </xf>
    <xf numFmtId="3" fontId="5" fillId="30" borderId="0" xfId="0" applyNumberFormat="1" applyFont="1" applyFill="1" applyAlignment="1"/>
    <xf numFmtId="0" fontId="5" fillId="30" borderId="0" xfId="0" applyNumberFormat="1" applyFont="1" applyFill="1" applyAlignment="1" applyProtection="1">
      <alignment horizontal="left"/>
      <protection locked="0"/>
    </xf>
    <xf numFmtId="172" fontId="3" fillId="30" borderId="0" xfId="0" applyFont="1" applyFill="1" applyBorder="1" applyAlignment="1"/>
    <xf numFmtId="172" fontId="3" fillId="30" borderId="3" xfId="0" applyFont="1" applyFill="1" applyBorder="1" applyAlignment="1"/>
    <xf numFmtId="3" fontId="3" fillId="30" borderId="36" xfId="0" applyNumberFormat="1" applyFont="1" applyFill="1" applyBorder="1" applyAlignment="1"/>
    <xf numFmtId="0" fontId="4" fillId="30" borderId="0" xfId="0" applyNumberFormat="1" applyFont="1" applyFill="1" applyAlignment="1">
      <alignment horizontal="center"/>
    </xf>
    <xf numFmtId="3" fontId="4" fillId="30" borderId="0" xfId="0" applyNumberFormat="1" applyFont="1" applyFill="1" applyAlignment="1"/>
    <xf numFmtId="166" fontId="3" fillId="30" borderId="0" xfId="0" applyNumberFormat="1" applyFont="1" applyFill="1" applyAlignment="1">
      <alignment horizontal="right"/>
    </xf>
    <xf numFmtId="164" fontId="3" fillId="30" borderId="0" xfId="0" applyNumberFormat="1" applyFont="1" applyFill="1" applyAlignment="1">
      <alignment horizontal="left"/>
    </xf>
    <xf numFmtId="10" fontId="3" fillId="30" borderId="0" xfId="0" applyNumberFormat="1" applyFont="1" applyFill="1" applyAlignment="1">
      <alignment horizontal="right"/>
    </xf>
    <xf numFmtId="168" fontId="3" fillId="30" borderId="0" xfId="0" applyNumberFormat="1" applyFont="1" applyFill="1" applyAlignment="1">
      <alignment horizontal="right"/>
    </xf>
    <xf numFmtId="3" fontId="3" fillId="30" borderId="0" xfId="0" applyNumberFormat="1" applyFont="1" applyFill="1" applyAlignment="1">
      <alignment horizontal="right"/>
    </xf>
    <xf numFmtId="172" fontId="3" fillId="30" borderId="0" xfId="0" quotePrefix="1" applyFont="1" applyFill="1" applyAlignment="1"/>
    <xf numFmtId="167" fontId="3" fillId="30" borderId="0" xfId="0" applyNumberFormat="1" applyFont="1" applyFill="1" applyAlignment="1"/>
    <xf numFmtId="0" fontId="6" fillId="30" borderId="20" xfId="163" applyFill="1" applyBorder="1" applyAlignment="1">
      <alignment horizontal="center"/>
    </xf>
    <xf numFmtId="0" fontId="6" fillId="30" borderId="0" xfId="163" applyFill="1" applyBorder="1" applyAlignment="1">
      <alignment horizontal="center"/>
    </xf>
    <xf numFmtId="1" fontId="6" fillId="30" borderId="27" xfId="163" applyNumberFormat="1" applyFill="1" applyBorder="1" applyAlignment="1">
      <alignment horizontal="center"/>
    </xf>
    <xf numFmtId="0" fontId="6" fillId="30" borderId="0" xfId="163" applyFill="1"/>
    <xf numFmtId="0" fontId="6" fillId="30" borderId="24" xfId="163" applyFont="1" applyFill="1" applyBorder="1" applyAlignment="1">
      <alignment horizontal="center"/>
    </xf>
    <xf numFmtId="0" fontId="6" fillId="30" borderId="25" xfId="163" applyFont="1" applyFill="1" applyBorder="1" applyAlignment="1">
      <alignment horizontal="center"/>
    </xf>
    <xf numFmtId="0" fontId="6" fillId="30" borderId="3" xfId="163" applyFill="1" applyBorder="1" applyAlignment="1">
      <alignment horizontal="center"/>
    </xf>
    <xf numFmtId="0" fontId="6" fillId="30" borderId="26" xfId="163" applyFont="1" applyFill="1" applyBorder="1" applyAlignment="1">
      <alignment horizontal="center"/>
    </xf>
    <xf numFmtId="10" fontId="6" fillId="0" borderId="0" xfId="166" applyNumberFormat="1" applyFont="1"/>
    <xf numFmtId="1" fontId="6" fillId="0" borderId="0" xfId="163" applyNumberFormat="1" applyFill="1" applyBorder="1" applyAlignment="1">
      <alignment horizontal="center"/>
    </xf>
    <xf numFmtId="43" fontId="14" fillId="0" borderId="0" xfId="105" applyFont="1" applyFill="1" applyAlignment="1"/>
    <xf numFmtId="172" fontId="12" fillId="0" borderId="0" xfId="0" applyFont="1" applyAlignment="1"/>
    <xf numFmtId="43" fontId="14" fillId="0" borderId="0" xfId="105" applyNumberFormat="1" applyFont="1" applyAlignment="1"/>
    <xf numFmtId="7" fontId="14" fillId="0" borderId="6" xfId="0" applyNumberFormat="1" applyFont="1" applyBorder="1" applyAlignment="1"/>
    <xf numFmtId="3" fontId="49" fillId="0" borderId="0" xfId="0" applyNumberFormat="1" applyFont="1" applyFill="1" applyAlignment="1"/>
    <xf numFmtId="173" fontId="3" fillId="0" borderId="0" xfId="105" applyNumberFormat="1" applyFont="1" applyFill="1" applyAlignment="1">
      <alignment horizontal="center"/>
    </xf>
    <xf numFmtId="186" fontId="3" fillId="0" borderId="0" xfId="0" applyNumberFormat="1" applyFont="1" applyFill="1" applyAlignment="1">
      <alignment horizontal="center"/>
    </xf>
    <xf numFmtId="173" fontId="3" fillId="0" borderId="4" xfId="105" applyNumberFormat="1" applyFont="1" applyFill="1" applyBorder="1" applyAlignment="1"/>
    <xf numFmtId="0" fontId="3" fillId="0" borderId="0" xfId="0" applyNumberFormat="1" applyFont="1" applyFill="1"/>
    <xf numFmtId="172" fontId="0" fillId="0" borderId="0" xfId="0" applyFill="1" applyAlignment="1"/>
    <xf numFmtId="3" fontId="3" fillId="30" borderId="0" xfId="0" applyNumberFormat="1" applyFont="1" applyFill="1" applyAlignment="1"/>
    <xf numFmtId="172" fontId="0" fillId="30" borderId="0" xfId="0" applyFill="1" applyAlignment="1">
      <alignment horizontal="right"/>
    </xf>
    <xf numFmtId="172" fontId="3" fillId="0" borderId="0" xfId="0" applyFont="1" applyAlignment="1">
      <alignment horizontal="right"/>
    </xf>
    <xf numFmtId="172" fontId="1" fillId="0" borderId="0" xfId="0" applyFont="1" applyAlignment="1">
      <alignment horizontal="right"/>
    </xf>
    <xf numFmtId="0" fontId="6" fillId="0" borderId="0" xfId="165" applyAlignment="1">
      <alignment horizontal="right"/>
    </xf>
    <xf numFmtId="3" fontId="3" fillId="30" borderId="0" xfId="0" applyNumberFormat="1" applyFont="1" applyFill="1" applyAlignment="1"/>
    <xf numFmtId="1" fontId="6" fillId="0" borderId="24" xfId="163" applyNumberFormat="1" applyFill="1" applyBorder="1" applyAlignment="1">
      <alignment horizontal="center"/>
    </xf>
    <xf numFmtId="1" fontId="6" fillId="0" borderId="25" xfId="163" applyNumberFormat="1" applyFill="1" applyBorder="1" applyAlignment="1">
      <alignment horizontal="center"/>
    </xf>
    <xf numFmtId="1" fontId="6" fillId="0" borderId="26" xfId="163" applyNumberFormat="1" applyFill="1" applyBorder="1" applyAlignment="1">
      <alignment horizontal="center"/>
    </xf>
    <xf numFmtId="0" fontId="6" fillId="0" borderId="24" xfId="163" applyFill="1" applyBorder="1"/>
    <xf numFmtId="0" fontId="6" fillId="0" borderId="0" xfId="166" applyFill="1" applyAlignment="1">
      <alignment horizontal="center"/>
    </xf>
    <xf numFmtId="172" fontId="6" fillId="0" borderId="0" xfId="0" applyFont="1" applyFill="1" applyAlignment="1">
      <alignment horizontal="right"/>
    </xf>
    <xf numFmtId="44" fontId="6" fillId="0" borderId="0" xfId="166" applyNumberFormat="1" applyAlignment="1">
      <alignment horizontal="center"/>
    </xf>
    <xf numFmtId="208" fontId="0" fillId="30" borderId="0" xfId="0" applyNumberFormat="1" applyFill="1" applyAlignment="1">
      <alignment horizontal="right"/>
    </xf>
    <xf numFmtId="208" fontId="3" fillId="30" borderId="0" xfId="0" applyNumberFormat="1" applyFont="1" applyFill="1" applyAlignment="1">
      <alignment horizontal="right"/>
    </xf>
    <xf numFmtId="208" fontId="3" fillId="30" borderId="0" xfId="0" applyNumberFormat="1" applyFont="1" applyFill="1" applyBorder="1" applyAlignment="1">
      <alignment horizontal="right"/>
    </xf>
    <xf numFmtId="208" fontId="3" fillId="30" borderId="0" xfId="174" applyNumberFormat="1" applyFont="1" applyFill="1" applyAlignment="1">
      <alignment horizontal="right"/>
    </xf>
    <xf numFmtId="172" fontId="6" fillId="0" borderId="0" xfId="0" applyFont="1" applyAlignment="1">
      <alignment horizontal="right"/>
    </xf>
    <xf numFmtId="0" fontId="6" fillId="0" borderId="0" xfId="0" applyNumberFormat="1" applyFont="1" applyAlignment="1">
      <alignment horizontal="right"/>
    </xf>
    <xf numFmtId="208" fontId="6" fillId="0" borderId="0" xfId="0" applyNumberFormat="1" applyFont="1" applyAlignment="1">
      <alignment horizontal="right"/>
    </xf>
    <xf numFmtId="0" fontId="6" fillId="0" borderId="0" xfId="164" applyFont="1" applyFill="1" applyAlignment="1">
      <alignment horizontal="center"/>
    </xf>
    <xf numFmtId="172" fontId="0" fillId="0" borderId="0" xfId="0" applyFont="1" applyAlignment="1"/>
    <xf numFmtId="3" fontId="10" fillId="0" borderId="0" xfId="168" applyNumberFormat="1" applyFont="1" applyFill="1"/>
    <xf numFmtId="10" fontId="6" fillId="0" borderId="0" xfId="174" applyNumberFormat="1" applyFill="1"/>
    <xf numFmtId="3" fontId="3" fillId="0" borderId="0" xfId="0" applyNumberFormat="1" applyFont="1" applyFill="1" applyAlignment="1">
      <alignment horizontal="right"/>
    </xf>
    <xf numFmtId="173" fontId="2" fillId="0" borderId="0" xfId="105" applyNumberFormat="1" applyFont="1" applyAlignment="1"/>
    <xf numFmtId="173" fontId="0" fillId="0" borderId="0" xfId="105" applyNumberFormat="1" applyFont="1" applyAlignment="1"/>
    <xf numFmtId="3" fontId="3" fillId="0" borderId="0" xfId="0" applyNumberFormat="1" applyFont="1" applyFill="1" applyAlignment="1">
      <alignment horizontal="left"/>
    </xf>
    <xf numFmtId="184" fontId="18" fillId="0" borderId="0" xfId="174" applyNumberFormat="1" applyFont="1" applyFill="1" applyAlignment="1"/>
    <xf numFmtId="3" fontId="3" fillId="0" borderId="4" xfId="0" applyNumberFormat="1" applyFont="1" applyFill="1" applyBorder="1" applyAlignment="1"/>
    <xf numFmtId="3" fontId="3" fillId="0" borderId="6" xfId="0" applyNumberFormat="1" applyFont="1" applyFill="1" applyBorder="1" applyAlignment="1"/>
    <xf numFmtId="173" fontId="3" fillId="0" borderId="3" xfId="105" applyNumberFormat="1" applyFont="1" applyFill="1" applyBorder="1" applyAlignment="1"/>
    <xf numFmtId="10" fontId="3" fillId="0" borderId="0" xfId="0" applyNumberFormat="1" applyFont="1" applyFill="1" applyAlignment="1"/>
    <xf numFmtId="10" fontId="3" fillId="0" borderId="0" xfId="174" applyNumberFormat="1" applyFont="1" applyFill="1" applyAlignment="1"/>
    <xf numFmtId="0" fontId="14" fillId="0" borderId="0" xfId="165" applyFont="1" applyFill="1"/>
    <xf numFmtId="176" fontId="6" fillId="0" borderId="0" xfId="165" applyNumberFormat="1" applyFill="1"/>
    <xf numFmtId="174" fontId="6" fillId="0" borderId="0" xfId="111" applyNumberFormat="1" applyFont="1" applyFill="1"/>
    <xf numFmtId="42" fontId="6" fillId="0" borderId="0" xfId="165" applyNumberFormat="1" applyFill="1"/>
    <xf numFmtId="42" fontId="6" fillId="0" borderId="3" xfId="165" applyNumberFormat="1" applyFill="1" applyBorder="1"/>
    <xf numFmtId="0" fontId="6" fillId="0" borderId="19" xfId="163" applyFill="1" applyBorder="1" applyAlignment="1">
      <alignment horizontal="center"/>
    </xf>
    <xf numFmtId="0" fontId="6" fillId="0" borderId="37" xfId="163" applyFill="1" applyBorder="1" applyAlignment="1">
      <alignment horizontal="center"/>
    </xf>
    <xf numFmtId="0" fontId="6" fillId="0" borderId="21" xfId="163" applyFill="1" applyBorder="1" applyAlignment="1">
      <alignment horizontal="center"/>
    </xf>
    <xf numFmtId="0" fontId="6" fillId="0" borderId="38" xfId="163" applyFill="1" applyBorder="1" applyAlignment="1">
      <alignment horizontal="center"/>
    </xf>
    <xf numFmtId="0" fontId="6" fillId="0" borderId="22" xfId="163" applyFill="1" applyBorder="1" applyAlignment="1">
      <alignment horizontal="center"/>
    </xf>
    <xf numFmtId="0" fontId="6" fillId="0" borderId="39" xfId="163" applyFill="1" applyBorder="1" applyAlignment="1">
      <alignment horizontal="center"/>
    </xf>
    <xf numFmtId="169" fontId="2" fillId="0" borderId="0" xfId="0" applyNumberFormat="1" applyFont="1" applyAlignment="1"/>
    <xf numFmtId="3" fontId="3" fillId="31" borderId="0" xfId="0" applyNumberFormat="1" applyFont="1" applyFill="1" applyAlignment="1"/>
    <xf numFmtId="173" fontId="3" fillId="31" borderId="0" xfId="105" applyNumberFormat="1" applyFont="1" applyFill="1" applyAlignment="1"/>
    <xf numFmtId="172" fontId="0" fillId="0" borderId="0" xfId="0"/>
    <xf numFmtId="3" fontId="3" fillId="0" borderId="0" xfId="0" applyNumberFormat="1" applyFont="1"/>
    <xf numFmtId="173" fontId="3" fillId="0" borderId="0" xfId="105" applyNumberFormat="1" applyFont="1"/>
    <xf numFmtId="173" fontId="3" fillId="0" borderId="6" xfId="105" applyNumberFormat="1" applyFont="1" applyBorder="1"/>
    <xf numFmtId="172" fontId="92" fillId="0" borderId="0" xfId="0" applyFont="1"/>
    <xf numFmtId="173" fontId="0" fillId="0" borderId="0" xfId="105" applyNumberFormat="1" applyFont="1"/>
    <xf numFmtId="0" fontId="14" fillId="0" borderId="0" xfId="165" applyFont="1" applyAlignment="1">
      <alignment horizontal="center"/>
    </xf>
    <xf numFmtId="0" fontId="5" fillId="30" borderId="0" xfId="0" applyNumberFormat="1" applyFont="1" applyFill="1" applyAlignment="1" applyProtection="1">
      <alignment horizontal="center"/>
      <protection locked="0"/>
    </xf>
    <xf numFmtId="3" fontId="5" fillId="30" borderId="0" xfId="0" applyNumberFormat="1" applyFont="1" applyFill="1" applyAlignment="1">
      <alignment horizontal="center"/>
    </xf>
    <xf numFmtId="49" fontId="5" fillId="30" borderId="0" xfId="0" applyNumberFormat="1" applyFont="1" applyFill="1" applyAlignment="1">
      <alignment horizontal="center"/>
    </xf>
    <xf numFmtId="0" fontId="5" fillId="30" borderId="0" xfId="0" applyNumberFormat="1" applyFont="1" applyFill="1" applyAlignment="1">
      <alignment horizontal="center"/>
    </xf>
    <xf numFmtId="172" fontId="5" fillId="0" borderId="0" xfId="0" applyFont="1" applyAlignment="1">
      <alignment horizontal="center"/>
    </xf>
    <xf numFmtId="0" fontId="14" fillId="0" borderId="0" xfId="166" applyFont="1" applyAlignment="1">
      <alignment horizontal="center"/>
    </xf>
    <xf numFmtId="0" fontId="5" fillId="0" borderId="0" xfId="0" applyNumberFormat="1" applyFont="1" applyAlignment="1" applyProtection="1">
      <alignment horizontal="center"/>
      <protection locked="0"/>
    </xf>
    <xf numFmtId="3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40" xfId="165" applyFont="1" applyBorder="1" applyAlignment="1">
      <alignment horizontal="center"/>
    </xf>
    <xf numFmtId="0" fontId="5" fillId="0" borderId="10" xfId="165" applyFont="1" applyBorder="1" applyAlignment="1">
      <alignment horizontal="center"/>
    </xf>
    <xf numFmtId="0" fontId="5" fillId="0" borderId="41" xfId="165" applyFont="1" applyBorder="1" applyAlignment="1">
      <alignment horizontal="center"/>
    </xf>
    <xf numFmtId="0" fontId="5" fillId="30" borderId="40" xfId="165" applyFont="1" applyFill="1" applyBorder="1" applyAlignment="1">
      <alignment horizontal="center"/>
    </xf>
    <xf numFmtId="0" fontId="5" fillId="30" borderId="10" xfId="165" applyFont="1" applyFill="1" applyBorder="1" applyAlignment="1">
      <alignment horizontal="center"/>
    </xf>
    <xf numFmtId="0" fontId="5" fillId="30" borderId="41" xfId="165" applyFont="1" applyFill="1" applyBorder="1" applyAlignment="1">
      <alignment horizontal="center"/>
    </xf>
    <xf numFmtId="0" fontId="14" fillId="0" borderId="0" xfId="168" applyFont="1" applyAlignment="1">
      <alignment horizontal="center"/>
    </xf>
  </cellXfs>
  <cellStyles count="238">
    <cellStyle name="%" xfId="1"/>
    <cellStyle name="_033103 13 week CF1" xfId="2"/>
    <cellStyle name="_181000-189000" xfId="3"/>
    <cellStyle name="_2002  What- No Cap X Morgan" xfId="4"/>
    <cellStyle name="_Baseline Rollforward Support 050817" xfId="5"/>
    <cellStyle name="_EGTG_2003_YTD_Cash_Flow" xfId="6"/>
    <cellStyle name="_Everest_Board_Book_2003_FINAL" xfId="7"/>
    <cellStyle name="_Oct03_Everest_Board_Financial_Operating_Report" xfId="8"/>
    <cellStyle name="_SpreadSM" xfId="9"/>
    <cellStyle name="_Vacation Hours 7-14-08 (2)" xfId="10"/>
    <cellStyle name="=C:\WINNT35\SYSTEM32\COMMAND.COM" xfId="11"/>
    <cellStyle name="20% - Accent1" xfId="12" builtinId="30" customBuiltin="1"/>
    <cellStyle name="20% - Accent1 2" xfId="13"/>
    <cellStyle name="20% - Accent2" xfId="14" builtinId="34" customBuiltin="1"/>
    <cellStyle name="20% - Accent2 2" xfId="15"/>
    <cellStyle name="20% - Accent3" xfId="16" builtinId="38" customBuiltin="1"/>
    <cellStyle name="20% - Accent3 2" xfId="17"/>
    <cellStyle name="20% - Accent4" xfId="18" builtinId="42" customBuiltin="1"/>
    <cellStyle name="20% - Accent4 2" xfId="19"/>
    <cellStyle name="20% - Accent5" xfId="20" builtinId="46" customBuiltin="1"/>
    <cellStyle name="20% - Accent5 2" xfId="21"/>
    <cellStyle name="20% - Accent6" xfId="22" builtinId="50" customBuiltin="1"/>
    <cellStyle name="20% - Accent6 2" xfId="23"/>
    <cellStyle name="40% - Accent1" xfId="24" builtinId="31" customBuiltin="1"/>
    <cellStyle name="40% - Accent1 2" xfId="25"/>
    <cellStyle name="40% - Accent2" xfId="26" builtinId="35" customBuiltin="1"/>
    <cellStyle name="40% - Accent2 2" xfId="27"/>
    <cellStyle name="40% - Accent3" xfId="28" builtinId="39" customBuiltin="1"/>
    <cellStyle name="40% - Accent3 2" xfId="29"/>
    <cellStyle name="40% - Accent4" xfId="30" builtinId="43" customBuiltin="1"/>
    <cellStyle name="40% - Accent4 2" xfId="31"/>
    <cellStyle name="40% - Accent5" xfId="32" builtinId="47" customBuiltin="1"/>
    <cellStyle name="40% - Accent5 2" xfId="33"/>
    <cellStyle name="40% - Accent6" xfId="34" builtinId="51" customBuiltin="1"/>
    <cellStyle name="40% - Accent6 2" xfId="35"/>
    <cellStyle name="60% - Accent1" xfId="36" builtinId="32" customBuiltin="1"/>
    <cellStyle name="60% - Accent1 2" xfId="37"/>
    <cellStyle name="60% - Accent2" xfId="38" builtinId="36" customBuiltin="1"/>
    <cellStyle name="60% - Accent2 2" xfId="39"/>
    <cellStyle name="60% - Accent3" xfId="40" builtinId="40" customBuiltin="1"/>
    <cellStyle name="60% - Accent3 2" xfId="41"/>
    <cellStyle name="60% - Accent4" xfId="42" builtinId="44" customBuiltin="1"/>
    <cellStyle name="60% - Accent4 2" xfId="43"/>
    <cellStyle name="60% - Accent5" xfId="44" builtinId="48" customBuiltin="1"/>
    <cellStyle name="60% - Accent5 2" xfId="45"/>
    <cellStyle name="60% - Accent6" xfId="46" builtinId="52" customBuiltin="1"/>
    <cellStyle name="60% - Accent6 2" xfId="47"/>
    <cellStyle name="Accent1" xfId="48" builtinId="29" customBuiltin="1"/>
    <cellStyle name="Accent1 2" xfId="49"/>
    <cellStyle name="Accent2" xfId="50" builtinId="33" customBuiltin="1"/>
    <cellStyle name="Accent2 2" xfId="51"/>
    <cellStyle name="Accent3" xfId="52" builtinId="37" customBuiltin="1"/>
    <cellStyle name="Accent3 2" xfId="53"/>
    <cellStyle name="Accent4" xfId="54" builtinId="41" customBuiltin="1"/>
    <cellStyle name="Accent4 2" xfId="55"/>
    <cellStyle name="Accent5" xfId="56" builtinId="45" customBuiltin="1"/>
    <cellStyle name="Accent5 2" xfId="57"/>
    <cellStyle name="Accent6" xfId="58" builtinId="49" customBuiltin="1"/>
    <cellStyle name="Accent6 2" xfId="59"/>
    <cellStyle name="Accounting" xfId="60"/>
    <cellStyle name="Actual Date" xfId="61"/>
    <cellStyle name="ADDR" xfId="62"/>
    <cellStyle name="Agara" xfId="63"/>
    <cellStyle name="Bad" xfId="64" builtinId="27" customBuiltin="1"/>
    <cellStyle name="Bad 2" xfId="65"/>
    <cellStyle name="Body" xfId="66"/>
    <cellStyle name="Bottom bold border" xfId="67"/>
    <cellStyle name="Bottom single border" xfId="68"/>
    <cellStyle name="Business Unit" xfId="69"/>
    <cellStyle name="C00A" xfId="70"/>
    <cellStyle name="C00B" xfId="71"/>
    <cellStyle name="C00L" xfId="72"/>
    <cellStyle name="C01A" xfId="73"/>
    <cellStyle name="C01B" xfId="74"/>
    <cellStyle name="C01H" xfId="75"/>
    <cellStyle name="C01L" xfId="76"/>
    <cellStyle name="C02A" xfId="77"/>
    <cellStyle name="C02B" xfId="78"/>
    <cellStyle name="C02H" xfId="79"/>
    <cellStyle name="C02L" xfId="80"/>
    <cellStyle name="C03A" xfId="81"/>
    <cellStyle name="C03B" xfId="82"/>
    <cellStyle name="C03H" xfId="83"/>
    <cellStyle name="C03L" xfId="84"/>
    <cellStyle name="C04A" xfId="85"/>
    <cellStyle name="C04B" xfId="86"/>
    <cellStyle name="C04H" xfId="87"/>
    <cellStyle name="C04L" xfId="88"/>
    <cellStyle name="C05A" xfId="89"/>
    <cellStyle name="C05B" xfId="90"/>
    <cellStyle name="C05H" xfId="91"/>
    <cellStyle name="C05L" xfId="92"/>
    <cellStyle name="C06A" xfId="93"/>
    <cellStyle name="C06B" xfId="94"/>
    <cellStyle name="C06H" xfId="95"/>
    <cellStyle name="C06L" xfId="96"/>
    <cellStyle name="C07A" xfId="97"/>
    <cellStyle name="C07B" xfId="98"/>
    <cellStyle name="C07H" xfId="99"/>
    <cellStyle name="C07L" xfId="100"/>
    <cellStyle name="Calculation" xfId="101" builtinId="22" customBuiltin="1"/>
    <cellStyle name="Calculation 2" xfId="102"/>
    <cellStyle name="Check Cell" xfId="103" builtinId="23" customBuiltin="1"/>
    <cellStyle name="Check Cell 2" xfId="104"/>
    <cellStyle name="Comma" xfId="105" builtinId="3"/>
    <cellStyle name="Comma 0" xfId="106"/>
    <cellStyle name="Comma 2" xfId="107"/>
    <cellStyle name="Comma 3" xfId="108"/>
    <cellStyle name="Comma 4" xfId="109"/>
    <cellStyle name="Comma0 - Style1" xfId="110"/>
    <cellStyle name="Currency" xfId="111" builtinId="4"/>
    <cellStyle name="Currency 2" xfId="112"/>
    <cellStyle name="Date" xfId="113"/>
    <cellStyle name="Euro" xfId="114"/>
    <cellStyle name="Explanatory Text" xfId="115" builtinId="53" customBuiltin="1"/>
    <cellStyle name="Explanatory Text 2" xfId="116"/>
    <cellStyle name="Fixed" xfId="117"/>
    <cellStyle name="Fixed1 - Style1" xfId="118"/>
    <cellStyle name="Gilsans" xfId="119"/>
    <cellStyle name="Gilsansl" xfId="120"/>
    <cellStyle name="Good" xfId="121" builtinId="26" customBuiltin="1"/>
    <cellStyle name="Good 2" xfId="122"/>
    <cellStyle name="Grey" xfId="123"/>
    <cellStyle name="HEADER" xfId="124"/>
    <cellStyle name="Header1" xfId="125"/>
    <cellStyle name="Header2" xfId="126"/>
    <cellStyle name="Heading" xfId="127"/>
    <cellStyle name="Heading 1" xfId="128" builtinId="16" customBuiltin="1"/>
    <cellStyle name="Heading 1 2" xfId="129"/>
    <cellStyle name="Heading 2" xfId="130" builtinId="17" customBuiltin="1"/>
    <cellStyle name="Heading 2 2" xfId="131"/>
    <cellStyle name="Heading 3" xfId="132" builtinId="18" customBuiltin="1"/>
    <cellStyle name="Heading 3 2" xfId="133"/>
    <cellStyle name="Heading 4" xfId="134" builtinId="19" customBuiltin="1"/>
    <cellStyle name="Heading 4 2" xfId="135"/>
    <cellStyle name="Heading1" xfId="136"/>
    <cellStyle name="Heading2" xfId="137"/>
    <cellStyle name="HIGHLIGHT" xfId="138"/>
    <cellStyle name="Input" xfId="139" builtinId="20" customBuiltin="1"/>
    <cellStyle name="Input [yellow]" xfId="140"/>
    <cellStyle name="Input 2" xfId="141"/>
    <cellStyle name="Lines" xfId="142"/>
    <cellStyle name="Linked Cell" xfId="143" builtinId="24" customBuiltin="1"/>
    <cellStyle name="Linked Cell 2" xfId="144"/>
    <cellStyle name="MEM SSN" xfId="145"/>
    <cellStyle name="Mine" xfId="146"/>
    <cellStyle name="mmm-yy" xfId="147"/>
    <cellStyle name="Monétaire [0]_pldt" xfId="148"/>
    <cellStyle name="Monétaire_pldt" xfId="149"/>
    <cellStyle name="Neutral" xfId="150" builtinId="28" customBuiltin="1"/>
    <cellStyle name="Neutral 2" xfId="151"/>
    <cellStyle name="New" xfId="152"/>
    <cellStyle name="No Border" xfId="153"/>
    <cellStyle name="no dec" xfId="154"/>
    <cellStyle name="Normal" xfId="0" builtinId="0"/>
    <cellStyle name="Normal - Style1" xfId="155"/>
    <cellStyle name="Normal 2" xfId="156"/>
    <cellStyle name="Normal 2 2" xfId="157"/>
    <cellStyle name="Normal 3" xfId="158"/>
    <cellStyle name="Normal 3 2" xfId="159"/>
    <cellStyle name="Normal CEN" xfId="160"/>
    <cellStyle name="Normal Centered" xfId="161"/>
    <cellStyle name="NORMAL CTR" xfId="162"/>
    <cellStyle name="Normal_2002 AREA LOADS FOR JNT TARIFF" xfId="163"/>
    <cellStyle name="Normal_Capital True-up" xfId="164"/>
    <cellStyle name="Normal_CU AC Rate Design" xfId="165"/>
    <cellStyle name="Normal_PRECorp2002HeintzResponse 8-21-03" xfId="166"/>
    <cellStyle name="Normal_Sheet1" xfId="167"/>
    <cellStyle name="Normal_TopSheet Type Ancillaries Worksheet-Updated 81903" xfId="168"/>
    <cellStyle name="Note" xfId="169" builtinId="10" customBuiltin="1"/>
    <cellStyle name="Note 2" xfId="170"/>
    <cellStyle name="nUMBER" xfId="171"/>
    <cellStyle name="Output" xfId="172" builtinId="21" customBuiltin="1"/>
    <cellStyle name="Output 2" xfId="173"/>
    <cellStyle name="Percent" xfId="174" builtinId="5"/>
    <cellStyle name="Percent [2]" xfId="175"/>
    <cellStyle name="Percent 2" xfId="176"/>
    <cellStyle name="PSChar" xfId="177"/>
    <cellStyle name="PSDate" xfId="178"/>
    <cellStyle name="PSDec" xfId="179"/>
    <cellStyle name="PSHeading" xfId="180"/>
    <cellStyle name="PSInt" xfId="181"/>
    <cellStyle name="PSSpacer" xfId="182"/>
    <cellStyle name="R00A" xfId="183"/>
    <cellStyle name="R00B" xfId="184"/>
    <cellStyle name="R00L" xfId="185"/>
    <cellStyle name="R01A" xfId="186"/>
    <cellStyle name="R01B" xfId="187"/>
    <cellStyle name="R01H" xfId="188"/>
    <cellStyle name="R01L" xfId="189"/>
    <cellStyle name="R02A" xfId="190"/>
    <cellStyle name="R02B" xfId="191"/>
    <cellStyle name="R02H" xfId="192"/>
    <cellStyle name="R02L" xfId="193"/>
    <cellStyle name="R03A" xfId="194"/>
    <cellStyle name="R03B" xfId="195"/>
    <cellStyle name="R03H" xfId="196"/>
    <cellStyle name="R03L" xfId="197"/>
    <cellStyle name="R04A" xfId="198"/>
    <cellStyle name="R04B" xfId="199"/>
    <cellStyle name="R04H" xfId="200"/>
    <cellStyle name="R04L" xfId="201"/>
    <cellStyle name="R05A" xfId="202"/>
    <cellStyle name="R05B" xfId="203"/>
    <cellStyle name="R05H" xfId="204"/>
    <cellStyle name="R05L" xfId="205"/>
    <cellStyle name="R06A" xfId="206"/>
    <cellStyle name="R06B" xfId="207"/>
    <cellStyle name="R06H" xfId="208"/>
    <cellStyle name="R06L" xfId="209"/>
    <cellStyle name="R07A" xfId="210"/>
    <cellStyle name="R07B" xfId="211"/>
    <cellStyle name="R07H" xfId="212"/>
    <cellStyle name="R07L" xfId="213"/>
    <cellStyle name="Resource Detail" xfId="214"/>
    <cellStyle name="Shade" xfId="215"/>
    <cellStyle name="single acct" xfId="216"/>
    <cellStyle name="Single Border" xfId="217"/>
    <cellStyle name="Small Page Heading" xfId="218"/>
    <cellStyle name="ssn" xfId="219"/>
    <cellStyle name="Style 1" xfId="220"/>
    <cellStyle name="Style 2" xfId="221"/>
    <cellStyle name="Style 27" xfId="222"/>
    <cellStyle name="Style 28" xfId="223"/>
    <cellStyle name="Table Sub Heading" xfId="224"/>
    <cellStyle name="Table Title" xfId="225"/>
    <cellStyle name="Table Units" xfId="226"/>
    <cellStyle name="Theirs" xfId="227"/>
    <cellStyle name="Times New Roman" xfId="228"/>
    <cellStyle name="Title" xfId="229" builtinId="15" customBuiltin="1"/>
    <cellStyle name="Title 2" xfId="230"/>
    <cellStyle name="Total" xfId="231" builtinId="25" customBuiltin="1"/>
    <cellStyle name="Total 2" xfId="232"/>
    <cellStyle name="Unprot" xfId="233"/>
    <cellStyle name="Unprot$" xfId="234"/>
    <cellStyle name="Unprotect" xfId="235"/>
    <cellStyle name="Warning Text" xfId="236" builtinId="11" customBuiltin="1"/>
    <cellStyle name="Warning Text 2" xfId="23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  <pageSetUpPr fitToPage="1"/>
  </sheetPr>
  <dimension ref="A1:P46"/>
  <sheetViews>
    <sheetView zoomScaleNormal="100" workbookViewId="0"/>
  </sheetViews>
  <sheetFormatPr defaultColWidth="7.109375" defaultRowHeight="12.75"/>
  <cols>
    <col min="1" max="1" width="3.77734375" style="39" customWidth="1"/>
    <col min="2" max="2" width="7.109375" style="40" customWidth="1"/>
    <col min="3" max="3" width="6.88671875" style="40" customWidth="1"/>
    <col min="4" max="4" width="11.5546875" style="40" customWidth="1"/>
    <col min="5" max="5" width="11.5546875" style="40" bestFit="1" customWidth="1"/>
    <col min="6" max="6" width="12.109375" style="40" customWidth="1"/>
    <col min="7" max="7" width="8.77734375" style="40" bestFit="1" customWidth="1"/>
    <col min="8" max="8" width="9.5546875" style="40" bestFit="1" customWidth="1"/>
    <col min="9" max="9" width="7.109375" style="40" customWidth="1"/>
    <col min="10" max="10" width="8.77734375" style="40" bestFit="1" customWidth="1"/>
    <col min="11" max="11" width="7.109375" style="40" customWidth="1"/>
    <col min="12" max="12" width="11.44140625" style="40" customWidth="1"/>
    <col min="13" max="16384" width="7.109375" style="40"/>
  </cols>
  <sheetData>
    <row r="1" spans="1:11">
      <c r="H1" s="320" t="s">
        <v>436</v>
      </c>
    </row>
    <row r="2" spans="1:11">
      <c r="G2" s="88"/>
      <c r="H2" s="89"/>
      <c r="I2" s="89"/>
      <c r="J2" s="89"/>
    </row>
    <row r="3" spans="1:11" ht="15" customHeight="1">
      <c r="A3" s="370" t="s">
        <v>360</v>
      </c>
      <c r="B3" s="370"/>
      <c r="C3" s="370"/>
      <c r="D3" s="370"/>
      <c r="E3" s="370"/>
      <c r="F3" s="370"/>
      <c r="G3" s="370"/>
      <c r="H3" s="370"/>
    </row>
    <row r="4" spans="1:11" ht="15" customHeight="1">
      <c r="A4" s="370" t="s">
        <v>77</v>
      </c>
      <c r="B4" s="370"/>
      <c r="C4" s="370"/>
      <c r="D4" s="370"/>
      <c r="E4" s="370"/>
      <c r="F4" s="370"/>
      <c r="G4" s="370"/>
      <c r="H4" s="370"/>
    </row>
    <row r="6" spans="1:11">
      <c r="A6" s="41" t="s">
        <v>70</v>
      </c>
    </row>
    <row r="8" spans="1:11">
      <c r="A8" s="39">
        <v>1</v>
      </c>
      <c r="B8" s="60" t="s">
        <v>114</v>
      </c>
      <c r="D8" s="88"/>
      <c r="E8" s="89"/>
      <c r="G8" s="60"/>
      <c r="H8" s="352">
        <v>704006.9</v>
      </c>
      <c r="I8" s="88" t="s">
        <v>444</v>
      </c>
      <c r="K8" s="89"/>
    </row>
    <row r="9" spans="1:11">
      <c r="G9" s="60"/>
      <c r="H9" s="60"/>
    </row>
    <row r="10" spans="1:11" ht="39" thickBot="1">
      <c r="D10" s="42" t="str">
        <f>+B20</f>
        <v>Entity</v>
      </c>
      <c r="E10" s="43"/>
      <c r="F10" s="83" t="s">
        <v>164</v>
      </c>
      <c r="G10" s="265" t="s">
        <v>254</v>
      </c>
      <c r="H10" s="83" t="s">
        <v>362</v>
      </c>
    </row>
    <row r="11" spans="1:11">
      <c r="D11" s="39"/>
      <c r="F11" s="45"/>
      <c r="G11" s="266"/>
      <c r="H11" s="267"/>
    </row>
    <row r="12" spans="1:11">
      <c r="A12" s="39">
        <v>2</v>
      </c>
      <c r="D12" s="40" t="s">
        <v>363</v>
      </c>
      <c r="F12" s="84">
        <f>+L22</f>
        <v>17.070576864788094</v>
      </c>
      <c r="G12" s="268">
        <f>+F12/F$15</f>
        <v>0.45640649037623959</v>
      </c>
      <c r="H12" s="269">
        <f>+H$8*G12</f>
        <v>321313.31842965627</v>
      </c>
      <c r="J12" s="46"/>
      <c r="K12" s="47"/>
    </row>
    <row r="13" spans="1:11">
      <c r="A13" s="39">
        <v>3</v>
      </c>
      <c r="D13" s="40" t="s">
        <v>364</v>
      </c>
      <c r="F13" s="85">
        <f>+L23</f>
        <v>18.847717895357743</v>
      </c>
      <c r="G13" s="268">
        <f>+F13/F$15</f>
        <v>0.50392091868703559</v>
      </c>
      <c r="H13" s="269">
        <f>+H$8*G13</f>
        <v>354763.803810012</v>
      </c>
      <c r="J13" s="48"/>
      <c r="K13" s="47"/>
    </row>
    <row r="14" spans="1:11" ht="13.5" thickBot="1">
      <c r="A14" s="39">
        <v>4</v>
      </c>
      <c r="D14" s="160" t="s">
        <v>365</v>
      </c>
      <c r="E14" s="160"/>
      <c r="F14" s="161">
        <f>+L24</f>
        <v>1.4838395756650511</v>
      </c>
      <c r="G14" s="162">
        <f>+F14/F$15</f>
        <v>3.9672590936724705E-2</v>
      </c>
      <c r="H14" s="163">
        <f>+H$8*G14</f>
        <v>27929.777760331657</v>
      </c>
      <c r="J14" s="48"/>
      <c r="K14" s="47"/>
    </row>
    <row r="15" spans="1:11">
      <c r="A15" s="39">
        <v>5</v>
      </c>
      <c r="D15" s="40" t="s">
        <v>198</v>
      </c>
      <c r="F15" s="85">
        <f>SUM(F12:F14)</f>
        <v>37.402134335810892</v>
      </c>
      <c r="G15" s="270">
        <f>+F15/F$15</f>
        <v>1</v>
      </c>
      <c r="H15" s="271">
        <f>SUM(H12:H14)</f>
        <v>704006.89999999991</v>
      </c>
      <c r="J15" s="46"/>
    </row>
    <row r="16" spans="1:11">
      <c r="G16" s="60"/>
      <c r="H16" s="60"/>
    </row>
    <row r="17" spans="1:16">
      <c r="G17" s="60"/>
      <c r="H17" s="60"/>
    </row>
    <row r="18" spans="1:16">
      <c r="A18" s="41" t="s">
        <v>366</v>
      </c>
      <c r="E18" s="350" t="s">
        <v>437</v>
      </c>
      <c r="F18" s="89"/>
      <c r="G18" s="88"/>
      <c r="H18" s="88"/>
    </row>
    <row r="19" spans="1:16">
      <c r="G19" s="60"/>
      <c r="H19" s="60"/>
    </row>
    <row r="20" spans="1:16" ht="39" thickBot="1">
      <c r="B20" s="43" t="s">
        <v>367</v>
      </c>
      <c r="C20" s="43"/>
      <c r="D20" s="44" t="s">
        <v>165</v>
      </c>
      <c r="E20" s="44" t="s">
        <v>167</v>
      </c>
      <c r="F20" s="44" t="s">
        <v>368</v>
      </c>
      <c r="G20" s="252" t="s">
        <v>441</v>
      </c>
      <c r="H20" s="83" t="s">
        <v>309</v>
      </c>
    </row>
    <row r="21" spans="1:16">
      <c r="G21" s="60"/>
      <c r="H21" s="60"/>
      <c r="M21" s="253" t="s">
        <v>392</v>
      </c>
      <c r="N21" s="254"/>
      <c r="O21" s="254"/>
      <c r="P21" s="255"/>
    </row>
    <row r="22" spans="1:16">
      <c r="A22" s="39">
        <v>6</v>
      </c>
      <c r="B22" s="40" t="str">
        <f>+D12</f>
        <v>Black Hills</v>
      </c>
      <c r="D22" s="170">
        <f>'True-Up'!J115</f>
        <v>14870855.176613253</v>
      </c>
      <c r="E22" s="49">
        <f>-H12</f>
        <v>-321313.31842965627</v>
      </c>
      <c r="F22" s="49">
        <f>+E22+D22</f>
        <v>14549541.858183596</v>
      </c>
      <c r="G22" s="65">
        <f>+'WP7 CU AC LOADS'!J24*1000</f>
        <v>855666.66666666663</v>
      </c>
      <c r="H22" s="272">
        <f>+F22/G22</f>
        <v>17.003749736872145</v>
      </c>
      <c r="J22" s="164" t="s">
        <v>119</v>
      </c>
      <c r="L22" s="351">
        <v>17.070576864788094</v>
      </c>
      <c r="M22" s="256" t="s">
        <v>393</v>
      </c>
      <c r="N22" s="257"/>
      <c r="O22" s="257"/>
      <c r="P22" s="258"/>
    </row>
    <row r="23" spans="1:16">
      <c r="A23" s="39">
        <v>7</v>
      </c>
      <c r="B23" s="40" t="str">
        <f>+D13</f>
        <v>Basin Electric</v>
      </c>
      <c r="D23" s="353">
        <v>16482130</v>
      </c>
      <c r="E23" s="49">
        <f>-H13</f>
        <v>-354763.803810012</v>
      </c>
      <c r="F23" s="49">
        <f>+E23+D23</f>
        <v>16127366.196189988</v>
      </c>
      <c r="G23" s="273">
        <f>+G22</f>
        <v>855666.66666666663</v>
      </c>
      <c r="H23" s="272">
        <f>+F23/G23</f>
        <v>18.847720525348642</v>
      </c>
      <c r="J23" s="164" t="s">
        <v>119</v>
      </c>
      <c r="L23" s="351">
        <v>18.847717895357743</v>
      </c>
      <c r="M23" s="256" t="s">
        <v>394</v>
      </c>
      <c r="N23" s="257"/>
      <c r="O23" s="257"/>
      <c r="P23" s="258"/>
    </row>
    <row r="24" spans="1:16" ht="13.5" thickBot="1">
      <c r="A24" s="39">
        <v>8</v>
      </c>
      <c r="B24" s="43" t="str">
        <f>+D14</f>
        <v>PRECorp</v>
      </c>
      <c r="C24" s="43"/>
      <c r="D24" s="354">
        <v>1297602.0185064427</v>
      </c>
      <c r="E24" s="52">
        <f>-H14</f>
        <v>-27929.777760331657</v>
      </c>
      <c r="F24" s="52">
        <f>+E24+D24</f>
        <v>1269672.2407461109</v>
      </c>
      <c r="G24" s="274">
        <f>+G23</f>
        <v>855666.66666666663</v>
      </c>
      <c r="H24" s="275">
        <f>+F24/G24</f>
        <v>1.4838397827184779</v>
      </c>
      <c r="J24" s="164" t="s">
        <v>119</v>
      </c>
      <c r="L24" s="351">
        <v>1.4838395756650511</v>
      </c>
      <c r="M24" s="259" t="s">
        <v>395</v>
      </c>
      <c r="N24" s="260"/>
      <c r="O24" s="260"/>
      <c r="P24" s="261"/>
    </row>
    <row r="25" spans="1:16">
      <c r="A25" s="39">
        <v>9</v>
      </c>
      <c r="B25" s="40" t="s">
        <v>198</v>
      </c>
      <c r="D25" s="49">
        <f>SUM(D22:D24)</f>
        <v>32650587.195119694</v>
      </c>
      <c r="E25" s="49">
        <f>SUM(E22:E24)</f>
        <v>-704006.89999999991</v>
      </c>
      <c r="F25" s="49">
        <f>SUM(F22:F24)</f>
        <v>31946580.295119695</v>
      </c>
      <c r="H25" s="50">
        <f>SUM(H22:H24)</f>
        <v>37.335310044939263</v>
      </c>
    </row>
    <row r="26" spans="1:16">
      <c r="F26" s="49"/>
      <c r="G26" s="51"/>
      <c r="H26" s="50"/>
    </row>
    <row r="27" spans="1:16">
      <c r="A27" s="41" t="s">
        <v>369</v>
      </c>
    </row>
    <row r="28" spans="1:16">
      <c r="A28" s="39">
        <v>10</v>
      </c>
      <c r="D28" s="40" t="s">
        <v>370</v>
      </c>
      <c r="F28" s="54">
        <f>+H25</f>
        <v>37.335310044939263</v>
      </c>
      <c r="G28" s="53" t="s">
        <v>371</v>
      </c>
    </row>
    <row r="29" spans="1:16">
      <c r="A29" s="39">
        <f t="shared" ref="A29:A34" si="0">+A28+1</f>
        <v>11</v>
      </c>
      <c r="D29" s="40" t="s">
        <v>372</v>
      </c>
      <c r="F29" s="84">
        <f>ROUND(F28/12,2)</f>
        <v>3.11</v>
      </c>
      <c r="G29" s="53" t="s">
        <v>373</v>
      </c>
    </row>
    <row r="30" spans="1:16">
      <c r="A30" s="39">
        <f t="shared" si="0"/>
        <v>12</v>
      </c>
      <c r="D30" s="40" t="s">
        <v>374</v>
      </c>
      <c r="F30" s="84">
        <f>ROUND(F28/52,2)</f>
        <v>0.72</v>
      </c>
      <c r="G30" s="53" t="s">
        <v>375</v>
      </c>
    </row>
    <row r="31" spans="1:16">
      <c r="A31" s="39">
        <f t="shared" si="0"/>
        <v>13</v>
      </c>
      <c r="D31" s="40" t="s">
        <v>376</v>
      </c>
      <c r="E31" s="40" t="s">
        <v>377</v>
      </c>
      <c r="F31" s="86">
        <f>+F30/6</f>
        <v>0.12</v>
      </c>
      <c r="G31" s="53" t="s">
        <v>378</v>
      </c>
    </row>
    <row r="32" spans="1:16">
      <c r="A32" s="39">
        <f t="shared" si="0"/>
        <v>14</v>
      </c>
      <c r="D32" s="40" t="s">
        <v>379</v>
      </c>
      <c r="E32" s="40" t="s">
        <v>380</v>
      </c>
      <c r="F32" s="86">
        <f>+F30/7</f>
        <v>0.10285714285714286</v>
      </c>
      <c r="G32" s="53" t="s">
        <v>378</v>
      </c>
    </row>
    <row r="33" spans="1:7">
      <c r="A33" s="39">
        <f t="shared" si="0"/>
        <v>15</v>
      </c>
      <c r="D33" s="40" t="s">
        <v>381</v>
      </c>
      <c r="E33" s="40" t="s">
        <v>382</v>
      </c>
      <c r="F33" s="87">
        <f>+F31/16</f>
        <v>7.4999999999999997E-3</v>
      </c>
      <c r="G33" s="53" t="s">
        <v>383</v>
      </c>
    </row>
    <row r="34" spans="1:7">
      <c r="A34" s="39">
        <f t="shared" si="0"/>
        <v>16</v>
      </c>
      <c r="D34" s="40" t="s">
        <v>384</v>
      </c>
      <c r="E34" s="40" t="s">
        <v>385</v>
      </c>
      <c r="F34" s="87">
        <f>+F32/24</f>
        <v>4.2857142857142859E-3</v>
      </c>
      <c r="G34" s="53" t="s">
        <v>383</v>
      </c>
    </row>
    <row r="40" spans="1:7">
      <c r="A40" s="41" t="s">
        <v>386</v>
      </c>
    </row>
    <row r="42" spans="1:7">
      <c r="B42" s="40" t="str">
        <f>+D20</f>
        <v>Component Annual Revenue Requirements</v>
      </c>
      <c r="E42" s="49">
        <f>+D25</f>
        <v>32650587.195119694</v>
      </c>
    </row>
    <row r="43" spans="1:7">
      <c r="B43" s="60" t="s">
        <v>361</v>
      </c>
      <c r="E43" s="49">
        <f>+E25</f>
        <v>-704006.89999999991</v>
      </c>
    </row>
    <row r="44" spans="1:7">
      <c r="B44" s="40" t="str">
        <f>+F20</f>
        <v>Net Revenue Requirements</v>
      </c>
      <c r="E44" s="49">
        <f>+F25</f>
        <v>31946580.295119695</v>
      </c>
    </row>
    <row r="45" spans="1:7">
      <c r="B45" s="40" t="str">
        <f>+G20</f>
        <v>Actual 2016 Load</v>
      </c>
      <c r="E45" s="51">
        <f>+G22</f>
        <v>855666.66666666663</v>
      </c>
    </row>
    <row r="46" spans="1:7">
      <c r="B46" s="40" t="str">
        <f>+H20</f>
        <v>Annual Rate</v>
      </c>
      <c r="E46" s="54">
        <f>+E44/E45</f>
        <v>37.335310044939263</v>
      </c>
    </row>
  </sheetData>
  <mergeCells count="2">
    <mergeCell ref="A3:H3"/>
    <mergeCell ref="A4:H4"/>
  </mergeCells>
  <phoneticPr fontId="21" type="noConversion"/>
  <printOptions horizontalCentered="1"/>
  <pageMargins left="0.75" right="0.75" top="1" bottom="1" header="0.5" footer="0.5"/>
  <pageSetup orientation="portrait" r:id="rId1"/>
  <headerFooter alignWithMargins="0">
    <oddHeader>&amp;L&amp;8 2016 BHP Transmission Rate True-Up&amp;R&amp;"Arial,Regular"&amp;10Page 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</sheetPr>
  <dimension ref="A1:AN240"/>
  <sheetViews>
    <sheetView showGridLines="0" tabSelected="1" topLeftCell="A105" zoomScale="85" zoomScaleNormal="85" workbookViewId="0">
      <selection activeCell="J115" sqref="J115"/>
    </sheetView>
  </sheetViews>
  <sheetFormatPr defaultRowHeight="15"/>
  <cols>
    <col min="1" max="1" width="6" customWidth="1"/>
    <col min="2" max="2" width="1.44140625" customWidth="1"/>
    <col min="3" max="3" width="41.109375" customWidth="1"/>
    <col min="4" max="4" width="34.5546875" customWidth="1"/>
    <col min="5" max="5" width="15.21875" customWidth="1"/>
    <col min="6" max="6" width="7.77734375" customWidth="1"/>
    <col min="7" max="7" width="5.6640625" customWidth="1"/>
    <col min="8" max="8" width="14" customWidth="1"/>
    <col min="9" max="9" width="7.5546875" customWidth="1"/>
    <col min="10" max="10" width="12.77734375" customWidth="1"/>
    <col min="11" max="11" width="1.21875" customWidth="1"/>
    <col min="12" max="12" width="14.44140625" bestFit="1" customWidth="1"/>
    <col min="13" max="15" width="13.44140625" bestFit="1" customWidth="1"/>
  </cols>
  <sheetData>
    <row r="1" spans="1:40">
      <c r="A1" s="199"/>
      <c r="B1" s="199"/>
      <c r="C1" s="199"/>
      <c r="D1" s="199"/>
      <c r="E1" s="199"/>
      <c r="F1" s="199"/>
      <c r="G1" s="199"/>
      <c r="H1" s="199"/>
      <c r="I1" s="317" t="s">
        <v>419</v>
      </c>
      <c r="J1" s="329">
        <v>42886</v>
      </c>
      <c r="K1" s="199"/>
    </row>
    <row r="2" spans="1:40" ht="15.75">
      <c r="A2" s="186"/>
      <c r="B2" s="186"/>
      <c r="C2" s="186"/>
      <c r="D2" s="277"/>
      <c r="E2" s="186"/>
      <c r="F2" s="186"/>
      <c r="G2" s="186"/>
      <c r="H2" s="199"/>
      <c r="I2" s="204" t="s">
        <v>166</v>
      </c>
      <c r="J2" s="190">
        <v>2016</v>
      </c>
      <c r="K2" s="19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5" customHeight="1">
      <c r="A4" s="371" t="s">
        <v>321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5.75">
      <c r="A5" s="372" t="s">
        <v>195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>
      <c r="A6" s="186"/>
      <c r="B6" s="186"/>
      <c r="C6" s="190"/>
      <c r="D6" s="190"/>
      <c r="E6" s="199"/>
      <c r="F6" s="190"/>
      <c r="G6" s="190"/>
      <c r="H6" s="190"/>
      <c r="I6" s="190"/>
      <c r="J6" s="190"/>
      <c r="K6" s="190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5" customHeight="1">
      <c r="A7" s="373" t="s">
        <v>320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>
      <c r="A8" s="196"/>
      <c r="B8" s="186"/>
      <c r="C8" s="190"/>
      <c r="D8" s="190"/>
      <c r="E8" s="212"/>
      <c r="F8" s="190"/>
      <c r="G8" s="190"/>
      <c r="H8" s="190"/>
      <c r="I8" s="190"/>
      <c r="J8" s="190"/>
      <c r="K8" s="190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>
      <c r="A9" s="186"/>
      <c r="B9" s="186"/>
      <c r="C9" s="278" t="s">
        <v>201</v>
      </c>
      <c r="D9" s="278" t="s">
        <v>202</v>
      </c>
      <c r="E9" s="278" t="s">
        <v>203</v>
      </c>
      <c r="F9" s="181" t="s">
        <v>194</v>
      </c>
      <c r="G9" s="181"/>
      <c r="H9" s="279" t="s">
        <v>204</v>
      </c>
      <c r="I9" s="181"/>
      <c r="J9" s="214" t="s">
        <v>205</v>
      </c>
      <c r="K9" s="18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5.75">
      <c r="A10" s="186"/>
      <c r="B10" s="186"/>
      <c r="C10" s="200"/>
      <c r="D10" s="264" t="s">
        <v>206</v>
      </c>
      <c r="E10" s="181"/>
      <c r="F10" s="181"/>
      <c r="G10" s="280" t="s">
        <v>93</v>
      </c>
      <c r="H10" s="196"/>
      <c r="I10" s="181"/>
      <c r="J10" s="263" t="s">
        <v>207</v>
      </c>
      <c r="K10" s="18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5.75">
      <c r="A11" s="196" t="s">
        <v>196</v>
      </c>
      <c r="B11" s="186"/>
      <c r="C11" s="200"/>
      <c r="D11" s="281" t="s">
        <v>208</v>
      </c>
      <c r="E11" s="263" t="s">
        <v>209</v>
      </c>
      <c r="F11" s="282"/>
      <c r="G11" s="283" t="s">
        <v>83</v>
      </c>
      <c r="H11" s="238"/>
      <c r="I11" s="282"/>
      <c r="J11" s="196" t="s">
        <v>210</v>
      </c>
      <c r="K11" s="18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6.5" thickBot="1">
      <c r="A12" s="206" t="s">
        <v>197</v>
      </c>
      <c r="B12" s="186"/>
      <c r="C12" s="205" t="s">
        <v>211</v>
      </c>
      <c r="D12" s="181"/>
      <c r="E12" s="181"/>
      <c r="F12" s="181"/>
      <c r="G12" s="181"/>
      <c r="H12" s="181"/>
      <c r="I12" s="181"/>
      <c r="J12" s="181"/>
      <c r="K12" s="18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>
      <c r="A13" s="196"/>
      <c r="B13" s="186"/>
      <c r="C13" s="200"/>
      <c r="D13" s="181"/>
      <c r="E13" s="181"/>
      <c r="F13" s="181"/>
      <c r="G13" s="181"/>
      <c r="H13" s="181"/>
      <c r="I13" s="181"/>
      <c r="J13" s="181"/>
      <c r="K13" s="18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>
      <c r="A14" s="196"/>
      <c r="B14" s="186"/>
      <c r="C14" s="200" t="s">
        <v>212</v>
      </c>
      <c r="D14" s="16" t="s">
        <v>420</v>
      </c>
      <c r="E14" s="181"/>
      <c r="F14" s="181"/>
      <c r="G14" s="181"/>
      <c r="H14" s="181"/>
      <c r="I14" s="181"/>
      <c r="J14" s="181"/>
      <c r="K14" s="18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>
      <c r="A15" s="196">
        <v>1</v>
      </c>
      <c r="B15" s="186"/>
      <c r="C15" s="200" t="s">
        <v>213</v>
      </c>
      <c r="D15" s="16" t="s">
        <v>73</v>
      </c>
      <c r="E15" s="181">
        <f>+'WP6 Rate Base'!R15</f>
        <v>577065705.61153853</v>
      </c>
      <c r="F15" s="181"/>
      <c r="G15" s="181" t="s">
        <v>214</v>
      </c>
      <c r="H15" s="180" t="s">
        <v>194</v>
      </c>
      <c r="I15" s="181"/>
      <c r="J15" s="181" t="s">
        <v>194</v>
      </c>
      <c r="K15" s="18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>
      <c r="A16" s="196">
        <f>+A15+1</f>
        <v>2</v>
      </c>
      <c r="B16" s="186"/>
      <c r="C16" s="200" t="s">
        <v>215</v>
      </c>
      <c r="D16" s="16" t="s">
        <v>120</v>
      </c>
      <c r="E16" s="181">
        <f>+'WP6 Rate Base'!R16</f>
        <v>129859015.28076924</v>
      </c>
      <c r="F16" s="181"/>
      <c r="G16" s="181" t="s">
        <v>200</v>
      </c>
      <c r="H16" s="180">
        <f>+J143</f>
        <v>0.81472599999999995</v>
      </c>
      <c r="I16" s="181"/>
      <c r="J16" s="181">
        <f>+H16*E16</f>
        <v>105799516.08363999</v>
      </c>
      <c r="K16" s="18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>
      <c r="A17" s="196">
        <f t="shared" ref="A17:A62" si="0">+A16+1</f>
        <v>3</v>
      </c>
      <c r="B17" s="186"/>
      <c r="C17" s="200" t="s">
        <v>216</v>
      </c>
      <c r="D17" s="16" t="s">
        <v>121</v>
      </c>
      <c r="E17" s="181">
        <f>+'WP6 Rate Base'!R17</f>
        <v>358360234.83846152</v>
      </c>
      <c r="F17" s="181"/>
      <c r="G17" s="181" t="s">
        <v>214</v>
      </c>
      <c r="H17" s="182"/>
      <c r="I17" s="181"/>
      <c r="J17" s="181"/>
      <c r="K17" s="18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>
      <c r="A18" s="196">
        <f t="shared" si="0"/>
        <v>4</v>
      </c>
      <c r="B18" s="186"/>
      <c r="C18" s="200" t="s">
        <v>217</v>
      </c>
      <c r="D18" s="16" t="s">
        <v>421</v>
      </c>
      <c r="E18" s="181">
        <f>+'WP6 Rate Base'!R18</f>
        <v>46469611.803846158</v>
      </c>
      <c r="F18" s="181"/>
      <c r="G18" s="181" t="s">
        <v>218</v>
      </c>
      <c r="H18" s="180">
        <f>J175</f>
        <v>0.11091934615348392</v>
      </c>
      <c r="I18" s="181"/>
      <c r="J18" s="181">
        <f>+H18*E18</f>
        <v>5154378.9572888343</v>
      </c>
      <c r="K18" s="18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>
      <c r="A19" s="196">
        <f t="shared" si="0"/>
        <v>5</v>
      </c>
      <c r="B19" s="186"/>
      <c r="C19" s="200" t="s">
        <v>137</v>
      </c>
      <c r="D19" s="16" t="s">
        <v>422</v>
      </c>
      <c r="E19" s="362">
        <v>30766580.017229084</v>
      </c>
      <c r="F19" s="181"/>
      <c r="G19" s="181" t="s">
        <v>218</v>
      </c>
      <c r="H19" s="180">
        <f>+H18</f>
        <v>0.11091934615348392</v>
      </c>
      <c r="I19" s="181"/>
      <c r="J19" s="181">
        <f>+H19*E19</f>
        <v>3412608.9388898942</v>
      </c>
      <c r="K19" s="181"/>
      <c r="L19" s="337" t="s">
        <v>460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>
      <c r="A20" s="196">
        <f t="shared" si="0"/>
        <v>6</v>
      </c>
      <c r="B20" s="186"/>
      <c r="C20" s="200" t="s">
        <v>102</v>
      </c>
      <c r="D20" s="16" t="s">
        <v>421</v>
      </c>
      <c r="E20" s="181">
        <f>+'WP6 Rate Base'!R20</f>
        <v>7227442.8915384626</v>
      </c>
      <c r="F20" s="181"/>
      <c r="G20" s="181" t="s">
        <v>131</v>
      </c>
      <c r="H20" s="180">
        <f>+J181</f>
        <v>0.22508219291941367</v>
      </c>
      <c r="I20" s="181"/>
      <c r="J20" s="181">
        <f>+H20*E20</f>
        <v>1626768.6952273052</v>
      </c>
      <c r="K20" s="18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5.75" thickBot="1">
      <c r="A21" s="196">
        <f t="shared" si="0"/>
        <v>7</v>
      </c>
      <c r="B21" s="186"/>
      <c r="C21" s="200" t="s">
        <v>219</v>
      </c>
      <c r="D21" s="16" t="s">
        <v>220</v>
      </c>
      <c r="E21" s="183">
        <f>+'WP6 Rate Base'!R21</f>
        <v>0</v>
      </c>
      <c r="F21" s="181"/>
      <c r="G21" s="181" t="s">
        <v>251</v>
      </c>
      <c r="H21" s="180">
        <v>0</v>
      </c>
      <c r="I21" s="181"/>
      <c r="J21" s="183">
        <f>+H21*E21</f>
        <v>0</v>
      </c>
      <c r="K21" s="18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>
      <c r="A22" s="196">
        <f t="shared" si="0"/>
        <v>8</v>
      </c>
      <c r="B22" s="186"/>
      <c r="C22" s="207" t="s">
        <v>5</v>
      </c>
      <c r="D22" s="16" t="str">
        <f>"(sum lines "&amp;A15&amp;" - "&amp;A21&amp;")"</f>
        <v>(sum lines 1 - 7)</v>
      </c>
      <c r="E22" s="181">
        <f>SUM(E15:E21)</f>
        <v>1149748590.443383</v>
      </c>
      <c r="F22" s="181"/>
      <c r="G22" s="181" t="s">
        <v>221</v>
      </c>
      <c r="H22" s="184">
        <f>IF(E22&gt;0,+J22/E22,0)</f>
        <v>0.10088577071472207</v>
      </c>
      <c r="I22" s="181"/>
      <c r="J22" s="181">
        <f>SUM(J15:J21)</f>
        <v>115993272.67504603</v>
      </c>
      <c r="K22" s="18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>
      <c r="A23" s="196">
        <f t="shared" si="0"/>
        <v>9</v>
      </c>
      <c r="B23" s="186"/>
      <c r="C23" s="200"/>
      <c r="D23" s="16"/>
      <c r="E23" s="181"/>
      <c r="F23" s="181"/>
      <c r="G23" s="181"/>
      <c r="H23" s="184"/>
      <c r="I23" s="181"/>
      <c r="J23" s="181"/>
      <c r="K23" s="18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>
      <c r="A24" s="196">
        <f t="shared" si="0"/>
        <v>10</v>
      </c>
      <c r="B24" s="186"/>
      <c r="C24" s="200" t="s">
        <v>222</v>
      </c>
      <c r="D24" s="16" t="s">
        <v>420</v>
      </c>
      <c r="E24" s="181"/>
      <c r="F24" s="181"/>
      <c r="G24" s="181"/>
      <c r="H24" s="181"/>
      <c r="I24" s="181"/>
      <c r="J24" s="181"/>
      <c r="K24" s="18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>
      <c r="A25" s="196">
        <f t="shared" si="0"/>
        <v>11</v>
      </c>
      <c r="B25" s="186"/>
      <c r="C25" s="200" t="str">
        <f>+C15</f>
        <v xml:space="preserve">  Production</v>
      </c>
      <c r="D25" s="16" t="s">
        <v>409</v>
      </c>
      <c r="E25" s="181">
        <f>+'WP6 Rate Base'!R25</f>
        <v>176879797.26680785</v>
      </c>
      <c r="F25" s="181"/>
      <c r="G25" s="181" t="str">
        <f>+G15</f>
        <v>NA</v>
      </c>
      <c r="H25" s="180" t="str">
        <f>+H15</f>
        <v xml:space="preserve"> </v>
      </c>
      <c r="I25" s="181"/>
      <c r="J25" s="181" t="s">
        <v>194</v>
      </c>
      <c r="K25" s="18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>
      <c r="A26" s="196">
        <f t="shared" si="0"/>
        <v>12</v>
      </c>
      <c r="B26" s="186"/>
      <c r="C26" s="200" t="s">
        <v>215</v>
      </c>
      <c r="D26" s="16" t="s">
        <v>122</v>
      </c>
      <c r="E26" s="362">
        <f>+'WP6 Rate Base'!R26</f>
        <v>39878343.854708783</v>
      </c>
      <c r="F26" s="181"/>
      <c r="G26" s="181" t="s">
        <v>80</v>
      </c>
      <c r="H26" s="180">
        <f>+J161</f>
        <v>0.81624200000000002</v>
      </c>
      <c r="I26" s="181"/>
      <c r="J26" s="181">
        <f>+H26*E26</f>
        <v>32550379.144655209</v>
      </c>
      <c r="K26" s="181"/>
      <c r="L26" s="337" t="s">
        <v>478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>
      <c r="A27" s="196">
        <f t="shared" si="0"/>
        <v>13</v>
      </c>
      <c r="B27" s="186"/>
      <c r="C27" s="200" t="s">
        <v>216</v>
      </c>
      <c r="D27" s="16" t="s">
        <v>123</v>
      </c>
      <c r="E27" s="181">
        <f>+'WP6 Rate Base'!R27</f>
        <v>122639474.45682839</v>
      </c>
      <c r="F27" s="181"/>
      <c r="G27" s="181" t="s">
        <v>214</v>
      </c>
      <c r="H27" s="180"/>
      <c r="I27" s="181"/>
      <c r="J27" s="181"/>
      <c r="K27" s="18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>
      <c r="A28" s="196">
        <f t="shared" si="0"/>
        <v>14</v>
      </c>
      <c r="B28" s="186"/>
      <c r="C28" s="200" t="str">
        <f>+C18</f>
        <v xml:space="preserve">  General &amp; Intangible</v>
      </c>
      <c r="D28" s="16" t="s">
        <v>407</v>
      </c>
      <c r="E28" s="362">
        <f>+'WP6 Rate Base'!R28</f>
        <v>22354365.519247476</v>
      </c>
      <c r="F28" s="181"/>
      <c r="G28" s="181" t="str">
        <f>+G18</f>
        <v>W/S</v>
      </c>
      <c r="H28" s="180">
        <f>+H18</f>
        <v>0.11091934615348392</v>
      </c>
      <c r="I28" s="181"/>
      <c r="J28" s="181">
        <f>+H28*E28</f>
        <v>2479531.6070709163</v>
      </c>
      <c r="K28" s="181"/>
      <c r="L28" s="337" t="s">
        <v>478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>
      <c r="A29" s="196">
        <f t="shared" si="0"/>
        <v>15</v>
      </c>
      <c r="B29" s="186"/>
      <c r="C29" s="200" t="s">
        <v>137</v>
      </c>
      <c r="D29" s="16" t="s">
        <v>422</v>
      </c>
      <c r="E29" s="362">
        <v>16575269.675159039</v>
      </c>
      <c r="F29" s="181"/>
      <c r="G29" s="181" t="str">
        <f>+G19</f>
        <v>W/S</v>
      </c>
      <c r="H29" s="180">
        <f>+H28</f>
        <v>0.11091934615348392</v>
      </c>
      <c r="I29" s="181"/>
      <c r="J29" s="181">
        <f>+H29*E29</f>
        <v>1838518.0746863105</v>
      </c>
      <c r="K29" s="181"/>
      <c r="L29" s="337" t="s">
        <v>460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>
      <c r="A30" s="196">
        <f t="shared" si="0"/>
        <v>16</v>
      </c>
      <c r="B30" s="186"/>
      <c r="C30" s="200" t="str">
        <f>+C20</f>
        <v xml:space="preserve">  Communication System</v>
      </c>
      <c r="D30" s="16" t="s">
        <v>421</v>
      </c>
      <c r="E30" s="362">
        <f>+'WP6 Rate Base'!R30</f>
        <v>3126036.3506013397</v>
      </c>
      <c r="F30" s="181"/>
      <c r="G30" s="181" t="str">
        <f>+G20</f>
        <v>T&amp;D</v>
      </c>
      <c r="H30" s="180">
        <f>+H20</f>
        <v>0.22508219291941367</v>
      </c>
      <c r="I30" s="181"/>
      <c r="J30" s="181">
        <f>+H30*E30</f>
        <v>703615.11693915061</v>
      </c>
      <c r="K30" s="181"/>
      <c r="L30" s="337" t="s">
        <v>478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5.75" thickBot="1">
      <c r="A31" s="196">
        <f t="shared" si="0"/>
        <v>17</v>
      </c>
      <c r="B31" s="186"/>
      <c r="C31" s="200" t="str">
        <f>+C21</f>
        <v xml:space="preserve">  Common</v>
      </c>
      <c r="D31" s="16" t="s">
        <v>220</v>
      </c>
      <c r="E31" s="183">
        <f>+'WP6 Rate Base'!R31</f>
        <v>0</v>
      </c>
      <c r="F31" s="181"/>
      <c r="G31" s="181" t="str">
        <f>+G21</f>
        <v>CE</v>
      </c>
      <c r="H31" s="180">
        <f>+H21</f>
        <v>0</v>
      </c>
      <c r="I31" s="181"/>
      <c r="J31" s="183">
        <f>+H31*E31</f>
        <v>0</v>
      </c>
      <c r="K31" s="18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>
      <c r="A32" s="196">
        <f t="shared" si="0"/>
        <v>18</v>
      </c>
      <c r="B32" s="186"/>
      <c r="C32" s="200" t="s">
        <v>7</v>
      </c>
      <c r="D32" s="16" t="str">
        <f>"(sum lines "&amp;A25&amp;" - "&amp;A31&amp;")"</f>
        <v>(sum lines 11 - 17)</v>
      </c>
      <c r="E32" s="181">
        <f>SUM(E25:E31)</f>
        <v>381453287.12335289</v>
      </c>
      <c r="F32" s="181"/>
      <c r="G32" s="181"/>
      <c r="H32" s="181"/>
      <c r="I32" s="181"/>
      <c r="J32" s="181">
        <f>SUM(J25:J31)</f>
        <v>37572043.943351589</v>
      </c>
      <c r="K32" s="18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>
      <c r="A33" s="196">
        <f t="shared" si="0"/>
        <v>19</v>
      </c>
      <c r="B33" s="186"/>
      <c r="C33" s="186"/>
      <c r="D33" s="181" t="s">
        <v>194</v>
      </c>
      <c r="E33" s="186"/>
      <c r="F33" s="181"/>
      <c r="G33" s="181"/>
      <c r="H33" s="184"/>
      <c r="I33" s="181"/>
      <c r="J33" s="186"/>
      <c r="K33" s="18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>
      <c r="A34" s="196">
        <f t="shared" si="0"/>
        <v>20</v>
      </c>
      <c r="B34" s="186"/>
      <c r="C34" s="200" t="s">
        <v>223</v>
      </c>
      <c r="D34" s="16" t="s">
        <v>420</v>
      </c>
      <c r="E34" s="181"/>
      <c r="F34" s="181"/>
      <c r="G34" s="181"/>
      <c r="H34" s="181"/>
      <c r="I34" s="181"/>
      <c r="J34" s="181"/>
      <c r="K34" s="18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>
      <c r="A35" s="196">
        <f t="shared" si="0"/>
        <v>21</v>
      </c>
      <c r="B35" s="186"/>
      <c r="C35" s="200" t="str">
        <f>+C25</f>
        <v xml:space="preserve">  Production</v>
      </c>
      <c r="D35" s="181" t="str">
        <f t="shared" ref="D35:D41" si="1">"(line "&amp;A15&amp;" - line "&amp;A25&amp;")"</f>
        <v>(line 1 - line 11)</v>
      </c>
      <c r="E35" s="181">
        <f t="shared" ref="E35:E42" si="2">E15-E25</f>
        <v>400185908.34473068</v>
      </c>
      <c r="F35" s="181"/>
      <c r="G35" s="181" t="s">
        <v>91</v>
      </c>
      <c r="H35" s="184"/>
      <c r="I35" s="181"/>
      <c r="J35" s="181" t="s">
        <v>194</v>
      </c>
      <c r="K35" s="18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>
      <c r="A36" s="196">
        <f t="shared" si="0"/>
        <v>22</v>
      </c>
      <c r="B36" s="186"/>
      <c r="C36" s="200" t="s">
        <v>215</v>
      </c>
      <c r="D36" s="181" t="str">
        <f t="shared" si="1"/>
        <v>(line 2 - line 12)</v>
      </c>
      <c r="E36" s="181">
        <f t="shared" si="2"/>
        <v>89980671.426060468</v>
      </c>
      <c r="F36" s="181"/>
      <c r="G36" s="181" t="s">
        <v>91</v>
      </c>
      <c r="H36" s="180"/>
      <c r="I36" s="181"/>
      <c r="J36" s="181">
        <f>J16-J26</f>
        <v>73249136.938984782</v>
      </c>
      <c r="K36" s="18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>
      <c r="A37" s="196">
        <f t="shared" si="0"/>
        <v>23</v>
      </c>
      <c r="B37" s="186"/>
      <c r="C37" s="200" t="s">
        <v>297</v>
      </c>
      <c r="D37" s="181" t="str">
        <f t="shared" si="1"/>
        <v>(line 3 - line 13)</v>
      </c>
      <c r="E37" s="181">
        <f t="shared" si="2"/>
        <v>235720760.38163313</v>
      </c>
      <c r="F37" s="181"/>
      <c r="G37" s="181" t="s">
        <v>91</v>
      </c>
      <c r="H37" s="184"/>
      <c r="I37" s="181"/>
      <c r="J37" s="181"/>
      <c r="K37" s="18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>
      <c r="A38" s="196">
        <f t="shared" si="0"/>
        <v>24</v>
      </c>
      <c r="B38" s="186"/>
      <c r="C38" s="200" t="str">
        <f>+C28</f>
        <v xml:space="preserve">  General &amp; Intangible</v>
      </c>
      <c r="D38" s="181" t="str">
        <f t="shared" si="1"/>
        <v>(line 4 - line 14)</v>
      </c>
      <c r="E38" s="181">
        <f t="shared" si="2"/>
        <v>24115246.284598682</v>
      </c>
      <c r="F38" s="181"/>
      <c r="G38" s="181" t="s">
        <v>91</v>
      </c>
      <c r="H38" s="184"/>
      <c r="I38" s="181"/>
      <c r="J38" s="181">
        <f>J18-J28</f>
        <v>2674847.3502179179</v>
      </c>
      <c r="K38" s="18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>
      <c r="A39" s="196">
        <f t="shared" si="0"/>
        <v>25</v>
      </c>
      <c r="B39" s="186"/>
      <c r="C39" s="200" t="s">
        <v>137</v>
      </c>
      <c r="D39" s="181" t="str">
        <f t="shared" si="1"/>
        <v>(line 5 - line 15)</v>
      </c>
      <c r="E39" s="181">
        <f t="shared" si="2"/>
        <v>14191310.342070045</v>
      </c>
      <c r="F39" s="181"/>
      <c r="G39" s="181" t="s">
        <v>91</v>
      </c>
      <c r="H39" s="184"/>
      <c r="I39" s="181"/>
      <c r="J39" s="181">
        <f>J19-J29</f>
        <v>1574090.8642035837</v>
      </c>
      <c r="K39" s="18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>
      <c r="A40" s="196">
        <f t="shared" si="0"/>
        <v>26</v>
      </c>
      <c r="B40" s="186"/>
      <c r="C40" s="200" t="str">
        <f>+C30</f>
        <v xml:space="preserve">  Communication System</v>
      </c>
      <c r="D40" s="181" t="str">
        <f t="shared" si="1"/>
        <v>(line 6 - line 16)</v>
      </c>
      <c r="E40" s="181">
        <f t="shared" si="2"/>
        <v>4101406.5409371229</v>
      </c>
      <c r="F40" s="181"/>
      <c r="G40" s="181" t="s">
        <v>91</v>
      </c>
      <c r="H40" s="184"/>
      <c r="I40" s="181"/>
      <c r="J40" s="181">
        <f>J20-J30</f>
        <v>923153.57828815456</v>
      </c>
      <c r="K40" s="18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5.75" thickBot="1">
      <c r="A41" s="196">
        <f t="shared" si="0"/>
        <v>27</v>
      </c>
      <c r="B41" s="186"/>
      <c r="C41" s="200" t="str">
        <f>+C31</f>
        <v xml:space="preserve">  Common</v>
      </c>
      <c r="D41" s="181" t="str">
        <f t="shared" si="1"/>
        <v>(line 7 - line 17)</v>
      </c>
      <c r="E41" s="183">
        <f t="shared" si="2"/>
        <v>0</v>
      </c>
      <c r="F41" s="181"/>
      <c r="G41" s="181" t="s">
        <v>91</v>
      </c>
      <c r="H41" s="184"/>
      <c r="I41" s="181"/>
      <c r="J41" s="183">
        <f>J21-J31</f>
        <v>0</v>
      </c>
      <c r="K41" s="18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>
      <c r="A42" s="196">
        <f t="shared" si="0"/>
        <v>28</v>
      </c>
      <c r="B42" s="186"/>
      <c r="C42" s="200" t="s">
        <v>6</v>
      </c>
      <c r="D42" s="181" t="str">
        <f>"(sum lines "&amp;A35&amp;" - "&amp;A41&amp;")"</f>
        <v>(sum lines 21 - 27)</v>
      </c>
      <c r="E42" s="181">
        <f t="shared" si="2"/>
        <v>768295303.32003009</v>
      </c>
      <c r="F42" s="181"/>
      <c r="G42" s="181" t="s">
        <v>224</v>
      </c>
      <c r="H42" s="184">
        <f>IF(E42&gt;0,+J42/E42,0)</f>
        <v>0.10207172735901578</v>
      </c>
      <c r="I42" s="181"/>
      <c r="J42" s="181">
        <f>SUM(J35:J41)</f>
        <v>78421228.731694445</v>
      </c>
      <c r="K42" s="18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>
      <c r="A43" s="196">
        <f t="shared" si="0"/>
        <v>29</v>
      </c>
      <c r="B43" s="186"/>
      <c r="C43" s="186"/>
      <c r="D43" s="181"/>
      <c r="E43" s="185"/>
      <c r="F43" s="181"/>
      <c r="G43" s="186"/>
      <c r="H43" s="186"/>
      <c r="I43" s="181"/>
      <c r="J43" s="186"/>
      <c r="K43" s="18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>
      <c r="A44" s="196">
        <f t="shared" si="0"/>
        <v>30</v>
      </c>
      <c r="B44" s="186"/>
      <c r="C44" s="207" t="s">
        <v>39</v>
      </c>
      <c r="D44" s="16" t="s">
        <v>423</v>
      </c>
      <c r="E44" s="181"/>
      <c r="F44" s="181"/>
      <c r="G44" s="181"/>
      <c r="H44" s="181"/>
      <c r="I44" s="181"/>
      <c r="J44" s="181"/>
      <c r="K44" s="18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>
      <c r="A45" s="196">
        <f t="shared" si="0"/>
        <v>31</v>
      </c>
      <c r="B45" s="186"/>
      <c r="C45" s="200" t="s">
        <v>269</v>
      </c>
      <c r="D45" s="16" t="s">
        <v>225</v>
      </c>
      <c r="E45" s="185">
        <f>+'WP6 Rate Base'!G50</f>
        <v>0</v>
      </c>
      <c r="F45" s="181"/>
      <c r="G45" s="181" t="str">
        <f>+G25</f>
        <v>NA</v>
      </c>
      <c r="H45" s="187" t="s">
        <v>290</v>
      </c>
      <c r="I45" s="181"/>
      <c r="J45" s="185">
        <v>0</v>
      </c>
      <c r="K45" s="18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>
      <c r="A46" s="196">
        <f t="shared" si="0"/>
        <v>32</v>
      </c>
      <c r="B46" s="186"/>
      <c r="C46" s="200" t="s">
        <v>270</v>
      </c>
      <c r="D46" s="16" t="s">
        <v>227</v>
      </c>
      <c r="E46" s="363">
        <f>+'WP6 Rate Base'!G51</f>
        <v>-193605664.30126747</v>
      </c>
      <c r="F46" s="181"/>
      <c r="G46" s="181" t="s">
        <v>226</v>
      </c>
      <c r="H46" s="180">
        <f>+H42</f>
        <v>0.10207172735901578</v>
      </c>
      <c r="I46" s="181"/>
      <c r="J46" s="185">
        <f>E46*H46</f>
        <v>-19761664.581720106</v>
      </c>
      <c r="K46" s="181"/>
      <c r="L46" s="337" t="s">
        <v>478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>
      <c r="A47" s="196">
        <f t="shared" si="0"/>
        <v>33</v>
      </c>
      <c r="B47" s="186"/>
      <c r="C47" s="200" t="s">
        <v>271</v>
      </c>
      <c r="D47" s="16" t="s">
        <v>228</v>
      </c>
      <c r="E47" s="185">
        <f>+'WP6 Rate Base'!G52</f>
        <v>-32989948</v>
      </c>
      <c r="F47" s="181"/>
      <c r="G47" s="181" t="str">
        <f>+G46</f>
        <v>NP</v>
      </c>
      <c r="H47" s="180">
        <f>H42</f>
        <v>0.10207172735901578</v>
      </c>
      <c r="I47" s="181"/>
      <c r="J47" s="185">
        <f>E47*H47</f>
        <v>-3367340.9778441079</v>
      </c>
      <c r="K47" s="18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>
      <c r="A48" s="196">
        <f t="shared" si="0"/>
        <v>34</v>
      </c>
      <c r="B48" s="186"/>
      <c r="C48" s="200" t="s">
        <v>273</v>
      </c>
      <c r="D48" s="16" t="s">
        <v>229</v>
      </c>
      <c r="E48" s="103">
        <f>+'WP6 Rate Base'!G53</f>
        <v>23136495</v>
      </c>
      <c r="F48" s="181"/>
      <c r="G48" s="181" t="str">
        <f>+G47</f>
        <v>NP</v>
      </c>
      <c r="H48" s="180">
        <f>+H47</f>
        <v>0.10207172735901578</v>
      </c>
      <c r="I48" s="181"/>
      <c r="J48" s="185">
        <f>E48*H48</f>
        <v>2361582.0096832318</v>
      </c>
      <c r="K48" s="18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>
      <c r="A49" s="196">
        <f t="shared" si="0"/>
        <v>35</v>
      </c>
      <c r="B49" s="186"/>
      <c r="C49" s="186" t="s">
        <v>272</v>
      </c>
      <c r="D49" s="21" t="s">
        <v>124</v>
      </c>
      <c r="E49" s="185">
        <f>+'WP6 Rate Base'!G54</f>
        <v>0</v>
      </c>
      <c r="F49" s="181"/>
      <c r="G49" s="181" t="str">
        <f>+G48</f>
        <v>NP</v>
      </c>
      <c r="H49" s="180">
        <f>+H47</f>
        <v>0.10207172735901578</v>
      </c>
      <c r="I49" s="181"/>
      <c r="J49" s="188">
        <f>E49*H49</f>
        <v>0</v>
      </c>
      <c r="K49" s="18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5.75" thickBot="1">
      <c r="A50" s="196">
        <f t="shared" si="0"/>
        <v>36</v>
      </c>
      <c r="B50" s="186"/>
      <c r="C50" s="200" t="s">
        <v>292</v>
      </c>
      <c r="D50" s="21" t="s">
        <v>424</v>
      </c>
      <c r="E50" s="189">
        <f>+'WP6 Rate Base'!G55</f>
        <v>3138959.9499999997</v>
      </c>
      <c r="F50" s="181"/>
      <c r="G50" s="181" t="str">
        <f>+G49</f>
        <v>NP</v>
      </c>
      <c r="H50" s="180">
        <f>+H49</f>
        <v>0.10207172735901578</v>
      </c>
      <c r="I50" s="181"/>
      <c r="J50" s="189">
        <f>+H50*E50</f>
        <v>320399.06420726975</v>
      </c>
      <c r="K50" s="18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>
      <c r="A51" s="196">
        <f t="shared" si="0"/>
        <v>37</v>
      </c>
      <c r="B51" s="186"/>
      <c r="C51" s="200" t="s">
        <v>8</v>
      </c>
      <c r="D51" s="181" t="str">
        <f>"(sum lines "&amp;A45&amp;" - "&amp;A50&amp;")"</f>
        <v>(sum lines 31 - 36)</v>
      </c>
      <c r="E51" s="103">
        <f>SUM(E45:E50)</f>
        <v>-200320157.35126749</v>
      </c>
      <c r="F51" s="181"/>
      <c r="G51" s="181"/>
      <c r="H51" s="181"/>
      <c r="I51" s="181"/>
      <c r="J51" s="185">
        <f>SUM(J45:J50)</f>
        <v>-20447024.485673711</v>
      </c>
      <c r="K51" s="18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>
      <c r="A52" s="196">
        <f t="shared" si="0"/>
        <v>38</v>
      </c>
      <c r="B52" s="186"/>
      <c r="C52" s="186"/>
      <c r="D52" s="181"/>
      <c r="E52" s="186"/>
      <c r="F52" s="181"/>
      <c r="G52" s="181"/>
      <c r="H52" s="184"/>
      <c r="I52" s="181"/>
      <c r="J52" s="186"/>
      <c r="K52" s="18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>
      <c r="A53" s="196">
        <f t="shared" si="0"/>
        <v>39</v>
      </c>
      <c r="B53" s="186"/>
      <c r="C53" s="207" t="s">
        <v>230</v>
      </c>
      <c r="D53" s="181" t="s">
        <v>299</v>
      </c>
      <c r="E53" s="181">
        <f>+'WP6 Rate Base'!G58</f>
        <v>0</v>
      </c>
      <c r="F53" s="181"/>
      <c r="G53" s="181" t="s">
        <v>387</v>
      </c>
      <c r="H53" s="180">
        <v>0</v>
      </c>
      <c r="I53" s="181"/>
      <c r="J53" s="181">
        <f>+H53*E53</f>
        <v>0</v>
      </c>
      <c r="K53" s="18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>
      <c r="A54" s="196">
        <f t="shared" si="0"/>
        <v>40</v>
      </c>
      <c r="B54" s="186"/>
      <c r="C54" s="200"/>
      <c r="D54" s="181"/>
      <c r="E54" s="181"/>
      <c r="F54" s="181"/>
      <c r="G54" s="181"/>
      <c r="H54" s="181"/>
      <c r="I54" s="181"/>
      <c r="J54" s="181"/>
      <c r="K54" s="18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>
      <c r="A55" s="196">
        <f t="shared" si="0"/>
        <v>41</v>
      </c>
      <c r="B55" s="186"/>
      <c r="C55" s="200" t="s">
        <v>298</v>
      </c>
      <c r="D55" s="181" t="s">
        <v>194</v>
      </c>
      <c r="E55" s="181"/>
      <c r="F55" s="181"/>
      <c r="G55" s="181"/>
      <c r="H55" s="181"/>
      <c r="I55" s="181"/>
      <c r="J55" s="181"/>
      <c r="K55" s="18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>
      <c r="A56" s="196">
        <f t="shared" si="0"/>
        <v>42</v>
      </c>
      <c r="B56" s="186"/>
      <c r="C56" s="200" t="s">
        <v>289</v>
      </c>
      <c r="D56" s="186" t="str">
        <f>"(1/8 * line "&amp;A85&amp;")"</f>
        <v>(1/8 * line 58)</v>
      </c>
      <c r="E56" s="181">
        <f>+E85/8</f>
        <v>3359614.5279237004</v>
      </c>
      <c r="F56" s="181"/>
      <c r="G56" s="181" t="s">
        <v>91</v>
      </c>
      <c r="H56" s="184"/>
      <c r="I56" s="181"/>
      <c r="J56" s="181">
        <f>+J85/8</f>
        <v>515829.66236575425</v>
      </c>
      <c r="K56" s="190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>
      <c r="A57" s="196">
        <f t="shared" si="0"/>
        <v>43</v>
      </c>
      <c r="B57" s="186"/>
      <c r="C57" s="200" t="s">
        <v>358</v>
      </c>
      <c r="D57" s="16" t="s">
        <v>134</v>
      </c>
      <c r="E57" s="181">
        <f>+'WP6 Rate Base'!G62</f>
        <v>4658813</v>
      </c>
      <c r="F57" s="181"/>
      <c r="G57" s="181" t="s">
        <v>131</v>
      </c>
      <c r="H57" s="180">
        <f>+J181</f>
        <v>0.22508219291941367</v>
      </c>
      <c r="I57" s="181"/>
      <c r="J57" s="181">
        <f>+H57*E57</f>
        <v>1048615.8464414724</v>
      </c>
      <c r="K57" s="181" t="s">
        <v>194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>
      <c r="A58" s="196">
        <f t="shared" si="0"/>
        <v>44</v>
      </c>
      <c r="B58" s="186"/>
      <c r="C58" s="200" t="s">
        <v>358</v>
      </c>
      <c r="D58" s="16" t="s">
        <v>133</v>
      </c>
      <c r="E58" s="181">
        <f>+'WP6 Rate Base'!G63</f>
        <v>19384</v>
      </c>
      <c r="F58" s="181"/>
      <c r="G58" s="181" t="s">
        <v>200</v>
      </c>
      <c r="H58" s="180">
        <f>+J143</f>
        <v>0.81472599999999995</v>
      </c>
      <c r="I58" s="181"/>
      <c r="J58" s="181">
        <f>+H58*E58</f>
        <v>15792.648783999999</v>
      </c>
      <c r="K58" s="18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5.75" thickBot="1">
      <c r="A59" s="196">
        <f t="shared" si="0"/>
        <v>45</v>
      </c>
      <c r="B59" s="186"/>
      <c r="C59" s="200" t="s">
        <v>274</v>
      </c>
      <c r="D59" s="16" t="s">
        <v>425</v>
      </c>
      <c r="E59" s="203">
        <f>+'WP6 Rate Base'!G64</f>
        <v>3502724.5</v>
      </c>
      <c r="F59" s="181"/>
      <c r="G59" s="181" t="s">
        <v>231</v>
      </c>
      <c r="H59" s="180">
        <f>+H22</f>
        <v>0.10088577071472207</v>
      </c>
      <c r="I59" s="181"/>
      <c r="J59" s="183">
        <f>+H59*E59</f>
        <v>353375.06078383949</v>
      </c>
      <c r="K59" s="18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>
      <c r="A60" s="196">
        <f t="shared" si="0"/>
        <v>46</v>
      </c>
      <c r="B60" s="186"/>
      <c r="C60" s="200" t="s">
        <v>9</v>
      </c>
      <c r="D60" s="181" t="str">
        <f>"(sum lines "&amp;A56&amp;" - "&amp;A59&amp;")"</f>
        <v>(sum lines 42 - 45)</v>
      </c>
      <c r="E60" s="16">
        <f>SUM(E56:E59)</f>
        <v>11540536.027923699</v>
      </c>
      <c r="F60" s="190"/>
      <c r="G60" s="190"/>
      <c r="H60" s="190"/>
      <c r="I60" s="190"/>
      <c r="J60" s="181">
        <f>SUM(J56:J59)</f>
        <v>1933613.2183750661</v>
      </c>
      <c r="K60" s="190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5.75" thickBot="1">
      <c r="A61" s="196">
        <f t="shared" si="0"/>
        <v>47</v>
      </c>
      <c r="B61" s="186"/>
      <c r="C61" s="186"/>
      <c r="D61" s="181"/>
      <c r="E61" s="284"/>
      <c r="F61" s="181"/>
      <c r="G61" s="181"/>
      <c r="H61" s="181"/>
      <c r="I61" s="181"/>
      <c r="J61" s="285"/>
      <c r="K61" s="18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5.75" thickBot="1">
      <c r="A62" s="196">
        <f t="shared" si="0"/>
        <v>48</v>
      </c>
      <c r="B62" s="186"/>
      <c r="C62" s="200" t="s">
        <v>10</v>
      </c>
      <c r="D62" s="181" t="str">
        <f>"(sum lines "&amp;A42&amp;", "&amp;A51&amp;", "&amp;A53&amp;", &amp; "&amp;A60&amp;")"</f>
        <v>(sum lines 28, 37, 39, &amp; 46)</v>
      </c>
      <c r="E62" s="193"/>
      <c r="F62" s="181"/>
      <c r="G62" s="181"/>
      <c r="H62" s="184"/>
      <c r="I62" s="181"/>
      <c r="J62" s="286">
        <f>+J60+J53+J51+J42</f>
        <v>59907817.464395799</v>
      </c>
      <c r="K62" s="18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5.75" thickTop="1">
      <c r="A63" s="196"/>
      <c r="B63" s="186"/>
      <c r="C63" s="200"/>
      <c r="D63" s="181"/>
      <c r="E63" s="193"/>
      <c r="F63" s="181"/>
      <c r="G63" s="181"/>
      <c r="H63" s="184"/>
      <c r="I63" s="204" t="s">
        <v>419</v>
      </c>
      <c r="J63" s="331">
        <f>J1</f>
        <v>42886</v>
      </c>
      <c r="K63" s="18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>
      <c r="A64" s="196"/>
      <c r="B64" s="186"/>
      <c r="C64" s="200"/>
      <c r="D64" s="181"/>
      <c r="E64" s="181"/>
      <c r="F64" s="181"/>
      <c r="G64" s="181"/>
      <c r="H64" s="199"/>
      <c r="I64" s="204" t="str">
        <f>$I$2</f>
        <v>Service Year</v>
      </c>
      <c r="J64" s="190">
        <f>$J$2</f>
        <v>2016</v>
      </c>
      <c r="K64" s="199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>
      <c r="A65" s="196"/>
      <c r="B65" s="186"/>
      <c r="C65" s="200"/>
      <c r="D65" s="181"/>
      <c r="E65" s="181"/>
      <c r="F65" s="181"/>
      <c r="G65" s="181"/>
      <c r="H65" s="181"/>
      <c r="I65" s="181"/>
      <c r="J65" s="181"/>
      <c r="K65" s="18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5.75">
      <c r="A66" s="371" t="s">
        <v>321</v>
      </c>
      <c r="B66" s="371"/>
      <c r="C66" s="371"/>
      <c r="D66" s="371"/>
      <c r="E66" s="371"/>
      <c r="F66" s="371"/>
      <c r="G66" s="371"/>
      <c r="H66" s="371"/>
      <c r="I66" s="371"/>
      <c r="J66" s="371"/>
      <c r="K66" s="37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5.75">
      <c r="A67" s="372" t="s">
        <v>195</v>
      </c>
      <c r="B67" s="372"/>
      <c r="C67" s="372"/>
      <c r="D67" s="372"/>
      <c r="E67" s="372"/>
      <c r="F67" s="372"/>
      <c r="G67" s="372"/>
      <c r="H67" s="372"/>
      <c r="I67" s="372"/>
      <c r="J67" s="372"/>
      <c r="K67" s="37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>
      <c r="A68" s="186"/>
      <c r="B68" s="186"/>
      <c r="C68" s="190"/>
      <c r="D68" s="190"/>
      <c r="E68" s="199"/>
      <c r="F68" s="190"/>
      <c r="G68" s="190"/>
      <c r="H68" s="190"/>
      <c r="I68" s="190"/>
      <c r="J68" s="190"/>
      <c r="K68" s="190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5.75">
      <c r="A69" s="373" t="s">
        <v>320</v>
      </c>
      <c r="B69" s="373"/>
      <c r="C69" s="373"/>
      <c r="D69" s="373"/>
      <c r="E69" s="373"/>
      <c r="F69" s="373"/>
      <c r="G69" s="373"/>
      <c r="H69" s="373"/>
      <c r="I69" s="373"/>
      <c r="J69" s="373"/>
      <c r="K69" s="37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>
      <c r="A70" s="196"/>
      <c r="B70" s="186"/>
      <c r="C70" s="278" t="s">
        <v>201</v>
      </c>
      <c r="D70" s="278" t="s">
        <v>202</v>
      </c>
      <c r="E70" s="278" t="s">
        <v>203</v>
      </c>
      <c r="F70" s="181" t="s">
        <v>194</v>
      </c>
      <c r="G70" s="181"/>
      <c r="H70" s="279" t="s">
        <v>204</v>
      </c>
      <c r="I70" s="181"/>
      <c r="J70" s="214" t="s">
        <v>205</v>
      </c>
      <c r="K70" s="18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>
      <c r="A71" s="196"/>
      <c r="B71" s="186"/>
      <c r="C71" s="278"/>
      <c r="D71" s="208"/>
      <c r="E71" s="208"/>
      <c r="F71" s="208"/>
      <c r="G71" s="208"/>
      <c r="H71" s="208"/>
      <c r="I71" s="208"/>
      <c r="J71" s="208"/>
      <c r="K71" s="208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5.75">
      <c r="A72" s="196" t="s">
        <v>196</v>
      </c>
      <c r="B72" s="186"/>
      <c r="C72" s="200"/>
      <c r="D72" s="264" t="s">
        <v>206</v>
      </c>
      <c r="E72" s="181"/>
      <c r="F72" s="181"/>
      <c r="G72" s="282" t="str">
        <f>+G10</f>
        <v xml:space="preserve">      Allocator</v>
      </c>
      <c r="H72" s="196"/>
      <c r="I72" s="181"/>
      <c r="J72" s="263" t="s">
        <v>207</v>
      </c>
      <c r="K72" s="18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6.5" thickBot="1">
      <c r="A73" s="206" t="s">
        <v>197</v>
      </c>
      <c r="B73" s="186"/>
      <c r="C73" s="200"/>
      <c r="D73" s="281" t="s">
        <v>208</v>
      </c>
      <c r="E73" s="263" t="s">
        <v>209</v>
      </c>
      <c r="F73" s="282"/>
      <c r="G73" s="283" t="str">
        <f>+G11</f>
        <v xml:space="preserve">        (page 4)</v>
      </c>
      <c r="H73" s="186"/>
      <c r="I73" s="282"/>
      <c r="J73" s="196" t="s">
        <v>210</v>
      </c>
      <c r="K73" s="18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5.75">
      <c r="A74" s="186"/>
      <c r="B74" s="186"/>
      <c r="C74" s="200"/>
      <c r="D74" s="181"/>
      <c r="E74" s="287"/>
      <c r="F74" s="288"/>
      <c r="G74" s="262"/>
      <c r="H74" s="186"/>
      <c r="I74" s="288"/>
      <c r="J74" s="287"/>
      <c r="K74" s="18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>
      <c r="A75" s="196"/>
      <c r="B75" s="186"/>
      <c r="C75" s="200" t="s">
        <v>232</v>
      </c>
      <c r="D75" s="181"/>
      <c r="E75" s="181"/>
      <c r="F75" s="181"/>
      <c r="G75" s="181"/>
      <c r="H75" s="181"/>
      <c r="I75" s="181"/>
      <c r="J75" s="181"/>
      <c r="K75" s="181"/>
      <c r="L75" s="1"/>
      <c r="M75" s="1"/>
      <c r="N75" s="337"/>
      <c r="O75" s="337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>
      <c r="A76" s="196">
        <f>+A62+1</f>
        <v>49</v>
      </c>
      <c r="B76" s="186"/>
      <c r="C76" s="200" t="s">
        <v>233</v>
      </c>
      <c r="D76" s="181" t="s">
        <v>138</v>
      </c>
      <c r="E76" s="362">
        <v>24493200</v>
      </c>
      <c r="F76" s="181"/>
      <c r="G76" s="181" t="s">
        <v>200</v>
      </c>
      <c r="H76" s="180">
        <f>+J143</f>
        <v>0.81472599999999995</v>
      </c>
      <c r="I76" s="181"/>
      <c r="J76" s="181">
        <f>+H76*E76</f>
        <v>19955246.863199998</v>
      </c>
      <c r="K76" s="190"/>
      <c r="L76" s="337" t="s">
        <v>479</v>
      </c>
      <c r="M76" s="1"/>
      <c r="N76" s="337"/>
      <c r="O76" s="337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>
      <c r="A77" s="196">
        <f>+A76+1</f>
        <v>50</v>
      </c>
      <c r="B77" s="186"/>
      <c r="C77" s="200" t="s">
        <v>49</v>
      </c>
      <c r="D77" s="181" t="s">
        <v>447</v>
      </c>
      <c r="E77" s="362">
        <v>22486450</v>
      </c>
      <c r="F77" s="181"/>
      <c r="G77" s="181" t="str">
        <f>+G76</f>
        <v>TP</v>
      </c>
      <c r="H77" s="180">
        <f>+H76</f>
        <v>0.81472599999999995</v>
      </c>
      <c r="I77" s="181"/>
      <c r="J77" s="181">
        <f t="shared" ref="J77:J84" si="3">+H77*E77</f>
        <v>18320295.462699998</v>
      </c>
      <c r="K77" s="190"/>
      <c r="L77" s="337" t="s">
        <v>460</v>
      </c>
      <c r="M77" s="337" t="s">
        <v>461</v>
      </c>
      <c r="N77" s="337" t="s">
        <v>462</v>
      </c>
      <c r="O77" s="337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>
      <c r="A78" s="196">
        <f t="shared" ref="A78:A119" si="4">+A77+1</f>
        <v>51</v>
      </c>
      <c r="B78" s="186"/>
      <c r="C78" s="200" t="s">
        <v>234</v>
      </c>
      <c r="D78" s="181" t="s">
        <v>125</v>
      </c>
      <c r="E78" s="362">
        <f>26223209.92+L78+M78+N78</f>
        <v>26249229.993389603</v>
      </c>
      <c r="F78" s="181"/>
      <c r="G78" s="181" t="s">
        <v>218</v>
      </c>
      <c r="H78" s="180">
        <f>+H28</f>
        <v>0.11091934615348392</v>
      </c>
      <c r="I78" s="181"/>
      <c r="J78" s="181">
        <f t="shared" si="3"/>
        <v>2911547.4278991939</v>
      </c>
      <c r="K78" s="181"/>
      <c r="L78" s="341">
        <v>74176.09474</v>
      </c>
      <c r="M78" s="1">
        <v>-45598.621350399997</v>
      </c>
      <c r="N78" s="337">
        <v>-2557.4</v>
      </c>
      <c r="O78" s="337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>
      <c r="A79" s="196">
        <f t="shared" si="4"/>
        <v>52</v>
      </c>
      <c r="B79" s="186"/>
      <c r="C79" s="200" t="s">
        <v>46</v>
      </c>
      <c r="D79" s="181" t="s">
        <v>135</v>
      </c>
      <c r="E79" s="16">
        <v>300194</v>
      </c>
      <c r="F79" s="181"/>
      <c r="G79" s="321" t="s">
        <v>218</v>
      </c>
      <c r="H79" s="180">
        <v>1</v>
      </c>
      <c r="I79" s="181"/>
      <c r="J79" s="181">
        <f t="shared" si="3"/>
        <v>300194</v>
      </c>
      <c r="K79" s="181"/>
      <c r="L79" s="337" t="s">
        <v>479</v>
      </c>
      <c r="M79" s="1"/>
      <c r="N79" s="337"/>
      <c r="O79" s="337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>
      <c r="A80" s="196">
        <f t="shared" si="4"/>
        <v>53</v>
      </c>
      <c r="B80" s="186"/>
      <c r="C80" s="200" t="s">
        <v>293</v>
      </c>
      <c r="D80" s="181" t="s">
        <v>168</v>
      </c>
      <c r="E80" s="16">
        <v>227200</v>
      </c>
      <c r="F80" s="181"/>
      <c r="G80" s="181" t="str">
        <f>G78</f>
        <v>W/S</v>
      </c>
      <c r="H80" s="180">
        <f>H78</f>
        <v>0.11091934615348392</v>
      </c>
      <c r="I80" s="181"/>
      <c r="J80" s="181">
        <f t="shared" si="3"/>
        <v>25200.875446071546</v>
      </c>
      <c r="K80" s="181"/>
      <c r="L80" s="34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>
      <c r="A81" s="196">
        <f t="shared" si="4"/>
        <v>54</v>
      </c>
      <c r="B81" s="186"/>
      <c r="C81" s="200" t="s">
        <v>294</v>
      </c>
      <c r="D81" s="181" t="s">
        <v>169</v>
      </c>
      <c r="E81" s="16">
        <v>211890.77000000005</v>
      </c>
      <c r="F81" s="181"/>
      <c r="G81" s="181" t="str">
        <f>+G80</f>
        <v>W/S</v>
      </c>
      <c r="H81" s="180">
        <f>+H80</f>
        <v>0.11091934615348392</v>
      </c>
      <c r="I81" s="181"/>
      <c r="J81" s="181">
        <f t="shared" si="3"/>
        <v>23502.785664358253</v>
      </c>
      <c r="K81" s="181"/>
      <c r="L81" s="342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>
      <c r="A82" s="196">
        <f t="shared" si="4"/>
        <v>55</v>
      </c>
      <c r="B82" s="186"/>
      <c r="C82" s="200" t="s">
        <v>48</v>
      </c>
      <c r="D82" s="181"/>
      <c r="E82" s="16">
        <v>1094179</v>
      </c>
      <c r="F82" s="181"/>
      <c r="G82" s="181" t="str">
        <f>G78</f>
        <v>W/S</v>
      </c>
      <c r="H82" s="180">
        <f>H78</f>
        <v>0.11091934615348392</v>
      </c>
      <c r="I82" s="181"/>
      <c r="J82" s="181">
        <f t="shared" si="3"/>
        <v>121365.61925487289</v>
      </c>
      <c r="K82" s="181"/>
      <c r="L82" s="342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>
      <c r="A83" s="196">
        <f t="shared" si="4"/>
        <v>56</v>
      </c>
      <c r="B83" s="186"/>
      <c r="C83" s="200" t="s">
        <v>47</v>
      </c>
      <c r="D83" s="181"/>
      <c r="E83" s="16">
        <v>0</v>
      </c>
      <c r="F83" s="181"/>
      <c r="G83" s="192" t="str">
        <f>+G76</f>
        <v>TP</v>
      </c>
      <c r="H83" s="180">
        <f>+H76</f>
        <v>0.81472599999999995</v>
      </c>
      <c r="I83" s="181"/>
      <c r="J83" s="181">
        <f>+H83*E83</f>
        <v>0</v>
      </c>
      <c r="K83" s="181"/>
      <c r="L83" s="342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5.75" thickBot="1">
      <c r="A84" s="196">
        <f t="shared" si="4"/>
        <v>57</v>
      </c>
      <c r="B84" s="186"/>
      <c r="C84" s="200" t="s">
        <v>219</v>
      </c>
      <c r="D84" s="181" t="str">
        <f>+D31</f>
        <v>356.1</v>
      </c>
      <c r="E84" s="22">
        <v>0</v>
      </c>
      <c r="F84" s="181"/>
      <c r="G84" s="181" t="s">
        <v>251</v>
      </c>
      <c r="H84" s="180">
        <f>+H31</f>
        <v>0</v>
      </c>
      <c r="I84" s="181"/>
      <c r="J84" s="183">
        <f t="shared" si="3"/>
        <v>0</v>
      </c>
      <c r="K84" s="181"/>
      <c r="L84" s="34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>
      <c r="A85" s="196">
        <f t="shared" si="4"/>
        <v>58</v>
      </c>
      <c r="B85" s="186"/>
      <c r="C85" s="200" t="str">
        <f>"TOTAL O&amp;M   (sum lines "&amp;A76&amp;", "&amp;A78&amp;", "&amp;A80&amp;", "&amp;A83&amp;", "&amp;A84&amp;" less lines "&amp;A77&amp;", "&amp;A79&amp;", "&amp;A81&amp;" , "&amp;A82&amp;")"</f>
        <v>TOTAL O&amp;M   (sum lines 49, 51, 53, 56, 57 less lines 50, 52, 54 , 55)</v>
      </c>
      <c r="D85" s="181"/>
      <c r="E85" s="181">
        <f>+E76-E77+E78-E79-E82+E84+E83+E80-E81</f>
        <v>26876916.223389603</v>
      </c>
      <c r="F85" s="181"/>
      <c r="G85" s="181"/>
      <c r="H85" s="181"/>
      <c r="I85" s="181"/>
      <c r="J85" s="181">
        <f>+J76-J77+J78-J79-J82+J84+J83+J80-J81</f>
        <v>4126637.298926034</v>
      </c>
      <c r="K85" s="18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>
      <c r="A86" s="196">
        <f t="shared" si="4"/>
        <v>59</v>
      </c>
      <c r="B86" s="186"/>
      <c r="C86" s="186"/>
      <c r="D86" s="181"/>
      <c r="E86" s="186"/>
      <c r="F86" s="181"/>
      <c r="G86" s="181"/>
      <c r="H86" s="181"/>
      <c r="I86" s="181"/>
      <c r="J86" s="186"/>
      <c r="K86" s="18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>
      <c r="A87" s="196">
        <f t="shared" si="4"/>
        <v>60</v>
      </c>
      <c r="B87" s="186"/>
      <c r="C87" s="200" t="s">
        <v>173</v>
      </c>
      <c r="D87" s="181"/>
      <c r="E87" s="181"/>
      <c r="F87" s="181"/>
      <c r="G87" s="181"/>
      <c r="H87" s="181"/>
      <c r="I87" s="181"/>
      <c r="J87" s="181"/>
      <c r="K87" s="18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>
      <c r="A88" s="196">
        <f t="shared" si="4"/>
        <v>61</v>
      </c>
      <c r="B88" s="186"/>
      <c r="C88" s="200" t="str">
        <f>+C16</f>
        <v xml:space="preserve">  Transmission</v>
      </c>
      <c r="D88" s="181" t="s">
        <v>448</v>
      </c>
      <c r="E88" s="181">
        <f>E16*'BHP WP5 Depreciation Rates'!H17</f>
        <v>3012729.1545138462</v>
      </c>
      <c r="F88" s="181"/>
      <c r="G88" s="181" t="s">
        <v>200</v>
      </c>
      <c r="H88" s="180">
        <f>+J143</f>
        <v>0.81472599999999995</v>
      </c>
      <c r="I88" s="181"/>
      <c r="J88" s="181">
        <f>+H88*E88</f>
        <v>2454548.7731404477</v>
      </c>
      <c r="K88" s="18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>
      <c r="A89" s="196">
        <f t="shared" si="4"/>
        <v>62</v>
      </c>
      <c r="B89" s="186"/>
      <c r="C89" s="200" t="s">
        <v>295</v>
      </c>
      <c r="D89" s="181" t="s">
        <v>449</v>
      </c>
      <c r="E89" s="181">
        <f>(E18+E20)*'BHP WP5 Depreciation Rates'!H31</f>
        <v>3506417.6716086157</v>
      </c>
      <c r="F89" s="181"/>
      <c r="G89" s="181" t="s">
        <v>218</v>
      </c>
      <c r="H89" s="180">
        <f>H78</f>
        <v>0.11091934615348392</v>
      </c>
      <c r="I89" s="181"/>
      <c r="J89" s="181">
        <f>+H89*E89</f>
        <v>388929.55547584913</v>
      </c>
      <c r="K89" s="18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5.75" thickBot="1">
      <c r="A90" s="196">
        <f t="shared" si="4"/>
        <v>63</v>
      </c>
      <c r="B90" s="186"/>
      <c r="C90" s="200" t="str">
        <f>+C84</f>
        <v xml:space="preserve">  Common</v>
      </c>
      <c r="D90" s="181" t="s">
        <v>126</v>
      </c>
      <c r="E90" s="22">
        <v>0</v>
      </c>
      <c r="F90" s="181"/>
      <c r="G90" s="181" t="s">
        <v>251</v>
      </c>
      <c r="H90" s="180">
        <f>+H84</f>
        <v>0</v>
      </c>
      <c r="I90" s="181"/>
      <c r="J90" s="183">
        <f>+H90*E90</f>
        <v>0</v>
      </c>
      <c r="K90" s="18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>
      <c r="A91" s="196">
        <f t="shared" si="4"/>
        <v>64</v>
      </c>
      <c r="B91" s="186"/>
      <c r="C91" s="200" t="str">
        <f>"TOTAL DEPRECIATION (Sum lines "&amp;A88&amp;" - "&amp;A90&amp;")"</f>
        <v>TOTAL DEPRECIATION (Sum lines 61 - 63)</v>
      </c>
      <c r="D91" s="181"/>
      <c r="E91" s="181">
        <f>SUM(E88:E90)</f>
        <v>6519146.8261224618</v>
      </c>
      <c r="F91" s="181"/>
      <c r="G91" s="181"/>
      <c r="H91" s="181"/>
      <c r="I91" s="181"/>
      <c r="J91" s="181">
        <f>SUM(J88:J90)</f>
        <v>2843478.3286162969</v>
      </c>
      <c r="K91" s="18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>
      <c r="A92" s="196">
        <f t="shared" si="4"/>
        <v>65</v>
      </c>
      <c r="B92" s="186"/>
      <c r="C92" s="200"/>
      <c r="D92" s="181"/>
      <c r="E92" s="181"/>
      <c r="F92" s="181"/>
      <c r="G92" s="181"/>
      <c r="H92" s="181"/>
      <c r="I92" s="181"/>
      <c r="J92" s="181"/>
      <c r="K92" s="18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>
      <c r="A93" s="196">
        <f t="shared" si="4"/>
        <v>66</v>
      </c>
      <c r="B93" s="186"/>
      <c r="C93" s="200" t="s">
        <v>89</v>
      </c>
      <c r="D93" s="186"/>
      <c r="E93" s="181"/>
      <c r="F93" s="181"/>
      <c r="G93" s="181"/>
      <c r="H93" s="181"/>
      <c r="I93" s="181"/>
      <c r="J93" s="181"/>
      <c r="K93" s="18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>
      <c r="A94" s="196">
        <f t="shared" si="4"/>
        <v>67</v>
      </c>
      <c r="B94" s="186"/>
      <c r="C94" s="200" t="s">
        <v>235</v>
      </c>
      <c r="D94" s="186"/>
      <c r="E94" s="194"/>
      <c r="F94" s="181"/>
      <c r="G94" s="181"/>
      <c r="H94" s="186"/>
      <c r="I94" s="181"/>
      <c r="J94" s="186"/>
      <c r="K94" s="18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>
      <c r="A95" s="196">
        <f t="shared" si="4"/>
        <v>68</v>
      </c>
      <c r="B95" s="186"/>
      <c r="C95" s="200" t="s">
        <v>236</v>
      </c>
      <c r="D95" s="321" t="s">
        <v>450</v>
      </c>
      <c r="E95" s="16">
        <f>24180-55910+56396</f>
        <v>24666</v>
      </c>
      <c r="F95" s="181"/>
      <c r="G95" s="181" t="s">
        <v>218</v>
      </c>
      <c r="H95" s="195">
        <f>+J175</f>
        <v>0.11091934615348392</v>
      </c>
      <c r="I95" s="181"/>
      <c r="J95" s="181">
        <f>+H95*E95</f>
        <v>2735.9365922218344</v>
      </c>
      <c r="K95" s="181"/>
      <c r="L95" s="337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>
      <c r="A96" s="196">
        <f t="shared" si="4"/>
        <v>69</v>
      </c>
      <c r="B96" s="186"/>
      <c r="C96" s="200" t="s">
        <v>237</v>
      </c>
      <c r="D96" s="181" t="s">
        <v>75</v>
      </c>
      <c r="E96" s="16">
        <v>0</v>
      </c>
      <c r="F96" s="181"/>
      <c r="G96" s="181" t="str">
        <f>+G95</f>
        <v>W/S</v>
      </c>
      <c r="H96" s="195">
        <f>+H95</f>
        <v>0.11091934615348392</v>
      </c>
      <c r="I96" s="181"/>
      <c r="J96" s="181">
        <f>+H96*E96</f>
        <v>0</v>
      </c>
      <c r="K96" s="18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>
      <c r="A97" s="196">
        <f t="shared" si="4"/>
        <v>70</v>
      </c>
      <c r="B97" s="186"/>
      <c r="C97" s="200" t="s">
        <v>238</v>
      </c>
      <c r="D97" s="181" t="s">
        <v>194</v>
      </c>
      <c r="E97" s="16"/>
      <c r="F97" s="181"/>
      <c r="G97" s="181"/>
      <c r="H97" s="186"/>
      <c r="I97" s="181"/>
      <c r="J97" s="186"/>
      <c r="K97" s="18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>
      <c r="A98" s="196">
        <f t="shared" si="4"/>
        <v>71</v>
      </c>
      <c r="B98" s="186"/>
      <c r="C98" s="200" t="s">
        <v>239</v>
      </c>
      <c r="D98" s="181" t="s">
        <v>451</v>
      </c>
      <c r="E98" s="16">
        <v>6611929</v>
      </c>
      <c r="F98" s="181"/>
      <c r="G98" s="181" t="s">
        <v>231</v>
      </c>
      <c r="H98" s="195">
        <f>+H22</f>
        <v>0.10088577071472207</v>
      </c>
      <c r="I98" s="181"/>
      <c r="J98" s="181">
        <f>+H98*E98</f>
        <v>667049.55307602161</v>
      </c>
      <c r="K98" s="18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>
      <c r="A99" s="196">
        <f t="shared" si="4"/>
        <v>72</v>
      </c>
      <c r="B99" s="186"/>
      <c r="C99" s="200" t="s">
        <v>240</v>
      </c>
      <c r="D99" s="181" t="s">
        <v>75</v>
      </c>
      <c r="E99" s="16">
        <v>0</v>
      </c>
      <c r="F99" s="181"/>
      <c r="G99" s="181" t="str">
        <f>+G45</f>
        <v>NA</v>
      </c>
      <c r="H99" s="289" t="s">
        <v>290</v>
      </c>
      <c r="I99" s="181"/>
      <c r="J99" s="181">
        <v>0</v>
      </c>
      <c r="K99" s="18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5.75" thickBot="1">
      <c r="A100" s="196">
        <f t="shared" si="4"/>
        <v>73</v>
      </c>
      <c r="B100" s="186"/>
      <c r="C100" s="200" t="s">
        <v>241</v>
      </c>
      <c r="D100" s="181" t="str">
        <f>+D99</f>
        <v>263.i</v>
      </c>
      <c r="E100" s="22">
        <v>0</v>
      </c>
      <c r="F100" s="181"/>
      <c r="G100" s="181" t="str">
        <f>+G98</f>
        <v>GP</v>
      </c>
      <c r="H100" s="195">
        <f>+H98</f>
        <v>0.10088577071472207</v>
      </c>
      <c r="I100" s="181"/>
      <c r="J100" s="183">
        <f>+H100*E100</f>
        <v>0</v>
      </c>
      <c r="K100" s="18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>
      <c r="A101" s="196">
        <f t="shared" si="4"/>
        <v>74</v>
      </c>
      <c r="B101" s="186"/>
      <c r="C101" s="200" t="str">
        <f>"TOTAL OTHER TAXES  (sum lines "&amp;A95&amp;" - "&amp;A100&amp;")"</f>
        <v>TOTAL OTHER TAXES  (sum lines 68 - 73)</v>
      </c>
      <c r="D101" s="181"/>
      <c r="E101" s="181">
        <f>SUM(E95:E100)</f>
        <v>6636595</v>
      </c>
      <c r="F101" s="181"/>
      <c r="G101" s="181"/>
      <c r="H101" s="195"/>
      <c r="I101" s="181"/>
      <c r="J101" s="181">
        <f>SUM(J95:J100)</f>
        <v>669785.48966824345</v>
      </c>
      <c r="K101" s="18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>
      <c r="A102" s="196">
        <f t="shared" si="4"/>
        <v>75</v>
      </c>
      <c r="B102" s="186"/>
      <c r="C102" s="200"/>
      <c r="D102" s="181"/>
      <c r="E102" s="181"/>
      <c r="F102" s="181"/>
      <c r="G102" s="181"/>
      <c r="H102" s="195"/>
      <c r="I102" s="181"/>
      <c r="J102" s="181"/>
      <c r="K102" s="18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>
      <c r="A103" s="196">
        <f t="shared" si="4"/>
        <v>76</v>
      </c>
      <c r="B103" s="186"/>
      <c r="C103" s="200"/>
      <c r="D103" s="181"/>
      <c r="E103" s="181"/>
      <c r="F103" s="181"/>
      <c r="G103" s="181"/>
      <c r="H103" s="195"/>
      <c r="I103" s="181"/>
      <c r="J103" s="181"/>
      <c r="K103" s="18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>
      <c r="A104" s="196">
        <f t="shared" si="4"/>
        <v>77</v>
      </c>
      <c r="B104" s="186"/>
      <c r="C104" s="200" t="s">
        <v>242</v>
      </c>
      <c r="D104" s="181" t="s">
        <v>88</v>
      </c>
      <c r="E104" s="181"/>
      <c r="F104" s="181"/>
      <c r="G104" s="186"/>
      <c r="H104" s="198"/>
      <c r="I104" s="181"/>
      <c r="J104" s="186"/>
      <c r="K104" s="18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>
      <c r="A105" s="196">
        <f t="shared" si="4"/>
        <v>78</v>
      </c>
      <c r="B105" s="186"/>
      <c r="C105" s="290" t="s">
        <v>286</v>
      </c>
      <c r="D105" s="181"/>
      <c r="E105" s="291">
        <f>IF(E232&gt;0,1-(((1-E233)*(1-E232))/(1-E233*E232*E234)),0)</f>
        <v>0.35</v>
      </c>
      <c r="F105" s="181"/>
      <c r="G105" s="186"/>
      <c r="H105" s="198"/>
      <c r="I105" s="181"/>
      <c r="J105" s="186"/>
      <c r="K105" s="18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>
      <c r="A106" s="196">
        <f t="shared" si="4"/>
        <v>79</v>
      </c>
      <c r="B106" s="186"/>
      <c r="C106" s="186" t="s">
        <v>287</v>
      </c>
      <c r="D106" s="181"/>
      <c r="E106" s="291">
        <f>IF(J199&gt;0,(E105/(1-E105))*(1-J196/J199),0)</f>
        <v>0.378598628644365</v>
      </c>
      <c r="F106" s="181"/>
      <c r="G106" s="186"/>
      <c r="H106" s="198"/>
      <c r="I106" s="181"/>
      <c r="J106" s="186"/>
      <c r="K106" s="18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>
      <c r="A107" s="196">
        <f t="shared" si="4"/>
        <v>80</v>
      </c>
      <c r="B107" s="186"/>
      <c r="C107" s="200" t="str">
        <f>"       where WCLTD=(line "&amp;A196&amp;") and R= (line "&amp;A199&amp;")"</f>
        <v xml:space="preserve">       where WCLTD=(line 154) and R= (line 157)</v>
      </c>
      <c r="D107" s="181"/>
      <c r="E107" s="181"/>
      <c r="F107" s="181"/>
      <c r="G107" s="186"/>
      <c r="H107" s="198"/>
      <c r="I107" s="181"/>
      <c r="J107" s="186"/>
      <c r="K107" s="18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>
      <c r="A108" s="196">
        <f t="shared" si="4"/>
        <v>81</v>
      </c>
      <c r="B108" s="186"/>
      <c r="C108" s="200" t="s">
        <v>90</v>
      </c>
      <c r="D108" s="181"/>
      <c r="E108" s="181"/>
      <c r="F108" s="181"/>
      <c r="G108" s="186"/>
      <c r="H108" s="198"/>
      <c r="I108" s="181"/>
      <c r="J108" s="186"/>
      <c r="K108" s="18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>
      <c r="A109" s="196">
        <f t="shared" si="4"/>
        <v>82</v>
      </c>
      <c r="B109" s="186"/>
      <c r="C109" s="290"/>
      <c r="D109" s="181"/>
      <c r="E109" s="292"/>
      <c r="F109" s="181"/>
      <c r="G109" s="186"/>
      <c r="H109" s="198"/>
      <c r="I109" s="181"/>
      <c r="J109" s="186"/>
      <c r="K109" s="18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>
      <c r="A110" s="196">
        <f t="shared" si="4"/>
        <v>83</v>
      </c>
      <c r="B110" s="186"/>
      <c r="C110" s="197" t="s">
        <v>276</v>
      </c>
      <c r="D110" s="186" t="str">
        <f>"(line "&amp;A106&amp;" * line "&amp;A113&amp;")"</f>
        <v>(line 79 * line 86)</v>
      </c>
      <c r="E110" s="340"/>
      <c r="F110" s="181"/>
      <c r="G110" s="181" t="s">
        <v>194</v>
      </c>
      <c r="H110" s="195" t="s">
        <v>194</v>
      </c>
      <c r="I110" s="181"/>
      <c r="J110" s="181">
        <f>E106*J112</f>
        <v>1985805.9001351874</v>
      </c>
      <c r="K110" s="18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>
      <c r="A111" s="196">
        <f t="shared" si="4"/>
        <v>84</v>
      </c>
      <c r="B111" s="186"/>
      <c r="C111" s="294"/>
      <c r="D111" s="295"/>
      <c r="E111" s="181"/>
      <c r="F111" s="181"/>
      <c r="G111" s="181"/>
      <c r="H111" s="195"/>
      <c r="I111" s="181"/>
      <c r="J111" s="181"/>
      <c r="K111" s="18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>
      <c r="A112" s="196">
        <f t="shared" si="4"/>
        <v>85</v>
      </c>
      <c r="B112" s="186"/>
      <c r="C112" s="200" t="s">
        <v>243</v>
      </c>
      <c r="D112" s="184"/>
      <c r="E112" s="181"/>
      <c r="F112" s="181"/>
      <c r="G112" s="181" t="s">
        <v>91</v>
      </c>
      <c r="H112" s="198"/>
      <c r="I112" s="181"/>
      <c r="J112" s="181">
        <f>+$J199*J62</f>
        <v>5245148.1592674907</v>
      </c>
      <c r="K112" s="18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7.25" customHeight="1">
      <c r="A113" s="196">
        <f t="shared" si="4"/>
        <v>86</v>
      </c>
      <c r="B113" s="186"/>
      <c r="C113" s="197" t="str">
        <f>"  [ Rate Base (line "&amp;A62&amp;") * R (line "&amp;A199&amp;")]"</f>
        <v xml:space="preserve">  [ Rate Base (line 48) * R (line 157)]</v>
      </c>
      <c r="D113" s="186"/>
      <c r="E113" s="181"/>
      <c r="F113" s="181"/>
      <c r="G113" s="181"/>
      <c r="H113" s="198"/>
      <c r="I113" s="181"/>
      <c r="J113" s="181"/>
      <c r="K113" s="18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>
      <c r="A114" s="196">
        <f t="shared" si="4"/>
        <v>87</v>
      </c>
      <c r="B114" s="186"/>
      <c r="C114" s="200"/>
      <c r="D114" s="186"/>
      <c r="E114" s="193"/>
      <c r="F114" s="181"/>
      <c r="G114" s="181"/>
      <c r="H114" s="198"/>
      <c r="I114" s="181"/>
      <c r="J114" s="193"/>
      <c r="K114" s="18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5.75" thickBot="1">
      <c r="A115" s="196">
        <f t="shared" si="4"/>
        <v>88</v>
      </c>
      <c r="B115" s="186"/>
      <c r="C115" s="200" t="str">
        <f>"REVENUE REQUIREMENT  (sum lines "&amp;A85&amp;", "&amp;A91&amp;", "&amp;A101&amp;", "&amp;A110&amp;", "&amp;A112&amp;")"</f>
        <v>REVENUE REQUIREMENT  (sum lines 58, 64, 74, 83, 85)</v>
      </c>
      <c r="D115" s="181"/>
      <c r="E115" s="201">
        <f>E110+E101+E91+E85</f>
        <v>40032658.049512066</v>
      </c>
      <c r="F115" s="181"/>
      <c r="G115" s="181"/>
      <c r="H115" s="181"/>
      <c r="I115" s="181"/>
      <c r="J115" s="202">
        <f>J110+J101+J91+J85+J112</f>
        <v>14870855.176613253</v>
      </c>
      <c r="K115" s="190"/>
      <c r="L115" s="36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5.75" thickTop="1">
      <c r="A116" s="196">
        <f t="shared" si="4"/>
        <v>89</v>
      </c>
      <c r="B116" s="186"/>
      <c r="C116" s="186"/>
      <c r="D116" s="186"/>
      <c r="E116" s="186"/>
      <c r="F116" s="186"/>
      <c r="G116" s="186"/>
      <c r="H116" s="186"/>
      <c r="I116" s="186"/>
      <c r="J116" s="186"/>
      <c r="K116" s="181"/>
      <c r="L116" s="36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>
      <c r="A117" s="196">
        <f t="shared" si="4"/>
        <v>90</v>
      </c>
      <c r="B117" s="186"/>
      <c r="C117" s="200" t="s">
        <v>435</v>
      </c>
      <c r="D117" s="186"/>
      <c r="E117" s="186"/>
      <c r="F117" s="186"/>
      <c r="G117" s="186"/>
      <c r="H117" s="186"/>
      <c r="I117" s="186"/>
      <c r="J117" s="345">
        <v>16010403</v>
      </c>
      <c r="K117" s="181"/>
      <c r="L117" s="36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>
      <c r="A118" s="196">
        <f t="shared" si="4"/>
        <v>91</v>
      </c>
      <c r="B118" s="186"/>
      <c r="C118" s="186"/>
      <c r="D118" s="186"/>
      <c r="E118" s="186"/>
      <c r="F118" s="186"/>
      <c r="G118" s="186"/>
      <c r="H118" s="186"/>
      <c r="I118" s="186"/>
      <c r="J118" s="186"/>
      <c r="K118" s="181"/>
      <c r="L118" s="36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5.75" thickBot="1">
      <c r="A119" s="196">
        <f t="shared" si="4"/>
        <v>92</v>
      </c>
      <c r="B119" s="186"/>
      <c r="C119" s="186" t="str">
        <f>"TRUE-UP AMOUNT TO BE (REFUNDED)/PAID (line "&amp;A115&amp;" - line "&amp;A117&amp;")"</f>
        <v>TRUE-UP AMOUNT TO BE (REFUNDED)/PAID (line 88 - line 90)</v>
      </c>
      <c r="D119" s="186"/>
      <c r="E119" s="186"/>
      <c r="F119" s="186"/>
      <c r="G119" s="186"/>
      <c r="H119" s="186"/>
      <c r="I119" s="186"/>
      <c r="J119" s="201">
        <f>+J115-J117</f>
        <v>-1139547.8233867474</v>
      </c>
      <c r="K119" s="181"/>
      <c r="L119" s="36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5.75" thickTop="1">
      <c r="A120" s="196"/>
      <c r="B120" s="186"/>
      <c r="C120" s="186"/>
      <c r="D120" s="186"/>
      <c r="E120" s="186"/>
      <c r="F120" s="186"/>
      <c r="G120" s="186"/>
      <c r="H120" s="186"/>
      <c r="I120" s="186"/>
      <c r="J120" s="186"/>
      <c r="K120" s="18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>
      <c r="A121" s="196"/>
      <c r="B121" s="186"/>
      <c r="C121" s="186"/>
      <c r="D121" s="186"/>
      <c r="E121" s="186"/>
      <c r="F121" s="186"/>
      <c r="G121" s="186"/>
      <c r="H121" s="186"/>
      <c r="I121" s="186"/>
      <c r="J121" s="186"/>
      <c r="K121" s="18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>
      <c r="A122" s="196"/>
      <c r="B122" s="186"/>
      <c r="C122" s="186"/>
      <c r="D122" s="186"/>
      <c r="E122" s="186"/>
      <c r="F122" s="186"/>
      <c r="G122" s="186"/>
      <c r="H122" s="186"/>
      <c r="I122" s="204" t="s">
        <v>419</v>
      </c>
      <c r="J122" s="330">
        <f>J1</f>
        <v>42886</v>
      </c>
      <c r="K122" s="18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>
      <c r="A123" s="196"/>
      <c r="B123" s="186"/>
      <c r="C123" s="186"/>
      <c r="D123" s="186"/>
      <c r="E123" s="186"/>
      <c r="F123" s="186"/>
      <c r="G123" s="186"/>
      <c r="H123" s="199"/>
      <c r="I123" s="204" t="str">
        <f>$I$2</f>
        <v>Service Year</v>
      </c>
      <c r="J123" s="190">
        <f>$J$2</f>
        <v>2016</v>
      </c>
      <c r="K123" s="199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>
      <c r="A124" s="196"/>
      <c r="B124" s="186"/>
      <c r="C124" s="186"/>
      <c r="D124" s="186"/>
      <c r="E124" s="186"/>
      <c r="F124" s="186"/>
      <c r="G124" s="186"/>
      <c r="H124" s="186"/>
      <c r="I124" s="186"/>
      <c r="J124" s="186"/>
      <c r="K124" s="18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5.75">
      <c r="A125" s="371" t="s">
        <v>321</v>
      </c>
      <c r="B125" s="371"/>
      <c r="C125" s="371"/>
      <c r="D125" s="371"/>
      <c r="E125" s="371"/>
      <c r="F125" s="371"/>
      <c r="G125" s="371"/>
      <c r="H125" s="371"/>
      <c r="I125" s="371"/>
      <c r="J125" s="371"/>
      <c r="K125" s="37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5.75">
      <c r="A126" s="372" t="s">
        <v>195</v>
      </c>
      <c r="B126" s="372"/>
      <c r="C126" s="372"/>
      <c r="D126" s="372"/>
      <c r="E126" s="372"/>
      <c r="F126" s="372"/>
      <c r="G126" s="372"/>
      <c r="H126" s="372"/>
      <c r="I126" s="372"/>
      <c r="J126" s="372"/>
      <c r="K126" s="372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>
      <c r="A127" s="186"/>
      <c r="B127" s="186"/>
      <c r="C127" s="190"/>
      <c r="D127" s="190"/>
      <c r="E127" s="199"/>
      <c r="F127" s="190"/>
      <c r="G127" s="190"/>
      <c r="H127" s="190"/>
      <c r="I127" s="190"/>
      <c r="J127" s="190"/>
      <c r="K127" s="190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5.75">
      <c r="A128" s="373" t="s">
        <v>320</v>
      </c>
      <c r="B128" s="373"/>
      <c r="C128" s="373"/>
      <c r="D128" s="373"/>
      <c r="E128" s="373"/>
      <c r="F128" s="373"/>
      <c r="G128" s="373"/>
      <c r="H128" s="373"/>
      <c r="I128" s="373"/>
      <c r="J128" s="373"/>
      <c r="K128" s="37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>
      <c r="A129" s="196"/>
      <c r="B129" s="186"/>
      <c r="C129" s="186"/>
      <c r="D129" s="200"/>
      <c r="E129" s="200"/>
      <c r="F129" s="200"/>
      <c r="G129" s="200"/>
      <c r="H129" s="200"/>
      <c r="I129" s="200"/>
      <c r="J129" s="200"/>
      <c r="K129" s="200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5.75">
      <c r="A130" s="374" t="s">
        <v>3</v>
      </c>
      <c r="B130" s="374"/>
      <c r="C130" s="374"/>
      <c r="D130" s="374"/>
      <c r="E130" s="374"/>
      <c r="F130" s="374"/>
      <c r="G130" s="374"/>
      <c r="H130" s="374"/>
      <c r="I130" s="374"/>
      <c r="J130" s="374"/>
      <c r="K130" s="374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5.75">
      <c r="A131" s="196"/>
      <c r="B131" s="186"/>
      <c r="C131" s="205"/>
      <c r="D131" s="190"/>
      <c r="E131" s="190"/>
      <c r="F131" s="190"/>
      <c r="G131" s="190"/>
      <c r="H131" s="190"/>
      <c r="I131" s="190"/>
      <c r="J131" s="190"/>
      <c r="K131" s="18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5.75">
      <c r="A132" s="196" t="s">
        <v>196</v>
      </c>
      <c r="B132" s="186"/>
      <c r="C132" s="205"/>
      <c r="D132" s="190"/>
      <c r="E132" s="190"/>
      <c r="F132" s="190"/>
      <c r="G132" s="190"/>
      <c r="H132" s="190"/>
      <c r="I132" s="190"/>
      <c r="J132" s="190"/>
      <c r="K132" s="18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5.75" thickBot="1">
      <c r="A133" s="206" t="s">
        <v>197</v>
      </c>
      <c r="B133" s="186"/>
      <c r="C133" s="207" t="s">
        <v>117</v>
      </c>
      <c r="D133" s="190"/>
      <c r="E133" s="190"/>
      <c r="F133" s="190"/>
      <c r="G133" s="190"/>
      <c r="H133" s="190"/>
      <c r="I133" s="186"/>
      <c r="J133" s="186"/>
      <c r="K133" s="18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5.75" thickBot="1">
      <c r="A134" s="196"/>
      <c r="B134" s="186"/>
      <c r="C134" s="207"/>
      <c r="D134" s="190"/>
      <c r="E134" s="183" t="s">
        <v>0</v>
      </c>
      <c r="F134" s="190"/>
      <c r="G134" s="190"/>
      <c r="H134" s="190"/>
      <c r="I134" s="190"/>
      <c r="J134" s="190"/>
      <c r="K134" s="18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6.5" customHeight="1">
      <c r="A135" s="196">
        <f>+A119+1</f>
        <v>93</v>
      </c>
      <c r="B135" s="186"/>
      <c r="C135" s="208" t="s">
        <v>105</v>
      </c>
      <c r="D135" s="190"/>
      <c r="E135" s="321" t="str">
        <f>"Column (3) line "&amp;A16&amp;""</f>
        <v>Column (3) line 2</v>
      </c>
      <c r="F135" s="181"/>
      <c r="G135" s="181"/>
      <c r="H135" s="181"/>
      <c r="I135" s="181"/>
      <c r="J135" s="181">
        <f>+E16</f>
        <v>129859015.28076924</v>
      </c>
      <c r="K135" s="18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>
      <c r="A136" s="196">
        <f>+A135+1</f>
        <v>94</v>
      </c>
      <c r="B136" s="186"/>
      <c r="C136" s="208" t="s">
        <v>86</v>
      </c>
      <c r="D136" s="186"/>
      <c r="E136" s="186" t="s">
        <v>170</v>
      </c>
      <c r="F136" s="186"/>
      <c r="G136" s="186"/>
      <c r="H136" s="186"/>
      <c r="I136" s="186"/>
      <c r="J136" s="16">
        <v>25906869.192289993</v>
      </c>
      <c r="K136" s="18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5.75" thickBot="1">
      <c r="A137" s="196">
        <f t="shared" ref="A137:A199" si="5">+A136+1</f>
        <v>95</v>
      </c>
      <c r="B137" s="186"/>
      <c r="C137" s="209" t="s">
        <v>87</v>
      </c>
      <c r="D137" s="210"/>
      <c r="E137" s="183" t="s">
        <v>170</v>
      </c>
      <c r="F137" s="181"/>
      <c r="G137" s="181"/>
      <c r="H137" s="191"/>
      <c r="I137" s="181"/>
      <c r="J137" s="183">
        <v>0</v>
      </c>
      <c r="K137" s="18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>
      <c r="A138" s="196">
        <f t="shared" si="5"/>
        <v>96</v>
      </c>
      <c r="B138" s="186"/>
      <c r="C138" s="208" t="str">
        <f>"Transmission plant included in Common Use Facilities  (line "&amp;A135&amp;" less lines "&amp;A136&amp;" and "&amp;A137&amp;")"</f>
        <v>Transmission plant included in Common Use Facilities  (line 93 less lines 94 and 95)</v>
      </c>
      <c r="D138" s="190"/>
      <c r="E138" s="181"/>
      <c r="F138" s="181"/>
      <c r="G138" s="181"/>
      <c r="H138" s="191"/>
      <c r="I138" s="181"/>
      <c r="J138" s="181">
        <f>J135-J136-J137</f>
        <v>103952146.08847925</v>
      </c>
      <c r="K138" s="18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>
      <c r="A139" s="196">
        <f t="shared" si="5"/>
        <v>97</v>
      </c>
      <c r="B139" s="186"/>
      <c r="C139" s="208" t="str">
        <f>"Plus Common Use AC Facilities (line "&amp;A149&amp;")"</f>
        <v>Plus Common Use AC Facilities (line 107)</v>
      </c>
      <c r="D139" s="190"/>
      <c r="E139" s="181"/>
      <c r="F139" s="181"/>
      <c r="G139" s="181"/>
      <c r="H139" s="191"/>
      <c r="I139" s="181"/>
      <c r="J139" s="181">
        <f>+J149</f>
        <v>9970779.4549999982</v>
      </c>
      <c r="K139" s="18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>
      <c r="A140" s="196">
        <f t="shared" si="5"/>
        <v>98</v>
      </c>
      <c r="B140" s="186"/>
      <c r="C140" s="208" t="str">
        <f>"Total Gross Plant for the CUS System (line "&amp;A138&amp;" plus line "&amp;A139&amp;")"</f>
        <v>Total Gross Plant for the CUS System (line 96 plus line 97)</v>
      </c>
      <c r="D140" s="190"/>
      <c r="E140" s="181"/>
      <c r="F140" s="181"/>
      <c r="G140" s="181"/>
      <c r="H140" s="191"/>
      <c r="I140" s="181"/>
      <c r="J140" s="211">
        <f>SUM(J138:J139)</f>
        <v>113922925.54347925</v>
      </c>
      <c r="K140" s="18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>
      <c r="A141" s="196">
        <f t="shared" si="5"/>
        <v>99</v>
      </c>
      <c r="B141" s="186"/>
      <c r="C141" s="208" t="str">
        <f>"Total CUS Plant (line "&amp;A135&amp;" plus line "&amp;A149&amp;")"</f>
        <v>Total CUS Plant (line 93 plus line 107)</v>
      </c>
      <c r="D141" s="190"/>
      <c r="E141" s="181"/>
      <c r="F141" s="181"/>
      <c r="G141" s="181"/>
      <c r="H141" s="191"/>
      <c r="I141" s="181"/>
      <c r="J141" s="193">
        <f>+J135+J149</f>
        <v>139829794.73576924</v>
      </c>
      <c r="K141" s="18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>
      <c r="A142" s="196">
        <f t="shared" si="5"/>
        <v>100</v>
      </c>
      <c r="B142" s="186"/>
      <c r="C142" s="186"/>
      <c r="D142" s="190"/>
      <c r="E142" s="181"/>
      <c r="F142" s="181"/>
      <c r="G142" s="181"/>
      <c r="H142" s="191"/>
      <c r="I142" s="181"/>
      <c r="J142" s="186"/>
      <c r="K142" s="18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>
      <c r="A143" s="196">
        <f t="shared" si="5"/>
        <v>101</v>
      </c>
      <c r="B143" s="186"/>
      <c r="C143" s="208" t="str">
        <f>"Percentage of transmission plant included in Common Use Facilities (line "&amp;A140&amp;" divided by line "&amp;A141&amp;")"</f>
        <v>Percentage of transmission plant included in Common Use Facilities (line 98 divided by line 99)</v>
      </c>
      <c r="D143" s="212"/>
      <c r="E143" s="213"/>
      <c r="F143" s="213"/>
      <c r="G143" s="213"/>
      <c r="H143" s="214"/>
      <c r="I143" s="181" t="s">
        <v>244</v>
      </c>
      <c r="J143" s="215">
        <f>ROUND(IF(J141&gt;0,J140/J141,0),6)</f>
        <v>0.81472599999999995</v>
      </c>
      <c r="K143" s="18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>
      <c r="A144" s="196">
        <f t="shared" si="5"/>
        <v>102</v>
      </c>
      <c r="B144" s="186"/>
      <c r="C144" s="186"/>
      <c r="D144" s="186"/>
      <c r="E144" s="186"/>
      <c r="F144" s="186"/>
      <c r="G144" s="186"/>
      <c r="H144" s="186"/>
      <c r="I144" s="186"/>
      <c r="J144" s="186"/>
      <c r="K144" s="18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5.75" thickBot="1">
      <c r="A145" s="196">
        <f t="shared" si="5"/>
        <v>103</v>
      </c>
      <c r="B145" s="186"/>
      <c r="C145" s="207" t="s">
        <v>103</v>
      </c>
      <c r="D145" s="190"/>
      <c r="E145" s="183" t="s">
        <v>0</v>
      </c>
      <c r="F145" s="190"/>
      <c r="G145" s="190"/>
      <c r="H145" s="190"/>
      <c r="I145" s="190"/>
      <c r="J145" s="190"/>
      <c r="K145" s="186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>
      <c r="A146" s="196">
        <f t="shared" si="5"/>
        <v>104</v>
      </c>
      <c r="B146" s="186"/>
      <c r="C146" s="208" t="s">
        <v>104</v>
      </c>
      <c r="D146" s="190"/>
      <c r="E146" s="321" t="str">
        <f>"Column (3) line "&amp;A17&amp;""</f>
        <v>Column (3) line 3</v>
      </c>
      <c r="F146" s="181"/>
      <c r="G146" s="181"/>
      <c r="H146" s="181"/>
      <c r="I146" s="181"/>
      <c r="J146" s="181">
        <f>+E17</f>
        <v>358360234.83846152</v>
      </c>
      <c r="K146" s="186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>
      <c r="A147" s="196">
        <f t="shared" si="5"/>
        <v>105</v>
      </c>
      <c r="B147" s="186"/>
      <c r="C147" s="208" t="s">
        <v>107</v>
      </c>
      <c r="D147" s="186"/>
      <c r="E147" s="186" t="s">
        <v>170</v>
      </c>
      <c r="F147" s="186"/>
      <c r="G147" s="186"/>
      <c r="H147" s="186"/>
      <c r="I147" s="186"/>
      <c r="J147" s="181">
        <f>+J146-J149</f>
        <v>348389455.38346153</v>
      </c>
      <c r="K147" s="186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5.75" thickBot="1">
      <c r="A148" s="196">
        <f t="shared" si="5"/>
        <v>106</v>
      </c>
      <c r="B148" s="186"/>
      <c r="C148" s="209" t="s">
        <v>108</v>
      </c>
      <c r="D148" s="210"/>
      <c r="E148" s="183" t="s">
        <v>170</v>
      </c>
      <c r="F148" s="181"/>
      <c r="G148" s="181"/>
      <c r="H148" s="191"/>
      <c r="I148" s="181"/>
      <c r="J148" s="22">
        <v>0</v>
      </c>
      <c r="K148" s="186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>
      <c r="A149" s="196">
        <f t="shared" si="5"/>
        <v>107</v>
      </c>
      <c r="B149" s="186"/>
      <c r="C149" s="208" t="str">
        <f>"Common Use AC Facilities (line "&amp;A146&amp;" less lines "&amp;A147&amp;" &amp; "&amp;A148&amp;")"</f>
        <v>Common Use AC Facilities (line 104 less lines 105 &amp; 106)</v>
      </c>
      <c r="D149" s="190"/>
      <c r="E149" s="181"/>
      <c r="F149" s="181"/>
      <c r="G149" s="181"/>
      <c r="H149" s="191"/>
      <c r="I149" s="181"/>
      <c r="J149" s="16">
        <v>9970779.4549999982</v>
      </c>
      <c r="K149" s="186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>
      <c r="A150" s="196">
        <f t="shared" si="5"/>
        <v>108</v>
      </c>
      <c r="B150" s="186"/>
      <c r="C150" s="186"/>
      <c r="D150" s="190"/>
      <c r="E150" s="181"/>
      <c r="F150" s="181"/>
      <c r="G150" s="181"/>
      <c r="H150" s="191"/>
      <c r="I150" s="181"/>
      <c r="J150" s="186"/>
      <c r="K150" s="186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>
      <c r="A151" s="196">
        <f t="shared" si="5"/>
        <v>109</v>
      </c>
      <c r="B151" s="186"/>
      <c r="C151" s="208" t="str">
        <f>"Percentage of distribution plant included in Common Use Facilities (line "&amp;A146&amp;" divided by line "&amp;A149&amp;")"</f>
        <v>Percentage of distribution plant included in Common Use Facilities (line 104 divided by line 107)</v>
      </c>
      <c r="D151" s="212"/>
      <c r="E151" s="213"/>
      <c r="F151" s="213"/>
      <c r="G151" s="213"/>
      <c r="H151" s="214"/>
      <c r="I151" s="181" t="s">
        <v>106</v>
      </c>
      <c r="J151" s="215">
        <f>ROUND(IF(J146&gt;0,J149/J146,0),6)</f>
        <v>2.7823000000000001E-2</v>
      </c>
      <c r="K151" s="186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>
      <c r="A152" s="196">
        <f t="shared" si="5"/>
        <v>110</v>
      </c>
      <c r="B152" s="186"/>
      <c r="C152" s="186"/>
      <c r="D152" s="190"/>
      <c r="E152" s="181"/>
      <c r="F152" s="181"/>
      <c r="G152" s="181"/>
      <c r="H152" s="191"/>
      <c r="I152" s="181"/>
      <c r="J152" s="186"/>
      <c r="K152" s="186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5.75" thickBot="1">
      <c r="A153" s="196">
        <f t="shared" si="5"/>
        <v>111</v>
      </c>
      <c r="B153" s="186"/>
      <c r="C153" s="207" t="s">
        <v>222</v>
      </c>
      <c r="D153" s="190"/>
      <c r="E153" s="183" t="s">
        <v>0</v>
      </c>
      <c r="F153" s="181"/>
      <c r="G153" s="181"/>
      <c r="H153" s="191"/>
      <c r="I153" s="181"/>
      <c r="J153" s="181"/>
      <c r="K153" s="186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>
      <c r="A154" s="196">
        <f t="shared" si="5"/>
        <v>112</v>
      </c>
      <c r="B154" s="186"/>
      <c r="C154" s="186" t="s">
        <v>78</v>
      </c>
      <c r="D154" s="190"/>
      <c r="E154" s="321" t="str">
        <f>"Column (3) line "&amp;A26&amp;""</f>
        <v>Column (3) line 12</v>
      </c>
      <c r="F154" s="181"/>
      <c r="G154" s="181"/>
      <c r="H154" s="191"/>
      <c r="I154" s="181"/>
      <c r="J154" s="181">
        <f>+E26</f>
        <v>39878343.854708783</v>
      </c>
      <c r="K154" s="186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>
      <c r="A155" s="196">
        <f t="shared" si="5"/>
        <v>113</v>
      </c>
      <c r="B155" s="186"/>
      <c r="C155" s="208" t="s">
        <v>406</v>
      </c>
      <c r="D155" s="190"/>
      <c r="E155" s="181" t="s">
        <v>170</v>
      </c>
      <c r="F155" s="181"/>
      <c r="G155" s="181"/>
      <c r="H155" s="191"/>
      <c r="I155" s="181"/>
      <c r="J155" s="16">
        <v>7936561.6246548072</v>
      </c>
      <c r="K155" s="186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>
      <c r="A156" s="196">
        <f t="shared" si="5"/>
        <v>114</v>
      </c>
      <c r="B156" s="186"/>
      <c r="C156" s="216" t="str">
        <f>"Total Transmission Accumulated Depreciation included in Common Use Facilities (line "&amp;A154&amp;" - line "&amp;A155&amp;")"</f>
        <v>Total Transmission Accumulated Depreciation included in Common Use Facilities (line 112 - line 113)</v>
      </c>
      <c r="D156" s="217"/>
      <c r="E156" s="211"/>
      <c r="F156" s="181"/>
      <c r="G156" s="181"/>
      <c r="H156" s="191"/>
      <c r="I156" s="181"/>
      <c r="J156" s="211">
        <f>J154-J155</f>
        <v>31941782.230053976</v>
      </c>
      <c r="K156" s="186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>
      <c r="A157" s="196">
        <f t="shared" si="5"/>
        <v>115</v>
      </c>
      <c r="B157" s="186"/>
      <c r="C157" s="208" t="str">
        <f>"Plus Common Use AC Facilities Accumulated Depreciation (line "&amp;A166&amp;")"</f>
        <v>Plus Common Use AC Facilities Accumulated Depreciation (line 124)</v>
      </c>
      <c r="D157" s="218"/>
      <c r="E157" s="193"/>
      <c r="F157" s="181"/>
      <c r="G157" s="181"/>
      <c r="H157" s="191"/>
      <c r="I157" s="181"/>
      <c r="J157" s="193">
        <f>+J166</f>
        <v>3311898.5399999996</v>
      </c>
      <c r="K157" s="186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>
      <c r="A158" s="196">
        <f t="shared" si="5"/>
        <v>116</v>
      </c>
      <c r="B158" s="186"/>
      <c r="C158" s="208" t="str">
        <f>"Total Accumulated Depreciation for the CUS System (line "&amp;A156&amp;" plus line "&amp;A157&amp;")"</f>
        <v>Total Accumulated Depreciation for the CUS System (line 114 plus line 115)</v>
      </c>
      <c r="D158" s="218"/>
      <c r="E158" s="193"/>
      <c r="F158" s="181"/>
      <c r="G158" s="181"/>
      <c r="H158" s="191"/>
      <c r="I158" s="181"/>
      <c r="J158" s="211">
        <f>SUM(J156:J157)</f>
        <v>35253680.770053975</v>
      </c>
      <c r="K158" s="186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>
      <c r="A159" s="196">
        <f t="shared" si="5"/>
        <v>117</v>
      </c>
      <c r="B159" s="186"/>
      <c r="C159" s="208" t="str">
        <f>"Total CUS Accumulated Depreciation (line "&amp;A154&amp;" plus line "&amp;A157&amp;")"</f>
        <v>Total CUS Accumulated Depreciation (line 112 plus line 115)</v>
      </c>
      <c r="D159" s="218"/>
      <c r="E159" s="193"/>
      <c r="F159" s="181"/>
      <c r="G159" s="181"/>
      <c r="H159" s="191"/>
      <c r="I159" s="181"/>
      <c r="J159" s="193">
        <f>+J154+J157</f>
        <v>43190242.394708782</v>
      </c>
      <c r="K159" s="186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>
      <c r="A160" s="196">
        <f t="shared" si="5"/>
        <v>118</v>
      </c>
      <c r="B160" s="186"/>
      <c r="C160" s="186"/>
      <c r="D160" s="190"/>
      <c r="E160" s="181"/>
      <c r="F160" s="181"/>
      <c r="G160" s="181"/>
      <c r="H160" s="191"/>
      <c r="I160" s="181"/>
      <c r="J160" s="181"/>
      <c r="K160" s="186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>
      <c r="A161" s="196">
        <f t="shared" si="5"/>
        <v>119</v>
      </c>
      <c r="B161" s="186"/>
      <c r="C161" s="208" t="str">
        <f>"Percentage of transmission plant accumulated depreciation included in Common Use Facilities (line "&amp;A158&amp;" divided by line "&amp;A159&amp;")"</f>
        <v>Percentage of transmission plant accumulated depreciation included in Common Use Facilities (line 116 divided by line 117)</v>
      </c>
      <c r="D161" s="190"/>
      <c r="E161" s="181"/>
      <c r="F161" s="181"/>
      <c r="G161" s="181"/>
      <c r="H161" s="191"/>
      <c r="I161" s="181" t="s">
        <v>79</v>
      </c>
      <c r="J161" s="215">
        <f>ROUND(IF(J159&gt;0,J158/J159,0),6)</f>
        <v>0.81624200000000002</v>
      </c>
      <c r="K161" s="186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>
      <c r="A162" s="196">
        <f t="shared" si="5"/>
        <v>120</v>
      </c>
      <c r="B162" s="186"/>
      <c r="C162" s="186"/>
      <c r="D162" s="190"/>
      <c r="E162" s="181"/>
      <c r="F162" s="181"/>
      <c r="G162" s="181"/>
      <c r="H162" s="191"/>
      <c r="I162" s="181"/>
      <c r="J162" s="181"/>
      <c r="K162" s="186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5.75" thickBot="1">
      <c r="A163" s="196">
        <f t="shared" si="5"/>
        <v>121</v>
      </c>
      <c r="B163" s="186"/>
      <c r="C163" s="186"/>
      <c r="D163" s="190"/>
      <c r="E163" s="183" t="s">
        <v>0</v>
      </c>
      <c r="F163" s="181"/>
      <c r="G163" s="181"/>
      <c r="H163" s="191"/>
      <c r="I163" s="181"/>
      <c r="J163" s="181"/>
      <c r="K163" s="186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>
      <c r="A164" s="196">
        <f t="shared" si="5"/>
        <v>122</v>
      </c>
      <c r="B164" s="186"/>
      <c r="C164" s="186" t="s">
        <v>81</v>
      </c>
      <c r="D164" s="190"/>
      <c r="E164" s="321" t="str">
        <f>"Column (3) line "&amp;A27&amp;""</f>
        <v>Column (3) line 13</v>
      </c>
      <c r="F164" s="181"/>
      <c r="G164" s="181"/>
      <c r="H164" s="191"/>
      <c r="I164" s="181"/>
      <c r="J164" s="181">
        <f>+E27</f>
        <v>122639474.45682839</v>
      </c>
      <c r="K164" s="186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>
      <c r="A165" s="196">
        <f t="shared" si="5"/>
        <v>123</v>
      </c>
      <c r="B165" s="186"/>
      <c r="C165" s="186" t="s">
        <v>171</v>
      </c>
      <c r="D165" s="190"/>
      <c r="E165" s="181"/>
      <c r="F165" s="181"/>
      <c r="G165" s="181"/>
      <c r="H165" s="191"/>
      <c r="I165" s="181"/>
      <c r="J165" s="181">
        <f>+J164-J166</f>
        <v>119327575.91682838</v>
      </c>
      <c r="K165" s="186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>
      <c r="A166" s="196">
        <f t="shared" si="5"/>
        <v>124</v>
      </c>
      <c r="B166" s="186"/>
      <c r="C166" s="219" t="str">
        <f>"Common Use AC Facilities (line "&amp;A164&amp;" less line "&amp;A165&amp;")"</f>
        <v>Common Use AC Facilities (line 122 less line 123)</v>
      </c>
      <c r="D166" s="217"/>
      <c r="E166" s="211"/>
      <c r="F166" s="181"/>
      <c r="G166" s="181"/>
      <c r="H166" s="191"/>
      <c r="I166" s="181"/>
      <c r="J166" s="346">
        <v>3311898.5399999996</v>
      </c>
      <c r="K166" s="186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>
      <c r="A167" s="196">
        <f t="shared" si="5"/>
        <v>125</v>
      </c>
      <c r="B167" s="186"/>
      <c r="C167" s="186"/>
      <c r="D167" s="190"/>
      <c r="E167" s="181"/>
      <c r="F167" s="181"/>
      <c r="G167" s="181"/>
      <c r="H167" s="191"/>
      <c r="I167" s="181"/>
      <c r="J167" s="181"/>
      <c r="K167" s="186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>
      <c r="A168" s="196">
        <f t="shared" si="5"/>
        <v>126</v>
      </c>
      <c r="B168" s="186"/>
      <c r="C168" s="208" t="str">
        <f>"Percentage of distribution plant accumulated depreciation included in Common Use Facilities (line "&amp;A166&amp;" divided by line "&amp;A164&amp;")"</f>
        <v>Percentage of distribution plant accumulated depreciation included in Common Use Facilities (line 124 divided by line 122)</v>
      </c>
      <c r="D168" s="190"/>
      <c r="E168" s="181"/>
      <c r="F168" s="181"/>
      <c r="G168" s="181"/>
      <c r="H168" s="191"/>
      <c r="I168" s="181" t="s">
        <v>82</v>
      </c>
      <c r="J168" s="215">
        <f>ROUND(IF(J164&gt;0,J166/J164,0),6)</f>
        <v>2.7005000000000001E-2</v>
      </c>
      <c r="K168" s="186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>
      <c r="A169" s="196">
        <f t="shared" si="5"/>
        <v>127</v>
      </c>
      <c r="B169" s="186"/>
      <c r="C169" s="186"/>
      <c r="D169" s="190"/>
      <c r="E169" s="181"/>
      <c r="F169" s="181"/>
      <c r="G169" s="181"/>
      <c r="H169" s="191"/>
      <c r="I169" s="181"/>
      <c r="J169" s="181"/>
      <c r="K169" s="186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>
      <c r="A170" s="196">
        <f t="shared" si="5"/>
        <v>128</v>
      </c>
      <c r="B170" s="186"/>
      <c r="C170" s="200" t="s">
        <v>245</v>
      </c>
      <c r="D170" s="181"/>
      <c r="E170" s="181"/>
      <c r="F170" s="181"/>
      <c r="G170" s="181"/>
      <c r="H170" s="181"/>
      <c r="I170" s="181"/>
      <c r="J170" s="181"/>
      <c r="K170" s="18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5.75" thickBot="1">
      <c r="A171" s="196">
        <f t="shared" si="5"/>
        <v>129</v>
      </c>
      <c r="B171" s="186"/>
      <c r="C171" s="200"/>
      <c r="D171" s="183" t="s">
        <v>246</v>
      </c>
      <c r="E171" s="220" t="s">
        <v>247</v>
      </c>
      <c r="F171" s="220" t="s">
        <v>200</v>
      </c>
      <c r="G171" s="181"/>
      <c r="H171" s="220" t="s">
        <v>248</v>
      </c>
      <c r="I171" s="193"/>
      <c r="J171" s="221"/>
      <c r="K171" s="18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>
      <c r="A172" s="196">
        <f t="shared" si="5"/>
        <v>130</v>
      </c>
      <c r="B172" s="186"/>
      <c r="C172" s="200" t="s">
        <v>215</v>
      </c>
      <c r="D172" s="181" t="s">
        <v>127</v>
      </c>
      <c r="E172" s="16">
        <v>1749139</v>
      </c>
      <c r="F172" s="222">
        <f>+J143</f>
        <v>0.81472599999999995</v>
      </c>
      <c r="G172" s="186"/>
      <c r="H172" s="181">
        <f>E172*F172</f>
        <v>1425069.020914</v>
      </c>
      <c r="I172" s="193"/>
      <c r="J172" s="223"/>
      <c r="K172" s="18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>
      <c r="A173" s="196">
        <f t="shared" si="5"/>
        <v>131</v>
      </c>
      <c r="B173" s="186"/>
      <c r="C173" s="200" t="s">
        <v>141</v>
      </c>
      <c r="D173" s="181" t="s">
        <v>142</v>
      </c>
      <c r="E173" s="16">
        <v>19674611</v>
      </c>
      <c r="F173" s="222">
        <v>0</v>
      </c>
      <c r="G173" s="222"/>
      <c r="H173" s="181">
        <f>E173*F173</f>
        <v>0</v>
      </c>
      <c r="I173" s="193"/>
      <c r="J173" s="221" t="s">
        <v>249</v>
      </c>
      <c r="K173" s="18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5.75" thickBot="1">
      <c r="A174" s="196">
        <f t="shared" si="5"/>
        <v>132</v>
      </c>
      <c r="B174" s="186"/>
      <c r="C174" s="200" t="s">
        <v>143</v>
      </c>
      <c r="D174" s="181" t="s">
        <v>144</v>
      </c>
      <c r="E174" s="22">
        <v>-6826816</v>
      </c>
      <c r="F174" s="222">
        <v>0</v>
      </c>
      <c r="G174" s="222"/>
      <c r="H174" s="183">
        <f>E174*F174</f>
        <v>0</v>
      </c>
      <c r="I174" s="193"/>
      <c r="J174" s="206" t="s">
        <v>250</v>
      </c>
      <c r="K174" s="18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>
      <c r="A175" s="196">
        <f t="shared" si="5"/>
        <v>133</v>
      </c>
      <c r="B175" s="186"/>
      <c r="C175" s="200" t="str">
        <f>"  Adjusted Total  (sum lines "&amp;A173&amp;"-"&amp;A174&amp;")"</f>
        <v xml:space="preserve">  Adjusted Total  (sum lines 131-132)</v>
      </c>
      <c r="D175" s="181"/>
      <c r="E175" s="181">
        <f>SUM(E173:E174)</f>
        <v>12847795</v>
      </c>
      <c r="F175" s="181"/>
      <c r="G175" s="186"/>
      <c r="H175" s="181">
        <f>SUM(H172:H174)</f>
        <v>1425069.020914</v>
      </c>
      <c r="I175" s="181" t="s">
        <v>92</v>
      </c>
      <c r="J175" s="180">
        <f>IF(E175&gt;0,+H175/E175,0)</f>
        <v>0.11091934615348392</v>
      </c>
      <c r="K175" s="19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>
      <c r="A176" s="196">
        <f t="shared" si="5"/>
        <v>134</v>
      </c>
      <c r="B176" s="186"/>
      <c r="C176" s="200"/>
      <c r="D176" s="181"/>
      <c r="E176" s="181"/>
      <c r="F176" s="181"/>
      <c r="G176" s="181"/>
      <c r="H176" s="181"/>
      <c r="I176" s="181"/>
      <c r="J176" s="181"/>
      <c r="K176" s="18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>
      <c r="A177" s="196">
        <f t="shared" si="5"/>
        <v>135</v>
      </c>
      <c r="B177" s="186"/>
      <c r="C177" s="200" t="s">
        <v>128</v>
      </c>
      <c r="D177" s="181"/>
      <c r="E177" s="181"/>
      <c r="F177" s="181"/>
      <c r="G177" s="181"/>
      <c r="H177" s="181"/>
      <c r="I177" s="181"/>
      <c r="J177" s="181"/>
      <c r="K177" s="18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5.75" thickBot="1">
      <c r="A178" s="196">
        <f t="shared" si="5"/>
        <v>136</v>
      </c>
      <c r="B178" s="186"/>
      <c r="C178" s="200"/>
      <c r="D178" s="181"/>
      <c r="E178" s="220" t="s">
        <v>247</v>
      </c>
      <c r="F178" s="220" t="s">
        <v>254</v>
      </c>
      <c r="G178" s="203" t="s">
        <v>200</v>
      </c>
      <c r="H178" s="224" t="s">
        <v>131</v>
      </c>
      <c r="I178" s="198"/>
      <c r="J178" s="184"/>
      <c r="K178" s="186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>
      <c r="A179" s="196">
        <f t="shared" si="5"/>
        <v>137</v>
      </c>
      <c r="B179" s="186"/>
      <c r="C179" s="200" t="s">
        <v>129</v>
      </c>
      <c r="D179" s="343" t="s">
        <v>452</v>
      </c>
      <c r="E179" s="316">
        <f>J135-J154</f>
        <v>89980671.426060468</v>
      </c>
      <c r="F179" s="225">
        <f>IF(E181&gt;0,+E179/E181,0)</f>
        <v>0.2762673499058747</v>
      </c>
      <c r="G179" s="226">
        <f>+J143</f>
        <v>0.81472599999999995</v>
      </c>
      <c r="H179" s="227">
        <f>IF(F179&gt;0,+G179*F179,0)</f>
        <v>0.22508219291941367</v>
      </c>
      <c r="I179" s="228"/>
      <c r="J179" s="196"/>
      <c r="K179" s="18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>
      <c r="A180" s="196">
        <f t="shared" si="5"/>
        <v>138</v>
      </c>
      <c r="B180" s="186"/>
      <c r="C180" s="200" t="s">
        <v>130</v>
      </c>
      <c r="D180" s="343" t="s">
        <v>453</v>
      </c>
      <c r="E180" s="316">
        <f>J146-J164</f>
        <v>235720760.38163313</v>
      </c>
      <c r="F180" s="225">
        <f>IF(E181&gt;0,+E180/E181,0)</f>
        <v>0.72373265009412535</v>
      </c>
      <c r="G180" s="186"/>
      <c r="H180" s="195"/>
      <c r="I180" s="191"/>
      <c r="J180" s="195"/>
      <c r="K180" s="198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>
      <c r="A181" s="196">
        <f t="shared" si="5"/>
        <v>139</v>
      </c>
      <c r="B181" s="186"/>
      <c r="C181" s="200" t="str">
        <f>"  Total  (sum lines "&amp;A179&amp;" - "&amp;A180&amp;")"</f>
        <v xml:space="preserve">  Total  (sum lines 137 - 138)</v>
      </c>
      <c r="D181" s="181"/>
      <c r="E181" s="211">
        <f>SUM(E179:E180)</f>
        <v>325701431.8076936</v>
      </c>
      <c r="F181" s="229">
        <f>SUM(F179:F180)</f>
        <v>1</v>
      </c>
      <c r="G181" s="181"/>
      <c r="H181" s="181"/>
      <c r="I181" s="181" t="s">
        <v>132</v>
      </c>
      <c r="J181" s="230">
        <f>+H179</f>
        <v>0.22508219291941367</v>
      </c>
      <c r="K181" s="18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>
      <c r="A182" s="196">
        <f t="shared" si="5"/>
        <v>140</v>
      </c>
      <c r="B182" s="186"/>
      <c r="C182" s="200"/>
      <c r="D182" s="181"/>
      <c r="E182" s="186"/>
      <c r="F182" s="181"/>
      <c r="G182" s="181"/>
      <c r="H182" s="181"/>
      <c r="I182" s="181"/>
      <c r="J182" s="230"/>
      <c r="K182" s="18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s="124" customFormat="1" ht="15.75" thickBot="1">
      <c r="A183" s="196">
        <f t="shared" si="5"/>
        <v>141</v>
      </c>
      <c r="B183" s="231"/>
      <c r="C183" s="232" t="s">
        <v>252</v>
      </c>
      <c r="D183" s="203" t="s">
        <v>246</v>
      </c>
      <c r="E183" s="181"/>
      <c r="F183" s="181"/>
      <c r="G183" s="181"/>
      <c r="H183" s="181"/>
      <c r="I183" s="181"/>
      <c r="J183" s="220" t="s">
        <v>247</v>
      </c>
      <c r="K183" s="181"/>
    </row>
    <row r="184" spans="1:40">
      <c r="A184" s="196">
        <f t="shared" si="5"/>
        <v>142</v>
      </c>
      <c r="B184" s="231"/>
      <c r="C184" s="190" t="s">
        <v>329</v>
      </c>
      <c r="D184" s="321" t="s">
        <v>454</v>
      </c>
      <c r="E184" s="181"/>
      <c r="F184" s="181"/>
      <c r="G184" s="181"/>
      <c r="H184" s="181"/>
      <c r="I184" s="181"/>
      <c r="J184" s="103">
        <v>20719991</v>
      </c>
      <c r="K184" s="18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>
      <c r="A185" s="196">
        <f t="shared" si="5"/>
        <v>143</v>
      </c>
      <c r="B185" s="233"/>
      <c r="C185" s="200"/>
      <c r="D185" s="181"/>
      <c r="E185" s="181"/>
      <c r="F185" s="181"/>
      <c r="G185" s="181"/>
      <c r="H185" s="181"/>
      <c r="I185" s="181"/>
      <c r="J185" s="181"/>
      <c r="K185" s="18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>
      <c r="A186" s="196">
        <f t="shared" si="5"/>
        <v>144</v>
      </c>
      <c r="B186" s="231"/>
      <c r="C186" s="200" t="s">
        <v>330</v>
      </c>
      <c r="D186" s="181" t="s">
        <v>331</v>
      </c>
      <c r="E186" s="181"/>
      <c r="F186" s="181"/>
      <c r="G186" s="181"/>
      <c r="H186" s="181"/>
      <c r="I186" s="181"/>
      <c r="J186" s="103">
        <v>0</v>
      </c>
      <c r="K186" s="18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>
      <c r="A187" s="196">
        <f t="shared" si="5"/>
        <v>145</v>
      </c>
      <c r="B187" s="231"/>
      <c r="C187" s="200"/>
      <c r="D187" s="181"/>
      <c r="E187" s="181"/>
      <c r="F187" s="181"/>
      <c r="G187" s="181"/>
      <c r="H187" s="181"/>
      <c r="I187" s="181"/>
      <c r="J187" s="181"/>
      <c r="K187" s="18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>
      <c r="A188" s="196">
        <f t="shared" si="5"/>
        <v>146</v>
      </c>
      <c r="B188" s="231"/>
      <c r="C188" s="232" t="s">
        <v>332</v>
      </c>
      <c r="D188" s="203" t="s">
        <v>246</v>
      </c>
      <c r="E188" s="181"/>
      <c r="F188" s="181"/>
      <c r="G188" s="181"/>
      <c r="H188" s="181"/>
      <c r="I188" s="181"/>
      <c r="J188" s="181"/>
      <c r="K188" s="18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>
      <c r="A189" s="196">
        <f t="shared" si="5"/>
        <v>147</v>
      </c>
      <c r="B189" s="231"/>
      <c r="C189" s="200" t="s">
        <v>22</v>
      </c>
      <c r="D189" s="181" t="s">
        <v>333</v>
      </c>
      <c r="E189" s="190"/>
      <c r="F189" s="181"/>
      <c r="G189" s="181"/>
      <c r="H189" s="181"/>
      <c r="I189" s="181"/>
      <c r="J189" s="363">
        <v>384458642</v>
      </c>
      <c r="K189" s="181"/>
      <c r="L189" s="337" t="s">
        <v>463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>
      <c r="A190" s="196">
        <f t="shared" si="5"/>
        <v>148</v>
      </c>
      <c r="B190" s="231"/>
      <c r="C190" s="200" t="s">
        <v>334</v>
      </c>
      <c r="D190" s="181" t="s">
        <v>335</v>
      </c>
      <c r="E190" s="181"/>
      <c r="F190" s="181"/>
      <c r="G190" s="181"/>
      <c r="H190" s="181"/>
      <c r="I190" s="181"/>
      <c r="J190" s="103">
        <v>0</v>
      </c>
      <c r="K190" s="18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>
      <c r="A191" s="196">
        <f t="shared" si="5"/>
        <v>149</v>
      </c>
      <c r="B191" s="231"/>
      <c r="C191" s="200" t="s">
        <v>336</v>
      </c>
      <c r="D191" s="181" t="s">
        <v>337</v>
      </c>
      <c r="E191" s="181"/>
      <c r="F191" s="181"/>
      <c r="G191" s="181"/>
      <c r="H191" s="181"/>
      <c r="I191" s="181"/>
      <c r="J191" s="154">
        <v>0</v>
      </c>
      <c r="K191" s="18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5.75" thickBot="1">
      <c r="A192" s="196">
        <f t="shared" si="5"/>
        <v>150</v>
      </c>
      <c r="B192" s="231"/>
      <c r="C192" s="200" t="s">
        <v>338</v>
      </c>
      <c r="D192" s="181" t="s">
        <v>339</v>
      </c>
      <c r="E192" s="181"/>
      <c r="F192" s="181"/>
      <c r="G192" s="181"/>
      <c r="H192" s="181"/>
      <c r="I192" s="181"/>
      <c r="J192" s="347">
        <v>1262188</v>
      </c>
      <c r="K192" s="18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>
      <c r="A193" s="196">
        <f t="shared" si="5"/>
        <v>151</v>
      </c>
      <c r="B193" s="231"/>
      <c r="C193" s="234" t="s">
        <v>340</v>
      </c>
      <c r="D193" s="181"/>
      <c r="E193" s="190" t="str">
        <f>"(sum lines "&amp;A189&amp;"-"&amp;A192&amp;")"</f>
        <v>(sum lines 147-150)</v>
      </c>
      <c r="F193" s="190"/>
      <c r="G193" s="190"/>
      <c r="H193" s="190"/>
      <c r="I193" s="190"/>
      <c r="J193" s="185">
        <f>SUM(J189:J192)</f>
        <v>385720830</v>
      </c>
      <c r="K193" s="18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>
      <c r="A194" s="196">
        <f t="shared" si="5"/>
        <v>152</v>
      </c>
      <c r="B194" s="186"/>
      <c r="C194" s="200"/>
      <c r="D194" s="181"/>
      <c r="E194" s="181"/>
      <c r="F194" s="181"/>
      <c r="G194" s="181"/>
      <c r="H194" s="191"/>
      <c r="I194" s="181"/>
      <c r="J194" s="181"/>
      <c r="K194" s="18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5.75" thickBot="1">
      <c r="A195" s="196">
        <f t="shared" si="5"/>
        <v>153</v>
      </c>
      <c r="B195" s="186"/>
      <c r="C195" s="200"/>
      <c r="D195" s="22" t="s">
        <v>246</v>
      </c>
      <c r="E195" s="276" t="s">
        <v>247</v>
      </c>
      <c r="F195" s="206" t="s">
        <v>254</v>
      </c>
      <c r="G195" s="181"/>
      <c r="H195" s="206" t="s">
        <v>253</v>
      </c>
      <c r="I195" s="181"/>
      <c r="J195" s="206" t="s">
        <v>255</v>
      </c>
      <c r="K195" s="18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>
      <c r="A196" s="196">
        <f t="shared" si="5"/>
        <v>154</v>
      </c>
      <c r="B196" s="186"/>
      <c r="C196" s="207" t="s">
        <v>327</v>
      </c>
      <c r="D196" s="107" t="s">
        <v>391</v>
      </c>
      <c r="E196" s="16">
        <v>342760470</v>
      </c>
      <c r="F196" s="348">
        <v>0.43</v>
      </c>
      <c r="G196" s="236"/>
      <c r="H196" s="225">
        <f>IF(E196&gt;0,+J184/E196,0)</f>
        <v>6.0450351815657152E-2</v>
      </c>
      <c r="I196" s="186"/>
      <c r="J196" s="225">
        <f>H196*F196</f>
        <v>2.5993651280732576E-2</v>
      </c>
      <c r="K196" s="237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>
      <c r="A197" s="196">
        <f t="shared" si="5"/>
        <v>155</v>
      </c>
      <c r="B197" s="186"/>
      <c r="C197" s="207" t="s">
        <v>328</v>
      </c>
      <c r="D197" s="238" t="s">
        <v>335</v>
      </c>
      <c r="E197" s="16"/>
      <c r="F197" s="235">
        <f>IF($E$199&gt;0,E197/$E$199,0)</f>
        <v>0</v>
      </c>
      <c r="G197" s="236"/>
      <c r="H197" s="225">
        <f>IF(E197&gt;0,J186/E197,0)</f>
        <v>0</v>
      </c>
      <c r="I197" s="186"/>
      <c r="J197" s="225">
        <f>H197*F197</f>
        <v>0</v>
      </c>
      <c r="K197" s="18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5.75" thickBot="1">
      <c r="A198" s="196">
        <f t="shared" si="5"/>
        <v>156</v>
      </c>
      <c r="B198" s="186"/>
      <c r="C198" s="234" t="s">
        <v>341</v>
      </c>
      <c r="D198" s="238" t="str">
        <f>"(see above line "&amp;A193&amp;")"</f>
        <v>(see above line 151)</v>
      </c>
      <c r="E198" s="183">
        <f>+J193</f>
        <v>385720830</v>
      </c>
      <c r="F198" s="348">
        <v>0.56999999999999995</v>
      </c>
      <c r="G198" s="186" t="s">
        <v>172</v>
      </c>
      <c r="H198" s="349">
        <v>0.108</v>
      </c>
      <c r="I198" s="186" t="s">
        <v>172</v>
      </c>
      <c r="J198" s="239">
        <f>H198*F198</f>
        <v>6.1559999999999997E-2</v>
      </c>
      <c r="K198" s="18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>
      <c r="A199" s="196">
        <f t="shared" si="5"/>
        <v>157</v>
      </c>
      <c r="B199" s="186"/>
      <c r="C199" s="200" t="str">
        <f>"Total  (sum lines "&amp;A196&amp;"-"&amp;A198&amp;")"</f>
        <v>Total  (sum lines 154-156)</v>
      </c>
      <c r="D199" s="186"/>
      <c r="E199" s="181">
        <f>E198+E197+E196</f>
        <v>728481300</v>
      </c>
      <c r="F199" s="181" t="s">
        <v>194</v>
      </c>
      <c r="G199" s="181"/>
      <c r="H199" s="181"/>
      <c r="I199" s="181" t="s">
        <v>357</v>
      </c>
      <c r="J199" s="225">
        <f>SUM(J196:J198)</f>
        <v>8.7553651280732572E-2</v>
      </c>
      <c r="K199" s="237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>
      <c r="A200" s="196"/>
      <c r="B200" s="186"/>
      <c r="C200" s="200"/>
      <c r="D200" s="186"/>
      <c r="E200" s="181"/>
      <c r="F200" s="181"/>
      <c r="G200" s="181"/>
      <c r="H200" s="181"/>
      <c r="I200" s="293" t="s">
        <v>419</v>
      </c>
      <c r="J200" s="332">
        <f>J1</f>
        <v>42886</v>
      </c>
      <c r="K200" s="237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>
      <c r="A201" s="186"/>
      <c r="B201" s="186"/>
      <c r="C201" s="186"/>
      <c r="D201" s="186"/>
      <c r="E201" s="186"/>
      <c r="F201" s="181"/>
      <c r="G201" s="181"/>
      <c r="H201" s="199"/>
      <c r="I201" s="204" t="str">
        <f>$I$2</f>
        <v>Service Year</v>
      </c>
      <c r="J201" s="190">
        <f>$J$2</f>
        <v>2016</v>
      </c>
      <c r="K201" s="199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>
      <c r="A202" s="196"/>
      <c r="B202" s="186"/>
      <c r="C202" s="200"/>
      <c r="D202" s="190"/>
      <c r="E202" s="181"/>
      <c r="F202" s="181"/>
      <c r="G202" s="181"/>
      <c r="H202" s="181"/>
      <c r="I202" s="190"/>
      <c r="J202" s="181"/>
      <c r="K202" s="190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5.75">
      <c r="A203" s="371" t="s">
        <v>321</v>
      </c>
      <c r="B203" s="371"/>
      <c r="C203" s="371"/>
      <c r="D203" s="371"/>
      <c r="E203" s="371"/>
      <c r="F203" s="371"/>
      <c r="G203" s="371"/>
      <c r="H203" s="371"/>
      <c r="I203" s="371"/>
      <c r="J203" s="371"/>
      <c r="K203" s="37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5.75">
      <c r="A204" s="372" t="s">
        <v>195</v>
      </c>
      <c r="B204" s="372"/>
      <c r="C204" s="372"/>
      <c r="D204" s="372"/>
      <c r="E204" s="372"/>
      <c r="F204" s="372"/>
      <c r="G204" s="372"/>
      <c r="H204" s="372"/>
      <c r="I204" s="372"/>
      <c r="J204" s="372"/>
      <c r="K204" s="372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>
      <c r="A205" s="186"/>
      <c r="B205" s="186"/>
      <c r="C205" s="190"/>
      <c r="D205" s="190"/>
      <c r="E205" s="199"/>
      <c r="F205" s="190"/>
      <c r="G205" s="190"/>
      <c r="H205" s="190"/>
      <c r="I205" s="190"/>
      <c r="J205" s="190"/>
      <c r="K205" s="190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5.75">
      <c r="A206" s="373" t="s">
        <v>320</v>
      </c>
      <c r="B206" s="373"/>
      <c r="C206" s="373"/>
      <c r="D206" s="373"/>
      <c r="E206" s="373"/>
      <c r="F206" s="373"/>
      <c r="G206" s="373"/>
      <c r="H206" s="373"/>
      <c r="I206" s="373"/>
      <c r="J206" s="373"/>
      <c r="K206" s="373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>
      <c r="A207" s="196"/>
      <c r="B207" s="208"/>
      <c r="C207" s="240"/>
      <c r="D207" s="196"/>
      <c r="E207" s="181"/>
      <c r="F207" s="181"/>
      <c r="G207" s="181"/>
      <c r="H207" s="181"/>
      <c r="I207" s="208"/>
      <c r="J207" s="241"/>
      <c r="K207" s="242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>
      <c r="A208" s="186"/>
      <c r="B208" s="208"/>
      <c r="C208" s="207"/>
      <c r="D208" s="196"/>
      <c r="E208" s="181"/>
      <c r="F208" s="181"/>
      <c r="G208" s="181"/>
      <c r="H208" s="181"/>
      <c r="I208" s="208"/>
      <c r="J208" s="181"/>
      <c r="K208" s="208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>
      <c r="A209" s="196"/>
      <c r="B209" s="208"/>
      <c r="C209" s="207"/>
      <c r="D209" s="196"/>
      <c r="E209" s="181"/>
      <c r="F209" s="181"/>
      <c r="G209" s="181"/>
      <c r="H209" s="181"/>
      <c r="I209" s="208"/>
      <c r="J209" s="181"/>
      <c r="K209" s="208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>
      <c r="A210" s="196"/>
      <c r="B210" s="208"/>
      <c r="C210" s="207"/>
      <c r="D210" s="196"/>
      <c r="E210" s="181"/>
      <c r="F210" s="181"/>
      <c r="G210" s="181"/>
      <c r="H210" s="181"/>
      <c r="I210" s="208"/>
      <c r="J210" s="181"/>
      <c r="K210" s="208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>
      <c r="A211" s="196" t="s">
        <v>256</v>
      </c>
      <c r="B211" s="208"/>
      <c r="C211" s="207"/>
      <c r="D211" s="208"/>
      <c r="E211" s="181"/>
      <c r="F211" s="181"/>
      <c r="G211" s="181"/>
      <c r="H211" s="181"/>
      <c r="I211" s="208"/>
      <c r="J211" s="181"/>
      <c r="K211" s="208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5.75" thickBot="1">
      <c r="A212" s="206" t="s">
        <v>257</v>
      </c>
      <c r="B212" s="208"/>
      <c r="C212" s="207"/>
      <c r="D212" s="208"/>
      <c r="E212" s="181"/>
      <c r="F212" s="181"/>
      <c r="G212" s="181"/>
      <c r="H212" s="181"/>
      <c r="I212" s="208"/>
      <c r="J212" s="181"/>
      <c r="K212" s="208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>
      <c r="A213" s="196"/>
      <c r="B213" s="208"/>
      <c r="C213" s="207"/>
      <c r="D213" s="208"/>
      <c r="E213" s="181"/>
      <c r="F213" s="181"/>
      <c r="G213" s="181"/>
      <c r="H213" s="181"/>
      <c r="I213" s="208"/>
      <c r="J213" s="181"/>
      <c r="K213" s="208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>
      <c r="A214" s="186"/>
      <c r="B214" s="186"/>
      <c r="C214" s="186"/>
      <c r="D214" s="186"/>
      <c r="E214" s="186"/>
      <c r="F214" s="186"/>
      <c r="G214" s="186"/>
      <c r="H214" s="186"/>
      <c r="I214" s="186"/>
      <c r="J214" s="208"/>
      <c r="K214" s="208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>
      <c r="A215" s="196" t="s">
        <v>258</v>
      </c>
      <c r="B215" s="208"/>
      <c r="C215" s="208" t="s">
        <v>359</v>
      </c>
      <c r="D215" s="208"/>
      <c r="E215" s="208"/>
      <c r="F215" s="208"/>
      <c r="G215" s="208"/>
      <c r="H215" s="208"/>
      <c r="I215" s="208"/>
      <c r="J215" s="208"/>
      <c r="K215" s="208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>
      <c r="A216" s="196"/>
      <c r="B216" s="208"/>
      <c r="C216" s="208" t="s">
        <v>84</v>
      </c>
      <c r="D216" s="208"/>
      <c r="E216" s="208"/>
      <c r="F216" s="208"/>
      <c r="G216" s="208"/>
      <c r="H216" s="208"/>
      <c r="I216" s="208"/>
      <c r="J216" s="208"/>
      <c r="K216" s="208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>
      <c r="A217" s="196"/>
      <c r="B217" s="208"/>
      <c r="C217" s="208" t="s">
        <v>112</v>
      </c>
      <c r="D217" s="208"/>
      <c r="E217" s="208"/>
      <c r="F217" s="208"/>
      <c r="G217" s="208"/>
      <c r="H217" s="208"/>
      <c r="I217" s="208"/>
      <c r="J217" s="208"/>
      <c r="K217" s="208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>
      <c r="A218" s="196" t="s">
        <v>259</v>
      </c>
      <c r="B218" s="208"/>
      <c r="C218" s="208" t="s">
        <v>265</v>
      </c>
      <c r="D218" s="208"/>
      <c r="E218" s="208"/>
      <c r="F218" s="208"/>
      <c r="G218" s="208"/>
      <c r="H218" s="208"/>
      <c r="I218" s="208"/>
      <c r="J218" s="208"/>
      <c r="K218" s="208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>
      <c r="A219" s="196" t="s">
        <v>260</v>
      </c>
      <c r="B219" s="208"/>
      <c r="C219" s="208" t="s">
        <v>76</v>
      </c>
      <c r="D219" s="208"/>
      <c r="E219" s="208"/>
      <c r="F219" s="208"/>
      <c r="G219" s="208"/>
      <c r="H219" s="208"/>
      <c r="I219" s="208"/>
      <c r="J219" s="208"/>
      <c r="K219" s="208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>
      <c r="A220" s="93" t="s">
        <v>261</v>
      </c>
      <c r="B220" s="20"/>
      <c r="C220" s="20" t="s">
        <v>85</v>
      </c>
      <c r="D220" s="208"/>
      <c r="E220" s="208"/>
      <c r="F220" s="208"/>
      <c r="G220" s="208"/>
      <c r="H220" s="208"/>
      <c r="I220" s="208"/>
      <c r="J220" s="208"/>
      <c r="K220" s="208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>
      <c r="A221" s="196" t="s">
        <v>262</v>
      </c>
      <c r="B221" s="208"/>
      <c r="C221" s="208" t="s">
        <v>396</v>
      </c>
      <c r="D221" s="208"/>
      <c r="E221" s="208"/>
      <c r="F221" s="208"/>
      <c r="G221" s="208"/>
      <c r="H221" s="208"/>
      <c r="I221" s="208"/>
      <c r="J221" s="208"/>
      <c r="K221" s="208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>
      <c r="A222" s="196"/>
      <c r="B222" s="208"/>
      <c r="C222" s="186" t="s">
        <v>136</v>
      </c>
      <c r="D222" s="208"/>
      <c r="E222" s="208"/>
      <c r="F222" s="208"/>
      <c r="G222" s="208"/>
      <c r="H222" s="208"/>
      <c r="I222" s="208"/>
      <c r="J222" s="208"/>
      <c r="K222" s="208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>
      <c r="A223" s="196" t="s">
        <v>263</v>
      </c>
      <c r="B223" s="208"/>
      <c r="C223" s="208" t="s">
        <v>268</v>
      </c>
      <c r="D223" s="208"/>
      <c r="E223" s="208"/>
      <c r="F223" s="208"/>
      <c r="G223" s="208"/>
      <c r="H223" s="208"/>
      <c r="I223" s="208"/>
      <c r="J223" s="208"/>
      <c r="K223" s="208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>
      <c r="A224" s="196"/>
      <c r="B224" s="208"/>
      <c r="C224" s="208" t="s">
        <v>193</v>
      </c>
      <c r="D224" s="208"/>
      <c r="E224" s="208"/>
      <c r="F224" s="208"/>
      <c r="G224" s="208"/>
      <c r="H224" s="208"/>
      <c r="I224" s="208"/>
      <c r="J224" s="208"/>
      <c r="K224" s="208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>
      <c r="A225" s="196"/>
      <c r="B225" s="208"/>
      <c r="C225" s="208" t="s">
        <v>291</v>
      </c>
      <c r="D225" s="208"/>
      <c r="E225" s="208"/>
      <c r="F225" s="208"/>
      <c r="G225" s="208"/>
      <c r="H225" s="208"/>
      <c r="I225" s="208"/>
      <c r="J225" s="208"/>
      <c r="K225" s="208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>
      <c r="A226" s="196" t="s">
        <v>264</v>
      </c>
      <c r="B226" s="208"/>
      <c r="C226" s="208" t="s">
        <v>275</v>
      </c>
      <c r="D226" s="208"/>
      <c r="E226" s="208"/>
      <c r="F226" s="208"/>
      <c r="G226" s="208"/>
      <c r="H226" s="208"/>
      <c r="I226" s="208"/>
      <c r="J226" s="208"/>
      <c r="K226" s="208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>
      <c r="A227" s="196"/>
      <c r="B227" s="208"/>
      <c r="C227" s="208" t="s">
        <v>277</v>
      </c>
      <c r="D227" s="208"/>
      <c r="E227" s="208"/>
      <c r="F227" s="208"/>
      <c r="G227" s="208"/>
      <c r="H227" s="208"/>
      <c r="I227" s="208"/>
      <c r="J227" s="208"/>
      <c r="K227" s="208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>
      <c r="A228" s="196"/>
      <c r="B228" s="208"/>
      <c r="C228" s="208" t="s">
        <v>278</v>
      </c>
      <c r="D228" s="208"/>
      <c r="E228" s="208"/>
      <c r="F228" s="208"/>
      <c r="G228" s="208"/>
      <c r="H228" s="208"/>
      <c r="I228" s="208"/>
      <c r="J228" s="208"/>
      <c r="K228" s="208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>
      <c r="A229" s="196"/>
      <c r="B229" s="208"/>
      <c r="C229" s="208" t="s">
        <v>279</v>
      </c>
      <c r="D229" s="208"/>
      <c r="E229" s="208"/>
      <c r="F229" s="208"/>
      <c r="G229" s="208"/>
      <c r="H229" s="208"/>
      <c r="I229" s="208"/>
      <c r="J229" s="208"/>
      <c r="K229" s="208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>
      <c r="A230" s="196"/>
      <c r="B230" s="208"/>
      <c r="C230" s="208" t="s">
        <v>280</v>
      </c>
      <c r="D230" s="208"/>
      <c r="E230" s="208"/>
      <c r="F230" s="208"/>
      <c r="G230" s="208"/>
      <c r="H230" s="208"/>
      <c r="I230" s="208"/>
      <c r="J230" s="208"/>
      <c r="K230" s="208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>
      <c r="A231" s="196"/>
      <c r="B231" s="208"/>
      <c r="C231" s="208" t="s">
        <v>113</v>
      </c>
      <c r="D231" s="208"/>
      <c r="E231" s="208"/>
      <c r="F231" s="208"/>
      <c r="G231" s="208"/>
      <c r="H231" s="208"/>
      <c r="I231" s="208"/>
      <c r="J231" s="208"/>
      <c r="K231" s="208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>
      <c r="A232" s="196" t="s">
        <v>194</v>
      </c>
      <c r="B232" s="208"/>
      <c r="C232" s="208" t="s">
        <v>288</v>
      </c>
      <c r="D232" s="208" t="s">
        <v>281</v>
      </c>
      <c r="E232" s="243">
        <v>0.35</v>
      </c>
      <c r="F232" s="208"/>
      <c r="G232" s="208"/>
      <c r="H232" s="208"/>
      <c r="I232" s="208"/>
      <c r="J232" s="208"/>
      <c r="K232" s="208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>
      <c r="A233" s="196"/>
      <c r="B233" s="208"/>
      <c r="C233" s="208"/>
      <c r="D233" s="208" t="s">
        <v>282</v>
      </c>
      <c r="E233" s="243">
        <v>0</v>
      </c>
      <c r="F233" s="208" t="s">
        <v>283</v>
      </c>
      <c r="G233" s="208"/>
      <c r="H233" s="208"/>
      <c r="I233" s="208"/>
      <c r="J233" s="208"/>
      <c r="K233" s="208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>
      <c r="A234" s="196"/>
      <c r="B234" s="208"/>
      <c r="C234" s="208"/>
      <c r="D234" s="208" t="s">
        <v>284</v>
      </c>
      <c r="E234" s="243">
        <v>0</v>
      </c>
      <c r="F234" s="208" t="s">
        <v>285</v>
      </c>
      <c r="G234" s="208"/>
      <c r="H234" s="208"/>
      <c r="I234" s="208"/>
      <c r="J234" s="208"/>
      <c r="K234" s="208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>
      <c r="A235" s="244" t="s">
        <v>266</v>
      </c>
      <c r="B235" s="186"/>
      <c r="C235" s="186" t="s">
        <v>72</v>
      </c>
      <c r="D235" s="186"/>
      <c r="E235" s="186"/>
      <c r="F235" s="186"/>
      <c r="G235" s="186"/>
      <c r="H235" s="186"/>
      <c r="I235" s="186"/>
      <c r="J235" s="186"/>
      <c r="K235" s="186"/>
    </row>
    <row r="236" spans="1:40">
      <c r="A236" s="199"/>
      <c r="B236" s="199"/>
      <c r="C236" s="207" t="s">
        <v>71</v>
      </c>
      <c r="D236" s="199"/>
      <c r="E236" s="199"/>
      <c r="F236" s="199"/>
      <c r="G236" s="199"/>
      <c r="H236" s="199"/>
      <c r="I236" s="199"/>
      <c r="J236" s="199"/>
      <c r="K236" s="199"/>
    </row>
    <row r="237" spans="1:40">
      <c r="A237" s="245" t="s">
        <v>267</v>
      </c>
      <c r="B237" s="199"/>
      <c r="C237" s="207" t="s">
        <v>43</v>
      </c>
      <c r="D237" s="199"/>
      <c r="E237" s="199"/>
      <c r="F237" s="199"/>
      <c r="G237" s="199"/>
      <c r="H237" s="199"/>
      <c r="I237" s="199"/>
      <c r="J237" s="199"/>
      <c r="K237" s="199"/>
    </row>
    <row r="238" spans="1:40">
      <c r="A238" s="199"/>
      <c r="B238" s="199"/>
      <c r="C238" s="199"/>
      <c r="D238" s="199"/>
      <c r="E238" s="199"/>
      <c r="F238" s="199"/>
      <c r="G238" s="199"/>
      <c r="H238" s="199"/>
      <c r="I238" s="199"/>
      <c r="J238" s="199"/>
      <c r="K238" s="199"/>
    </row>
    <row r="239" spans="1:40">
      <c r="A239" s="199"/>
      <c r="B239" s="199"/>
      <c r="C239" s="199"/>
      <c r="D239" s="199"/>
      <c r="E239" s="199"/>
      <c r="F239" s="199"/>
      <c r="G239" s="199"/>
      <c r="H239" s="199"/>
      <c r="I239" s="199"/>
      <c r="J239" s="199"/>
      <c r="K239" s="199"/>
    </row>
    <row r="240" spans="1:40">
      <c r="A240" s="199"/>
      <c r="B240" s="199"/>
      <c r="C240" s="199"/>
      <c r="D240" s="199"/>
      <c r="E240" s="199"/>
      <c r="F240" s="199"/>
      <c r="G240" s="199"/>
      <c r="H240" s="199"/>
      <c r="I240" s="199"/>
      <c r="J240" s="199"/>
      <c r="K240" s="199"/>
    </row>
  </sheetData>
  <mergeCells count="13">
    <mergeCell ref="A203:K203"/>
    <mergeCell ref="A204:K204"/>
    <mergeCell ref="A206:K206"/>
    <mergeCell ref="A130:K130"/>
    <mergeCell ref="A125:K125"/>
    <mergeCell ref="A126:K126"/>
    <mergeCell ref="A128:K128"/>
    <mergeCell ref="A4:K4"/>
    <mergeCell ref="A5:K5"/>
    <mergeCell ref="A7:K7"/>
    <mergeCell ref="A66:K66"/>
    <mergeCell ref="A67:K67"/>
    <mergeCell ref="A69:K69"/>
  </mergeCells>
  <phoneticPr fontId="21" type="noConversion"/>
  <printOptions horizontalCentered="1"/>
  <pageMargins left="0.5" right="0.5" top="0.75" bottom="0.75" header="0.5" footer="0.5"/>
  <pageSetup scale="54" fitToHeight="5" orientation="portrait" r:id="rId1"/>
  <headerFooter alignWithMargins="0">
    <oddHeader>&amp;C&amp;"Arial MT,Bold"ACTUAL SERVICE YEAR ATRR
BLACK HILLS POWER, INC.&amp;R&amp;10Page &amp;P of &amp;N</oddHeader>
    <oddFooter xml:space="preserve">&amp;L&amp;9
</oddFooter>
  </headerFooter>
  <rowBreaks count="3" manualBreakCount="3">
    <brk id="62" max="12" man="1"/>
    <brk id="121" max="10" man="1"/>
    <brk id="199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3:P77"/>
  <sheetViews>
    <sheetView zoomScaleNormal="100" zoomScalePageLayoutView="81" workbookViewId="0"/>
  </sheetViews>
  <sheetFormatPr defaultRowHeight="12.75"/>
  <cols>
    <col min="1" max="1" width="3.77734375" style="115" customWidth="1"/>
    <col min="2" max="2" width="2.5546875" style="115" customWidth="1"/>
    <col min="3" max="3" width="3" style="115" customWidth="1"/>
    <col min="4" max="4" width="2.44140625" style="115" customWidth="1"/>
    <col min="5" max="6" width="8.88671875" style="115"/>
    <col min="7" max="7" width="1.77734375" style="115" customWidth="1"/>
    <col min="8" max="11" width="8.88671875" style="115"/>
    <col min="12" max="12" width="15" style="115" customWidth="1"/>
    <col min="13" max="13" width="11.88671875" style="115" customWidth="1"/>
    <col min="14" max="14" width="10.33203125" style="115" customWidth="1"/>
    <col min="15" max="15" width="9.88671875" style="115" bestFit="1" customWidth="1"/>
    <col min="16" max="16384" width="8.88671875" style="115"/>
  </cols>
  <sheetData>
    <row r="3" spans="1:16" ht="15.75"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333"/>
      <c r="M3" s="333"/>
      <c r="N3" s="333" t="s">
        <v>419</v>
      </c>
      <c r="O3" s="335">
        <f>+'True-Up'!J1</f>
        <v>42886</v>
      </c>
      <c r="P3" s="150"/>
    </row>
    <row r="4" spans="1:16">
      <c r="L4" s="333"/>
      <c r="M4" s="333"/>
      <c r="N4" s="333" t="s">
        <v>166</v>
      </c>
      <c r="O4" s="334">
        <f>+'True-Up'!J2</f>
        <v>2016</v>
      </c>
    </row>
    <row r="5" spans="1:16" ht="15.75">
      <c r="A5" s="375" t="s">
        <v>433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</row>
    <row r="6" spans="1:16">
      <c r="A6" s="145" t="s">
        <v>196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1:16">
      <c r="A7" s="146" t="s">
        <v>197</v>
      </c>
    </row>
    <row r="8" spans="1:16" s="125" customFormat="1">
      <c r="A8" s="171">
        <v>1</v>
      </c>
      <c r="B8" s="249" t="s">
        <v>389</v>
      </c>
    </row>
    <row r="9" spans="1:16" s="125" customFormat="1">
      <c r="A9" s="171">
        <f>A8+1</f>
        <v>2</v>
      </c>
    </row>
    <row r="10" spans="1:16" s="125" customFormat="1">
      <c r="A10" s="171">
        <f t="shared" ref="A10:A74" si="0">A9+1</f>
        <v>3</v>
      </c>
      <c r="B10" s="125" t="s">
        <v>145</v>
      </c>
      <c r="D10" s="249" t="s">
        <v>390</v>
      </c>
    </row>
    <row r="11" spans="1:16" s="125" customFormat="1">
      <c r="A11" s="171">
        <f t="shared" si="0"/>
        <v>4</v>
      </c>
      <c r="E11" s="125" t="s">
        <v>149</v>
      </c>
    </row>
    <row r="12" spans="1:16" s="125" customFormat="1">
      <c r="A12" s="171">
        <f t="shared" si="0"/>
        <v>5</v>
      </c>
      <c r="E12" s="125" t="s">
        <v>146</v>
      </c>
    </row>
    <row r="13" spans="1:16" s="125" customFormat="1">
      <c r="A13" s="171">
        <f t="shared" si="0"/>
        <v>6</v>
      </c>
      <c r="E13" s="125" t="s">
        <v>147</v>
      </c>
    </row>
    <row r="14" spans="1:16" s="125" customFormat="1">
      <c r="A14" s="171">
        <f t="shared" si="0"/>
        <v>7</v>
      </c>
    </row>
    <row r="15" spans="1:16" s="125" customFormat="1">
      <c r="A15" s="171">
        <f t="shared" si="0"/>
        <v>8</v>
      </c>
      <c r="B15" s="125" t="s">
        <v>148</v>
      </c>
      <c r="D15" s="125" t="s">
        <v>150</v>
      </c>
    </row>
    <row r="16" spans="1:16" s="125" customFormat="1">
      <c r="A16" s="171">
        <f t="shared" si="0"/>
        <v>9</v>
      </c>
      <c r="E16" s="125" t="s">
        <v>151</v>
      </c>
    </row>
    <row r="17" spans="1:8" s="125" customFormat="1">
      <c r="A17" s="171">
        <f t="shared" si="0"/>
        <v>10</v>
      </c>
    </row>
    <row r="18" spans="1:8" s="125" customFormat="1">
      <c r="A18" s="171">
        <f t="shared" si="0"/>
        <v>11</v>
      </c>
      <c r="B18" s="125" t="s">
        <v>152</v>
      </c>
      <c r="D18" s="125" t="s">
        <v>153</v>
      </c>
    </row>
    <row r="19" spans="1:8" s="125" customFormat="1">
      <c r="A19" s="171">
        <f t="shared" si="0"/>
        <v>12</v>
      </c>
    </row>
    <row r="20" spans="1:8" s="125" customFormat="1">
      <c r="A20" s="171">
        <f t="shared" si="0"/>
        <v>13</v>
      </c>
      <c r="D20" s="125" t="s">
        <v>21</v>
      </c>
    </row>
    <row r="21" spans="1:8" s="125" customFormat="1">
      <c r="A21" s="171">
        <f t="shared" si="0"/>
        <v>14</v>
      </c>
    </row>
    <row r="22" spans="1:8" s="125" customFormat="1">
      <c r="A22" s="171">
        <f t="shared" si="0"/>
        <v>15</v>
      </c>
      <c r="D22" s="125" t="s">
        <v>154</v>
      </c>
      <c r="F22" s="172" t="s">
        <v>155</v>
      </c>
      <c r="G22" s="125" t="s">
        <v>19</v>
      </c>
    </row>
    <row r="23" spans="1:8" s="125" customFormat="1">
      <c r="A23" s="171">
        <f t="shared" si="0"/>
        <v>16</v>
      </c>
      <c r="H23" s="125" t="s">
        <v>115</v>
      </c>
    </row>
    <row r="24" spans="1:8" s="125" customFormat="1">
      <c r="A24" s="171">
        <f t="shared" si="0"/>
        <v>17</v>
      </c>
      <c r="H24" s="125" t="s">
        <v>20</v>
      </c>
    </row>
    <row r="25" spans="1:8" s="125" customFormat="1">
      <c r="A25" s="171">
        <f t="shared" si="0"/>
        <v>18</v>
      </c>
    </row>
    <row r="26" spans="1:8" s="125" customFormat="1">
      <c r="A26" s="171">
        <f t="shared" si="0"/>
        <v>19</v>
      </c>
      <c r="B26" s="173" t="s">
        <v>426</v>
      </c>
    </row>
    <row r="27" spans="1:8" s="125" customFormat="1">
      <c r="A27" s="171">
        <f t="shared" si="0"/>
        <v>20</v>
      </c>
    </row>
    <row r="28" spans="1:8" s="125" customFormat="1">
      <c r="A28" s="171">
        <f t="shared" si="0"/>
        <v>21</v>
      </c>
      <c r="E28" s="116" t="s">
        <v>187</v>
      </c>
      <c r="F28" s="116" t="s">
        <v>188</v>
      </c>
      <c r="G28" s="174" t="s">
        <v>189</v>
      </c>
    </row>
    <row r="29" spans="1:8" s="125" customFormat="1">
      <c r="A29" s="171">
        <f t="shared" si="0"/>
        <v>22</v>
      </c>
      <c r="B29" s="175" t="s">
        <v>50</v>
      </c>
      <c r="E29" s="116"/>
      <c r="F29" s="116"/>
      <c r="G29" s="176"/>
    </row>
    <row r="30" spans="1:8" s="125" customFormat="1">
      <c r="A30" s="171">
        <f t="shared" si="0"/>
        <v>23</v>
      </c>
      <c r="C30" s="125" t="s">
        <v>53</v>
      </c>
      <c r="E30" s="116" t="s">
        <v>191</v>
      </c>
      <c r="F30" s="336">
        <v>2010</v>
      </c>
      <c r="G30" s="250" t="s">
        <v>427</v>
      </c>
      <c r="H30" s="249"/>
    </row>
    <row r="31" spans="1:8" s="125" customFormat="1">
      <c r="A31" s="171">
        <f t="shared" si="0"/>
        <v>24</v>
      </c>
      <c r="C31" s="125" t="s">
        <v>54</v>
      </c>
      <c r="E31" s="116" t="s">
        <v>191</v>
      </c>
      <c r="F31" s="336">
        <v>2010</v>
      </c>
      <c r="G31" s="250" t="s">
        <v>428</v>
      </c>
      <c r="H31" s="249"/>
    </row>
    <row r="32" spans="1:8" s="125" customFormat="1">
      <c r="A32" s="171">
        <f t="shared" si="0"/>
        <v>25</v>
      </c>
      <c r="C32" s="125" t="s">
        <v>55</v>
      </c>
      <c r="E32" s="116" t="str">
        <f>+E30</f>
        <v>May</v>
      </c>
      <c r="F32" s="336">
        <v>2010</v>
      </c>
      <c r="G32" s="250" t="s">
        <v>429</v>
      </c>
      <c r="H32" s="249"/>
    </row>
    <row r="33" spans="1:8" s="125" customFormat="1">
      <c r="A33" s="171">
        <f t="shared" si="0"/>
        <v>26</v>
      </c>
      <c r="C33" s="125" t="s">
        <v>56</v>
      </c>
      <c r="E33" s="116" t="s">
        <v>51</v>
      </c>
      <c r="F33" s="336">
        <v>2010</v>
      </c>
      <c r="G33" s="250" t="s">
        <v>52</v>
      </c>
      <c r="H33" s="249"/>
    </row>
    <row r="34" spans="1:8" s="125" customFormat="1">
      <c r="A34" s="171">
        <f t="shared" si="0"/>
        <v>27</v>
      </c>
      <c r="E34" s="116"/>
      <c r="F34" s="116"/>
      <c r="G34" s="174"/>
    </row>
    <row r="35" spans="1:8" s="125" customFormat="1">
      <c r="A35" s="171">
        <f t="shared" si="0"/>
        <v>28</v>
      </c>
      <c r="B35" s="175" t="s">
        <v>58</v>
      </c>
      <c r="E35" s="177"/>
      <c r="F35" s="116"/>
      <c r="G35" s="174"/>
    </row>
    <row r="36" spans="1:8" s="125" customFormat="1">
      <c r="A36" s="171">
        <f t="shared" si="0"/>
        <v>29</v>
      </c>
      <c r="C36" s="125" t="s">
        <v>57</v>
      </c>
      <c r="E36" s="116" t="s">
        <v>182</v>
      </c>
      <c r="F36" s="336">
        <v>2010</v>
      </c>
      <c r="G36" s="250" t="s">
        <v>430</v>
      </c>
      <c r="H36" s="249"/>
    </row>
    <row r="37" spans="1:8" s="125" customFormat="1">
      <c r="A37" s="171">
        <f t="shared" si="0"/>
        <v>30</v>
      </c>
      <c r="C37" s="125" t="s">
        <v>59</v>
      </c>
      <c r="E37" s="116" t="s">
        <v>182</v>
      </c>
      <c r="F37" s="336">
        <v>2010</v>
      </c>
      <c r="G37" s="250" t="s">
        <v>431</v>
      </c>
      <c r="H37" s="249"/>
    </row>
    <row r="38" spans="1:8" s="125" customFormat="1">
      <c r="A38" s="171">
        <f t="shared" si="0"/>
        <v>31</v>
      </c>
      <c r="C38" s="125" t="s">
        <v>60</v>
      </c>
      <c r="E38" s="116" t="s">
        <v>182</v>
      </c>
      <c r="F38" s="336">
        <v>2010</v>
      </c>
      <c r="G38" s="250" t="s">
        <v>44</v>
      </c>
      <c r="H38" s="249"/>
    </row>
    <row r="39" spans="1:8" s="125" customFormat="1">
      <c r="A39" s="171">
        <f t="shared" si="0"/>
        <v>32</v>
      </c>
      <c r="C39" s="125" t="s">
        <v>61</v>
      </c>
      <c r="E39" s="116" t="s">
        <v>182</v>
      </c>
      <c r="F39" s="336">
        <v>2010</v>
      </c>
      <c r="G39" s="250" t="s">
        <v>63</v>
      </c>
      <c r="H39" s="249"/>
    </row>
    <row r="40" spans="1:8" s="125" customFormat="1">
      <c r="A40" s="171">
        <f t="shared" si="0"/>
        <v>33</v>
      </c>
      <c r="C40" s="125" t="s">
        <v>62</v>
      </c>
      <c r="E40" s="116" t="s">
        <v>157</v>
      </c>
      <c r="F40" s="336">
        <v>2010</v>
      </c>
      <c r="G40" s="250" t="s">
        <v>24</v>
      </c>
      <c r="H40" s="249"/>
    </row>
    <row r="41" spans="1:8" s="125" customFormat="1">
      <c r="A41" s="171">
        <f t="shared" si="0"/>
        <v>34</v>
      </c>
      <c r="C41" s="125" t="s">
        <v>23</v>
      </c>
      <c r="E41" s="177" t="s">
        <v>159</v>
      </c>
      <c r="F41" s="336">
        <v>2011</v>
      </c>
      <c r="G41" s="250" t="s">
        <v>64</v>
      </c>
      <c r="H41" s="249"/>
    </row>
    <row r="42" spans="1:8" s="125" customFormat="1">
      <c r="A42" s="171">
        <f t="shared" si="0"/>
        <v>35</v>
      </c>
    </row>
    <row r="43" spans="1:8" s="125" customFormat="1">
      <c r="A43" s="171">
        <f t="shared" si="0"/>
        <v>36</v>
      </c>
      <c r="E43" s="125" t="s">
        <v>160</v>
      </c>
      <c r="F43" s="125" t="s">
        <v>161</v>
      </c>
    </row>
    <row r="44" spans="1:8" s="125" customFormat="1">
      <c r="A44" s="171">
        <f t="shared" si="0"/>
        <v>37</v>
      </c>
      <c r="F44" s="125" t="s">
        <v>162</v>
      </c>
    </row>
    <row r="45" spans="1:8" s="125" customFormat="1">
      <c r="A45" s="171">
        <f t="shared" si="0"/>
        <v>38</v>
      </c>
      <c r="F45" s="125" t="s">
        <v>163</v>
      </c>
    </row>
    <row r="46" spans="1:8" s="125" customFormat="1">
      <c r="A46" s="171">
        <f t="shared" si="0"/>
        <v>39</v>
      </c>
      <c r="F46" s="125" t="s">
        <v>116</v>
      </c>
    </row>
    <row r="47" spans="1:8" s="125" customFormat="1">
      <c r="A47" s="171">
        <f t="shared" si="0"/>
        <v>40</v>
      </c>
      <c r="F47" s="125" t="s">
        <v>174</v>
      </c>
    </row>
    <row r="48" spans="1:8" s="125" customFormat="1">
      <c r="A48" s="171">
        <f t="shared" si="0"/>
        <v>41</v>
      </c>
      <c r="F48" s="125" t="s">
        <v>175</v>
      </c>
    </row>
    <row r="49" spans="1:15" s="125" customFormat="1">
      <c r="A49" s="171">
        <f t="shared" si="0"/>
        <v>42</v>
      </c>
    </row>
    <row r="50" spans="1:15" s="125" customFormat="1">
      <c r="A50" s="171">
        <f t="shared" si="0"/>
        <v>43</v>
      </c>
      <c r="F50" s="249" t="s">
        <v>388</v>
      </c>
    </row>
    <row r="51" spans="1:15">
      <c r="A51" s="143">
        <f t="shared" si="0"/>
        <v>44</v>
      </c>
      <c r="D51" s="148"/>
      <c r="E51" s="148"/>
      <c r="F51" s="148"/>
      <c r="G51" s="148"/>
      <c r="H51" s="148"/>
      <c r="I51" s="148"/>
      <c r="J51" s="148"/>
      <c r="K51" s="148"/>
      <c r="L51" s="148"/>
      <c r="M51" s="148" t="s">
        <v>207</v>
      </c>
      <c r="N51" s="148" t="s">
        <v>296</v>
      </c>
      <c r="O51" s="132"/>
    </row>
    <row r="52" spans="1:15">
      <c r="A52" s="143">
        <f t="shared" si="0"/>
        <v>45</v>
      </c>
      <c r="C52" s="115" t="s">
        <v>258</v>
      </c>
      <c r="D52" s="148" t="str">
        <f>"True-Up Amount (Transmission see pg 3 line "&amp;'True-Up'!A119&amp;" and Schedule 1 see pg 10 line "&amp;'BHP Sch. 1'!A22&amp;")"</f>
        <v>True-Up Amount (Transmission see pg 3 line 92 and Schedule 1 see pg 10 line 12)</v>
      </c>
      <c r="E52" s="148"/>
      <c r="F52" s="148"/>
      <c r="G52" s="148"/>
      <c r="H52" s="148"/>
      <c r="I52" s="148"/>
      <c r="J52" s="148"/>
      <c r="K52" s="148"/>
      <c r="L52" s="148"/>
      <c r="M52" s="306">
        <f>+'True-Up'!J119</f>
        <v>-1139547.8233867474</v>
      </c>
      <c r="N52" s="306">
        <f>+'BHP Sch. 1'!D22</f>
        <v>247610</v>
      </c>
      <c r="O52" s="134"/>
    </row>
    <row r="53" spans="1:15">
      <c r="A53" s="143">
        <f t="shared" si="0"/>
        <v>46</v>
      </c>
      <c r="C53" s="115" t="s">
        <v>259</v>
      </c>
      <c r="D53" s="148" t="s">
        <v>45</v>
      </c>
      <c r="E53" s="148"/>
      <c r="F53" s="148"/>
      <c r="G53" s="148"/>
      <c r="H53" s="148"/>
      <c r="I53" s="148"/>
      <c r="J53" s="148"/>
      <c r="K53" s="307"/>
      <c r="L53" s="148"/>
      <c r="M53" s="308">
        <f>ROUND((1+$K$77)^18,2)</f>
        <v>1.05</v>
      </c>
      <c r="N53" s="308">
        <f>ROUND((1+$K$77)^18,2)</f>
        <v>1.05</v>
      </c>
      <c r="O53" s="134"/>
    </row>
    <row r="54" spans="1:15">
      <c r="A54" s="143">
        <f t="shared" si="0"/>
        <v>47</v>
      </c>
      <c r="C54" s="115" t="s">
        <v>260</v>
      </c>
      <c r="D54" s="148" t="s">
        <v>432</v>
      </c>
      <c r="E54" s="148"/>
      <c r="F54" s="148"/>
      <c r="G54" s="148"/>
      <c r="H54" s="148"/>
      <c r="I54" s="148"/>
      <c r="J54" s="148"/>
      <c r="K54" s="307"/>
      <c r="L54" s="148"/>
      <c r="M54" s="309">
        <f>+M52*M53</f>
        <v>-1196525.2145560847</v>
      </c>
      <c r="N54" s="309">
        <f>+N52*N53</f>
        <v>259990.5</v>
      </c>
      <c r="O54" s="134"/>
    </row>
    <row r="55" spans="1:15">
      <c r="A55" s="143">
        <f t="shared" si="0"/>
        <v>48</v>
      </c>
      <c r="K55" s="117"/>
      <c r="O55" s="117"/>
    </row>
    <row r="56" spans="1:15">
      <c r="A56" s="143">
        <f t="shared" si="0"/>
        <v>49</v>
      </c>
      <c r="E56" s="115" t="s">
        <v>154</v>
      </c>
      <c r="F56" s="115" t="s">
        <v>176</v>
      </c>
      <c r="K56" s="117"/>
      <c r="M56" s="132"/>
      <c r="O56" s="117"/>
    </row>
    <row r="57" spans="1:15">
      <c r="A57" s="143">
        <f t="shared" si="0"/>
        <v>50</v>
      </c>
      <c r="K57" s="117"/>
      <c r="N57" s="117"/>
      <c r="O57" s="117"/>
    </row>
    <row r="58" spans="1:15">
      <c r="A58" s="143">
        <f t="shared" si="0"/>
        <v>51</v>
      </c>
      <c r="D58" s="117" t="s">
        <v>177</v>
      </c>
      <c r="E58" s="117"/>
      <c r="F58" s="117"/>
      <c r="G58" s="117"/>
      <c r="H58" s="117"/>
      <c r="I58" s="117"/>
      <c r="J58" s="117"/>
      <c r="K58" s="117"/>
    </row>
    <row r="59" spans="1:15">
      <c r="A59" s="143">
        <f t="shared" si="0"/>
        <v>52</v>
      </c>
      <c r="D59" s="117"/>
      <c r="E59" s="117"/>
      <c r="F59" s="117"/>
      <c r="G59" s="117"/>
      <c r="H59" s="117"/>
      <c r="I59" s="117"/>
      <c r="J59" s="117"/>
      <c r="K59" s="133" t="s">
        <v>11</v>
      </c>
    </row>
    <row r="60" spans="1:15">
      <c r="A60" s="143">
        <f t="shared" si="0"/>
        <v>53</v>
      </c>
      <c r="D60" s="117"/>
      <c r="E60" s="119" t="s">
        <v>187</v>
      </c>
      <c r="F60" s="118"/>
      <c r="G60" s="118"/>
      <c r="H60" s="119" t="s">
        <v>188</v>
      </c>
      <c r="I60" s="149"/>
      <c r="J60" s="117"/>
      <c r="K60" s="119" t="s">
        <v>178</v>
      </c>
    </row>
    <row r="61" spans="1:15">
      <c r="A61" s="143">
        <f t="shared" si="0"/>
        <v>54</v>
      </c>
      <c r="E61" s="115" t="s">
        <v>159</v>
      </c>
      <c r="H61" s="115" t="s">
        <v>185</v>
      </c>
      <c r="K61" s="344">
        <v>2.8E-3</v>
      </c>
    </row>
    <row r="62" spans="1:15">
      <c r="A62" s="143">
        <f t="shared" si="0"/>
        <v>55</v>
      </c>
      <c r="E62" s="115" t="s">
        <v>179</v>
      </c>
      <c r="H62" s="115" t="s">
        <v>185</v>
      </c>
      <c r="K62" s="344">
        <v>2.5999999999999999E-3</v>
      </c>
    </row>
    <row r="63" spans="1:15">
      <c r="A63" s="143">
        <f t="shared" si="0"/>
        <v>56</v>
      </c>
      <c r="E63" s="115" t="s">
        <v>180</v>
      </c>
      <c r="H63" s="115" t="s">
        <v>185</v>
      </c>
      <c r="K63" s="344">
        <v>2.8E-3</v>
      </c>
    </row>
    <row r="64" spans="1:15">
      <c r="A64" s="143">
        <f t="shared" si="0"/>
        <v>57</v>
      </c>
      <c r="E64" s="115" t="s">
        <v>190</v>
      </c>
      <c r="H64" s="115" t="s">
        <v>185</v>
      </c>
      <c r="K64" s="344">
        <v>2.8E-3</v>
      </c>
    </row>
    <row r="65" spans="1:11">
      <c r="A65" s="143">
        <f t="shared" si="0"/>
        <v>58</v>
      </c>
      <c r="E65" s="115" t="s">
        <v>191</v>
      </c>
      <c r="H65" s="115" t="s">
        <v>185</v>
      </c>
      <c r="K65" s="344">
        <v>2.8999999999999998E-3</v>
      </c>
    </row>
    <row r="66" spans="1:11">
      <c r="A66" s="143">
        <f t="shared" si="0"/>
        <v>59</v>
      </c>
      <c r="E66" s="115" t="s">
        <v>192</v>
      </c>
      <c r="H66" s="115" t="s">
        <v>185</v>
      </c>
      <c r="K66" s="344">
        <v>2.8E-3</v>
      </c>
    </row>
    <row r="67" spans="1:11">
      <c r="A67" s="143">
        <f t="shared" si="0"/>
        <v>60</v>
      </c>
      <c r="E67" s="115" t="s">
        <v>181</v>
      </c>
      <c r="H67" s="115" t="s">
        <v>185</v>
      </c>
      <c r="K67" s="344">
        <v>3.0000000000000001E-3</v>
      </c>
    </row>
    <row r="68" spans="1:11">
      <c r="A68" s="143">
        <f t="shared" si="0"/>
        <v>61</v>
      </c>
      <c r="E68" s="115" t="s">
        <v>156</v>
      </c>
      <c r="H68" s="115" t="s">
        <v>185</v>
      </c>
      <c r="K68" s="344">
        <v>3.0000000000000001E-3</v>
      </c>
    </row>
    <row r="69" spans="1:11">
      <c r="A69" s="143">
        <f t="shared" si="0"/>
        <v>62</v>
      </c>
      <c r="E69" s="115" t="s">
        <v>182</v>
      </c>
      <c r="H69" s="115" t="s">
        <v>185</v>
      </c>
      <c r="K69" s="344">
        <v>2.8999999999999998E-3</v>
      </c>
    </row>
    <row r="70" spans="1:11">
      <c r="A70" s="143">
        <f t="shared" si="0"/>
        <v>63</v>
      </c>
      <c r="E70" s="115" t="s">
        <v>157</v>
      </c>
      <c r="H70" s="115" t="s">
        <v>185</v>
      </c>
      <c r="K70" s="344">
        <v>3.0000000000000001E-3</v>
      </c>
    </row>
    <row r="71" spans="1:11">
      <c r="A71" s="143">
        <f t="shared" si="0"/>
        <v>64</v>
      </c>
      <c r="E71" s="115" t="s">
        <v>158</v>
      </c>
      <c r="H71" s="115" t="s">
        <v>185</v>
      </c>
      <c r="K71" s="344">
        <v>2.8999999999999998E-3</v>
      </c>
    </row>
    <row r="72" spans="1:11">
      <c r="A72" s="143">
        <f t="shared" si="0"/>
        <v>65</v>
      </c>
      <c r="E72" s="115" t="s">
        <v>183</v>
      </c>
      <c r="H72" s="115" t="s">
        <v>185</v>
      </c>
      <c r="K72" s="344">
        <v>3.0000000000000001E-3</v>
      </c>
    </row>
    <row r="73" spans="1:11">
      <c r="A73" s="143">
        <f t="shared" si="0"/>
        <v>66</v>
      </c>
      <c r="E73" s="115" t="s">
        <v>159</v>
      </c>
      <c r="H73" s="115" t="s">
        <v>186</v>
      </c>
      <c r="K73" s="344">
        <v>3.0000000000000001E-3</v>
      </c>
    </row>
    <row r="74" spans="1:11">
      <c r="A74" s="143">
        <f t="shared" si="0"/>
        <v>67</v>
      </c>
      <c r="E74" s="115" t="s">
        <v>179</v>
      </c>
      <c r="H74" s="115" t="s">
        <v>186</v>
      </c>
      <c r="K74" s="344">
        <v>2.7000000000000001E-3</v>
      </c>
    </row>
    <row r="75" spans="1:11">
      <c r="A75" s="143">
        <f>A74+1</f>
        <v>68</v>
      </c>
      <c r="E75" s="115" t="s">
        <v>180</v>
      </c>
      <c r="H75" s="115" t="s">
        <v>186</v>
      </c>
      <c r="K75" s="344">
        <v>3.0000000000000001E-3</v>
      </c>
    </row>
    <row r="76" spans="1:11">
      <c r="A76" s="143">
        <f>A75+1</f>
        <v>69</v>
      </c>
      <c r="E76" s="115" t="s">
        <v>190</v>
      </c>
      <c r="H76" s="115" t="s">
        <v>186</v>
      </c>
      <c r="K76" s="344">
        <v>3.0000000000000001E-3</v>
      </c>
    </row>
    <row r="77" spans="1:11">
      <c r="A77" s="143">
        <f>A76+1</f>
        <v>70</v>
      </c>
      <c r="F77" s="115" t="s">
        <v>184</v>
      </c>
      <c r="K77" s="120">
        <f>ROUND(AVERAGE(K61:K76),6)</f>
        <v>2.8879999999999999E-3</v>
      </c>
    </row>
  </sheetData>
  <mergeCells count="1">
    <mergeCell ref="A5:O5"/>
  </mergeCells>
  <phoneticPr fontId="21" type="noConversion"/>
  <pageMargins left="0.5" right="0.25" top="0.75" bottom="0.5" header="0.5" footer="0.5"/>
  <pageSetup scale="67" orientation="portrait" r:id="rId1"/>
  <headerFooter alignWithMargins="0">
    <oddHeader>&amp;L&amp;8 2016 BHP Capital True-up Transmission Rate True-Up&amp;C&amp;"Arial MT,Bold"
CALCULATION OF TRUE-UP ADJUSTMENT
BLACK HILLS POWER, INC.&amp;R&amp;10Page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3:H34"/>
  <sheetViews>
    <sheetView zoomScaleNormal="100" workbookViewId="0"/>
  </sheetViews>
  <sheetFormatPr defaultColWidth="7.109375" defaultRowHeight="12.75"/>
  <cols>
    <col min="1" max="1" width="10.21875" style="55" customWidth="1"/>
    <col min="2" max="2" width="3.5546875" style="55" customWidth="1"/>
    <col min="3" max="4" width="1.77734375" style="55" customWidth="1"/>
    <col min="5" max="5" width="4" style="55" customWidth="1"/>
    <col min="6" max="6" width="24.21875" style="55" customWidth="1"/>
    <col min="7" max="7" width="1.88671875" style="55" customWidth="1"/>
    <col min="8" max="8" width="8.21875" style="58" customWidth="1"/>
    <col min="9" max="9" width="8.21875" style="55" customWidth="1"/>
    <col min="10" max="16384" width="7.109375" style="55"/>
  </cols>
  <sheetData>
    <row r="3" spans="1:8">
      <c r="F3" s="130"/>
    </row>
    <row r="4" spans="1:8">
      <c r="A4" s="376" t="s">
        <v>434</v>
      </c>
      <c r="B4" s="376"/>
      <c r="C4" s="376"/>
      <c r="D4" s="376"/>
      <c r="E4" s="376"/>
      <c r="F4" s="376"/>
      <c r="G4" s="376"/>
      <c r="H4" s="376"/>
    </row>
    <row r="5" spans="1:8">
      <c r="B5" s="105" t="s">
        <v>196</v>
      </c>
      <c r="H5" s="328" t="s">
        <v>418</v>
      </c>
    </row>
    <row r="6" spans="1:8">
      <c r="B6" s="106" t="s">
        <v>197</v>
      </c>
      <c r="D6" s="127" t="s">
        <v>342</v>
      </c>
      <c r="E6" s="127"/>
      <c r="F6" s="127"/>
      <c r="H6" s="128" t="s">
        <v>172</v>
      </c>
    </row>
    <row r="7" spans="1:8">
      <c r="B7" s="56">
        <v>1</v>
      </c>
    </row>
    <row r="8" spans="1:8">
      <c r="B8" s="56">
        <v>2</v>
      </c>
      <c r="D8" s="57" t="s">
        <v>111</v>
      </c>
      <c r="E8" s="57"/>
    </row>
    <row r="9" spans="1:8">
      <c r="B9" s="56">
        <v>3</v>
      </c>
    </row>
    <row r="10" spans="1:8">
      <c r="B10" s="56">
        <v>4</v>
      </c>
      <c r="E10" s="55">
        <v>350</v>
      </c>
      <c r="F10" s="59" t="s">
        <v>343</v>
      </c>
      <c r="H10" s="339">
        <v>0</v>
      </c>
    </row>
    <row r="11" spans="1:8">
      <c r="B11" s="56">
        <v>5</v>
      </c>
      <c r="E11" s="55">
        <v>352</v>
      </c>
      <c r="F11" s="59" t="s">
        <v>344</v>
      </c>
      <c r="H11" s="339">
        <v>2.3900000000000001E-2</v>
      </c>
    </row>
    <row r="12" spans="1:8">
      <c r="B12" s="56">
        <v>6</v>
      </c>
      <c r="E12" s="55">
        <v>353</v>
      </c>
      <c r="F12" s="59" t="s">
        <v>345</v>
      </c>
      <c r="H12" s="339">
        <v>2.6599999999999999E-2</v>
      </c>
    </row>
    <row r="13" spans="1:8">
      <c r="B13" s="56">
        <v>7</v>
      </c>
      <c r="E13" s="55">
        <v>354</v>
      </c>
      <c r="F13" s="59" t="s">
        <v>346</v>
      </c>
      <c r="H13" s="339">
        <v>2.0400000000000001E-2</v>
      </c>
    </row>
    <row r="14" spans="1:8">
      <c r="B14" s="56">
        <v>8</v>
      </c>
      <c r="E14" s="55">
        <v>355</v>
      </c>
      <c r="F14" s="59" t="s">
        <v>347</v>
      </c>
      <c r="H14" s="339">
        <v>2.2200000000000001E-2</v>
      </c>
    </row>
    <row r="15" spans="1:8">
      <c r="B15" s="56">
        <v>9</v>
      </c>
      <c r="E15" s="55">
        <v>356</v>
      </c>
      <c r="F15" s="59" t="s">
        <v>348</v>
      </c>
      <c r="H15" s="339">
        <v>2.0400000000000001E-2</v>
      </c>
    </row>
    <row r="16" spans="1:8">
      <c r="B16" s="56">
        <v>10</v>
      </c>
      <c r="E16" s="55">
        <v>359</v>
      </c>
      <c r="F16" s="59" t="s">
        <v>349</v>
      </c>
      <c r="H16" s="339">
        <v>1.95E-2</v>
      </c>
    </row>
    <row r="17" spans="2:8">
      <c r="B17" s="56">
        <v>11</v>
      </c>
      <c r="F17" s="59" t="s">
        <v>4</v>
      </c>
      <c r="H17" s="339">
        <v>2.3199999999999998E-2</v>
      </c>
    </row>
    <row r="18" spans="2:8">
      <c r="B18" s="56">
        <v>12</v>
      </c>
      <c r="H18" s="339"/>
    </row>
    <row r="19" spans="2:8">
      <c r="B19" s="56">
        <v>13</v>
      </c>
      <c r="D19" s="57" t="s">
        <v>100</v>
      </c>
      <c r="H19" s="339"/>
    </row>
    <row r="20" spans="2:8">
      <c r="B20" s="56">
        <v>14</v>
      </c>
      <c r="H20" s="339"/>
    </row>
    <row r="21" spans="2:8">
      <c r="B21" s="56">
        <v>15</v>
      </c>
      <c r="E21" s="55">
        <v>389</v>
      </c>
      <c r="F21" s="304" t="s">
        <v>343</v>
      </c>
      <c r="H21" s="339">
        <v>0</v>
      </c>
    </row>
    <row r="22" spans="2:8">
      <c r="B22" s="56">
        <v>16</v>
      </c>
      <c r="E22" s="55">
        <v>390</v>
      </c>
      <c r="F22" s="59" t="s">
        <v>344</v>
      </c>
      <c r="H22" s="339">
        <v>4.7300000000000002E-2</v>
      </c>
    </row>
    <row r="23" spans="2:8">
      <c r="B23" s="56">
        <v>17</v>
      </c>
      <c r="E23" s="55">
        <v>391</v>
      </c>
      <c r="F23" s="59" t="s">
        <v>350</v>
      </c>
      <c r="H23" s="339">
        <v>0.1056</v>
      </c>
    </row>
    <row r="24" spans="2:8">
      <c r="B24" s="56">
        <v>18</v>
      </c>
      <c r="E24" s="55">
        <v>392</v>
      </c>
      <c r="F24" s="59" t="s">
        <v>351</v>
      </c>
      <c r="H24" s="339">
        <v>9.06E-2</v>
      </c>
    </row>
    <row r="25" spans="2:8">
      <c r="B25" s="56">
        <v>19</v>
      </c>
      <c r="E25" s="55">
        <v>393</v>
      </c>
      <c r="F25" s="59" t="s">
        <v>352</v>
      </c>
      <c r="H25" s="339">
        <v>4.2299999999999997E-2</v>
      </c>
    </row>
    <row r="26" spans="2:8">
      <c r="B26" s="56">
        <v>20</v>
      </c>
      <c r="E26" s="55">
        <v>394</v>
      </c>
      <c r="F26" s="59" t="s">
        <v>13</v>
      </c>
      <c r="H26" s="339">
        <v>4.2299999999999997E-2</v>
      </c>
    </row>
    <row r="27" spans="2:8">
      <c r="B27" s="56">
        <v>21</v>
      </c>
      <c r="E27" s="55">
        <v>395</v>
      </c>
      <c r="F27" s="59" t="s">
        <v>353</v>
      </c>
      <c r="H27" s="339">
        <v>3.0599999999999999E-2</v>
      </c>
    </row>
    <row r="28" spans="2:8">
      <c r="B28" s="56">
        <v>22</v>
      </c>
      <c r="E28" s="55">
        <v>396</v>
      </c>
      <c r="F28" s="59" t="s">
        <v>354</v>
      </c>
      <c r="H28" s="339">
        <v>4.2299999999999997E-2</v>
      </c>
    </row>
    <row r="29" spans="2:8">
      <c r="B29" s="56">
        <v>23</v>
      </c>
      <c r="E29" s="55">
        <v>397</v>
      </c>
      <c r="F29" s="59" t="s">
        <v>355</v>
      </c>
      <c r="H29" s="339">
        <v>4.3900000000000002E-2</v>
      </c>
    </row>
    <row r="30" spans="2:8">
      <c r="B30" s="56">
        <v>24</v>
      </c>
      <c r="E30" s="55">
        <v>398</v>
      </c>
      <c r="F30" s="59" t="s">
        <v>356</v>
      </c>
      <c r="H30" s="339">
        <v>5.8099999999999999E-2</v>
      </c>
    </row>
    <row r="31" spans="2:8">
      <c r="B31" s="326">
        <v>25</v>
      </c>
      <c r="C31" s="64"/>
      <c r="D31" s="64"/>
      <c r="E31" s="64"/>
      <c r="F31" s="144" t="s">
        <v>12</v>
      </c>
      <c r="G31" s="64"/>
      <c r="H31" s="339">
        <v>6.5299999999999997E-2</v>
      </c>
    </row>
    <row r="32" spans="2:8">
      <c r="B32" s="56">
        <v>26</v>
      </c>
    </row>
    <row r="33" spans="2:6">
      <c r="B33" s="56">
        <v>27</v>
      </c>
      <c r="D33" s="59" t="s">
        <v>417</v>
      </c>
      <c r="E33" s="129"/>
      <c r="F33" s="59"/>
    </row>
    <row r="34" spans="2:6">
      <c r="F34" s="59"/>
    </row>
  </sheetData>
  <mergeCells count="1">
    <mergeCell ref="A4:H4"/>
  </mergeCells>
  <phoneticPr fontId="21" type="noConversion"/>
  <pageMargins left="1" right="1" top="0.75" bottom="0.75" header="0.5" footer="0.5"/>
  <pageSetup orientation="portrait" r:id="rId1"/>
  <headerFooter alignWithMargins="0">
    <oddHeader>&amp;L&amp;8 2016 BHP-Workpaper 5 Rate True-Up&amp;C&amp;"Arial MT,Bold"
WORKPAPER 5
BLACK HILLS POWER, INC.&amp;R&amp;10Page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  <pageSetUpPr fitToPage="1"/>
  </sheetPr>
  <dimension ref="A2:BQ81"/>
  <sheetViews>
    <sheetView topLeftCell="D31" zoomScale="55" zoomScaleNormal="55" zoomScaleSheetLayoutView="85" workbookViewId="0">
      <selection activeCell="K61" sqref="K61"/>
    </sheetView>
  </sheetViews>
  <sheetFormatPr defaultRowHeight="15"/>
  <cols>
    <col min="1" max="1" width="6" customWidth="1"/>
    <col min="2" max="2" width="1.44140625" customWidth="1"/>
    <col min="3" max="3" width="36" customWidth="1"/>
    <col min="4" max="4" width="23.33203125" customWidth="1"/>
    <col min="5" max="5" width="15.21875" customWidth="1"/>
    <col min="6" max="12" width="15.88671875" customWidth="1"/>
    <col min="13" max="13" width="14.33203125" bestFit="1" customWidth="1"/>
    <col min="14" max="18" width="15.88671875" customWidth="1"/>
    <col min="20" max="20" width="10.33203125" bestFit="1" customWidth="1"/>
    <col min="21" max="21" width="12.88671875" bestFit="1" customWidth="1"/>
  </cols>
  <sheetData>
    <row r="2" spans="1:69" ht="15.75">
      <c r="A2" s="7"/>
      <c r="B2" s="7"/>
      <c r="C2" s="7"/>
      <c r="D2" s="155"/>
      <c r="E2" s="21"/>
      <c r="F2" s="7"/>
      <c r="G2" s="7"/>
      <c r="H2" s="7"/>
      <c r="I2" s="318" t="str">
        <f>'CU AC Rate Design - True-Up'!H1</f>
        <v>Date: May 31, 2017</v>
      </c>
      <c r="J2" s="7"/>
      <c r="K2" s="7"/>
      <c r="L2" s="7"/>
      <c r="O2" s="2"/>
      <c r="R2" s="319" t="str">
        <f>I2</f>
        <v>Date: May 31, 2017</v>
      </c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</row>
    <row r="3" spans="1:69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2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</row>
    <row r="4" spans="1:69" ht="15" customHeight="1">
      <c r="A4" s="377" t="s">
        <v>321</v>
      </c>
      <c r="B4" s="377"/>
      <c r="C4" s="377"/>
      <c r="D4" s="377"/>
      <c r="E4" s="377"/>
      <c r="F4" s="377"/>
      <c r="G4" s="377"/>
      <c r="H4" s="377"/>
      <c r="I4" s="377"/>
      <c r="J4" s="377" t="s">
        <v>321</v>
      </c>
      <c r="K4" s="377"/>
      <c r="L4" s="377"/>
      <c r="M4" s="377"/>
      <c r="N4" s="377"/>
      <c r="O4" s="377"/>
      <c r="P4" s="377"/>
      <c r="Q4" s="377"/>
      <c r="R4" s="377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</row>
    <row r="5" spans="1:69" ht="15.75">
      <c r="A5" s="378" t="s">
        <v>195</v>
      </c>
      <c r="B5" s="378"/>
      <c r="C5" s="378"/>
      <c r="D5" s="378"/>
      <c r="E5" s="378"/>
      <c r="F5" s="378"/>
      <c r="G5" s="378"/>
      <c r="H5" s="378"/>
      <c r="I5" s="378"/>
      <c r="J5" s="378" t="s">
        <v>195</v>
      </c>
      <c r="K5" s="378"/>
      <c r="L5" s="378"/>
      <c r="M5" s="378"/>
      <c r="N5" s="378"/>
      <c r="O5" s="378"/>
      <c r="P5" s="378"/>
      <c r="Q5" s="378"/>
      <c r="R5" s="378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</row>
    <row r="6" spans="1:69">
      <c r="A6" s="7"/>
      <c r="B6" s="7"/>
      <c r="C6" s="2"/>
      <c r="D6" s="2"/>
      <c r="F6" s="2"/>
      <c r="G6" s="2"/>
      <c r="H6" s="2"/>
      <c r="I6" s="2"/>
      <c r="J6" s="7"/>
      <c r="K6" s="7"/>
      <c r="L6" s="2"/>
      <c r="M6" s="2"/>
      <c r="O6" s="2"/>
      <c r="P6" s="2"/>
      <c r="Q6" s="2"/>
      <c r="R6" s="2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</row>
    <row r="7" spans="1:69" ht="15" customHeight="1">
      <c r="A7" s="379" t="s">
        <v>320</v>
      </c>
      <c r="B7" s="379"/>
      <c r="C7" s="379"/>
      <c r="D7" s="379"/>
      <c r="E7" s="379"/>
      <c r="F7" s="379"/>
      <c r="G7" s="379"/>
      <c r="H7" s="379"/>
      <c r="I7" s="379"/>
      <c r="J7" s="379" t="s">
        <v>320</v>
      </c>
      <c r="K7" s="379"/>
      <c r="L7" s="379"/>
      <c r="M7" s="379"/>
      <c r="N7" s="379"/>
      <c r="O7" s="379"/>
      <c r="P7" s="379"/>
      <c r="Q7" s="379"/>
      <c r="R7" s="379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</row>
    <row r="8" spans="1:69">
      <c r="A8" s="14"/>
      <c r="B8" s="7"/>
      <c r="C8" s="2"/>
      <c r="D8" s="2"/>
      <c r="E8" s="1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</row>
    <row r="9" spans="1:69">
      <c r="A9" s="7"/>
      <c r="B9" s="7"/>
      <c r="C9" s="4"/>
      <c r="D9" s="4"/>
      <c r="E9" s="4"/>
      <c r="F9" s="5"/>
      <c r="G9" s="5"/>
      <c r="H9" s="5"/>
      <c r="I9" s="5"/>
      <c r="J9" s="5"/>
      <c r="K9" s="5"/>
      <c r="L9" s="4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</row>
    <row r="10" spans="1:69" ht="15.75">
      <c r="A10" s="7"/>
      <c r="B10" s="7"/>
      <c r="C10" s="3"/>
      <c r="D10" s="11" t="s">
        <v>206</v>
      </c>
      <c r="E10" s="5"/>
      <c r="F10" s="5"/>
      <c r="G10" s="5"/>
      <c r="H10" s="5"/>
      <c r="I10" s="5"/>
      <c r="J10" s="5"/>
      <c r="K10" s="5"/>
      <c r="L10" s="4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</row>
    <row r="11" spans="1:69" ht="15.75">
      <c r="A11" s="14" t="s">
        <v>196</v>
      </c>
      <c r="B11" s="7"/>
      <c r="C11" s="3"/>
      <c r="D11" s="18" t="s">
        <v>208</v>
      </c>
      <c r="E11" s="15" t="s">
        <v>209</v>
      </c>
      <c r="F11" s="19"/>
      <c r="G11" s="19"/>
      <c r="H11" s="19"/>
      <c r="I11" s="19"/>
      <c r="J11" s="19"/>
      <c r="K11" s="19"/>
      <c r="L11" s="4"/>
      <c r="O11" s="156"/>
      <c r="P11" s="156"/>
      <c r="Q11" s="178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</row>
    <row r="12" spans="1:69" ht="16.5" thickBot="1">
      <c r="A12" s="17" t="s">
        <v>197</v>
      </c>
      <c r="B12" s="7"/>
      <c r="C12" s="8" t="s">
        <v>211</v>
      </c>
      <c r="D12" s="5"/>
      <c r="E12" s="6" t="s">
        <v>26</v>
      </c>
      <c r="F12" s="6" t="s">
        <v>27</v>
      </c>
      <c r="G12" s="6" t="s">
        <v>28</v>
      </c>
      <c r="H12" s="6" t="s">
        <v>29</v>
      </c>
      <c r="I12" s="6" t="s">
        <v>30</v>
      </c>
      <c r="J12" s="6" t="s">
        <v>31</v>
      </c>
      <c r="K12" s="6" t="s">
        <v>32</v>
      </c>
      <c r="L12" s="6" t="s">
        <v>33</v>
      </c>
      <c r="M12" s="6" t="s">
        <v>145</v>
      </c>
      <c r="N12" s="6" t="s">
        <v>34</v>
      </c>
      <c r="O12" s="6" t="s">
        <v>35</v>
      </c>
      <c r="P12" s="6" t="s">
        <v>36</v>
      </c>
      <c r="Q12" s="6" t="s">
        <v>37</v>
      </c>
      <c r="R12" s="6" t="s">
        <v>38</v>
      </c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</row>
    <row r="13" spans="1:69">
      <c r="A13" s="14"/>
      <c r="B13" s="7"/>
      <c r="C13" s="3"/>
      <c r="D13" s="5"/>
      <c r="E13" s="157">
        <v>42339</v>
      </c>
      <c r="F13" s="157">
        <v>42370</v>
      </c>
      <c r="G13" s="157">
        <v>42401</v>
      </c>
      <c r="H13" s="157">
        <v>42430</v>
      </c>
      <c r="I13" s="157">
        <v>42461</v>
      </c>
      <c r="J13" s="157">
        <v>42491</v>
      </c>
      <c r="K13" s="157">
        <v>42522</v>
      </c>
      <c r="L13" s="157">
        <v>42552</v>
      </c>
      <c r="M13" s="157">
        <v>42583</v>
      </c>
      <c r="N13" s="157">
        <v>42614</v>
      </c>
      <c r="O13" s="157">
        <v>42644</v>
      </c>
      <c r="P13" s="157">
        <v>42675</v>
      </c>
      <c r="Q13" s="157">
        <v>42705</v>
      </c>
      <c r="R13" s="90" t="s">
        <v>25</v>
      </c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</row>
    <row r="14" spans="1:69">
      <c r="A14" s="14"/>
      <c r="B14" s="7"/>
      <c r="C14" s="3" t="s">
        <v>41</v>
      </c>
      <c r="D14" s="5" t="s">
        <v>413</v>
      </c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S14" s="5"/>
      <c r="T14" s="5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</row>
    <row r="15" spans="1:69">
      <c r="A15" s="14">
        <v>1</v>
      </c>
      <c r="B15" s="7"/>
      <c r="C15" s="3" t="s">
        <v>213</v>
      </c>
      <c r="D15" s="5" t="s">
        <v>73</v>
      </c>
      <c r="E15" s="103">
        <v>572666019</v>
      </c>
      <c r="F15" s="103">
        <v>573932668.63</v>
      </c>
      <c r="G15" s="103">
        <v>573767265.95999992</v>
      </c>
      <c r="H15" s="103">
        <v>573778310.48000002</v>
      </c>
      <c r="I15" s="103">
        <v>576431603.17000008</v>
      </c>
      <c r="J15" s="103">
        <v>576388925.72000015</v>
      </c>
      <c r="K15" s="103">
        <v>576715462.96000004</v>
      </c>
      <c r="L15" s="103">
        <v>576963430.28999996</v>
      </c>
      <c r="M15" s="103">
        <v>579087174.49999988</v>
      </c>
      <c r="N15" s="103">
        <v>580661858.76999998</v>
      </c>
      <c r="O15" s="103">
        <v>580673242.39999998</v>
      </c>
      <c r="P15" s="103">
        <v>580416388.06999993</v>
      </c>
      <c r="Q15" s="103">
        <v>580371823</v>
      </c>
      <c r="R15" s="103">
        <f t="shared" ref="R15:R21" si="0">AVERAGE(E15:Q15)</f>
        <v>577065705.61153853</v>
      </c>
      <c r="S15" s="5"/>
      <c r="T15" s="7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</row>
    <row r="16" spans="1:69">
      <c r="A16" s="14">
        <f t="shared" ref="A16:A65" si="1">+A15+1</f>
        <v>2</v>
      </c>
      <c r="B16" s="7"/>
      <c r="C16" s="3" t="s">
        <v>215</v>
      </c>
      <c r="D16" s="5" t="s">
        <v>120</v>
      </c>
      <c r="E16" s="103">
        <v>117708462</v>
      </c>
      <c r="F16" s="103">
        <v>117742944.09</v>
      </c>
      <c r="G16" s="103">
        <v>117750505.88</v>
      </c>
      <c r="H16" s="103">
        <v>117751686.5</v>
      </c>
      <c r="I16" s="103">
        <v>117751686.5</v>
      </c>
      <c r="J16" s="103">
        <v>117830115.69</v>
      </c>
      <c r="K16" s="103">
        <v>117830171.51000001</v>
      </c>
      <c r="L16" s="103">
        <v>117862213.21000001</v>
      </c>
      <c r="M16" s="103">
        <v>148173981.20000002</v>
      </c>
      <c r="N16" s="103">
        <v>149269641.07000002</v>
      </c>
      <c r="O16" s="103">
        <v>149750988.39000002</v>
      </c>
      <c r="P16" s="103">
        <v>151347113.61000001</v>
      </c>
      <c r="Q16" s="103">
        <v>147397689</v>
      </c>
      <c r="R16" s="103">
        <f t="shared" si="0"/>
        <v>129859015.28076924</v>
      </c>
      <c r="S16" s="5"/>
      <c r="T16" s="7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</row>
    <row r="17" spans="1:69">
      <c r="A17" s="14">
        <f t="shared" si="1"/>
        <v>3</v>
      </c>
      <c r="B17" s="7"/>
      <c r="C17" s="3" t="s">
        <v>216</v>
      </c>
      <c r="D17" s="5" t="s">
        <v>121</v>
      </c>
      <c r="E17" s="103">
        <v>353240829</v>
      </c>
      <c r="F17" s="103">
        <v>354690311.90999997</v>
      </c>
      <c r="G17" s="103">
        <v>355417649.88999999</v>
      </c>
      <c r="H17" s="103">
        <v>356365762.57999998</v>
      </c>
      <c r="I17" s="103">
        <v>356359764.91000003</v>
      </c>
      <c r="J17" s="103">
        <v>357777010.76999998</v>
      </c>
      <c r="K17" s="103">
        <v>357895321.77000004</v>
      </c>
      <c r="L17" s="103">
        <v>358092174.47999996</v>
      </c>
      <c r="M17" s="103">
        <v>358689069.50000006</v>
      </c>
      <c r="N17" s="103">
        <v>359886547.67000002</v>
      </c>
      <c r="O17" s="103">
        <v>362200418.18000001</v>
      </c>
      <c r="P17" s="103">
        <v>363765322.24000001</v>
      </c>
      <c r="Q17" s="103">
        <v>364302870</v>
      </c>
      <c r="R17" s="103">
        <f t="shared" si="0"/>
        <v>358360234.83846152</v>
      </c>
      <c r="S17" s="5"/>
      <c r="T17" s="7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</row>
    <row r="18" spans="1:69">
      <c r="A18" s="14">
        <f t="shared" si="1"/>
        <v>4</v>
      </c>
      <c r="B18" s="7"/>
      <c r="C18" s="3" t="s">
        <v>217</v>
      </c>
      <c r="D18" s="5" t="s">
        <v>408</v>
      </c>
      <c r="E18" s="103">
        <v>46226063</v>
      </c>
      <c r="F18" s="103">
        <f>53441652.64-F20</f>
        <v>46195599.140000001</v>
      </c>
      <c r="G18" s="103">
        <f t="shared" ref="G18:P18" si="2">53441652.64-G20</f>
        <v>46195661.509999998</v>
      </c>
      <c r="H18" s="103">
        <f t="shared" si="2"/>
        <v>46195661.509999998</v>
      </c>
      <c r="I18" s="103">
        <f t="shared" si="2"/>
        <v>46195661.509999998</v>
      </c>
      <c r="J18" s="103">
        <f t="shared" si="2"/>
        <v>46192320.859999999</v>
      </c>
      <c r="K18" s="103">
        <f t="shared" si="2"/>
        <v>46238363.289999999</v>
      </c>
      <c r="L18" s="103">
        <f t="shared" si="2"/>
        <v>46238363.289999999</v>
      </c>
      <c r="M18" s="103">
        <f t="shared" si="2"/>
        <v>46238363.289999999</v>
      </c>
      <c r="N18" s="103">
        <f t="shared" si="2"/>
        <v>46238363.289999999</v>
      </c>
      <c r="O18" s="103">
        <f t="shared" si="2"/>
        <v>46232968.880000003</v>
      </c>
      <c r="P18" s="103">
        <f t="shared" si="2"/>
        <v>46232968.880000003</v>
      </c>
      <c r="Q18" s="103">
        <f>56731618-Q20</f>
        <v>49484595</v>
      </c>
      <c r="R18" s="103">
        <f t="shared" si="0"/>
        <v>46469611.803846158</v>
      </c>
      <c r="S18" s="5"/>
      <c r="T18" s="7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</row>
    <row r="19" spans="1:69">
      <c r="A19" s="14">
        <f t="shared" si="1"/>
        <v>5</v>
      </c>
      <c r="B19" s="7"/>
      <c r="C19" s="3" t="s">
        <v>137</v>
      </c>
      <c r="D19" s="5" t="s">
        <v>455</v>
      </c>
      <c r="E19" s="103">
        <v>35150337.661781281</v>
      </c>
      <c r="F19" s="103">
        <v>35858604.036460593</v>
      </c>
      <c r="G19" s="103">
        <v>35903322.75333491</v>
      </c>
      <c r="H19" s="103">
        <v>29999779.522944219</v>
      </c>
      <c r="I19" s="103">
        <v>30082039.509948533</v>
      </c>
      <c r="J19" s="103">
        <v>28885846.469822843</v>
      </c>
      <c r="K19" s="103">
        <v>29379645.383907158</v>
      </c>
      <c r="L19" s="103">
        <v>28416282.937556468</v>
      </c>
      <c r="M19" s="103">
        <v>28509974.897430781</v>
      </c>
      <c r="N19" s="103">
        <v>28757379.269685093</v>
      </c>
      <c r="O19" s="103">
        <v>28734650.068959408</v>
      </c>
      <c r="P19" s="103">
        <v>29301556.626613718</v>
      </c>
      <c r="Q19" s="103">
        <v>30986121.08553303</v>
      </c>
      <c r="R19" s="103">
        <f t="shared" si="0"/>
        <v>30766580.017229084</v>
      </c>
      <c r="S19" s="5"/>
      <c r="T19" s="7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</row>
    <row r="20" spans="1:69">
      <c r="A20" s="14">
        <f t="shared" si="1"/>
        <v>6</v>
      </c>
      <c r="B20" s="7"/>
      <c r="C20" s="3" t="s">
        <v>102</v>
      </c>
      <c r="D20" s="5" t="s">
        <v>101</v>
      </c>
      <c r="E20" s="103">
        <v>7245851</v>
      </c>
      <c r="F20" s="103">
        <v>7246053.5</v>
      </c>
      <c r="G20" s="103">
        <v>7245991.1299999999</v>
      </c>
      <c r="H20" s="103">
        <v>7245991.1299999999</v>
      </c>
      <c r="I20" s="103">
        <v>7245991.1299999999</v>
      </c>
      <c r="J20" s="103">
        <v>7249331.7800000003</v>
      </c>
      <c r="K20" s="103">
        <v>7203289.3499999996</v>
      </c>
      <c r="L20" s="103">
        <v>7203289.3500000006</v>
      </c>
      <c r="M20" s="103">
        <v>7203289.3500000006</v>
      </c>
      <c r="N20" s="103">
        <v>7203289.3500000006</v>
      </c>
      <c r="O20" s="103">
        <v>7208683.7600000007</v>
      </c>
      <c r="P20" s="103">
        <v>7208683.7600000007</v>
      </c>
      <c r="Q20" s="103">
        <v>7247023</v>
      </c>
      <c r="R20" s="103">
        <f t="shared" si="0"/>
        <v>7227442.8915384626</v>
      </c>
      <c r="S20" s="5"/>
      <c r="T20" s="7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</row>
    <row r="21" spans="1:69">
      <c r="A21" s="14">
        <f t="shared" si="1"/>
        <v>7</v>
      </c>
      <c r="B21" s="7"/>
      <c r="C21" s="3" t="s">
        <v>219</v>
      </c>
      <c r="D21" s="5" t="s">
        <v>220</v>
      </c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>
        <v>0</v>
      </c>
      <c r="R21" s="103">
        <f t="shared" si="0"/>
        <v>0</v>
      </c>
      <c r="S21" s="5"/>
      <c r="T21" s="7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</row>
    <row r="22" spans="1:69">
      <c r="A22" s="14">
        <f t="shared" si="1"/>
        <v>8</v>
      </c>
      <c r="B22" s="7"/>
      <c r="C22" s="13" t="s">
        <v>5</v>
      </c>
      <c r="D22" s="5" t="str">
        <f>"(sum lines "&amp;A15&amp;" - "&amp;A21&amp;")"</f>
        <v>(sum lines 1 - 7)</v>
      </c>
      <c r="E22" s="158">
        <f>SUM(E15:E21)</f>
        <v>1132237561.6617813</v>
      </c>
      <c r="F22" s="158">
        <f>SUM(F15:F21)</f>
        <v>1135666181.3064606</v>
      </c>
      <c r="G22" s="158">
        <f t="shared" ref="G22:R22" si="3">SUM(G15:G21)</f>
        <v>1136280397.1233351</v>
      </c>
      <c r="H22" s="158">
        <f t="shared" si="3"/>
        <v>1131337191.7229443</v>
      </c>
      <c r="I22" s="158">
        <f t="shared" si="3"/>
        <v>1134066746.7299488</v>
      </c>
      <c r="J22" s="158">
        <f t="shared" si="3"/>
        <v>1134323551.2898228</v>
      </c>
      <c r="K22" s="158">
        <f t="shared" si="3"/>
        <v>1135262254.263907</v>
      </c>
      <c r="L22" s="158">
        <f t="shared" si="3"/>
        <v>1134775753.5575564</v>
      </c>
      <c r="M22" s="158">
        <f t="shared" si="3"/>
        <v>1167901852.7374308</v>
      </c>
      <c r="N22" s="158">
        <f t="shared" si="3"/>
        <v>1172017079.4196849</v>
      </c>
      <c r="O22" s="158">
        <f t="shared" si="3"/>
        <v>1174800951.6789596</v>
      </c>
      <c r="P22" s="158">
        <f t="shared" si="3"/>
        <v>1178272033.1866138</v>
      </c>
      <c r="Q22" s="158">
        <f t="shared" si="3"/>
        <v>1179790121.0855331</v>
      </c>
      <c r="R22" s="158">
        <f t="shared" si="3"/>
        <v>1149748590.443383</v>
      </c>
      <c r="S22" s="5"/>
      <c r="T22" s="12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</row>
    <row r="23" spans="1:69">
      <c r="A23" s="14">
        <f t="shared" si="1"/>
        <v>9</v>
      </c>
      <c r="B23" s="7"/>
      <c r="C23" s="3"/>
      <c r="D23" s="5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5"/>
      <c r="T23" s="5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</row>
    <row r="24" spans="1:69">
      <c r="A24" s="14">
        <f t="shared" si="1"/>
        <v>10</v>
      </c>
      <c r="B24" s="7"/>
      <c r="C24" s="3" t="s">
        <v>42</v>
      </c>
      <c r="D24" s="5" t="s">
        <v>413</v>
      </c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5"/>
      <c r="T24" s="5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</row>
    <row r="25" spans="1:69">
      <c r="A25" s="14">
        <f t="shared" si="1"/>
        <v>11</v>
      </c>
      <c r="B25" s="7"/>
      <c r="C25" s="3" t="str">
        <f>+C15</f>
        <v xml:space="preserve">  Production</v>
      </c>
      <c r="D25" s="5" t="s">
        <v>409</v>
      </c>
      <c r="E25" s="103">
        <v>170975302</v>
      </c>
      <c r="F25" s="103">
        <v>172297856.01848507</v>
      </c>
      <c r="G25" s="103">
        <v>173623566.68606281</v>
      </c>
      <c r="H25" s="103">
        <v>174731231.06756124</v>
      </c>
      <c r="I25" s="103">
        <v>176068450.76794693</v>
      </c>
      <c r="J25" s="103">
        <v>177042440.77399939</v>
      </c>
      <c r="K25" s="103">
        <v>178135042.89996436</v>
      </c>
      <c r="L25" s="103">
        <v>179472166.487115</v>
      </c>
      <c r="M25" s="103">
        <v>180757352.37384114</v>
      </c>
      <c r="N25" s="103">
        <v>178196560.60444865</v>
      </c>
      <c r="O25" s="103">
        <v>179496421.83304596</v>
      </c>
      <c r="P25" s="103">
        <v>179045542.95603183</v>
      </c>
      <c r="Q25" s="103">
        <f>130599614+48995816</f>
        <v>179595430</v>
      </c>
      <c r="R25" s="103">
        <f t="shared" ref="R25:R31" si="4">AVERAGE(E25:Q25)</f>
        <v>176879797.26680785</v>
      </c>
      <c r="S25" s="5"/>
      <c r="T25" s="5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</row>
    <row r="26" spans="1:69">
      <c r="A26" s="14">
        <f t="shared" si="1"/>
        <v>12</v>
      </c>
      <c r="B26" s="7"/>
      <c r="C26" s="3" t="s">
        <v>215</v>
      </c>
      <c r="D26" s="5" t="s">
        <v>122</v>
      </c>
      <c r="E26" s="103">
        <f>E71</f>
        <v>38622500.196901001</v>
      </c>
      <c r="F26" s="103">
        <f t="shared" ref="F26:Q26" si="5">F71</f>
        <v>38838157.606129028</v>
      </c>
      <c r="G26" s="103">
        <f t="shared" si="5"/>
        <v>39054274.803967625</v>
      </c>
      <c r="H26" s="103">
        <f t="shared" si="5"/>
        <v>39272175.072473593</v>
      </c>
      <c r="I26" s="103">
        <f t="shared" si="5"/>
        <v>39488687.23966185</v>
      </c>
      <c r="J26" s="103">
        <f t="shared" si="5"/>
        <v>39568358.911301546</v>
      </c>
      <c r="K26" s="103">
        <f t="shared" si="5"/>
        <v>39767813.632640243</v>
      </c>
      <c r="L26" s="103">
        <f t="shared" si="5"/>
        <v>39981458.758372314</v>
      </c>
      <c r="M26" s="103">
        <f t="shared" si="5"/>
        <v>40218177.88720908</v>
      </c>
      <c r="N26" s="103">
        <f t="shared" si="5"/>
        <v>40491885.487760112</v>
      </c>
      <c r="O26" s="103">
        <f t="shared" si="5"/>
        <v>40765807.343109407</v>
      </c>
      <c r="P26" s="103">
        <f t="shared" si="5"/>
        <v>41036746.037954807</v>
      </c>
      <c r="Q26" s="103">
        <f t="shared" si="5"/>
        <v>41312427.133733496</v>
      </c>
      <c r="R26" s="103">
        <f t="shared" si="4"/>
        <v>39878343.854708783</v>
      </c>
      <c r="S26" s="5"/>
      <c r="T26" s="5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</row>
    <row r="27" spans="1:69">
      <c r="A27" s="14">
        <f t="shared" si="1"/>
        <v>13</v>
      </c>
      <c r="B27" s="7"/>
      <c r="C27" s="3" t="s">
        <v>216</v>
      </c>
      <c r="D27" s="5" t="s">
        <v>123</v>
      </c>
      <c r="E27" s="103">
        <v>118816578</v>
      </c>
      <c r="F27" s="103">
        <v>119556730.68819477</v>
      </c>
      <c r="G27" s="103">
        <v>120254510.03060317</v>
      </c>
      <c r="H27" s="103">
        <v>120904042.7876092</v>
      </c>
      <c r="I27" s="103">
        <v>121500775.25869879</v>
      </c>
      <c r="J27" s="103">
        <v>122123249.07732353</v>
      </c>
      <c r="K27" s="103">
        <v>122619103.63490699</v>
      </c>
      <c r="L27" s="103">
        <v>123307941.68225597</v>
      </c>
      <c r="M27" s="103">
        <v>123758970.35004011</v>
      </c>
      <c r="N27" s="103">
        <v>124410274.34605899</v>
      </c>
      <c r="O27" s="103">
        <v>125099281.89446571</v>
      </c>
      <c r="P27" s="103">
        <v>125718556.18861166</v>
      </c>
      <c r="Q27" s="103">
        <v>126243154</v>
      </c>
      <c r="R27" s="103">
        <f>AVERAGE(E27:Q27)</f>
        <v>122639474.45682839</v>
      </c>
      <c r="S27" s="5"/>
      <c r="T27" s="5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</row>
    <row r="28" spans="1:69">
      <c r="A28" s="14">
        <f t="shared" si="1"/>
        <v>14</v>
      </c>
      <c r="B28" s="7"/>
      <c r="C28" s="3" t="str">
        <f>+C18</f>
        <v xml:space="preserve">  General &amp; Intangible</v>
      </c>
      <c r="D28" s="5" t="s">
        <v>456</v>
      </c>
      <c r="E28" s="103">
        <f>E75</f>
        <v>21298913.897456747</v>
      </c>
      <c r="F28" s="103">
        <f t="shared" ref="F28:Q28" si="6">F75</f>
        <v>21500999.742476705</v>
      </c>
      <c r="G28" s="103">
        <f t="shared" si="6"/>
        <v>21689662.013762224</v>
      </c>
      <c r="H28" s="103">
        <f t="shared" si="6"/>
        <v>21887707.321920775</v>
      </c>
      <c r="I28" s="103">
        <f t="shared" si="6"/>
        <v>22020628.706029065</v>
      </c>
      <c r="J28" s="103">
        <f t="shared" si="6"/>
        <v>22209372.678768456</v>
      </c>
      <c r="K28" s="103">
        <f t="shared" si="6"/>
        <v>22338583.67675801</v>
      </c>
      <c r="L28" s="103">
        <f t="shared" si="6"/>
        <v>22543985.136266805</v>
      </c>
      <c r="M28" s="103">
        <f t="shared" si="6"/>
        <v>22726771.932265766</v>
      </c>
      <c r="N28" s="103">
        <f t="shared" si="6"/>
        <v>22807813.441106893</v>
      </c>
      <c r="O28" s="103">
        <f t="shared" si="6"/>
        <v>23000663.687796216</v>
      </c>
      <c r="P28" s="103">
        <f t="shared" si="6"/>
        <v>23186880.069314212</v>
      </c>
      <c r="Q28" s="103">
        <f t="shared" si="6"/>
        <v>23394769.446295332</v>
      </c>
      <c r="R28" s="103">
        <f t="shared" si="4"/>
        <v>22354365.519247476</v>
      </c>
      <c r="S28" s="5"/>
      <c r="T28" s="5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</row>
    <row r="29" spans="1:69">
      <c r="A29" s="14">
        <f t="shared" si="1"/>
        <v>15</v>
      </c>
      <c r="B29" s="7"/>
      <c r="C29" s="3" t="s">
        <v>137</v>
      </c>
      <c r="D29" s="5" t="s">
        <v>457</v>
      </c>
      <c r="E29" s="103">
        <v>19654480.695856001</v>
      </c>
      <c r="F29" s="103">
        <v>19948140.671241749</v>
      </c>
      <c r="G29" s="103">
        <v>20123241.277701002</v>
      </c>
      <c r="H29" s="103">
        <v>17135558.88416025</v>
      </c>
      <c r="I29" s="103">
        <v>17302555.490619499</v>
      </c>
      <c r="J29" s="103">
        <v>15640319.09707875</v>
      </c>
      <c r="K29" s="103">
        <v>15780920.703538001</v>
      </c>
      <c r="L29" s="103">
        <v>14585323.309997249</v>
      </c>
      <c r="M29" s="103">
        <v>14748940.9164565</v>
      </c>
      <c r="N29" s="103">
        <v>14908317.522915751</v>
      </c>
      <c r="O29" s="103">
        <v>14921380.129375</v>
      </c>
      <c r="P29" s="103">
        <v>15267907.73583425</v>
      </c>
      <c r="Q29" s="103">
        <v>15461419.342293501</v>
      </c>
      <c r="R29" s="103">
        <f t="shared" si="4"/>
        <v>16575269.675159039</v>
      </c>
      <c r="S29" s="5"/>
      <c r="T29" s="5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</row>
    <row r="30" spans="1:69">
      <c r="A30" s="14">
        <f t="shared" si="1"/>
        <v>16</v>
      </c>
      <c r="B30" s="7"/>
      <c r="C30" s="3" t="str">
        <f>+C20</f>
        <v xml:space="preserve">  Communication System</v>
      </c>
      <c r="D30" s="5" t="s">
        <v>458</v>
      </c>
      <c r="E30" s="103">
        <f>E79</f>
        <v>2879716.0866399999</v>
      </c>
      <c r="F30" s="103">
        <f t="shared" ref="F30:Q30" si="7">F79</f>
        <v>2924987.7984608337</v>
      </c>
      <c r="G30" s="103">
        <f t="shared" si="7"/>
        <v>2970259.7110094167</v>
      </c>
      <c r="H30" s="103">
        <f t="shared" si="7"/>
        <v>3015531.4935580003</v>
      </c>
      <c r="I30" s="103">
        <f t="shared" si="7"/>
        <v>3060803.2761065834</v>
      </c>
      <c r="J30" s="103">
        <f t="shared" si="7"/>
        <v>3106087.3358564172</v>
      </c>
      <c r="K30" s="103">
        <f t="shared" si="7"/>
        <v>3105142.5514051672</v>
      </c>
      <c r="L30" s="103">
        <f t="shared" si="7"/>
        <v>3150127.5169539172</v>
      </c>
      <c r="M30" s="103">
        <f t="shared" si="7"/>
        <v>3195119.8925026674</v>
      </c>
      <c r="N30" s="103">
        <f t="shared" si="7"/>
        <v>3240112.2680514166</v>
      </c>
      <c r="O30" s="103">
        <f t="shared" si="7"/>
        <v>3285124.46970275</v>
      </c>
      <c r="P30" s="103">
        <f t="shared" si="7"/>
        <v>3330147.9113540836</v>
      </c>
      <c r="Q30" s="103">
        <f t="shared" si="7"/>
        <v>3375312.2462161668</v>
      </c>
      <c r="R30" s="103">
        <f t="shared" si="4"/>
        <v>3126036.3506013397</v>
      </c>
      <c r="S30" s="5"/>
      <c r="T30" s="5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</row>
    <row r="31" spans="1:69">
      <c r="A31" s="14">
        <f t="shared" si="1"/>
        <v>17</v>
      </c>
      <c r="B31" s="7"/>
      <c r="C31" s="3" t="str">
        <f>+C21</f>
        <v xml:space="preserve">  Common</v>
      </c>
      <c r="D31" s="5" t="s">
        <v>220</v>
      </c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>
        <v>0</v>
      </c>
      <c r="R31" s="103">
        <f t="shared" si="4"/>
        <v>0</v>
      </c>
      <c r="S31" s="5"/>
      <c r="T31" s="5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</row>
    <row r="32" spans="1:69">
      <c r="A32" s="14">
        <f t="shared" si="1"/>
        <v>18</v>
      </c>
      <c r="B32" s="7"/>
      <c r="C32" s="3" t="s">
        <v>7</v>
      </c>
      <c r="D32" s="5" t="str">
        <f>"(sum lines "&amp;A25&amp;" - "&amp;A31&amp;")"</f>
        <v>(sum lines 11 - 17)</v>
      </c>
      <c r="E32" s="158">
        <f>SUM(E25:E31)</f>
        <v>372247490.8768537</v>
      </c>
      <c r="F32" s="158">
        <f t="shared" ref="F32:R32" si="8">SUM(F25:F31)</f>
        <v>375066872.52498817</v>
      </c>
      <c r="G32" s="158">
        <f t="shared" si="8"/>
        <v>377715514.52310628</v>
      </c>
      <c r="H32" s="158">
        <f t="shared" si="8"/>
        <v>376946246.62728304</v>
      </c>
      <c r="I32" s="158">
        <f t="shared" si="8"/>
        <v>379441900.73906273</v>
      </c>
      <c r="J32" s="158">
        <f t="shared" si="8"/>
        <v>379689827.87432814</v>
      </c>
      <c r="K32" s="158">
        <f t="shared" si="8"/>
        <v>381746607.09921277</v>
      </c>
      <c r="L32" s="158">
        <f t="shared" si="8"/>
        <v>383041002.89096129</v>
      </c>
      <c r="M32" s="158">
        <f t="shared" si="8"/>
        <v>385405333.35231525</v>
      </c>
      <c r="N32" s="158">
        <f t="shared" si="8"/>
        <v>384054963.67034179</v>
      </c>
      <c r="O32" s="158">
        <f>SUM(O25:O31)</f>
        <v>386568679.35749501</v>
      </c>
      <c r="P32" s="158">
        <f>SUM(P25:P31)</f>
        <v>387585780.89910078</v>
      </c>
      <c r="Q32" s="158">
        <f>SUM(Q25:Q31)</f>
        <v>389382512.16853851</v>
      </c>
      <c r="R32" s="158">
        <f t="shared" si="8"/>
        <v>381453287.12335289</v>
      </c>
      <c r="S32" s="5"/>
      <c r="T32" s="251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</row>
    <row r="33" spans="1:69">
      <c r="A33" s="14">
        <f t="shared" si="1"/>
        <v>19</v>
      </c>
      <c r="B33" s="7"/>
      <c r="C33" s="7"/>
      <c r="D33" s="5" t="s">
        <v>194</v>
      </c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5"/>
      <c r="T33" s="5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</row>
    <row r="34" spans="1:69">
      <c r="A34" s="14">
        <f t="shared" si="1"/>
        <v>20</v>
      </c>
      <c r="B34" s="7"/>
      <c r="C34" s="3" t="s">
        <v>223</v>
      </c>
      <c r="D34" s="5" t="s">
        <v>413</v>
      </c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5"/>
      <c r="T34" s="5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</row>
    <row r="35" spans="1:69">
      <c r="A35" s="14">
        <f t="shared" si="1"/>
        <v>21</v>
      </c>
      <c r="B35" s="7"/>
      <c r="C35" s="3" t="str">
        <f>+C25</f>
        <v xml:space="preserve">  Production</v>
      </c>
      <c r="D35" s="5" t="str">
        <f t="shared" ref="D35:D41" si="9">"(line "&amp;A15&amp;" - line "&amp;A25&amp;")"</f>
        <v>(line 1 - line 11)</v>
      </c>
      <c r="E35" s="103">
        <f>+E15-E25</f>
        <v>401690717</v>
      </c>
      <c r="F35" s="103">
        <f t="shared" ref="F35:Q35" si="10">+F15-F25</f>
        <v>401634812.61151493</v>
      </c>
      <c r="G35" s="103">
        <f t="shared" si="10"/>
        <v>400143699.27393711</v>
      </c>
      <c r="H35" s="103">
        <f t="shared" si="10"/>
        <v>399047079.41243875</v>
      </c>
      <c r="I35" s="103">
        <f t="shared" si="10"/>
        <v>400363152.40205312</v>
      </c>
      <c r="J35" s="103">
        <f t="shared" si="10"/>
        <v>399346484.94600075</v>
      </c>
      <c r="K35" s="103">
        <f t="shared" si="10"/>
        <v>398580420.06003571</v>
      </c>
      <c r="L35" s="103">
        <f t="shared" si="10"/>
        <v>397491263.80288494</v>
      </c>
      <c r="M35" s="103">
        <f t="shared" si="10"/>
        <v>398329822.12615871</v>
      </c>
      <c r="N35" s="103">
        <f t="shared" si="10"/>
        <v>402465298.1655513</v>
      </c>
      <c r="O35" s="103">
        <f t="shared" si="10"/>
        <v>401176820.56695402</v>
      </c>
      <c r="P35" s="103">
        <f t="shared" si="10"/>
        <v>401370845.11396813</v>
      </c>
      <c r="Q35" s="103">
        <f t="shared" si="10"/>
        <v>400776393</v>
      </c>
      <c r="R35" s="103">
        <f>R15-R25</f>
        <v>400185908.34473068</v>
      </c>
      <c r="S35" s="5"/>
      <c r="T35" s="5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</row>
    <row r="36" spans="1:69">
      <c r="A36" s="14">
        <f t="shared" si="1"/>
        <v>22</v>
      </c>
      <c r="B36" s="7"/>
      <c r="C36" s="3" t="s">
        <v>215</v>
      </c>
      <c r="D36" s="5" t="str">
        <f t="shared" si="9"/>
        <v>(line 2 - line 12)</v>
      </c>
      <c r="E36" s="103">
        <f t="shared" ref="E36:Q41" si="11">+E16-E26</f>
        <v>79085961.803099006</v>
      </c>
      <c r="F36" s="103">
        <f t="shared" si="11"/>
        <v>78904786.483870983</v>
      </c>
      <c r="G36" s="103">
        <f t="shared" si="11"/>
        <v>78696231.07603237</v>
      </c>
      <c r="H36" s="103">
        <f t="shared" si="11"/>
        <v>78479511.427526414</v>
      </c>
      <c r="I36" s="103">
        <f t="shared" si="11"/>
        <v>78262999.260338157</v>
      </c>
      <c r="J36" s="103">
        <f t="shared" si="11"/>
        <v>78261756.778698444</v>
      </c>
      <c r="K36" s="103">
        <f t="shared" si="11"/>
        <v>78062357.877359763</v>
      </c>
      <c r="L36" s="103">
        <f t="shared" si="11"/>
        <v>77880754.451627702</v>
      </c>
      <c r="M36" s="103">
        <f t="shared" si="11"/>
        <v>107955803.31279093</v>
      </c>
      <c r="N36" s="103">
        <f t="shared" si="11"/>
        <v>108777755.58223991</v>
      </c>
      <c r="O36" s="103">
        <f t="shared" si="11"/>
        <v>108985181.04689062</v>
      </c>
      <c r="P36" s="103">
        <f t="shared" si="11"/>
        <v>110310367.57204521</v>
      </c>
      <c r="Q36" s="103">
        <f t="shared" si="11"/>
        <v>106085261.8662665</v>
      </c>
      <c r="R36" s="103">
        <f t="shared" ref="R36:R41" si="12">R16-R26</f>
        <v>89980671.426060468</v>
      </c>
      <c r="S36" s="5"/>
      <c r="T36" s="5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</row>
    <row r="37" spans="1:69">
      <c r="A37" s="14">
        <f t="shared" si="1"/>
        <v>23</v>
      </c>
      <c r="B37" s="7"/>
      <c r="C37" s="3" t="s">
        <v>297</v>
      </c>
      <c r="D37" s="5" t="str">
        <f t="shared" si="9"/>
        <v>(line 3 - line 13)</v>
      </c>
      <c r="E37" s="103">
        <f t="shared" si="11"/>
        <v>234424251</v>
      </c>
      <c r="F37" s="103">
        <f t="shared" si="11"/>
        <v>235133581.22180521</v>
      </c>
      <c r="G37" s="103">
        <f t="shared" si="11"/>
        <v>235163139.85939682</v>
      </c>
      <c r="H37" s="103">
        <f t="shared" si="11"/>
        <v>235461719.79239076</v>
      </c>
      <c r="I37" s="103">
        <f t="shared" si="11"/>
        <v>234858989.65130123</v>
      </c>
      <c r="J37" s="103">
        <f t="shared" si="11"/>
        <v>235653761.69267645</v>
      </c>
      <c r="K37" s="103">
        <f t="shared" si="11"/>
        <v>235276218.13509303</v>
      </c>
      <c r="L37" s="103">
        <f t="shared" si="11"/>
        <v>234784232.79774398</v>
      </c>
      <c r="M37" s="103">
        <f t="shared" si="11"/>
        <v>234930099.14995995</v>
      </c>
      <c r="N37" s="103">
        <f t="shared" si="11"/>
        <v>235476273.32394102</v>
      </c>
      <c r="O37" s="103">
        <f t="shared" si="11"/>
        <v>237101136.28553429</v>
      </c>
      <c r="P37" s="103">
        <f t="shared" si="11"/>
        <v>238046766.05138835</v>
      </c>
      <c r="Q37" s="103">
        <f t="shared" si="11"/>
        <v>238059716</v>
      </c>
      <c r="R37" s="103">
        <f t="shared" si="12"/>
        <v>235720760.38163313</v>
      </c>
      <c r="S37" s="5"/>
      <c r="T37" s="5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</row>
    <row r="38" spans="1:69">
      <c r="A38" s="14">
        <f t="shared" si="1"/>
        <v>24</v>
      </c>
      <c r="B38" s="7"/>
      <c r="C38" s="3" t="str">
        <f>+C28</f>
        <v xml:space="preserve">  General &amp; Intangible</v>
      </c>
      <c r="D38" s="5" t="str">
        <f t="shared" si="9"/>
        <v>(line 4 - line 14)</v>
      </c>
      <c r="E38" s="103">
        <f t="shared" si="11"/>
        <v>24927149.102543253</v>
      </c>
      <c r="F38" s="103">
        <f t="shared" si="11"/>
        <v>24694599.397523295</v>
      </c>
      <c r="G38" s="103">
        <f t="shared" si="11"/>
        <v>24505999.496237773</v>
      </c>
      <c r="H38" s="103">
        <f t="shared" si="11"/>
        <v>24307954.188079223</v>
      </c>
      <c r="I38" s="103">
        <f t="shared" si="11"/>
        <v>24175032.803970933</v>
      </c>
      <c r="J38" s="103">
        <f t="shared" si="11"/>
        <v>23982948.181231543</v>
      </c>
      <c r="K38" s="103">
        <f t="shared" si="11"/>
        <v>23899779.613241989</v>
      </c>
      <c r="L38" s="103">
        <f t="shared" si="11"/>
        <v>23694378.153733194</v>
      </c>
      <c r="M38" s="103">
        <f t="shared" si="11"/>
        <v>23511591.357734233</v>
      </c>
      <c r="N38" s="103">
        <f t="shared" si="11"/>
        <v>23430549.848893106</v>
      </c>
      <c r="O38" s="103">
        <f t="shared" si="11"/>
        <v>23232305.192203786</v>
      </c>
      <c r="P38" s="103">
        <f t="shared" si="11"/>
        <v>23046088.810685791</v>
      </c>
      <c r="Q38" s="103">
        <f t="shared" si="11"/>
        <v>26089825.553704668</v>
      </c>
      <c r="R38" s="103">
        <f t="shared" si="12"/>
        <v>24115246.284598682</v>
      </c>
      <c r="S38" s="5"/>
      <c r="T38" s="5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</row>
    <row r="39" spans="1:69">
      <c r="A39" s="14">
        <f t="shared" si="1"/>
        <v>25</v>
      </c>
      <c r="B39" s="7"/>
      <c r="C39" s="3" t="s">
        <v>137</v>
      </c>
      <c r="D39" s="5" t="str">
        <f t="shared" si="9"/>
        <v>(line 5 - line 15)</v>
      </c>
      <c r="E39" s="103">
        <f>+E19-E29</f>
        <v>15495856.96592528</v>
      </c>
      <c r="F39" s="103">
        <f t="shared" si="11"/>
        <v>15910463.365218844</v>
      </c>
      <c r="G39" s="103">
        <f t="shared" si="11"/>
        <v>15780081.475633908</v>
      </c>
      <c r="H39" s="103">
        <f t="shared" si="11"/>
        <v>12864220.638783969</v>
      </c>
      <c r="I39" s="103">
        <f t="shared" si="11"/>
        <v>12779484.019329034</v>
      </c>
      <c r="J39" s="103">
        <f t="shared" si="11"/>
        <v>13245527.372744093</v>
      </c>
      <c r="K39" s="103">
        <f t="shared" si="11"/>
        <v>13598724.680369157</v>
      </c>
      <c r="L39" s="103">
        <f t="shared" si="11"/>
        <v>13830959.627559219</v>
      </c>
      <c r="M39" s="103">
        <f t="shared" si="11"/>
        <v>13761033.980974281</v>
      </c>
      <c r="N39" s="103">
        <f t="shared" si="11"/>
        <v>13849061.746769343</v>
      </c>
      <c r="O39" s="103">
        <f t="shared" si="11"/>
        <v>13813269.939584408</v>
      </c>
      <c r="P39" s="103">
        <f t="shared" si="11"/>
        <v>14033648.890779467</v>
      </c>
      <c r="Q39" s="103">
        <f t="shared" si="11"/>
        <v>15524701.743239529</v>
      </c>
      <c r="R39" s="103">
        <f t="shared" si="12"/>
        <v>14191310.342070045</v>
      </c>
      <c r="S39" s="5"/>
      <c r="T39" s="5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</row>
    <row r="40" spans="1:69">
      <c r="A40" s="14">
        <f t="shared" si="1"/>
        <v>26</v>
      </c>
      <c r="B40" s="7"/>
      <c r="C40" s="3" t="str">
        <f>+C30</f>
        <v xml:space="preserve">  Communication System</v>
      </c>
      <c r="D40" s="5" t="str">
        <f t="shared" si="9"/>
        <v>(line 6 - line 16)</v>
      </c>
      <c r="E40" s="103">
        <f t="shared" si="11"/>
        <v>4366134.9133599997</v>
      </c>
      <c r="F40" s="103">
        <f t="shared" si="11"/>
        <v>4321065.7015391663</v>
      </c>
      <c r="G40" s="103">
        <f t="shared" si="11"/>
        <v>4275731.4189905832</v>
      </c>
      <c r="H40" s="103">
        <f t="shared" si="11"/>
        <v>4230459.636442</v>
      </c>
      <c r="I40" s="103">
        <f t="shared" si="11"/>
        <v>4185187.8538934165</v>
      </c>
      <c r="J40" s="103">
        <f t="shared" si="11"/>
        <v>4143244.4441435831</v>
      </c>
      <c r="K40" s="103">
        <f t="shared" si="11"/>
        <v>4098146.7985948324</v>
      </c>
      <c r="L40" s="103">
        <f t="shared" si="11"/>
        <v>4053161.8330460833</v>
      </c>
      <c r="M40" s="103">
        <f t="shared" si="11"/>
        <v>4008169.4574973332</v>
      </c>
      <c r="N40" s="103">
        <f t="shared" si="11"/>
        <v>3963177.0819485839</v>
      </c>
      <c r="O40" s="103">
        <f t="shared" si="11"/>
        <v>3923559.2902972507</v>
      </c>
      <c r="P40" s="103">
        <f t="shared" si="11"/>
        <v>3878535.8486459171</v>
      </c>
      <c r="Q40" s="103">
        <f>+Q20-Q30</f>
        <v>3871710.7537838332</v>
      </c>
      <c r="R40" s="103">
        <f t="shared" si="12"/>
        <v>4101406.5409371229</v>
      </c>
      <c r="S40" s="5"/>
      <c r="T40" s="5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</row>
    <row r="41" spans="1:69">
      <c r="A41" s="14">
        <f t="shared" si="1"/>
        <v>27</v>
      </c>
      <c r="B41" s="7"/>
      <c r="C41" s="3" t="str">
        <f>+C31</f>
        <v xml:space="preserve">  Common</v>
      </c>
      <c r="D41" s="5" t="str">
        <f t="shared" si="9"/>
        <v>(line 7 - line 17)</v>
      </c>
      <c r="E41" s="103">
        <f t="shared" si="11"/>
        <v>0</v>
      </c>
      <c r="F41" s="103">
        <f t="shared" si="11"/>
        <v>0</v>
      </c>
      <c r="G41" s="103">
        <f t="shared" si="11"/>
        <v>0</v>
      </c>
      <c r="H41" s="103">
        <f t="shared" si="11"/>
        <v>0</v>
      </c>
      <c r="I41" s="103">
        <f t="shared" si="11"/>
        <v>0</v>
      </c>
      <c r="J41" s="103">
        <f t="shared" si="11"/>
        <v>0</v>
      </c>
      <c r="K41" s="103">
        <f t="shared" si="11"/>
        <v>0</v>
      </c>
      <c r="L41" s="103">
        <f t="shared" si="11"/>
        <v>0</v>
      </c>
      <c r="M41" s="103">
        <f t="shared" si="11"/>
        <v>0</v>
      </c>
      <c r="N41" s="103">
        <f t="shared" si="11"/>
        <v>0</v>
      </c>
      <c r="O41" s="103">
        <f t="shared" si="11"/>
        <v>0</v>
      </c>
      <c r="P41" s="103">
        <f t="shared" si="11"/>
        <v>0</v>
      </c>
      <c r="Q41" s="103">
        <f t="shared" si="11"/>
        <v>0</v>
      </c>
      <c r="R41" s="154">
        <f t="shared" si="12"/>
        <v>0</v>
      </c>
      <c r="S41" s="5"/>
      <c r="T41" s="5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</row>
    <row r="42" spans="1:69">
      <c r="A42" s="14">
        <f t="shared" si="1"/>
        <v>28</v>
      </c>
      <c r="B42" s="7"/>
      <c r="C42" s="3" t="s">
        <v>6</v>
      </c>
      <c r="D42" s="5" t="str">
        <f>"(sum lines "&amp;A35&amp;" - "&amp;A41&amp;")"</f>
        <v>(sum lines 21 - 27)</v>
      </c>
      <c r="E42" s="159">
        <f>SUM(E35:E41)</f>
        <v>759990070.78492761</v>
      </c>
      <c r="F42" s="159">
        <f t="shared" ref="F42:Q42" si="13">SUM(F35:F41)</f>
        <v>760599308.78147244</v>
      </c>
      <c r="G42" s="159">
        <f t="shared" si="13"/>
        <v>758564882.60022855</v>
      </c>
      <c r="H42" s="159">
        <f t="shared" si="13"/>
        <v>754390945.09566104</v>
      </c>
      <c r="I42" s="159">
        <f t="shared" si="13"/>
        <v>754624845.99088597</v>
      </c>
      <c r="J42" s="159">
        <f t="shared" si="13"/>
        <v>754633723.4154948</v>
      </c>
      <c r="K42" s="159">
        <f t="shared" si="13"/>
        <v>753515647.16469455</v>
      </c>
      <c r="L42" s="159">
        <f t="shared" si="13"/>
        <v>751734750.6665951</v>
      </c>
      <c r="M42" s="159">
        <f t="shared" si="13"/>
        <v>782496519.3851155</v>
      </c>
      <c r="N42" s="159">
        <f t="shared" si="13"/>
        <v>787962115.7493434</v>
      </c>
      <c r="O42" s="159">
        <f t="shared" si="13"/>
        <v>788232272.3214643</v>
      </c>
      <c r="P42" s="159">
        <f t="shared" si="13"/>
        <v>790686252.2875129</v>
      </c>
      <c r="Q42" s="159">
        <f t="shared" si="13"/>
        <v>790407608.91699445</v>
      </c>
      <c r="R42" s="159">
        <f>SUM(R35:R41)</f>
        <v>768295303.32003021</v>
      </c>
      <c r="S42" s="5"/>
      <c r="T42" s="92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</row>
    <row r="43" spans="1:69">
      <c r="A43" s="14"/>
      <c r="B43" s="7"/>
      <c r="C43" s="3"/>
      <c r="D43" s="5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5"/>
      <c r="T43" s="92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</row>
    <row r="44" spans="1:69">
      <c r="A44" s="14"/>
      <c r="B44" s="7"/>
      <c r="C44" s="3" t="s">
        <v>414</v>
      </c>
      <c r="D44" s="5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5"/>
      <c r="T44" s="92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6"/>
      <c r="BQ44" s="156"/>
    </row>
    <row r="45" spans="1:69" ht="18">
      <c r="A45" s="14"/>
      <c r="B45" s="7"/>
      <c r="C45" s="207" t="s">
        <v>415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92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</row>
    <row r="46" spans="1:69">
      <c r="A46" s="14"/>
      <c r="B46" s="7"/>
      <c r="C46" s="3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92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</row>
    <row r="47" spans="1:69" ht="23.25">
      <c r="A47" s="14"/>
      <c r="B47" s="7"/>
      <c r="C47" s="3"/>
      <c r="D47" s="5"/>
      <c r="E47" s="310" t="s">
        <v>438</v>
      </c>
      <c r="F47" s="16"/>
      <c r="G47" s="16"/>
      <c r="H47" s="16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92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</row>
    <row r="48" spans="1:69">
      <c r="A48" s="14">
        <f>+A42+1</f>
        <v>29</v>
      </c>
      <c r="B48" s="7"/>
      <c r="C48" s="7"/>
      <c r="D48" s="5"/>
      <c r="E48" s="311" t="s">
        <v>26</v>
      </c>
      <c r="F48" s="311" t="s">
        <v>27</v>
      </c>
      <c r="G48" s="311" t="s">
        <v>28</v>
      </c>
      <c r="H48" s="16"/>
      <c r="I48" s="5"/>
      <c r="J48" s="5"/>
      <c r="K48" s="5"/>
      <c r="L48" s="5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</row>
    <row r="49" spans="1:62">
      <c r="A49" s="14">
        <f t="shared" si="1"/>
        <v>30</v>
      </c>
      <c r="B49" s="7"/>
      <c r="C49" s="13" t="s">
        <v>410</v>
      </c>
      <c r="D49" s="5"/>
      <c r="E49" s="312">
        <v>42339</v>
      </c>
      <c r="F49" s="312">
        <v>42705</v>
      </c>
      <c r="G49" s="16" t="s">
        <v>40</v>
      </c>
      <c r="H49" s="16"/>
      <c r="I49" s="5"/>
      <c r="J49" s="364"/>
      <c r="K49" s="365" t="s">
        <v>464</v>
      </c>
      <c r="L49" s="365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</row>
    <row r="50" spans="1:62">
      <c r="A50" s="14">
        <f t="shared" si="1"/>
        <v>31</v>
      </c>
      <c r="B50" s="7"/>
      <c r="C50" s="3" t="s">
        <v>269</v>
      </c>
      <c r="D50" s="181" t="s">
        <v>401</v>
      </c>
      <c r="E50" s="103">
        <v>0</v>
      </c>
      <c r="F50" s="103">
        <v>0</v>
      </c>
      <c r="G50" s="103">
        <f t="shared" ref="G50:G55" si="14">(+E50+F50)/2</f>
        <v>0</v>
      </c>
      <c r="H50" s="16"/>
      <c r="I50" s="16"/>
      <c r="J50" s="364"/>
      <c r="K50" s="312">
        <v>42339</v>
      </c>
      <c r="L50" s="312">
        <v>42705</v>
      </c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</row>
    <row r="51" spans="1:62">
      <c r="A51" s="14">
        <f t="shared" si="1"/>
        <v>32</v>
      </c>
      <c r="B51" s="7"/>
      <c r="C51" s="3" t="s">
        <v>270</v>
      </c>
      <c r="D51" s="181" t="s">
        <v>402</v>
      </c>
      <c r="E51" s="103">
        <f>K54</f>
        <v>-191546457.01334921</v>
      </c>
      <c r="F51" s="103">
        <f>L54</f>
        <v>-195664871.58918574</v>
      </c>
      <c r="G51" s="103">
        <f t="shared" si="14"/>
        <v>-193605664.30126747</v>
      </c>
      <c r="H51" s="16"/>
      <c r="I51" s="5"/>
      <c r="J51" s="364"/>
      <c r="K51" s="103">
        <v>0</v>
      </c>
      <c r="L51" s="103">
        <v>0</v>
      </c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</row>
    <row r="52" spans="1:62">
      <c r="A52" s="14">
        <f t="shared" si="1"/>
        <v>33</v>
      </c>
      <c r="B52" s="7"/>
      <c r="C52" s="3" t="s">
        <v>271</v>
      </c>
      <c r="D52" s="181" t="s">
        <v>403</v>
      </c>
      <c r="E52" s="154">
        <v>-31595886</v>
      </c>
      <c r="F52" s="154">
        <v>-34384010</v>
      </c>
      <c r="G52" s="103">
        <f t="shared" si="14"/>
        <v>-32989948</v>
      </c>
      <c r="H52" s="16"/>
      <c r="I52" s="5"/>
      <c r="J52" s="364" t="s">
        <v>465</v>
      </c>
      <c r="K52" s="103">
        <v>-189107994</v>
      </c>
      <c r="L52" s="103">
        <v>-192842703</v>
      </c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</row>
    <row r="53" spans="1:62">
      <c r="A53" s="14">
        <f t="shared" si="1"/>
        <v>34</v>
      </c>
      <c r="B53" s="7"/>
      <c r="C53" s="3" t="s">
        <v>273</v>
      </c>
      <c r="D53" s="181" t="s">
        <v>404</v>
      </c>
      <c r="E53" s="154">
        <v>30565748</v>
      </c>
      <c r="F53" s="154">
        <v>15707242</v>
      </c>
      <c r="G53" s="103">
        <f t="shared" si="14"/>
        <v>23136495</v>
      </c>
      <c r="H53" s="16"/>
      <c r="I53" s="5"/>
      <c r="J53" s="365" t="s">
        <v>466</v>
      </c>
      <c r="K53" s="131">
        <v>-2438463.0133492108</v>
      </c>
      <c r="L53" s="131">
        <v>-2822168.5891857487</v>
      </c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</row>
    <row r="54" spans="1:62">
      <c r="A54" s="14">
        <f t="shared" si="1"/>
        <v>35</v>
      </c>
      <c r="B54" s="7"/>
      <c r="C54" s="7" t="s">
        <v>272</v>
      </c>
      <c r="D54" s="181" t="s">
        <v>405</v>
      </c>
      <c r="E54" s="154">
        <v>0</v>
      </c>
      <c r="F54" s="154">
        <v>0</v>
      </c>
      <c r="G54" s="103">
        <f t="shared" si="14"/>
        <v>0</v>
      </c>
      <c r="H54" s="16"/>
      <c r="I54" s="5"/>
      <c r="J54" s="365" t="s">
        <v>467</v>
      </c>
      <c r="K54" s="367">
        <f>K52+K53</f>
        <v>-191546457.01334921</v>
      </c>
      <c r="L54" s="367">
        <f>L52+L53</f>
        <v>-195664871.58918574</v>
      </c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  <c r="BF54" s="156"/>
      <c r="BG54" s="156"/>
      <c r="BH54" s="156"/>
      <c r="BI54" s="156"/>
      <c r="BJ54" s="156"/>
    </row>
    <row r="55" spans="1:62">
      <c r="A55" s="14">
        <f t="shared" si="1"/>
        <v>36</v>
      </c>
      <c r="B55" s="7"/>
      <c r="C55" s="3" t="s">
        <v>292</v>
      </c>
      <c r="D55" s="186" t="s">
        <v>459</v>
      </c>
      <c r="E55" s="313">
        <f>(8571074-1518)*0.35</f>
        <v>2999344.5999999996</v>
      </c>
      <c r="F55" s="313">
        <f>9367358*0.35</f>
        <v>3278575.3</v>
      </c>
      <c r="G55" s="313">
        <f t="shared" si="14"/>
        <v>3138959.9499999997</v>
      </c>
      <c r="H55" s="16"/>
      <c r="I55" s="5"/>
      <c r="J55" s="5"/>
      <c r="K55" s="5"/>
      <c r="L55" s="9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</row>
    <row r="56" spans="1:62">
      <c r="A56" s="14">
        <f t="shared" si="1"/>
        <v>37</v>
      </c>
      <c r="B56" s="7"/>
      <c r="C56" s="3" t="s">
        <v>8</v>
      </c>
      <c r="D56" s="5" t="str">
        <f>"(sum lines "&amp;A50&amp;" - "&amp;A55&amp;")"</f>
        <v>(sum lines 31 - 36)</v>
      </c>
      <c r="E56" s="103">
        <f>SUM(E50:E55)</f>
        <v>-189577250.41334921</v>
      </c>
      <c r="F56" s="103">
        <f>SUM(F50:F55)</f>
        <v>-211063064.28918573</v>
      </c>
      <c r="G56" s="103">
        <f>SUM(G50:G55)</f>
        <v>-200320157.35126749</v>
      </c>
      <c r="H56" s="16"/>
      <c r="I56" s="5"/>
      <c r="J56" s="5"/>
      <c r="K56" s="5"/>
      <c r="L56" s="91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</row>
    <row r="57" spans="1:62">
      <c r="A57" s="14">
        <f t="shared" si="1"/>
        <v>38</v>
      </c>
      <c r="B57" s="7"/>
      <c r="C57" s="7"/>
      <c r="D57" s="5"/>
      <c r="E57" s="103"/>
      <c r="F57" s="103"/>
      <c r="G57" s="103"/>
      <c r="H57" s="16"/>
      <c r="I57" s="5"/>
      <c r="J57" s="5"/>
      <c r="K57" s="5"/>
      <c r="L57" s="5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</row>
    <row r="58" spans="1:62">
      <c r="A58" s="14">
        <f t="shared" si="1"/>
        <v>39</v>
      </c>
      <c r="B58" s="7"/>
      <c r="C58" s="13" t="s">
        <v>230</v>
      </c>
      <c r="D58" s="5" t="s">
        <v>299</v>
      </c>
      <c r="E58" s="103"/>
      <c r="F58" s="103"/>
      <c r="G58" s="103">
        <f>(+E58+F58)/2</f>
        <v>0</v>
      </c>
      <c r="H58" s="16"/>
      <c r="I58" s="5"/>
      <c r="J58" s="5"/>
      <c r="K58" s="5"/>
      <c r="L58" s="135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</row>
    <row r="59" spans="1:62">
      <c r="A59" s="14">
        <f t="shared" si="1"/>
        <v>40</v>
      </c>
      <c r="B59" s="7"/>
      <c r="C59" s="3"/>
      <c r="D59" s="5"/>
      <c r="E59" s="103"/>
      <c r="F59" s="103"/>
      <c r="G59" s="103"/>
      <c r="H59" s="16"/>
      <c r="I59" s="5"/>
      <c r="J59" s="5"/>
      <c r="K59" s="5"/>
      <c r="L59" s="5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  <c r="BF59" s="156"/>
      <c r="BG59" s="156"/>
      <c r="BH59" s="156"/>
      <c r="BI59" s="156"/>
      <c r="BJ59" s="156"/>
    </row>
    <row r="60" spans="1:62">
      <c r="A60" s="14">
        <f t="shared" si="1"/>
        <v>41</v>
      </c>
      <c r="B60" s="7"/>
      <c r="C60" s="3" t="s">
        <v>416</v>
      </c>
      <c r="D60" s="5"/>
      <c r="E60" s="103"/>
      <c r="F60" s="103"/>
      <c r="G60" s="103"/>
      <c r="H60" s="16"/>
      <c r="I60" s="5"/>
      <c r="J60" s="5"/>
      <c r="K60" s="5"/>
      <c r="L60" s="5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</row>
    <row r="61" spans="1:62">
      <c r="A61" s="14">
        <f t="shared" si="1"/>
        <v>42</v>
      </c>
      <c r="B61" s="7"/>
      <c r="C61" s="3"/>
      <c r="D61" s="21"/>
      <c r="E61" s="103"/>
      <c r="F61" s="103"/>
      <c r="G61" s="103"/>
      <c r="H61" s="16"/>
      <c r="I61" s="5"/>
      <c r="J61" s="5"/>
      <c r="K61" s="5"/>
      <c r="L61" s="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</row>
    <row r="62" spans="1:62">
      <c r="A62" s="14">
        <f t="shared" si="1"/>
        <v>43</v>
      </c>
      <c r="B62" s="7"/>
      <c r="C62" s="3" t="s">
        <v>358</v>
      </c>
      <c r="D62" s="5" t="s">
        <v>134</v>
      </c>
      <c r="E62" s="154">
        <v>4339123</v>
      </c>
      <c r="F62" s="154">
        <v>4978503</v>
      </c>
      <c r="G62" s="103">
        <f>(+E62+F62)/2</f>
        <v>4658813</v>
      </c>
      <c r="H62" s="16"/>
      <c r="I62" s="5"/>
      <c r="J62" s="5"/>
      <c r="K62" s="5"/>
      <c r="L62" s="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</row>
    <row r="63" spans="1:62">
      <c r="A63" s="14">
        <f t="shared" si="1"/>
        <v>44</v>
      </c>
      <c r="B63" s="7"/>
      <c r="C63" s="3" t="s">
        <v>358</v>
      </c>
      <c r="D63" s="5" t="s">
        <v>133</v>
      </c>
      <c r="E63" s="154">
        <v>19709</v>
      </c>
      <c r="F63" s="154">
        <v>19059</v>
      </c>
      <c r="G63" s="103">
        <f>(+E63+F63)/2</f>
        <v>19384</v>
      </c>
      <c r="H63" s="16"/>
      <c r="I63" s="5"/>
      <c r="J63" s="5"/>
      <c r="K63" s="5"/>
      <c r="L63" s="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</row>
    <row r="64" spans="1:62">
      <c r="A64" s="14">
        <f t="shared" si="1"/>
        <v>45</v>
      </c>
      <c r="B64" s="7"/>
      <c r="C64" s="3" t="s">
        <v>274</v>
      </c>
      <c r="D64" s="16" t="s">
        <v>74</v>
      </c>
      <c r="E64" s="154">
        <v>3481482</v>
      </c>
      <c r="F64" s="154">
        <v>3523967</v>
      </c>
      <c r="G64" s="103">
        <f>(+E64+F64)/2</f>
        <v>3502724.5</v>
      </c>
      <c r="H64" s="16"/>
      <c r="I64" s="5"/>
      <c r="J64" s="5"/>
      <c r="K64" s="5"/>
      <c r="L64" s="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</row>
    <row r="65" spans="1:62">
      <c r="A65" s="14">
        <f t="shared" si="1"/>
        <v>46</v>
      </c>
      <c r="B65" s="7"/>
      <c r="C65" s="3" t="s">
        <v>9</v>
      </c>
      <c r="D65" s="5" t="str">
        <f>"(sum lines "&amp;A61&amp;" - "&amp;A64&amp;")"</f>
        <v>(sum lines 42 - 45)</v>
      </c>
      <c r="E65" s="158">
        <f>SUM(E62:E64)</f>
        <v>7840314</v>
      </c>
      <c r="F65" s="158">
        <f>SUM(F62:F64)</f>
        <v>8521529</v>
      </c>
      <c r="G65" s="158">
        <f>SUM(G62:G64)</f>
        <v>8180921.5</v>
      </c>
      <c r="H65" s="314"/>
      <c r="I65" s="2"/>
      <c r="J65" s="2"/>
      <c r="K65" s="2"/>
      <c r="L65" s="91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156"/>
    </row>
    <row r="66" spans="1:62">
      <c r="E66" s="315"/>
      <c r="F66" s="315"/>
      <c r="G66" s="315"/>
      <c r="H66" s="315"/>
    </row>
    <row r="67" spans="1:62">
      <c r="E67" s="315"/>
      <c r="F67" s="315"/>
      <c r="G67" s="315"/>
      <c r="H67" s="315"/>
    </row>
    <row r="68" spans="1:62" ht="15.75">
      <c r="B68" s="368" t="s">
        <v>468</v>
      </c>
      <c r="C68" s="364"/>
      <c r="D68" s="364"/>
      <c r="E68" s="364"/>
      <c r="F68" s="364"/>
      <c r="G68" s="364"/>
      <c r="H68" s="364"/>
      <c r="I68" s="364"/>
      <c r="J68" s="364"/>
      <c r="K68" s="364"/>
      <c r="L68" s="364"/>
      <c r="M68" s="364"/>
      <c r="N68" s="364"/>
      <c r="O68" s="364"/>
      <c r="P68" s="364"/>
      <c r="Q68" s="364"/>
      <c r="R68" s="364"/>
    </row>
    <row r="69" spans="1:62">
      <c r="B69" s="364"/>
      <c r="C69" s="364" t="s">
        <v>469</v>
      </c>
      <c r="D69" s="364"/>
      <c r="E69" s="103">
        <v>37460156</v>
      </c>
      <c r="F69" s="103">
        <v>37669926.262023531</v>
      </c>
      <c r="G69" s="103">
        <v>37880155.934568129</v>
      </c>
      <c r="H69" s="103">
        <v>38092168.618749097</v>
      </c>
      <c r="I69" s="103">
        <v>38302793.201612353</v>
      </c>
      <c r="J69" s="103">
        <v>38376573.367467545</v>
      </c>
      <c r="K69" s="103">
        <v>38570136.580230743</v>
      </c>
      <c r="L69" s="103">
        <v>38777888.595302314</v>
      </c>
      <c r="M69" s="103">
        <v>39007199.025079079</v>
      </c>
      <c r="N69" s="103">
        <v>39273443.143576615</v>
      </c>
      <c r="O69" s="103">
        <v>39539877.449506409</v>
      </c>
      <c r="P69" s="103">
        <v>39803248.788671307</v>
      </c>
      <c r="Q69" s="103">
        <v>40071560</v>
      </c>
      <c r="R69" s="366">
        <f t="shared" ref="R69:R79" si="15">AVERAGE(E69:Q69)</f>
        <v>38678855.920522086</v>
      </c>
    </row>
    <row r="70" spans="1:62">
      <c r="B70" s="364"/>
      <c r="C70" s="364" t="s">
        <v>470</v>
      </c>
      <c r="D70" s="364"/>
      <c r="E70" s="366">
        <v>1162344.1969009989</v>
      </c>
      <c r="F70" s="369">
        <v>1168231.3441054989</v>
      </c>
      <c r="G70" s="369">
        <v>1174118.8693994989</v>
      </c>
      <c r="H70" s="369">
        <v>1180006.4537244989</v>
      </c>
      <c r="I70" s="369">
        <v>1185894.0380494988</v>
      </c>
      <c r="J70" s="369">
        <v>1191785.5438339987</v>
      </c>
      <c r="K70" s="369">
        <v>1197677.0524094987</v>
      </c>
      <c r="L70" s="369">
        <v>1203570.1630699988</v>
      </c>
      <c r="M70" s="369">
        <v>1210978.8621299989</v>
      </c>
      <c r="N70" s="369">
        <v>1218442.344183499</v>
      </c>
      <c r="O70" s="369">
        <v>1225929.8936029989</v>
      </c>
      <c r="P70" s="369">
        <v>1233497.2492834989</v>
      </c>
      <c r="Q70" s="369">
        <v>1240867.1337334989</v>
      </c>
      <c r="R70" s="366">
        <f t="shared" si="15"/>
        <v>1199487.9341866912</v>
      </c>
    </row>
    <row r="71" spans="1:62">
      <c r="B71" s="364"/>
      <c r="C71" s="364" t="s">
        <v>471</v>
      </c>
      <c r="D71" s="364"/>
      <c r="E71" s="366">
        <f>E69+E70</f>
        <v>38622500.196901001</v>
      </c>
      <c r="F71" s="366">
        <f t="shared" ref="F71:Q71" si="16">F69+F70</f>
        <v>38838157.606129028</v>
      </c>
      <c r="G71" s="366">
        <f t="shared" si="16"/>
        <v>39054274.803967625</v>
      </c>
      <c r="H71" s="366">
        <f t="shared" si="16"/>
        <v>39272175.072473593</v>
      </c>
      <c r="I71" s="366">
        <f t="shared" si="16"/>
        <v>39488687.23966185</v>
      </c>
      <c r="J71" s="366">
        <f t="shared" si="16"/>
        <v>39568358.911301546</v>
      </c>
      <c r="K71" s="366">
        <f t="shared" si="16"/>
        <v>39767813.632640243</v>
      </c>
      <c r="L71" s="366">
        <f t="shared" si="16"/>
        <v>39981458.758372314</v>
      </c>
      <c r="M71" s="366">
        <f t="shared" si="16"/>
        <v>40218177.88720908</v>
      </c>
      <c r="N71" s="366">
        <f t="shared" si="16"/>
        <v>40491885.487760112</v>
      </c>
      <c r="O71" s="366">
        <f t="shared" si="16"/>
        <v>40765807.343109407</v>
      </c>
      <c r="P71" s="366">
        <f t="shared" si="16"/>
        <v>41036746.037954807</v>
      </c>
      <c r="Q71" s="366">
        <f t="shared" si="16"/>
        <v>41312427.133733496</v>
      </c>
      <c r="R71" s="366">
        <f t="shared" si="15"/>
        <v>39878343.854708783</v>
      </c>
    </row>
    <row r="72" spans="1:62">
      <c r="B72" s="364"/>
      <c r="C72" s="364"/>
      <c r="D72" s="364"/>
      <c r="E72" s="364"/>
      <c r="F72" s="364"/>
      <c r="G72" s="364"/>
      <c r="H72" s="364"/>
      <c r="I72" s="364"/>
      <c r="J72" s="364"/>
      <c r="K72" s="364"/>
      <c r="L72" s="364"/>
      <c r="M72" s="364"/>
      <c r="N72" s="364"/>
      <c r="O72" s="364"/>
      <c r="P72" s="364"/>
      <c r="Q72" s="364"/>
      <c r="R72" s="364"/>
    </row>
    <row r="73" spans="1:62">
      <c r="B73" s="364"/>
      <c r="C73" s="364" t="s">
        <v>472</v>
      </c>
      <c r="D73" s="364"/>
      <c r="E73" s="366">
        <v>16469869.120000001</v>
      </c>
      <c r="F73" s="366">
        <v>16598426.969722128</v>
      </c>
      <c r="G73" s="366">
        <v>16713561.146437561</v>
      </c>
      <c r="H73" s="366">
        <v>16838078.360026028</v>
      </c>
      <c r="I73" s="366">
        <v>16897471.649564236</v>
      </c>
      <c r="J73" s="366">
        <v>17012692.844934791</v>
      </c>
      <c r="K73" s="366">
        <v>17068307.781354431</v>
      </c>
      <c r="L73" s="366">
        <v>17200113.179293308</v>
      </c>
      <c r="M73" s="366">
        <v>17309303.913722351</v>
      </c>
      <c r="N73" s="366">
        <v>17316749.360993564</v>
      </c>
      <c r="O73" s="366">
        <v>17436012.132215552</v>
      </c>
      <c r="P73" s="366">
        <v>17548641.038266215</v>
      </c>
      <c r="Q73" s="366">
        <v>17685960.82</v>
      </c>
      <c r="R73" s="366">
        <f t="shared" si="15"/>
        <v>17084245.255117703</v>
      </c>
    </row>
    <row r="74" spans="1:62">
      <c r="B74" s="364"/>
      <c r="C74" s="364" t="s">
        <v>473</v>
      </c>
      <c r="D74" s="364"/>
      <c r="E74" s="366">
        <v>4829044.7774567455</v>
      </c>
      <c r="F74" s="366">
        <v>4902572.7727545789</v>
      </c>
      <c r="G74" s="366">
        <v>4976100.8673246624</v>
      </c>
      <c r="H74" s="366">
        <v>5049628.9618947459</v>
      </c>
      <c r="I74" s="366">
        <v>5123157.0564648295</v>
      </c>
      <c r="J74" s="366">
        <v>5196679.8338336628</v>
      </c>
      <c r="K74" s="366">
        <v>5270275.8954035798</v>
      </c>
      <c r="L74" s="366">
        <v>5343871.9569734968</v>
      </c>
      <c r="M74" s="366">
        <v>5417468.0185434138</v>
      </c>
      <c r="N74" s="366">
        <v>5491064.0801133309</v>
      </c>
      <c r="O74" s="366">
        <v>5564651.5555806644</v>
      </c>
      <c r="P74" s="366">
        <v>5638239.031047998</v>
      </c>
      <c r="Q74" s="366">
        <v>5708808.6262953309</v>
      </c>
      <c r="R74" s="366">
        <f t="shared" si="15"/>
        <v>5270120.2641297719</v>
      </c>
    </row>
    <row r="75" spans="1:62">
      <c r="B75" s="364"/>
      <c r="C75" s="364" t="s">
        <v>474</v>
      </c>
      <c r="D75" s="364"/>
      <c r="E75" s="366">
        <f>E73+E74</f>
        <v>21298913.897456747</v>
      </c>
      <c r="F75" s="366">
        <f t="shared" ref="F75:Q75" si="17">F73+F74</f>
        <v>21500999.742476705</v>
      </c>
      <c r="G75" s="366">
        <f t="shared" si="17"/>
        <v>21689662.013762224</v>
      </c>
      <c r="H75" s="366">
        <f t="shared" si="17"/>
        <v>21887707.321920775</v>
      </c>
      <c r="I75" s="366">
        <f t="shared" si="17"/>
        <v>22020628.706029065</v>
      </c>
      <c r="J75" s="366">
        <f t="shared" si="17"/>
        <v>22209372.678768456</v>
      </c>
      <c r="K75" s="366">
        <f t="shared" si="17"/>
        <v>22338583.67675801</v>
      </c>
      <c r="L75" s="366">
        <f t="shared" si="17"/>
        <v>22543985.136266805</v>
      </c>
      <c r="M75" s="366">
        <f t="shared" si="17"/>
        <v>22726771.932265766</v>
      </c>
      <c r="N75" s="366">
        <f t="shared" si="17"/>
        <v>22807813.441106893</v>
      </c>
      <c r="O75" s="366">
        <f t="shared" si="17"/>
        <v>23000663.687796216</v>
      </c>
      <c r="P75" s="366">
        <f t="shared" si="17"/>
        <v>23186880.069314212</v>
      </c>
      <c r="Q75" s="366">
        <f t="shared" si="17"/>
        <v>23394769.446295332</v>
      </c>
      <c r="R75" s="366">
        <f t="shared" si="15"/>
        <v>22354365.519247476</v>
      </c>
    </row>
    <row r="76" spans="1:62">
      <c r="B76" s="364"/>
      <c r="C76" s="364"/>
      <c r="D76" s="364"/>
      <c r="E76" s="366"/>
      <c r="F76" s="366"/>
      <c r="G76" s="366"/>
      <c r="H76" s="366"/>
      <c r="I76" s="366"/>
      <c r="J76" s="366"/>
      <c r="K76" s="366"/>
      <c r="L76" s="366"/>
      <c r="M76" s="366"/>
      <c r="N76" s="366"/>
      <c r="O76" s="366"/>
      <c r="P76" s="366"/>
      <c r="Q76" s="366"/>
      <c r="R76" s="366"/>
    </row>
    <row r="77" spans="1:62">
      <c r="B77" s="364"/>
      <c r="C77" s="364" t="s">
        <v>475</v>
      </c>
      <c r="D77" s="364"/>
      <c r="E77" s="366">
        <v>1904067.88</v>
      </c>
      <c r="F77" s="366">
        <v>1937806.29</v>
      </c>
      <c r="G77" s="366">
        <v>1971545</v>
      </c>
      <c r="H77" s="366">
        <v>2005283.58</v>
      </c>
      <c r="I77" s="366">
        <v>2039022.16</v>
      </c>
      <c r="J77" s="366">
        <v>2072767.7000000002</v>
      </c>
      <c r="K77" s="366">
        <v>2060357.6800000002</v>
      </c>
      <c r="L77" s="366">
        <v>2093877.4100000001</v>
      </c>
      <c r="M77" s="366">
        <v>2127404.5500000003</v>
      </c>
      <c r="N77" s="366">
        <v>2160931.69</v>
      </c>
      <c r="O77" s="366">
        <v>2194470.0699999998</v>
      </c>
      <c r="P77" s="366">
        <v>2228019.6900000004</v>
      </c>
      <c r="Q77" s="366">
        <v>2261649.1800000002</v>
      </c>
      <c r="R77" s="366">
        <f t="shared" si="15"/>
        <v>2081323.2984615387</v>
      </c>
    </row>
    <row r="78" spans="1:62">
      <c r="B78" s="364"/>
      <c r="C78" s="364" t="s">
        <v>476</v>
      </c>
      <c r="D78" s="364"/>
      <c r="E78" s="366">
        <v>975648.20664000011</v>
      </c>
      <c r="F78" s="366">
        <v>987181.50846083346</v>
      </c>
      <c r="G78" s="366">
        <v>998714.71100941685</v>
      </c>
      <c r="H78" s="366">
        <v>1010247.9135580002</v>
      </c>
      <c r="I78" s="366">
        <v>1021781.1161065836</v>
      </c>
      <c r="J78" s="366">
        <v>1033319.6358564169</v>
      </c>
      <c r="K78" s="366">
        <v>1044784.8714051669</v>
      </c>
      <c r="L78" s="366">
        <v>1056250.1069539168</v>
      </c>
      <c r="M78" s="366">
        <v>1067715.3425026669</v>
      </c>
      <c r="N78" s="366">
        <v>1079180.5780514169</v>
      </c>
      <c r="O78" s="366">
        <v>1090654.3997027501</v>
      </c>
      <c r="P78" s="366">
        <v>1102128.2213540834</v>
      </c>
      <c r="Q78" s="366">
        <v>1113663.0662161668</v>
      </c>
      <c r="R78" s="366">
        <f t="shared" si="15"/>
        <v>1044713.0521398014</v>
      </c>
    </row>
    <row r="79" spans="1:62">
      <c r="B79" s="364"/>
      <c r="C79" s="364" t="s">
        <v>477</v>
      </c>
      <c r="D79" s="364"/>
      <c r="E79" s="366">
        <f t="shared" ref="E79:Q79" si="18">E77+E78</f>
        <v>2879716.0866399999</v>
      </c>
      <c r="F79" s="366">
        <f t="shared" si="18"/>
        <v>2924987.7984608337</v>
      </c>
      <c r="G79" s="366">
        <f t="shared" si="18"/>
        <v>2970259.7110094167</v>
      </c>
      <c r="H79" s="366">
        <f t="shared" si="18"/>
        <v>3015531.4935580003</v>
      </c>
      <c r="I79" s="366">
        <f t="shared" si="18"/>
        <v>3060803.2761065834</v>
      </c>
      <c r="J79" s="366">
        <f t="shared" si="18"/>
        <v>3106087.3358564172</v>
      </c>
      <c r="K79" s="366">
        <f t="shared" si="18"/>
        <v>3105142.5514051672</v>
      </c>
      <c r="L79" s="366">
        <f t="shared" si="18"/>
        <v>3150127.5169539172</v>
      </c>
      <c r="M79" s="366">
        <f t="shared" si="18"/>
        <v>3195119.8925026674</v>
      </c>
      <c r="N79" s="366">
        <f t="shared" si="18"/>
        <v>3240112.2680514166</v>
      </c>
      <c r="O79" s="366">
        <f t="shared" si="18"/>
        <v>3285124.46970275</v>
      </c>
      <c r="P79" s="366">
        <f t="shared" si="18"/>
        <v>3330147.9113540836</v>
      </c>
      <c r="Q79" s="366">
        <f t="shared" si="18"/>
        <v>3375312.2462161668</v>
      </c>
      <c r="R79" s="366">
        <f t="shared" si="15"/>
        <v>3126036.3506013397</v>
      </c>
    </row>
    <row r="80" spans="1:62">
      <c r="B80" s="364"/>
      <c r="C80" s="364"/>
      <c r="D80" s="364"/>
      <c r="E80" s="364"/>
      <c r="F80" s="364"/>
      <c r="G80" s="364"/>
      <c r="H80" s="364"/>
      <c r="I80" s="364"/>
      <c r="J80" s="364"/>
      <c r="K80" s="364"/>
      <c r="L80" s="364"/>
      <c r="M80" s="364"/>
      <c r="N80" s="364"/>
      <c r="O80" s="364"/>
      <c r="P80" s="364"/>
      <c r="Q80" s="364"/>
      <c r="R80" s="364"/>
    </row>
    <row r="81" spans="2:18">
      <c r="B81" s="364"/>
      <c r="C81" s="364"/>
      <c r="D81" s="364"/>
      <c r="E81" s="364"/>
      <c r="F81" s="364"/>
      <c r="G81" s="364"/>
      <c r="H81" s="364"/>
      <c r="I81" s="364"/>
      <c r="J81" s="364"/>
      <c r="K81" s="364"/>
      <c r="L81" s="364"/>
      <c r="M81" s="364"/>
      <c r="N81" s="364"/>
      <c r="O81" s="364"/>
      <c r="P81" s="364"/>
      <c r="Q81" s="364"/>
      <c r="R81" s="364"/>
    </row>
  </sheetData>
  <mergeCells count="6">
    <mergeCell ref="A4:I4"/>
    <mergeCell ref="A5:I5"/>
    <mergeCell ref="A7:I7"/>
    <mergeCell ref="J4:R4"/>
    <mergeCell ref="J5:R5"/>
    <mergeCell ref="J7:R7"/>
  </mergeCells>
  <phoneticPr fontId="21" type="noConversion"/>
  <printOptions horizontalCentered="1"/>
  <pageMargins left="0.5" right="0.5" top="0.75" bottom="0.75" header="0.5" footer="0.5"/>
  <pageSetup scale="52" fitToWidth="2" fitToHeight="5" orientation="portrait" r:id="rId1"/>
  <headerFooter alignWithMargins="0">
    <oddHeader>&amp;L&amp;10 2016 BHP-Workpaper 6 Rate True-Up&amp;C&amp;"Arial MT,Bold"
ACTUAL SERVICE YEAR ATRR
BLACK HILLS POWER, INC.&amp;R&amp;10Page &amp;P of &amp;N</oddHeader>
    <oddFooter xml:space="preserve">&amp;L&amp;9
</oddFooter>
  </headerFooter>
  <rowBreaks count="1" manualBreakCount="1">
    <brk id="43" max="1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CCFFCC"/>
    <pageSetUpPr fitToPage="1"/>
  </sheetPr>
  <dimension ref="A1:L206"/>
  <sheetViews>
    <sheetView zoomScaleNormal="100" workbookViewId="0"/>
  </sheetViews>
  <sheetFormatPr defaultColWidth="7.109375" defaultRowHeight="12.75"/>
  <cols>
    <col min="1" max="1" width="4.77734375" style="68" customWidth="1"/>
    <col min="2" max="2" width="15.6640625" style="68" customWidth="1"/>
    <col min="3" max="3" width="7.109375" style="68" customWidth="1"/>
    <col min="4" max="4" width="8.77734375" style="68" customWidth="1"/>
    <col min="5" max="5" width="7.88671875" style="68" customWidth="1"/>
    <col min="6" max="6" width="7.6640625" style="68" customWidth="1"/>
    <col min="7" max="7" width="10.33203125" style="68" customWidth="1"/>
    <col min="8" max="8" width="13" style="68" customWidth="1"/>
    <col min="9" max="9" width="11.77734375" style="68" customWidth="1"/>
    <col min="10" max="10" width="11.21875" style="68" customWidth="1"/>
    <col min="11" max="11" width="8" style="68" customWidth="1"/>
    <col min="12" max="16384" width="7.109375" style="68"/>
  </cols>
  <sheetData>
    <row r="1" spans="1:11">
      <c r="K1" s="62"/>
    </row>
    <row r="2" spans="1:11">
      <c r="B2" s="39"/>
      <c r="C2" s="40"/>
      <c r="D2" s="40"/>
      <c r="E2" s="40"/>
      <c r="F2" s="40"/>
      <c r="G2" s="40"/>
      <c r="H2" s="40"/>
      <c r="J2" s="327" t="str">
        <f>+'CU AC Rate Design - True-Up'!H1</f>
        <v>Date: May 31, 2017</v>
      </c>
    </row>
    <row r="3" spans="1:11" ht="15" customHeight="1">
      <c r="A3" s="370" t="s">
        <v>360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1" ht="15" customHeight="1">
      <c r="A4" s="370" t="s">
        <v>77</v>
      </c>
      <c r="B4" s="370"/>
      <c r="C4" s="370"/>
      <c r="D4" s="370"/>
      <c r="E4" s="370"/>
      <c r="F4" s="370"/>
      <c r="G4" s="370"/>
      <c r="H4" s="370"/>
      <c r="I4" s="370"/>
      <c r="J4" s="370"/>
    </row>
    <row r="5" spans="1:11">
      <c r="B5" s="39"/>
      <c r="C5" s="40"/>
      <c r="D5" s="63"/>
      <c r="E5" s="40"/>
      <c r="G5" s="40"/>
      <c r="H5" s="40"/>
      <c r="I5" s="40"/>
      <c r="J5" s="40"/>
    </row>
    <row r="6" spans="1:11" ht="18.75">
      <c r="A6" s="145" t="s">
        <v>196</v>
      </c>
      <c r="B6" s="39"/>
      <c r="C6" s="40"/>
      <c r="D6" s="380" t="s">
        <v>439</v>
      </c>
      <c r="E6" s="381"/>
      <c r="F6" s="381"/>
      <c r="G6" s="381"/>
      <c r="H6" s="382"/>
      <c r="I6" s="40"/>
      <c r="J6" s="40"/>
    </row>
    <row r="7" spans="1:11" ht="13.5" thickBot="1">
      <c r="A7" s="146" t="s">
        <v>197</v>
      </c>
    </row>
    <row r="8" spans="1:11" ht="15">
      <c r="A8" s="143">
        <v>1</v>
      </c>
      <c r="B8" s="66"/>
      <c r="C8" s="67"/>
      <c r="D8" s="108" t="s">
        <v>69</v>
      </c>
      <c r="E8" s="94" t="s">
        <v>94</v>
      </c>
      <c r="F8" s="94" t="s">
        <v>95</v>
      </c>
      <c r="G8" s="95" t="s">
        <v>96</v>
      </c>
      <c r="H8" s="108" t="s">
        <v>139</v>
      </c>
      <c r="I8" s="108" t="s">
        <v>1</v>
      </c>
      <c r="J8" s="94" t="s">
        <v>326</v>
      </c>
      <c r="K8"/>
    </row>
    <row r="9" spans="1:11" ht="15">
      <c r="A9" s="143">
        <f>A8+1</f>
        <v>2</v>
      </c>
      <c r="B9" s="69"/>
      <c r="C9" s="70"/>
      <c r="D9" s="96" t="s">
        <v>326</v>
      </c>
      <c r="E9" s="96" t="s">
        <v>326</v>
      </c>
      <c r="F9" s="96" t="s">
        <v>97</v>
      </c>
      <c r="G9" s="97" t="s">
        <v>98</v>
      </c>
      <c r="H9" s="98" t="s">
        <v>140</v>
      </c>
      <c r="I9" s="98" t="s">
        <v>2</v>
      </c>
      <c r="J9" s="98" t="s">
        <v>109</v>
      </c>
      <c r="K9"/>
    </row>
    <row r="10" spans="1:11" ht="15.75" thickBot="1">
      <c r="A10" s="143">
        <f t="shared" ref="A10:A47" si="0">A9+1</f>
        <v>3</v>
      </c>
      <c r="B10" s="71"/>
      <c r="C10" s="72"/>
      <c r="D10" s="99" t="s">
        <v>99</v>
      </c>
      <c r="E10" s="96" t="s">
        <v>99</v>
      </c>
      <c r="F10" s="99" t="s">
        <v>99</v>
      </c>
      <c r="G10" s="100" t="s">
        <v>99</v>
      </c>
      <c r="H10" s="109" t="s">
        <v>99</v>
      </c>
      <c r="I10" s="109" t="s">
        <v>99</v>
      </c>
      <c r="J10" s="98" t="s">
        <v>110</v>
      </c>
      <c r="K10"/>
    </row>
    <row r="11" spans="1:11" ht="15">
      <c r="A11" s="143">
        <f t="shared" si="0"/>
        <v>4</v>
      </c>
      <c r="B11" s="110" t="s">
        <v>159</v>
      </c>
      <c r="C11" s="111"/>
      <c r="D11" s="355">
        <v>273</v>
      </c>
      <c r="E11" s="94">
        <v>332</v>
      </c>
      <c r="F11" s="356">
        <v>3</v>
      </c>
      <c r="G11" s="94">
        <v>54</v>
      </c>
      <c r="H11" s="95">
        <v>130</v>
      </c>
      <c r="I11" s="355">
        <v>80</v>
      </c>
      <c r="J11" s="94">
        <f>SUM(D11:I11)</f>
        <v>872</v>
      </c>
      <c r="K11"/>
    </row>
    <row r="12" spans="1:11" ht="15">
      <c r="A12" s="143">
        <f t="shared" si="0"/>
        <v>5</v>
      </c>
      <c r="B12" s="110" t="s">
        <v>179</v>
      </c>
      <c r="C12" s="112"/>
      <c r="D12" s="357">
        <v>267</v>
      </c>
      <c r="E12" s="96">
        <v>311</v>
      </c>
      <c r="F12" s="358">
        <v>3</v>
      </c>
      <c r="G12" s="96">
        <v>52</v>
      </c>
      <c r="H12" s="97">
        <v>130</v>
      </c>
      <c r="I12" s="357">
        <v>80</v>
      </c>
      <c r="J12" s="96">
        <f t="shared" ref="J12:J21" si="1">SUM(D12:I12)</f>
        <v>843</v>
      </c>
      <c r="K12"/>
    </row>
    <row r="13" spans="1:11" ht="15">
      <c r="A13" s="143">
        <f t="shared" si="0"/>
        <v>6</v>
      </c>
      <c r="B13" s="110" t="s">
        <v>180</v>
      </c>
      <c r="C13" s="112"/>
      <c r="D13" s="357">
        <v>229</v>
      </c>
      <c r="E13" s="96">
        <v>285</v>
      </c>
      <c r="F13" s="358">
        <v>2</v>
      </c>
      <c r="G13" s="96">
        <v>43</v>
      </c>
      <c r="H13" s="97">
        <v>130</v>
      </c>
      <c r="I13" s="357">
        <v>80</v>
      </c>
      <c r="J13" s="96">
        <f t="shared" si="1"/>
        <v>769</v>
      </c>
      <c r="K13"/>
    </row>
    <row r="14" spans="1:11" ht="15">
      <c r="A14" s="143">
        <f t="shared" si="0"/>
        <v>7</v>
      </c>
      <c r="B14" s="110" t="s">
        <v>190</v>
      </c>
      <c r="C14" s="112"/>
      <c r="D14" s="357">
        <v>223</v>
      </c>
      <c r="E14" s="96">
        <v>250</v>
      </c>
      <c r="F14" s="358">
        <v>2</v>
      </c>
      <c r="G14" s="96">
        <v>39</v>
      </c>
      <c r="H14" s="97">
        <v>130</v>
      </c>
      <c r="I14" s="357">
        <v>80</v>
      </c>
      <c r="J14" s="96">
        <f t="shared" si="1"/>
        <v>724</v>
      </c>
      <c r="K14"/>
    </row>
    <row r="15" spans="1:11" ht="15">
      <c r="A15" s="143">
        <f t="shared" si="0"/>
        <v>8</v>
      </c>
      <c r="B15" s="110" t="s">
        <v>191</v>
      </c>
      <c r="C15" s="112"/>
      <c r="D15" s="357">
        <v>225</v>
      </c>
      <c r="E15" s="96">
        <v>209</v>
      </c>
      <c r="F15" s="358">
        <v>3</v>
      </c>
      <c r="G15" s="96">
        <v>37</v>
      </c>
      <c r="H15" s="97">
        <v>130</v>
      </c>
      <c r="I15" s="357">
        <v>80</v>
      </c>
      <c r="J15" s="96">
        <f t="shared" si="1"/>
        <v>684</v>
      </c>
      <c r="K15"/>
    </row>
    <row r="16" spans="1:11" ht="15">
      <c r="A16" s="143">
        <f t="shared" si="0"/>
        <v>9</v>
      </c>
      <c r="B16" s="110" t="s">
        <v>192</v>
      </c>
      <c r="C16" s="112"/>
      <c r="D16" s="357">
        <v>291</v>
      </c>
      <c r="E16" s="96">
        <v>265</v>
      </c>
      <c r="F16" s="358">
        <v>3</v>
      </c>
      <c r="G16" s="96">
        <v>57</v>
      </c>
      <c r="H16" s="97">
        <v>130</v>
      </c>
      <c r="I16" s="357">
        <v>80</v>
      </c>
      <c r="J16" s="96">
        <f t="shared" si="1"/>
        <v>826</v>
      </c>
      <c r="K16"/>
    </row>
    <row r="17" spans="1:12" ht="15">
      <c r="A17" s="143">
        <f t="shared" si="0"/>
        <v>10</v>
      </c>
      <c r="B17" s="110" t="s">
        <v>181</v>
      </c>
      <c r="C17" s="112"/>
      <c r="D17" s="357">
        <v>357</v>
      </c>
      <c r="E17" s="96">
        <v>275</v>
      </c>
      <c r="F17" s="358">
        <v>4</v>
      </c>
      <c r="G17" s="96">
        <v>77</v>
      </c>
      <c r="H17" s="97">
        <v>130</v>
      </c>
      <c r="I17" s="357">
        <v>80</v>
      </c>
      <c r="J17" s="96">
        <f t="shared" si="1"/>
        <v>923</v>
      </c>
      <c r="K17"/>
    </row>
    <row r="18" spans="1:12" ht="15">
      <c r="A18" s="143">
        <f t="shared" si="0"/>
        <v>11</v>
      </c>
      <c r="B18" s="110" t="s">
        <v>156</v>
      </c>
      <c r="C18" s="112"/>
      <c r="D18" s="357">
        <v>336</v>
      </c>
      <c r="E18" s="96">
        <v>292</v>
      </c>
      <c r="F18" s="358">
        <v>4</v>
      </c>
      <c r="G18" s="96">
        <v>66</v>
      </c>
      <c r="H18" s="97">
        <v>130</v>
      </c>
      <c r="I18" s="357">
        <v>80</v>
      </c>
      <c r="J18" s="96">
        <f t="shared" si="1"/>
        <v>908</v>
      </c>
      <c r="K18"/>
    </row>
    <row r="19" spans="1:12" ht="15">
      <c r="A19" s="143">
        <f t="shared" si="0"/>
        <v>12</v>
      </c>
      <c r="B19" s="110" t="s">
        <v>182</v>
      </c>
      <c r="C19" s="112"/>
      <c r="D19" s="357">
        <v>247</v>
      </c>
      <c r="E19" s="96">
        <v>283</v>
      </c>
      <c r="F19" s="358">
        <v>4</v>
      </c>
      <c r="G19" s="96">
        <v>45</v>
      </c>
      <c r="H19" s="97">
        <v>234</v>
      </c>
      <c r="I19" s="357">
        <v>80</v>
      </c>
      <c r="J19" s="96">
        <f t="shared" si="1"/>
        <v>893</v>
      </c>
      <c r="K19"/>
    </row>
    <row r="20" spans="1:12" ht="15">
      <c r="A20" s="143">
        <f t="shared" si="0"/>
        <v>13</v>
      </c>
      <c r="B20" s="110" t="s">
        <v>157</v>
      </c>
      <c r="C20" s="112"/>
      <c r="D20" s="357">
        <v>235</v>
      </c>
      <c r="E20" s="96">
        <v>268</v>
      </c>
      <c r="F20" s="358">
        <v>3</v>
      </c>
      <c r="G20" s="96">
        <v>42</v>
      </c>
      <c r="H20" s="97">
        <v>260</v>
      </c>
      <c r="I20" s="357">
        <v>80</v>
      </c>
      <c r="J20" s="96">
        <f t="shared" si="1"/>
        <v>888</v>
      </c>
      <c r="K20"/>
    </row>
    <row r="21" spans="1:12" ht="15">
      <c r="A21" s="143">
        <f t="shared" si="0"/>
        <v>14</v>
      </c>
      <c r="B21" s="110" t="s">
        <v>158</v>
      </c>
      <c r="C21" s="112"/>
      <c r="D21" s="357">
        <v>210</v>
      </c>
      <c r="E21" s="96">
        <v>306</v>
      </c>
      <c r="F21" s="358">
        <v>2</v>
      </c>
      <c r="G21" s="96">
        <v>35</v>
      </c>
      <c r="H21" s="97">
        <v>260</v>
      </c>
      <c r="I21" s="357">
        <v>80</v>
      </c>
      <c r="J21" s="96">
        <f t="shared" si="1"/>
        <v>893</v>
      </c>
      <c r="K21"/>
    </row>
    <row r="22" spans="1:12" ht="15.75" thickBot="1">
      <c r="A22" s="143">
        <f t="shared" si="0"/>
        <v>15</v>
      </c>
      <c r="B22" s="113" t="s">
        <v>183</v>
      </c>
      <c r="C22" s="114"/>
      <c r="D22" s="359">
        <v>300</v>
      </c>
      <c r="E22" s="99">
        <v>348</v>
      </c>
      <c r="F22" s="360">
        <v>3</v>
      </c>
      <c r="G22" s="99">
        <v>54</v>
      </c>
      <c r="H22" s="360">
        <v>260</v>
      </c>
      <c r="I22" s="359">
        <v>80</v>
      </c>
      <c r="J22" s="99">
        <f>SUM(D22:I22)</f>
        <v>1045</v>
      </c>
      <c r="K22"/>
    </row>
    <row r="23" spans="1:12" ht="15.75" thickBot="1">
      <c r="A23" s="143">
        <f t="shared" si="0"/>
        <v>16</v>
      </c>
      <c r="B23" s="74"/>
      <c r="C23" s="73"/>
      <c r="D23" s="101"/>
      <c r="E23" s="101"/>
      <c r="F23" s="101"/>
      <c r="G23" s="96"/>
      <c r="H23" s="97"/>
      <c r="I23" s="99"/>
      <c r="J23" s="101"/>
      <c r="K23"/>
    </row>
    <row r="24" spans="1:12" ht="15.75" thickBot="1">
      <c r="A24" s="143">
        <f t="shared" si="0"/>
        <v>17</v>
      </c>
      <c r="B24" s="78" t="s">
        <v>118</v>
      </c>
      <c r="C24" s="75"/>
      <c r="D24" s="298">
        <f t="shared" ref="D24:J24" si="2">SUM(D11:D22)/12</f>
        <v>266.08333333333331</v>
      </c>
      <c r="E24" s="298">
        <f t="shared" si="2"/>
        <v>285.33333333333331</v>
      </c>
      <c r="F24" s="298">
        <f t="shared" si="2"/>
        <v>3</v>
      </c>
      <c r="G24" s="298">
        <f t="shared" si="2"/>
        <v>50.083333333333336</v>
      </c>
      <c r="H24" s="298">
        <f>SUM(H11:H22)/12</f>
        <v>171.16666666666666</v>
      </c>
      <c r="I24" s="102">
        <f t="shared" si="2"/>
        <v>80</v>
      </c>
      <c r="J24" s="102">
        <f t="shared" si="2"/>
        <v>855.66666666666663</v>
      </c>
      <c r="K24"/>
    </row>
    <row r="25" spans="1:12">
      <c r="A25" s="143">
        <f t="shared" si="0"/>
        <v>18</v>
      </c>
      <c r="D25" s="299"/>
      <c r="E25" s="299"/>
      <c r="F25" s="299"/>
      <c r="G25" s="299"/>
      <c r="H25" s="299"/>
    </row>
    <row r="26" spans="1:12" ht="18.75">
      <c r="A26" s="143">
        <f t="shared" si="0"/>
        <v>19</v>
      </c>
      <c r="B26" s="39"/>
      <c r="C26" s="40"/>
      <c r="D26" s="383" t="s">
        <v>440</v>
      </c>
      <c r="E26" s="384"/>
      <c r="F26" s="384"/>
      <c r="G26" s="384"/>
      <c r="H26" s="385"/>
      <c r="I26" s="40"/>
    </row>
    <row r="27" spans="1:12" ht="13.5" thickBot="1">
      <c r="A27" s="143">
        <f t="shared" si="0"/>
        <v>20</v>
      </c>
      <c r="D27" s="299"/>
      <c r="E27" s="299"/>
      <c r="F27" s="299"/>
      <c r="G27" s="299"/>
      <c r="H27" s="299"/>
    </row>
    <row r="28" spans="1:12">
      <c r="A28" s="143">
        <f t="shared" si="0"/>
        <v>21</v>
      </c>
      <c r="B28" s="66"/>
      <c r="C28" s="67"/>
      <c r="D28" s="300" t="s">
        <v>69</v>
      </c>
      <c r="E28" s="246" t="s">
        <v>94</v>
      </c>
      <c r="F28" s="246" t="s">
        <v>95</v>
      </c>
      <c r="G28" s="296" t="s">
        <v>96</v>
      </c>
      <c r="H28" s="300" t="s">
        <v>139</v>
      </c>
      <c r="I28" s="108" t="s">
        <v>1</v>
      </c>
      <c r="J28" s="94" t="s">
        <v>326</v>
      </c>
    </row>
    <row r="29" spans="1:12">
      <c r="A29" s="143">
        <f t="shared" si="0"/>
        <v>22</v>
      </c>
      <c r="B29" s="69"/>
      <c r="C29" s="70"/>
      <c r="D29" s="247" t="s">
        <v>326</v>
      </c>
      <c r="E29" s="247" t="s">
        <v>326</v>
      </c>
      <c r="F29" s="247" t="s">
        <v>97</v>
      </c>
      <c r="G29" s="297" t="s">
        <v>98</v>
      </c>
      <c r="H29" s="301" t="s">
        <v>140</v>
      </c>
      <c r="I29" s="98" t="s">
        <v>2</v>
      </c>
      <c r="J29" s="98" t="s">
        <v>109</v>
      </c>
    </row>
    <row r="30" spans="1:12" ht="13.5" thickBot="1">
      <c r="A30" s="143">
        <f t="shared" si="0"/>
        <v>23</v>
      </c>
      <c r="B30" s="71"/>
      <c r="C30" s="72"/>
      <c r="D30" s="248" t="s">
        <v>99</v>
      </c>
      <c r="E30" s="247" t="s">
        <v>99</v>
      </c>
      <c r="F30" s="248" t="s">
        <v>99</v>
      </c>
      <c r="G30" s="302" t="s">
        <v>99</v>
      </c>
      <c r="H30" s="303" t="s">
        <v>99</v>
      </c>
      <c r="I30" s="109" t="s">
        <v>99</v>
      </c>
      <c r="J30" s="109" t="s">
        <v>110</v>
      </c>
    </row>
    <row r="31" spans="1:12">
      <c r="A31" s="143">
        <f t="shared" si="0"/>
        <v>24</v>
      </c>
      <c r="B31" s="110" t="s">
        <v>159</v>
      </c>
      <c r="C31" s="111"/>
      <c r="D31" s="355">
        <v>313</v>
      </c>
      <c r="E31" s="322">
        <v>383</v>
      </c>
      <c r="F31" s="356">
        <v>2</v>
      </c>
      <c r="G31" s="94">
        <v>62</v>
      </c>
      <c r="H31" s="95">
        <v>130</v>
      </c>
      <c r="I31" s="355">
        <v>80</v>
      </c>
      <c r="J31" s="322">
        <f t="shared" ref="J31:J42" si="3">SUM(D31:I31)</f>
        <v>970</v>
      </c>
      <c r="K31" s="73"/>
      <c r="L31" s="80"/>
    </row>
    <row r="32" spans="1:12">
      <c r="A32" s="143">
        <f t="shared" si="0"/>
        <v>25</v>
      </c>
      <c r="B32" s="110" t="s">
        <v>179</v>
      </c>
      <c r="C32" s="112"/>
      <c r="D32" s="357">
        <v>300</v>
      </c>
      <c r="E32" s="323">
        <v>374</v>
      </c>
      <c r="F32" s="358">
        <v>2</v>
      </c>
      <c r="G32" s="96">
        <v>56</v>
      </c>
      <c r="H32" s="97">
        <v>130</v>
      </c>
      <c r="I32" s="357">
        <v>80</v>
      </c>
      <c r="J32" s="323">
        <f t="shared" si="3"/>
        <v>942</v>
      </c>
      <c r="K32" s="73"/>
    </row>
    <row r="33" spans="1:11">
      <c r="A33" s="143">
        <f t="shared" si="0"/>
        <v>26</v>
      </c>
      <c r="B33" s="110" t="s">
        <v>180</v>
      </c>
      <c r="C33" s="112"/>
      <c r="D33" s="357">
        <v>291</v>
      </c>
      <c r="E33" s="323">
        <v>374</v>
      </c>
      <c r="F33" s="358">
        <v>2</v>
      </c>
      <c r="G33" s="96">
        <v>46</v>
      </c>
      <c r="H33" s="97">
        <v>130</v>
      </c>
      <c r="I33" s="357">
        <v>80</v>
      </c>
      <c r="J33" s="323">
        <f t="shared" si="3"/>
        <v>923</v>
      </c>
      <c r="K33" s="73"/>
    </row>
    <row r="34" spans="1:11">
      <c r="A34" s="143">
        <f t="shared" si="0"/>
        <v>27</v>
      </c>
      <c r="B34" s="110" t="s">
        <v>190</v>
      </c>
      <c r="C34" s="112"/>
      <c r="D34" s="357">
        <v>242</v>
      </c>
      <c r="E34" s="323">
        <v>345</v>
      </c>
      <c r="F34" s="358">
        <v>3</v>
      </c>
      <c r="G34" s="96">
        <v>43</v>
      </c>
      <c r="H34" s="97">
        <v>130</v>
      </c>
      <c r="I34" s="357">
        <v>80</v>
      </c>
      <c r="J34" s="323">
        <f t="shared" si="3"/>
        <v>843</v>
      </c>
      <c r="K34" s="73"/>
    </row>
    <row r="35" spans="1:11">
      <c r="A35" s="143">
        <f t="shared" si="0"/>
        <v>28</v>
      </c>
      <c r="B35" s="110" t="s">
        <v>191</v>
      </c>
      <c r="C35" s="112"/>
      <c r="D35" s="357">
        <v>265</v>
      </c>
      <c r="E35" s="323">
        <v>304</v>
      </c>
      <c r="F35" s="358">
        <v>3</v>
      </c>
      <c r="G35" s="96">
        <v>48</v>
      </c>
      <c r="H35" s="97">
        <v>130</v>
      </c>
      <c r="I35" s="357">
        <v>80</v>
      </c>
      <c r="J35" s="323">
        <f t="shared" si="3"/>
        <v>830</v>
      </c>
      <c r="K35" s="73"/>
    </row>
    <row r="36" spans="1:11">
      <c r="A36" s="143">
        <f t="shared" si="0"/>
        <v>29</v>
      </c>
      <c r="B36" s="110" t="s">
        <v>192</v>
      </c>
      <c r="C36" s="112"/>
      <c r="D36" s="357">
        <v>276</v>
      </c>
      <c r="E36" s="323">
        <v>294</v>
      </c>
      <c r="F36" s="358">
        <v>3</v>
      </c>
      <c r="G36" s="96">
        <v>59</v>
      </c>
      <c r="H36" s="97">
        <v>260</v>
      </c>
      <c r="I36" s="357">
        <v>80</v>
      </c>
      <c r="J36" s="323">
        <f t="shared" si="3"/>
        <v>972</v>
      </c>
      <c r="K36" s="73"/>
    </row>
    <row r="37" spans="1:11">
      <c r="A37" s="143">
        <f t="shared" si="0"/>
        <v>30</v>
      </c>
      <c r="B37" s="110" t="s">
        <v>181</v>
      </c>
      <c r="C37" s="112"/>
      <c r="D37" s="357">
        <v>333</v>
      </c>
      <c r="E37" s="323">
        <v>310</v>
      </c>
      <c r="F37" s="358">
        <v>4</v>
      </c>
      <c r="G37" s="96">
        <v>67</v>
      </c>
      <c r="H37" s="97">
        <v>260</v>
      </c>
      <c r="I37" s="357">
        <v>80</v>
      </c>
      <c r="J37" s="323">
        <f t="shared" si="3"/>
        <v>1054</v>
      </c>
      <c r="K37" s="73"/>
    </row>
    <row r="38" spans="1:11">
      <c r="A38" s="143">
        <f t="shared" si="0"/>
        <v>31</v>
      </c>
      <c r="B38" s="110" t="s">
        <v>156</v>
      </c>
      <c r="C38" s="112"/>
      <c r="D38" s="357">
        <v>319</v>
      </c>
      <c r="E38" s="323">
        <v>322</v>
      </c>
      <c r="F38" s="358">
        <v>4</v>
      </c>
      <c r="G38" s="96">
        <v>63</v>
      </c>
      <c r="H38" s="97">
        <v>260</v>
      </c>
      <c r="I38" s="357">
        <v>80</v>
      </c>
      <c r="J38" s="323">
        <f t="shared" si="3"/>
        <v>1048</v>
      </c>
      <c r="K38" s="73"/>
    </row>
    <row r="39" spans="1:11">
      <c r="A39" s="143">
        <f t="shared" si="0"/>
        <v>32</v>
      </c>
      <c r="B39" s="110" t="s">
        <v>182</v>
      </c>
      <c r="C39" s="112"/>
      <c r="D39" s="357">
        <v>317</v>
      </c>
      <c r="E39" s="323">
        <v>316</v>
      </c>
      <c r="F39" s="358">
        <v>4</v>
      </c>
      <c r="G39" s="96">
        <v>68</v>
      </c>
      <c r="H39" s="97">
        <v>260</v>
      </c>
      <c r="I39" s="357">
        <v>80</v>
      </c>
      <c r="J39" s="323">
        <f t="shared" si="3"/>
        <v>1045</v>
      </c>
      <c r="K39" s="73"/>
    </row>
    <row r="40" spans="1:11">
      <c r="A40" s="143">
        <f t="shared" si="0"/>
        <v>33</v>
      </c>
      <c r="B40" s="110" t="s">
        <v>157</v>
      </c>
      <c r="C40" s="112"/>
      <c r="D40" s="357">
        <v>254</v>
      </c>
      <c r="E40" s="323">
        <v>320</v>
      </c>
      <c r="F40" s="358">
        <v>3</v>
      </c>
      <c r="G40" s="96">
        <v>47</v>
      </c>
      <c r="H40" s="97">
        <v>260</v>
      </c>
      <c r="I40" s="357">
        <v>80</v>
      </c>
      <c r="J40" s="323">
        <f t="shared" si="3"/>
        <v>964</v>
      </c>
      <c r="K40" s="73"/>
    </row>
    <row r="41" spans="1:11">
      <c r="A41" s="143">
        <f t="shared" si="0"/>
        <v>34</v>
      </c>
      <c r="B41" s="110" t="s">
        <v>158</v>
      </c>
      <c r="C41" s="112"/>
      <c r="D41" s="357">
        <v>284</v>
      </c>
      <c r="E41" s="323">
        <v>369</v>
      </c>
      <c r="F41" s="358">
        <v>2</v>
      </c>
      <c r="G41" s="96">
        <v>58</v>
      </c>
      <c r="H41" s="97">
        <v>260</v>
      </c>
      <c r="I41" s="357">
        <v>80</v>
      </c>
      <c r="J41" s="323">
        <f t="shared" si="3"/>
        <v>1053</v>
      </c>
      <c r="K41" s="73"/>
    </row>
    <row r="42" spans="1:11" ht="13.5" thickBot="1">
      <c r="A42" s="143">
        <f t="shared" si="0"/>
        <v>35</v>
      </c>
      <c r="B42" s="113" t="s">
        <v>183</v>
      </c>
      <c r="C42" s="114"/>
      <c r="D42" s="359">
        <v>318</v>
      </c>
      <c r="E42" s="324">
        <v>380</v>
      </c>
      <c r="F42" s="360">
        <v>2</v>
      </c>
      <c r="G42" s="99">
        <v>68</v>
      </c>
      <c r="H42" s="360">
        <v>260</v>
      </c>
      <c r="I42" s="359">
        <v>80</v>
      </c>
      <c r="J42" s="324">
        <f t="shared" si="3"/>
        <v>1108</v>
      </c>
      <c r="K42" s="73"/>
    </row>
    <row r="43" spans="1:11" ht="13.5" thickBot="1">
      <c r="A43" s="143">
        <f t="shared" si="0"/>
        <v>36</v>
      </c>
      <c r="B43" s="74"/>
      <c r="C43" s="73"/>
      <c r="D43" s="101"/>
      <c r="E43" s="101"/>
      <c r="F43" s="101"/>
      <c r="G43" s="96"/>
      <c r="H43" s="97"/>
      <c r="I43" s="99"/>
      <c r="J43" s="325"/>
      <c r="K43" s="73"/>
    </row>
    <row r="44" spans="1:11" ht="13.5" thickBot="1">
      <c r="A44" s="143">
        <f t="shared" si="0"/>
        <v>37</v>
      </c>
      <c r="B44" s="78" t="s">
        <v>118</v>
      </c>
      <c r="C44" s="75"/>
      <c r="D44" s="102">
        <f t="shared" ref="D44:J44" si="4">SUM(D31:D42)/12</f>
        <v>292.66666666666669</v>
      </c>
      <c r="E44" s="102">
        <f t="shared" si="4"/>
        <v>340.91666666666669</v>
      </c>
      <c r="F44" s="102">
        <f t="shared" si="4"/>
        <v>2.8333333333333335</v>
      </c>
      <c r="G44" s="102">
        <f t="shared" si="4"/>
        <v>57.083333333333336</v>
      </c>
      <c r="H44" s="102">
        <f t="shared" si="4"/>
        <v>205.83333333333334</v>
      </c>
      <c r="I44" s="102">
        <f t="shared" si="4"/>
        <v>80</v>
      </c>
      <c r="J44" s="102">
        <f t="shared" si="4"/>
        <v>979.33333333333337</v>
      </c>
      <c r="K44" s="305"/>
    </row>
    <row r="45" spans="1:11">
      <c r="A45" s="143">
        <f t="shared" si="0"/>
        <v>38</v>
      </c>
    </row>
    <row r="46" spans="1:11">
      <c r="A46" s="143">
        <f t="shared" si="0"/>
        <v>39</v>
      </c>
      <c r="B46" s="82" t="s">
        <v>411</v>
      </c>
      <c r="C46" s="80"/>
      <c r="D46" s="76"/>
      <c r="E46" s="76"/>
      <c r="F46" s="76"/>
      <c r="G46" s="179"/>
      <c r="H46" s="179"/>
      <c r="I46" s="77"/>
    </row>
    <row r="47" spans="1:11">
      <c r="A47" s="143">
        <f t="shared" si="0"/>
        <v>40</v>
      </c>
      <c r="B47" s="82" t="s">
        <v>412</v>
      </c>
      <c r="C47" s="80"/>
      <c r="G47" s="179"/>
    </row>
    <row r="48" spans="1:11">
      <c r="A48" s="143"/>
      <c r="B48" s="82"/>
      <c r="D48" s="79"/>
      <c r="E48" s="79"/>
    </row>
    <row r="49" spans="1:7">
      <c r="A49" s="143"/>
      <c r="B49" s="121"/>
      <c r="C49" s="122"/>
      <c r="D49" s="123"/>
      <c r="E49" s="123"/>
      <c r="F49" s="122"/>
      <c r="G49" s="122"/>
    </row>
    <row r="50" spans="1:7">
      <c r="A50" s="143"/>
      <c r="B50" s="79"/>
      <c r="C50" s="79"/>
      <c r="D50" s="79"/>
      <c r="E50" s="79"/>
    </row>
    <row r="51" spans="1:7">
      <c r="A51" s="143"/>
      <c r="B51" s="79"/>
      <c r="C51" s="79"/>
      <c r="D51" s="79"/>
      <c r="E51" s="79"/>
    </row>
    <row r="52" spans="1:7">
      <c r="B52" s="79"/>
      <c r="C52" s="79"/>
      <c r="D52" s="79"/>
      <c r="E52" s="79"/>
    </row>
    <row r="53" spans="1:7">
      <c r="B53" s="79"/>
      <c r="C53" s="79"/>
      <c r="D53" s="79"/>
      <c r="E53" s="79"/>
    </row>
    <row r="54" spans="1:7">
      <c r="B54" s="79"/>
      <c r="C54" s="79"/>
      <c r="D54" s="79"/>
      <c r="E54" s="79"/>
    </row>
    <row r="55" spans="1:7">
      <c r="B55" s="79"/>
      <c r="C55" s="79"/>
      <c r="D55" s="79"/>
      <c r="E55" s="79"/>
    </row>
    <row r="56" spans="1:7">
      <c r="B56" s="79"/>
      <c r="C56" s="79"/>
      <c r="D56" s="79"/>
      <c r="E56" s="79"/>
    </row>
    <row r="57" spans="1:7">
      <c r="B57" s="79"/>
      <c r="C57" s="79"/>
      <c r="D57" s="79"/>
      <c r="E57" s="79"/>
    </row>
    <row r="58" spans="1:7">
      <c r="B58" s="79"/>
      <c r="C58" s="79"/>
      <c r="D58" s="79"/>
      <c r="E58" s="79"/>
    </row>
    <row r="59" spans="1:7">
      <c r="B59" s="81"/>
      <c r="C59" s="81"/>
      <c r="D59" s="81"/>
      <c r="E59" s="81"/>
    </row>
    <row r="114" spans="8:10">
      <c r="H114" s="68" t="s">
        <v>200</v>
      </c>
      <c r="I114" s="68">
        <f>+K183</f>
        <v>0</v>
      </c>
    </row>
    <row r="115" spans="8:10">
      <c r="I115" s="68">
        <f>+I114</f>
        <v>0</v>
      </c>
    </row>
    <row r="128" spans="8:10">
      <c r="I128" s="68">
        <f>+I6</f>
        <v>0</v>
      </c>
      <c r="J128" s="68">
        <f>+J6</f>
        <v>0</v>
      </c>
    </row>
    <row r="206" spans="9:10">
      <c r="I206" s="68">
        <f>I6</f>
        <v>0</v>
      </c>
      <c r="J206" s="68">
        <f>+J6</f>
        <v>0</v>
      </c>
    </row>
  </sheetData>
  <mergeCells count="4">
    <mergeCell ref="D6:H6"/>
    <mergeCell ref="D26:H26"/>
    <mergeCell ref="A3:J3"/>
    <mergeCell ref="A4:J4"/>
  </mergeCells>
  <phoneticPr fontId="21" type="noConversion"/>
  <printOptions horizontalCentered="1"/>
  <pageMargins left="0.5" right="0.5" top="1" bottom="1" header="0.5" footer="0.5"/>
  <pageSetup scale="81" orientation="portrait" cellComments="asDisplayed" r:id="rId1"/>
  <headerFooter alignWithMargins="0">
    <oddHeader>&amp;L &amp;10 2016 BHP-Workpaper 7 Transmission Rate True-Up&amp;C&amp;"Arial MT,Bold"
WORKPAPER 6
CUS LOADS
BLACK HILLS POWER, INC.&amp;R&amp;10Page &amp;P of &amp;N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2"/>
    <pageSetUpPr fitToPage="1"/>
  </sheetPr>
  <dimension ref="A1:R120"/>
  <sheetViews>
    <sheetView zoomScaleNormal="100" zoomScalePageLayoutView="125" workbookViewId="0">
      <selection activeCell="H13" sqref="H13"/>
    </sheetView>
  </sheetViews>
  <sheetFormatPr defaultColWidth="8.5546875" defaultRowHeight="11.25"/>
  <cols>
    <col min="1" max="1" width="3.77734375" style="23" customWidth="1"/>
    <col min="2" max="2" width="18.44140625" style="23" customWidth="1"/>
    <col min="3" max="3" width="11.77734375" style="23" customWidth="1"/>
    <col min="4" max="4" width="10.109375" style="23" customWidth="1"/>
    <col min="5" max="5" width="0.88671875" style="23" customWidth="1"/>
    <col min="6" max="6" width="10.109375" style="23" customWidth="1"/>
    <col min="7" max="7" width="8.5546875" style="23" customWidth="1"/>
    <col min="8" max="8" width="8" style="23" customWidth="1"/>
    <col min="9" max="12" width="8.5546875" style="23"/>
    <col min="13" max="13" width="11.88671875" style="23" customWidth="1"/>
    <col min="14" max="16384" width="8.5546875" style="23"/>
  </cols>
  <sheetData>
    <row r="1" spans="1:10" ht="12.75">
      <c r="C1" s="24"/>
      <c r="H1" s="32" t="str">
        <f>'CU AC Rate Design - True-Up'!H1</f>
        <v>Date: May 31, 2017</v>
      </c>
      <c r="J1" s="61"/>
    </row>
    <row r="2" spans="1:10">
      <c r="C2" s="38"/>
      <c r="D2" s="38"/>
      <c r="H2" s="32" t="s">
        <v>446</v>
      </c>
    </row>
    <row r="3" spans="1:10" ht="12.75">
      <c r="B3" s="386"/>
      <c r="C3" s="386"/>
      <c r="D3" s="386"/>
      <c r="E3" s="386"/>
      <c r="F3" s="386"/>
      <c r="G3" s="386"/>
      <c r="H3" s="386"/>
      <c r="J3" s="61"/>
    </row>
    <row r="4" spans="1:10" ht="12.75">
      <c r="B4" s="37"/>
      <c r="C4" s="24"/>
    </row>
    <row r="5" spans="1:10" ht="12" customHeight="1">
      <c r="B5" s="104"/>
    </row>
    <row r="8" spans="1:10" ht="13.5" customHeight="1">
      <c r="A8" s="147" t="s">
        <v>196</v>
      </c>
      <c r="D8" s="28" t="s">
        <v>300</v>
      </c>
      <c r="F8" s="28" t="s">
        <v>248</v>
      </c>
      <c r="G8" s="28"/>
      <c r="H8" s="28" t="s">
        <v>301</v>
      </c>
    </row>
    <row r="9" spans="1:10" ht="13.5" customHeight="1">
      <c r="A9" s="29" t="s">
        <v>197</v>
      </c>
      <c r="B9" s="30" t="s">
        <v>322</v>
      </c>
      <c r="C9" s="29" t="s">
        <v>302</v>
      </c>
      <c r="D9" s="29" t="s">
        <v>198</v>
      </c>
      <c r="F9" s="29" t="s">
        <v>303</v>
      </c>
      <c r="G9" s="29" t="s">
        <v>199</v>
      </c>
      <c r="H9" s="29" t="s">
        <v>198</v>
      </c>
    </row>
    <row r="10" spans="1:10" ht="13.5" customHeight="1">
      <c r="G10" s="35"/>
    </row>
    <row r="11" spans="1:10">
      <c r="A11" s="28">
        <v>1</v>
      </c>
      <c r="B11" s="126" t="s">
        <v>445</v>
      </c>
      <c r="C11" s="23" t="s">
        <v>397</v>
      </c>
      <c r="D11" s="152">
        <v>2568967</v>
      </c>
      <c r="F11" s="28" t="s">
        <v>387</v>
      </c>
      <c r="G11" s="137">
        <v>1</v>
      </c>
      <c r="H11" s="152">
        <f>D11*G11</f>
        <v>2568967</v>
      </c>
    </row>
    <row r="12" spans="1:10">
      <c r="A12" s="28">
        <f>+A11+1</f>
        <v>2</v>
      </c>
      <c r="B12" s="126" t="s">
        <v>65</v>
      </c>
      <c r="C12" s="126" t="s">
        <v>399</v>
      </c>
      <c r="D12" s="152">
        <v>1825</v>
      </c>
      <c r="E12" s="126"/>
      <c r="F12" s="136" t="s">
        <v>387</v>
      </c>
      <c r="G12" s="137">
        <f>+G11</f>
        <v>1</v>
      </c>
      <c r="H12" s="152">
        <f>D12*G12</f>
        <v>1825</v>
      </c>
      <c r="I12" s="126"/>
    </row>
    <row r="13" spans="1:10">
      <c r="A13" s="28">
        <f t="shared" ref="A13:A34" si="0">+A12+1</f>
        <v>3</v>
      </c>
      <c r="B13" s="126" t="s">
        <v>66</v>
      </c>
      <c r="C13" s="126" t="s">
        <v>400</v>
      </c>
      <c r="D13" s="152">
        <v>-10990</v>
      </c>
      <c r="E13" s="126"/>
      <c r="F13" s="136" t="s">
        <v>387</v>
      </c>
      <c r="G13" s="137">
        <f>+G12</f>
        <v>1</v>
      </c>
      <c r="H13" s="152">
        <f>D13*G13</f>
        <v>-10990</v>
      </c>
      <c r="I13" s="126"/>
    </row>
    <row r="14" spans="1:10" ht="12" thickBot="1">
      <c r="A14" s="28">
        <f t="shared" si="0"/>
        <v>4</v>
      </c>
      <c r="B14" s="138" t="s">
        <v>325</v>
      </c>
      <c r="C14" s="139"/>
      <c r="D14" s="140">
        <f>+D11-D12-D13</f>
        <v>2578132</v>
      </c>
      <c r="E14" s="126"/>
      <c r="F14" s="126"/>
      <c r="G14" s="126"/>
      <c r="H14" s="141">
        <f>+H11-H12-H13</f>
        <v>2578132</v>
      </c>
      <c r="I14" s="126"/>
    </row>
    <row r="15" spans="1:10">
      <c r="A15" s="28">
        <f t="shared" si="0"/>
        <v>5</v>
      </c>
      <c r="B15" s="126"/>
      <c r="C15" s="126"/>
      <c r="D15" s="126"/>
      <c r="E15" s="126"/>
      <c r="F15" s="126"/>
      <c r="G15" s="126"/>
      <c r="H15" s="126"/>
      <c r="I15" s="126"/>
    </row>
    <row r="16" spans="1:10">
      <c r="A16" s="28">
        <f t="shared" si="0"/>
        <v>6</v>
      </c>
      <c r="B16" s="151" t="s">
        <v>443</v>
      </c>
      <c r="C16" s="126"/>
      <c r="D16" s="126"/>
      <c r="E16" s="126"/>
      <c r="F16" s="126"/>
      <c r="G16" s="126"/>
      <c r="H16" s="126"/>
      <c r="I16" s="126"/>
    </row>
    <row r="17" spans="1:9">
      <c r="A17" s="28">
        <f t="shared" si="0"/>
        <v>7</v>
      </c>
      <c r="B17" s="23" t="s">
        <v>304</v>
      </c>
      <c r="C17" s="23" t="s">
        <v>398</v>
      </c>
      <c r="D17" s="152">
        <v>2828114</v>
      </c>
      <c r="E17" s="126"/>
      <c r="F17" s="126"/>
      <c r="G17" s="126"/>
      <c r="H17" s="126"/>
      <c r="I17" s="126"/>
    </row>
    <row r="18" spans="1:9">
      <c r="A18" s="28">
        <f t="shared" si="0"/>
        <v>8</v>
      </c>
      <c r="B18" s="126" t="s">
        <v>65</v>
      </c>
      <c r="C18" s="126" t="s">
        <v>67</v>
      </c>
      <c r="D18" s="152">
        <v>0</v>
      </c>
      <c r="E18" s="126"/>
      <c r="F18" s="338"/>
      <c r="G18" s="338"/>
      <c r="H18" s="126"/>
      <c r="I18" s="126"/>
    </row>
    <row r="19" spans="1:9">
      <c r="A19" s="28">
        <f t="shared" si="0"/>
        <v>9</v>
      </c>
      <c r="B19" s="126" t="s">
        <v>66</v>
      </c>
      <c r="C19" s="126" t="s">
        <v>68</v>
      </c>
      <c r="D19" s="152">
        <v>2372</v>
      </c>
      <c r="E19" s="126"/>
      <c r="F19" s="338"/>
      <c r="G19" s="338"/>
      <c r="H19" s="126"/>
      <c r="I19" s="126"/>
    </row>
    <row r="20" spans="1:9" ht="12" thickBot="1">
      <c r="A20" s="28">
        <f t="shared" si="0"/>
        <v>10</v>
      </c>
      <c r="B20" s="126"/>
      <c r="C20" s="126"/>
      <c r="D20" s="140">
        <f>+D17-D18-D19</f>
        <v>2825742</v>
      </c>
      <c r="E20" s="126"/>
      <c r="F20" s="338"/>
      <c r="G20" s="338"/>
      <c r="H20" s="126"/>
      <c r="I20" s="126"/>
    </row>
    <row r="21" spans="1:9">
      <c r="A21" s="28">
        <f t="shared" si="0"/>
        <v>11</v>
      </c>
      <c r="B21" s="126"/>
      <c r="C21" s="126"/>
      <c r="D21" s="153"/>
      <c r="E21" s="126"/>
      <c r="F21" s="338"/>
      <c r="G21" s="338"/>
      <c r="H21" s="126"/>
      <c r="I21" s="126"/>
    </row>
    <row r="22" spans="1:9">
      <c r="A22" s="28">
        <f t="shared" si="0"/>
        <v>12</v>
      </c>
      <c r="B22" s="126" t="str">
        <f>"True-up Amount to be (Refunded)/Paid (line "&amp;A20&amp;"-line "&amp;A14&amp;")"</f>
        <v>True-up Amount to be (Refunded)/Paid (line 10-line 4)</v>
      </c>
      <c r="C22" s="126"/>
      <c r="D22" s="153">
        <f>D20-D14</f>
        <v>247610</v>
      </c>
      <c r="E22" s="126"/>
      <c r="F22" s="338"/>
      <c r="G22" s="338"/>
      <c r="H22" s="126"/>
      <c r="I22" s="126"/>
    </row>
    <row r="23" spans="1:9">
      <c r="A23" s="28">
        <f t="shared" si="0"/>
        <v>13</v>
      </c>
      <c r="B23" s="126"/>
      <c r="C23" s="126"/>
      <c r="D23" s="126"/>
      <c r="E23" s="126"/>
      <c r="F23" s="338"/>
      <c r="G23" s="338"/>
      <c r="H23" s="126"/>
      <c r="I23" s="126"/>
    </row>
    <row r="24" spans="1:9">
      <c r="A24" s="28">
        <f t="shared" si="0"/>
        <v>14</v>
      </c>
      <c r="B24" s="126"/>
      <c r="C24" s="126"/>
      <c r="D24" s="126"/>
      <c r="E24" s="126"/>
      <c r="F24" s="126"/>
      <c r="G24" s="126"/>
      <c r="H24" s="126"/>
      <c r="I24" s="126"/>
    </row>
    <row r="25" spans="1:9">
      <c r="A25" s="28">
        <f t="shared" si="0"/>
        <v>15</v>
      </c>
      <c r="B25" s="142" t="s">
        <v>305</v>
      </c>
      <c r="C25" s="126"/>
      <c r="D25" s="126"/>
      <c r="E25" s="126"/>
      <c r="F25" s="126"/>
      <c r="G25" s="126"/>
      <c r="H25" s="126"/>
      <c r="I25" s="126"/>
    </row>
    <row r="26" spans="1:9">
      <c r="A26" s="28">
        <f t="shared" si="0"/>
        <v>16</v>
      </c>
    </row>
    <row r="27" spans="1:9" ht="12.75">
      <c r="A27" s="28">
        <f t="shared" si="0"/>
        <v>17</v>
      </c>
      <c r="B27" s="126" t="s">
        <v>306</v>
      </c>
      <c r="C27" s="126"/>
      <c r="D27" s="165">
        <f>D20</f>
        <v>2825742</v>
      </c>
    </row>
    <row r="28" spans="1:9" ht="12.75">
      <c r="A28" s="28">
        <f t="shared" si="0"/>
        <v>18</v>
      </c>
      <c r="B28" s="166" t="s">
        <v>307</v>
      </c>
      <c r="C28" s="126"/>
      <c r="D28" s="167">
        <f>'WP7 CU AC LOADS'!J24*1000</f>
        <v>855666.66666666663</v>
      </c>
      <c r="F28" s="31" t="s">
        <v>308</v>
      </c>
      <c r="G28" s="126" t="s">
        <v>442</v>
      </c>
      <c r="H28" s="126"/>
    </row>
    <row r="29" spans="1:9" ht="12">
      <c r="A29" s="28">
        <f t="shared" si="0"/>
        <v>19</v>
      </c>
      <c r="B29" s="126"/>
      <c r="C29" s="126"/>
      <c r="D29" s="126"/>
      <c r="F29" s="31"/>
      <c r="G29" s="126"/>
    </row>
    <row r="30" spans="1:9" ht="12.75">
      <c r="A30" s="28">
        <f t="shared" si="0"/>
        <v>20</v>
      </c>
      <c r="B30" s="168" t="s">
        <v>309</v>
      </c>
      <c r="C30" s="126"/>
      <c r="D30" s="169">
        <f>D27/D28</f>
        <v>3.3023864433190497</v>
      </c>
      <c r="E30" s="23" t="s">
        <v>310</v>
      </c>
      <c r="F30" s="33" t="s">
        <v>311</v>
      </c>
      <c r="G30" s="126" t="s">
        <v>14</v>
      </c>
    </row>
    <row r="31" spans="1:9" ht="12.75">
      <c r="A31" s="28">
        <f t="shared" si="0"/>
        <v>21</v>
      </c>
      <c r="B31" s="168" t="s">
        <v>312</v>
      </c>
      <c r="C31" s="126"/>
      <c r="D31" s="169">
        <f>D30/12</f>
        <v>0.27519887027658746</v>
      </c>
      <c r="E31" s="23" t="s">
        <v>310</v>
      </c>
      <c r="F31" s="33" t="s">
        <v>313</v>
      </c>
      <c r="G31" s="126" t="s">
        <v>15</v>
      </c>
    </row>
    <row r="32" spans="1:9" ht="12.75">
      <c r="A32" s="28">
        <f t="shared" si="0"/>
        <v>22</v>
      </c>
      <c r="B32" s="168" t="s">
        <v>314</v>
      </c>
      <c r="C32" s="126"/>
      <c r="D32" s="169">
        <f>D30/52</f>
        <v>6.3507431602289416E-2</v>
      </c>
      <c r="E32" s="23" t="s">
        <v>310</v>
      </c>
      <c r="F32" s="33" t="s">
        <v>315</v>
      </c>
      <c r="G32" s="126" t="s">
        <v>16</v>
      </c>
    </row>
    <row r="33" spans="1:8" ht="12.75">
      <c r="A33" s="28">
        <f t="shared" si="0"/>
        <v>23</v>
      </c>
      <c r="B33" s="168" t="s">
        <v>316</v>
      </c>
      <c r="C33" s="136" t="s">
        <v>323</v>
      </c>
      <c r="D33" s="169">
        <f>D30/365</f>
        <v>9.0476340912850686E-3</v>
      </c>
      <c r="E33" s="23" t="s">
        <v>310</v>
      </c>
      <c r="F33" s="33" t="s">
        <v>317</v>
      </c>
      <c r="G33" s="126" t="s">
        <v>17</v>
      </c>
    </row>
    <row r="34" spans="1:8" ht="12.75">
      <c r="A34" s="28">
        <f t="shared" si="0"/>
        <v>24</v>
      </c>
      <c r="B34" s="168" t="s">
        <v>318</v>
      </c>
      <c r="C34" s="136" t="s">
        <v>324</v>
      </c>
      <c r="D34" s="169">
        <f>(D30/8760)*1000</f>
        <v>0.37698475380354451</v>
      </c>
      <c r="E34" s="23" t="s">
        <v>310</v>
      </c>
      <c r="F34" s="33" t="s">
        <v>319</v>
      </c>
      <c r="G34" s="126" t="s">
        <v>18</v>
      </c>
    </row>
    <row r="35" spans="1:8">
      <c r="B35" s="32"/>
      <c r="G35" s="126"/>
    </row>
    <row r="36" spans="1:8">
      <c r="G36" s="126"/>
    </row>
    <row r="37" spans="1:8">
      <c r="G37" s="126"/>
    </row>
    <row r="42" spans="1:8" ht="10.5" customHeight="1"/>
    <row r="46" spans="1:8" ht="15.75">
      <c r="H46" s="25"/>
    </row>
    <row r="47" spans="1:8" ht="15">
      <c r="H47" s="27"/>
    </row>
    <row r="48" spans="1:8">
      <c r="H48" s="23" t="s">
        <v>194</v>
      </c>
    </row>
    <row r="52" spans="1:9" ht="14.25">
      <c r="C52" s="26"/>
    </row>
    <row r="53" spans="1:9" ht="14.25">
      <c r="C53" s="26"/>
    </row>
    <row r="54" spans="1:9" ht="14.25">
      <c r="C54" s="34"/>
    </row>
    <row r="55" spans="1:9" ht="15">
      <c r="A55"/>
      <c r="B55"/>
      <c r="C55"/>
      <c r="D55"/>
      <c r="E55"/>
      <c r="F55"/>
      <c r="G55"/>
      <c r="H55"/>
      <c r="I55"/>
    </row>
    <row r="56" spans="1:9" ht="15">
      <c r="A56"/>
      <c r="B56"/>
      <c r="C56"/>
      <c r="D56"/>
      <c r="E56"/>
      <c r="F56"/>
      <c r="G56"/>
      <c r="H56"/>
      <c r="I56"/>
    </row>
    <row r="57" spans="1:9" ht="15">
      <c r="A57"/>
      <c r="B57"/>
      <c r="C57"/>
      <c r="D57"/>
      <c r="E57"/>
      <c r="F57"/>
      <c r="G57"/>
      <c r="H57"/>
      <c r="I57"/>
    </row>
    <row r="58" spans="1:9" ht="15">
      <c r="A58"/>
      <c r="B58"/>
      <c r="C58"/>
      <c r="D58"/>
      <c r="E58"/>
      <c r="F58"/>
      <c r="G58"/>
      <c r="H58"/>
      <c r="I58"/>
    </row>
    <row r="59" spans="1:9" ht="15">
      <c r="A59"/>
      <c r="B59"/>
      <c r="C59"/>
      <c r="D59"/>
      <c r="E59"/>
      <c r="F59"/>
      <c r="G59"/>
      <c r="H59"/>
      <c r="I59"/>
    </row>
    <row r="60" spans="1:9" ht="15">
      <c r="A60"/>
      <c r="B60"/>
      <c r="C60"/>
      <c r="D60"/>
      <c r="E60"/>
      <c r="F60"/>
      <c r="G60"/>
      <c r="H60"/>
      <c r="I60"/>
    </row>
    <row r="61" spans="1:9" ht="15">
      <c r="A61"/>
      <c r="B61"/>
      <c r="C61"/>
      <c r="D61"/>
      <c r="E61"/>
      <c r="F61"/>
      <c r="G61"/>
      <c r="H61"/>
      <c r="I61"/>
    </row>
    <row r="62" spans="1:9" ht="15">
      <c r="A62"/>
      <c r="B62"/>
      <c r="C62"/>
      <c r="D62"/>
      <c r="E62"/>
      <c r="F62"/>
      <c r="G62"/>
      <c r="H62"/>
      <c r="I62"/>
    </row>
    <row r="63" spans="1:9" ht="15">
      <c r="A63"/>
      <c r="B63"/>
      <c r="C63"/>
      <c r="D63"/>
      <c r="E63"/>
      <c r="F63"/>
      <c r="G63"/>
      <c r="H63"/>
      <c r="I63"/>
    </row>
    <row r="64" spans="1:9" ht="15">
      <c r="A64"/>
      <c r="B64"/>
      <c r="C64"/>
      <c r="D64"/>
      <c r="E64"/>
      <c r="F64"/>
      <c r="G64"/>
      <c r="H64"/>
      <c r="I64"/>
    </row>
    <row r="65" spans="1:9" ht="15">
      <c r="A65"/>
      <c r="B65"/>
      <c r="C65"/>
      <c r="D65"/>
      <c r="E65"/>
      <c r="F65"/>
      <c r="G65"/>
      <c r="H65"/>
      <c r="I65"/>
    </row>
    <row r="66" spans="1:9" ht="15">
      <c r="A66"/>
      <c r="B66"/>
      <c r="C66"/>
      <c r="D66"/>
      <c r="E66"/>
      <c r="F66"/>
      <c r="G66"/>
      <c r="H66"/>
      <c r="I66"/>
    </row>
    <row r="67" spans="1:9" ht="15">
      <c r="A67"/>
      <c r="B67"/>
      <c r="C67"/>
      <c r="D67"/>
      <c r="E67"/>
      <c r="F67"/>
      <c r="G67"/>
      <c r="H67"/>
      <c r="I67"/>
    </row>
    <row r="68" spans="1:9" ht="15">
      <c r="A68"/>
      <c r="B68"/>
      <c r="C68"/>
      <c r="D68"/>
      <c r="E68"/>
      <c r="F68"/>
      <c r="G68"/>
      <c r="H68"/>
      <c r="I68"/>
    </row>
    <row r="69" spans="1:9" ht="15">
      <c r="A69"/>
      <c r="B69"/>
      <c r="C69"/>
      <c r="D69"/>
      <c r="E69"/>
      <c r="F69"/>
      <c r="G69"/>
      <c r="H69"/>
      <c r="I69"/>
    </row>
    <row r="70" spans="1:9" ht="15">
      <c r="A70"/>
      <c r="B70"/>
      <c r="C70"/>
      <c r="D70"/>
      <c r="E70"/>
      <c r="F70"/>
      <c r="G70"/>
      <c r="H70"/>
      <c r="I70"/>
    </row>
    <row r="71" spans="1:9" ht="15">
      <c r="A71"/>
      <c r="B71"/>
      <c r="C71"/>
      <c r="D71"/>
      <c r="E71"/>
      <c r="F71"/>
      <c r="G71"/>
      <c r="H71"/>
      <c r="I71"/>
    </row>
    <row r="72" spans="1:9" ht="15">
      <c r="A72"/>
      <c r="B72"/>
      <c r="C72"/>
      <c r="D72"/>
      <c r="E72"/>
      <c r="F72"/>
      <c r="G72"/>
      <c r="H72"/>
      <c r="I72"/>
    </row>
    <row r="73" spans="1:9" ht="15">
      <c r="A73"/>
      <c r="B73"/>
      <c r="C73"/>
      <c r="D73"/>
      <c r="E73"/>
      <c r="F73"/>
      <c r="G73"/>
      <c r="H73"/>
      <c r="I73"/>
    </row>
    <row r="74" spans="1:9" ht="15">
      <c r="A74"/>
      <c r="B74"/>
      <c r="C74"/>
      <c r="D74"/>
      <c r="E74"/>
      <c r="F74"/>
      <c r="G74"/>
      <c r="H74"/>
      <c r="I74"/>
    </row>
    <row r="75" spans="1:9" ht="15">
      <c r="A75"/>
      <c r="B75"/>
      <c r="C75"/>
      <c r="D75"/>
      <c r="E75"/>
      <c r="F75"/>
      <c r="G75"/>
      <c r="H75"/>
      <c r="I75"/>
    </row>
    <row r="76" spans="1:9" ht="15">
      <c r="A76"/>
      <c r="B76"/>
      <c r="C76"/>
      <c r="D76"/>
      <c r="E76"/>
      <c r="F76"/>
      <c r="G76"/>
      <c r="H76"/>
      <c r="I76"/>
    </row>
    <row r="77" spans="1:9" ht="15">
      <c r="A77"/>
      <c r="B77"/>
      <c r="C77"/>
      <c r="D77"/>
      <c r="E77"/>
      <c r="F77"/>
      <c r="G77"/>
      <c r="H77"/>
      <c r="I77"/>
    </row>
    <row r="78" spans="1:9" ht="15">
      <c r="A78"/>
      <c r="B78"/>
      <c r="C78"/>
      <c r="D78"/>
      <c r="E78"/>
      <c r="F78"/>
      <c r="G78"/>
      <c r="H78"/>
      <c r="I78"/>
    </row>
    <row r="79" spans="1:9" ht="15">
      <c r="A79"/>
      <c r="B79"/>
      <c r="C79"/>
      <c r="D79"/>
      <c r="E79"/>
      <c r="F79"/>
      <c r="G79"/>
      <c r="H79"/>
      <c r="I79"/>
    </row>
    <row r="80" spans="1:9" ht="15">
      <c r="A80"/>
      <c r="B80"/>
      <c r="C80"/>
      <c r="D80"/>
      <c r="E80"/>
      <c r="F80"/>
      <c r="G80"/>
      <c r="H80"/>
      <c r="I80"/>
    </row>
    <row r="81" spans="1:18" ht="15">
      <c r="A81"/>
      <c r="B81"/>
      <c r="C81"/>
      <c r="D81"/>
      <c r="E81"/>
      <c r="F81"/>
      <c r="G81"/>
      <c r="H81"/>
      <c r="I81"/>
    </row>
    <row r="82" spans="1:18" ht="15">
      <c r="A82"/>
      <c r="B82"/>
      <c r="C82"/>
      <c r="D82"/>
      <c r="E82"/>
      <c r="F82"/>
      <c r="G82"/>
      <c r="H82"/>
      <c r="I82"/>
    </row>
    <row r="83" spans="1:18" ht="15">
      <c r="A83"/>
      <c r="B83"/>
      <c r="C83"/>
      <c r="D83"/>
      <c r="E83"/>
      <c r="F83"/>
      <c r="G83"/>
      <c r="H83"/>
      <c r="I83"/>
    </row>
    <row r="84" spans="1:18" ht="15">
      <c r="A84"/>
      <c r="B84"/>
      <c r="C84"/>
      <c r="D84"/>
      <c r="E84"/>
      <c r="F84"/>
      <c r="G84"/>
      <c r="H84"/>
      <c r="I84"/>
    </row>
    <row r="85" spans="1:18" ht="15">
      <c r="A85"/>
      <c r="B85"/>
      <c r="C85"/>
      <c r="D85"/>
      <c r="E85"/>
      <c r="F85"/>
      <c r="G85"/>
      <c r="H85"/>
      <c r="I85"/>
    </row>
    <row r="86" spans="1:18" ht="15">
      <c r="A86"/>
      <c r="B86"/>
      <c r="C86"/>
      <c r="D86"/>
      <c r="E86"/>
      <c r="F86"/>
      <c r="G86"/>
      <c r="H86"/>
      <c r="I86"/>
    </row>
    <row r="87" spans="1:18" ht="15">
      <c r="A87"/>
      <c r="B87"/>
      <c r="C87"/>
      <c r="D87"/>
      <c r="E87"/>
      <c r="F87"/>
      <c r="G87"/>
      <c r="H87"/>
      <c r="I87"/>
    </row>
    <row r="88" spans="1:18" ht="15">
      <c r="A88"/>
      <c r="B88"/>
      <c r="C88"/>
      <c r="D88"/>
      <c r="E88"/>
      <c r="F88"/>
      <c r="G88"/>
      <c r="H88"/>
      <c r="I88"/>
    </row>
    <row r="89" spans="1:18" ht="15">
      <c r="A89"/>
      <c r="B89"/>
      <c r="C89"/>
      <c r="D89"/>
      <c r="E89"/>
      <c r="F89"/>
      <c r="G89"/>
      <c r="H89"/>
      <c r="I89"/>
    </row>
    <row r="90" spans="1:18" ht="15">
      <c r="A90"/>
      <c r="B90"/>
      <c r="C90"/>
      <c r="D90"/>
      <c r="E90"/>
      <c r="F90"/>
      <c r="G90"/>
      <c r="H90"/>
      <c r="I90"/>
    </row>
    <row r="91" spans="1:18" ht="15">
      <c r="A91"/>
      <c r="B91"/>
      <c r="C91"/>
      <c r="D91"/>
      <c r="E91"/>
      <c r="F91"/>
      <c r="G91"/>
      <c r="H91"/>
      <c r="I91"/>
    </row>
    <row r="92" spans="1:18" ht="15">
      <c r="A92"/>
      <c r="B92"/>
      <c r="C92"/>
      <c r="D92"/>
      <c r="E92"/>
      <c r="F92"/>
      <c r="G92"/>
      <c r="H92"/>
      <c r="I92"/>
      <c r="M92" s="36"/>
      <c r="O92" s="36"/>
      <c r="P92" s="36"/>
      <c r="Q92" s="36"/>
      <c r="R92" s="36"/>
    </row>
    <row r="93" spans="1:18" ht="15">
      <c r="A93"/>
      <c r="B93"/>
      <c r="C93"/>
      <c r="D93"/>
      <c r="E93"/>
      <c r="F93"/>
      <c r="G93"/>
      <c r="H93"/>
      <c r="I93"/>
      <c r="J93" s="36"/>
    </row>
    <row r="94" spans="1:18" ht="15">
      <c r="A94"/>
      <c r="B94"/>
      <c r="C94"/>
      <c r="D94"/>
      <c r="E94"/>
      <c r="F94"/>
      <c r="G94"/>
      <c r="H94"/>
      <c r="I94"/>
      <c r="M94" s="36"/>
      <c r="O94" s="36"/>
      <c r="P94" s="36"/>
      <c r="Q94" s="36"/>
      <c r="R94" s="36"/>
    </row>
    <row r="95" spans="1:18" ht="15">
      <c r="A95"/>
      <c r="B95"/>
      <c r="C95"/>
      <c r="D95"/>
      <c r="E95"/>
      <c r="F95"/>
      <c r="G95"/>
      <c r="H95"/>
      <c r="I95"/>
    </row>
    <row r="96" spans="1:18" ht="15">
      <c r="A96"/>
      <c r="B96"/>
      <c r="C96"/>
      <c r="D96"/>
      <c r="E96"/>
      <c r="F96"/>
      <c r="G96"/>
      <c r="H96"/>
      <c r="I96"/>
    </row>
    <row r="97" spans="1:9" ht="15">
      <c r="A97"/>
      <c r="B97"/>
      <c r="C97"/>
      <c r="D97"/>
      <c r="E97"/>
      <c r="F97"/>
      <c r="G97"/>
      <c r="H97"/>
      <c r="I97"/>
    </row>
    <row r="98" spans="1:9" ht="15">
      <c r="A98"/>
      <c r="B98"/>
      <c r="C98"/>
      <c r="D98"/>
      <c r="E98"/>
      <c r="F98"/>
      <c r="G98"/>
      <c r="H98"/>
      <c r="I98"/>
    </row>
    <row r="99" spans="1:9" ht="15">
      <c r="A99"/>
      <c r="B99"/>
      <c r="C99"/>
      <c r="D99"/>
      <c r="E99"/>
      <c r="F99"/>
      <c r="G99"/>
      <c r="H99"/>
      <c r="I99"/>
    </row>
    <row r="100" spans="1:9" ht="15">
      <c r="A100"/>
      <c r="B100"/>
      <c r="C100"/>
      <c r="D100"/>
      <c r="E100"/>
      <c r="F100"/>
      <c r="G100"/>
      <c r="H100"/>
      <c r="I100"/>
    </row>
    <row r="101" spans="1:9" ht="15">
      <c r="A101"/>
      <c r="B101"/>
      <c r="C101"/>
      <c r="D101"/>
      <c r="E101"/>
      <c r="F101"/>
      <c r="G101"/>
      <c r="H101"/>
      <c r="I101"/>
    </row>
    <row r="119" spans="7:8">
      <c r="G119" s="23" t="s">
        <v>200</v>
      </c>
      <c r="H119" s="23">
        <f>+J188</f>
        <v>0</v>
      </c>
    </row>
    <row r="120" spans="7:8">
      <c r="H120" s="23">
        <f>+H119</f>
        <v>0</v>
      </c>
    </row>
  </sheetData>
  <mergeCells count="1">
    <mergeCell ref="B3:H3"/>
  </mergeCells>
  <phoneticPr fontId="21" type="noConversion"/>
  <pageMargins left="0.5" right="0.5" top="1" bottom="0.44" header="0.34" footer="0.21"/>
  <pageSetup scale="99" orientation="portrait" r:id="rId1"/>
  <headerFooter alignWithMargins="0">
    <oddHeader>&amp;L &amp;8 2016 BHP-Sch. 1 Rate True-Up&amp;C&amp;"Arial MT,Bold"
SCHEDULE 1 RATE
BLACK HILLS POWER, INC.&amp;R&amp;10Page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CU AC Rate Design - True-Up</vt:lpstr>
      <vt:lpstr>True-Up</vt:lpstr>
      <vt:lpstr>Capital True-up</vt:lpstr>
      <vt:lpstr>BHP WP5 Depreciation Rates</vt:lpstr>
      <vt:lpstr>WP6 Rate Base</vt:lpstr>
      <vt:lpstr>WP7 CU AC LOADS</vt:lpstr>
      <vt:lpstr>BHP Sch. 1</vt:lpstr>
      <vt:lpstr>'BHP Sch. 1'!Print_Area</vt:lpstr>
      <vt:lpstr>'Capital True-up'!Print_Area</vt:lpstr>
      <vt:lpstr>'CU AC Rate Design - True-Up'!Print_Area</vt:lpstr>
      <vt:lpstr>'True-Up'!Print_Area</vt:lpstr>
      <vt:lpstr>'WP6 Rate Base'!Print_Area</vt:lpstr>
      <vt:lpstr>'WP7 CU AC LOADS'!Print_Area</vt:lpstr>
      <vt:lpstr>'WP6 Rate Base'!Print_Titles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Clements, Dan</cp:lastModifiedBy>
  <cp:lastPrinted>2017-05-11T20:39:42Z</cp:lastPrinted>
  <dcterms:created xsi:type="dcterms:W3CDTF">1997-04-03T19:40:56Z</dcterms:created>
  <dcterms:modified xsi:type="dcterms:W3CDTF">2020-06-01T14:41:44Z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SV_QUERY_LIST_4F35BF76-6C0D-4D9B-82B2-816C12CF3733">
    <vt:lpwstr>empty_477D106A-C0D6-4607-AEBD-E2C9D60EA279</vt:lpwstr>
  </property>
</Properties>
</file>